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comments5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omments7.xml" ContentType="application/vnd.openxmlformats-officedocument.spreadsheetml.comments+xml"/>
  <Override PartName="/xl/drawings/drawing14.xml" ContentType="application/vnd.openxmlformats-officedocument.drawing+xml"/>
  <Override PartName="/xl/comments8.xml" ContentType="application/vnd.openxmlformats-officedocument.spreadsheetml.comments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omments9.xml" ContentType="application/vnd.openxmlformats-officedocument.spreadsheetml.comments+xml"/>
  <Override PartName="/xl/drawings/drawing17.xml" ContentType="application/vnd.openxmlformats-officedocument.drawing+xml"/>
  <Override PartName="/xl/comments10.xml" ContentType="application/vnd.openxmlformats-officedocument.spreadsheetml.comments+xml"/>
  <Override PartName="/xl/drawings/drawing18.xml" ContentType="application/vnd.openxmlformats-officedocument.drawing+xml"/>
  <Override PartName="/xl/comments11.xml" ContentType="application/vnd.openxmlformats-officedocument.spreadsheetml.comments+xml"/>
  <Override PartName="/xl/drawings/drawing19.xml" ContentType="application/vnd.openxmlformats-officedocument.drawing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updateLinks="never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SI\YandexDisk-Psh813\DOC_ИП Шубин\Термаль\Раскрытие информации на сайт\2024\"/>
    </mc:Choice>
  </mc:AlternateContent>
  <bookViews>
    <workbookView xWindow="168" yWindow="360" windowWidth="19452" windowHeight="14532" tabRatio="880" activeTab="2"/>
  </bookViews>
  <sheets>
    <sheet name="Инструкция" sheetId="1091" r:id="rId1"/>
    <sheet name="Лог обновления" sheetId="1093" state="veryHidden" r:id="rId2"/>
    <sheet name="Титульный" sheetId="1129" r:id="rId3"/>
    <sheet name="modSheetTitle" sheetId="1128" state="veryHidden" r:id="rId4"/>
    <sheet name="Список территорий" sheetId="936" r:id="rId5"/>
    <sheet name="Список объектов" sheetId="1109" r:id="rId6"/>
    <sheet name="КС" sheetId="1139" r:id="rId7"/>
    <sheet name="ТН" sheetId="1144" r:id="rId8"/>
    <sheet name="TECHSHEET" sheetId="968" state="veryHidden" r:id="rId9"/>
    <sheet name="TECH_HORISONTAL" sheetId="1037" state="veryHidden" r:id="rId10"/>
    <sheet name="HEAT_CALC_TECH_VERTICAL" sheetId="967" state="veryHidden" r:id="rId11"/>
    <sheet name="HEAT_FUEL_TECH_VERTICAL" sheetId="1147" state="veryHidden" r:id="rId12"/>
    <sheet name="COLDVSNA_CALC_TECH_VERTICAL" sheetId="1148" state="veryHidden" r:id="rId13"/>
    <sheet name="COLDVSNA_REAGENT_TECH_VERTICAL" sheetId="1149" state="veryHidden" r:id="rId14"/>
    <sheet name="VOTV_CALC_TECH_VERTICAL" sheetId="1150" state="veryHidden" r:id="rId15"/>
    <sheet name="VOTV_REAGENT_TECH_VERTICAL" sheetId="1151" state="veryHidden" r:id="rId16"/>
    <sheet name="REESTR_ORG" sheetId="277" state="veryHidden" r:id="rId17"/>
    <sheet name="REESTR_SOURCE" sheetId="1031" state="veryHidden" r:id="rId18"/>
    <sheet name="БПр" sheetId="1106" r:id="rId19"/>
    <sheet name="БТр" sheetId="939" r:id="rId20"/>
    <sheet name="РО" sheetId="1138" r:id="rId21"/>
    <sheet name="Т" sheetId="948" r:id="rId22"/>
    <sheet name="ХВС.БПр" sheetId="1001" state="veryHidden" r:id="rId23"/>
    <sheet name="ХВС.БТр" sheetId="1002" state="veryHidden" r:id="rId24"/>
    <sheet name="ХВС.РО" sheetId="1005" state="veryHidden" r:id="rId25"/>
    <sheet name="ХВС.Р" sheetId="1121" state="veryHidden" r:id="rId26"/>
    <sheet name="ВО.БПр" sheetId="1042" state="veryHidden" r:id="rId27"/>
    <sheet name="ВО.БТр" sheetId="1043" state="veryHidden" r:id="rId28"/>
    <sheet name="ВО.РО" sheetId="1045" state="veryHidden" r:id="rId29"/>
    <sheet name="ВО.Р" sheetId="1124" state="veryHidden" r:id="rId30"/>
    <sheet name="Комментарии" sheetId="997" r:id="rId31"/>
    <sheet name="Проверка" sheetId="157" r:id="rId32"/>
    <sheet name="REESTR_MO" sheetId="315" state="veryHidden" r:id="rId33"/>
    <sheet name="REESTR_LOCATION" sheetId="1114" state="veryHidden" r:id="rId34"/>
    <sheet name="REESTR_CNCSN_IP" sheetId="1142" state="veryHidden" r:id="rId35"/>
    <sheet name="AUTHORISATION" sheetId="1067" state="veryHidden" r:id="rId36"/>
    <sheet name="DICTIONARIES" sheetId="1119" state="veryHidden" r:id="rId37"/>
    <sheet name="FILE_STORE_DATA" sheetId="1137" state="veryHidden" r:id="rId38"/>
    <sheet name="PLAN1X_LIST_ORG" sheetId="953" state="veryHidden" r:id="rId39"/>
    <sheet name="PLAN1X_LIST_MO" sheetId="1130" state="veryHidden" r:id="rId40"/>
    <sheet name="PLAN1X_LIST_SUBSIDIARY" sheetId="1113" state="veryHidden" r:id="rId41"/>
    <sheet name="PLAN1X_LIST_DPR" sheetId="1133" state="veryHidden" r:id="rId42"/>
    <sheet name="PLAN1X_LIST_SRC" sheetId="1105" state="veryHidden" r:id="rId43"/>
    <sheet name="PLAN1X_LIST_TMX" sheetId="1070" state="veryHidden" r:id="rId44"/>
    <sheet name="PLAN1X_LIST_CNCSN" sheetId="1141" state="veryHidden" r:id="rId45"/>
    <sheet name="PLAN1X_LIST_PPL_TM" sheetId="1146" state="veryHidden" r:id="rId46"/>
    <sheet name="INV1X_LIST_IP" sheetId="1143" state="veryHidden" r:id="rId47"/>
    <sheet name="modInfo" sheetId="1108" state="veryHidden" r:id="rId48"/>
    <sheet name="modUIButtons" sheetId="1082" state="veryHidden" r:id="rId49"/>
    <sheet name="modVLDCommon" sheetId="969" state="veryHidden" r:id="rId50"/>
    <sheet name="modVLDIntegrity" sheetId="1076" state="veryHidden" r:id="rId51"/>
    <sheet name="modVLDData" sheetId="970" state="veryHidden" r:id="rId52"/>
    <sheet name="modGeneralAPI" sheetId="972" state="veryHidden" r:id="rId53"/>
    <sheet name="modBalPr" sheetId="973" state="veryHidden" r:id="rId54"/>
    <sheet name="modBalTr" sheetId="974" state="veryHidden" r:id="rId55"/>
    <sheet name="modCalc" sheetId="975" state="veryHidden" r:id="rId56"/>
    <sheet name="modFuel" sheetId="978" state="veryHidden" r:id="rId57"/>
    <sheet name="modReagent" sheetId="1123" state="veryHidden" r:id="rId58"/>
    <sheet name="modListMO" sheetId="980" state="veryHidden" r:id="rId59"/>
    <sheet name="modListObjects" sheetId="1112" state="veryHidden" r:id="rId60"/>
    <sheet name="modListCncsn" sheetId="1140" state="veryHidden" r:id="rId61"/>
    <sheet name="modListPplTm" sheetId="1145" state="veryHidden" r:id="rId62"/>
    <sheet name="modRequestSpecificData" sheetId="981" state="veryHidden" r:id="rId63"/>
    <sheet name="modRequestGenericData" sheetId="1115" state="veryHidden" r:id="rId64"/>
    <sheet name="modfrmRegion" sheetId="983" state="veryHidden" r:id="rId65"/>
    <sheet name="modServiceAPI" sheetId="1134" state="veryHidden" r:id="rId66"/>
    <sheet name="modVLDGeneral" sheetId="984" state="veryHidden" r:id="rId67"/>
    <sheet name="modPLAN1XUpdate" sheetId="986" state="veryHidden" r:id="rId68"/>
    <sheet name="modVLDUniqueness" sheetId="988" state="veryHidden" r:id="rId69"/>
    <sheet name="modfrmReestr" sheetId="1030" state="veryHidden" r:id="rId70"/>
    <sheet name="modfrmOrg" sheetId="337" state="veryHidden" r:id="rId71"/>
    <sheet name="modUpdTemplMain" sheetId="849" state="veryHidden" r:id="rId72"/>
    <sheet name="modfrmCheckUpdates" sheetId="850" state="veryHidden" r:id="rId73"/>
    <sheet name="modfrmDateChoose" sheetId="935" state="veryHidden" r:id="rId74"/>
    <sheet name="modIHLCommandBar" sheetId="922" state="veryHidden" r:id="rId75"/>
    <sheet name="modfrmHEATAdditionalOrgData" sheetId="927" state="veryHidden" r:id="rId76"/>
    <sheet name="modfrmHEATFUELSelector" sheetId="1120" state="veryHidden" r:id="rId77"/>
    <sheet name="modfrmPLAN1XCheckIn" sheetId="1131" state="veryHidden" r:id="rId78"/>
    <sheet name="modfrmPLAN1XUpdate" sheetId="1132" state="veryHidden" r:id="rId79"/>
    <sheet name="modfrmReportMode" sheetId="1041" state="veryHidden" r:id="rId80"/>
    <sheet name="modPOSTData" sheetId="1135" state="veryHidden" r:id="rId81"/>
    <sheet name="modfrmDPRConstructor" sheetId="1136" state="veryHidden" r:id="rId82"/>
  </sheets>
  <definedNames>
    <definedName name="_xlnm._FilterDatabase" localSheetId="31" hidden="1">Проверка!$E$11:$H$11</definedName>
    <definedName name="ADD_HL_LIST_MO_MARKER">'Список территорий'!$G$17</definedName>
    <definedName name="ALL_FILES">modUIButtons!$B$1</definedName>
    <definedName name="anscount" hidden="1">1</definedName>
    <definedName name="ATH_SCHEME">TECHSHEET!$X$3</definedName>
    <definedName name="AUTHORIZATION_MODE">TECHSHEET!$M$10</definedName>
    <definedName name="CALC_IDENTIFIER">TECHSHEET!$G$14</definedName>
    <definedName name="CHANGE_HL_LIST_MO_COLUMN_MARKER">'Список территорий'!$D$14</definedName>
    <definedName name="chkGetUpdatesValue">Инструкция!$AA$95</definedName>
    <definedName name="chkNoUpdatesValue">Инструкция!$AA$97</definedName>
    <definedName name="CNCSN_IP_LIST_RANGE">REESTR_CNCSN_IP!$A$2:$G$111</definedName>
    <definedName name="CNCSN_LIST">REESTR_CNCSN_IP!$B$2:$G$47</definedName>
    <definedName name="CNCSN_NAME_LIST">REESTR_CNCSN_IP!$C$2:$C$47</definedName>
    <definedName name="code">Инструкция!$B$2</definedName>
    <definedName name="COLDVSNA_BAL_PR_ADD_HL_MARKER">ХВС.БПр!$G$132</definedName>
    <definedName name="COLDVSNA_BAL_PR_ADD_RANGE">ХВС.БПр!$1:$28</definedName>
    <definedName name="COLDVSNA_BAL_PR_CALC_AREA">ХВС.БПр!$F$131:$AV$132</definedName>
    <definedName name="COLDVSNA_BAL_PR_DELETE_HL_COLUMN_MARKER">ХВС.БПр!$E$124</definedName>
    <definedName name="COLDVSNA_BAL_PR_EMPTY_RANGE">ХВС.БПр!$H$1:$BF$28</definedName>
    <definedName name="COLDVSNA_BAL_PR_END_COLUMN_MARKER">ХВС.БПр!$AS$120</definedName>
    <definedName name="COLDVSNA_BAL_PR_NUM_COLUMN_MARKER">ХВС.БПр!$B$124</definedName>
    <definedName name="COLDVSNA_BAL_PR_RANGE">ХВС.БПр!$H$29:$BF$56</definedName>
    <definedName name="COLDVSNA_BAL_TR_ADD_HL_MARKER">ХВС.БТр!$G$132</definedName>
    <definedName name="COLDVSNA_BAL_TR_ADD_RANGE">ХВС.БТр!$1:$28</definedName>
    <definedName name="COLDVSNA_BAL_TR_CALC_AREA">ХВС.БТр!$F$131:$AC$132</definedName>
    <definedName name="COLDVSNA_BAL_TR_DELETE_HL_COLUMN_MARKER">ХВС.БТр!$E$124</definedName>
    <definedName name="COLDVSNA_BAL_TR_EMPTY_RANGE">ХВС.БТр!$H$1:$BF$28</definedName>
    <definedName name="COLDVSNA_BAL_TR_END_COLUMN_MARKER">ХВС.БТр!$AC$119</definedName>
    <definedName name="COLDVSNA_BAL_TR_NUM_COLUMN_MARKER">ХВС.БТр!$B$124</definedName>
    <definedName name="COLDVSNA_BAL_TR_RANGE">ХВС.БТр!$H$29:$BF$56</definedName>
    <definedName name="COLDVSNA_CALC_ADD_HL_MARKER">ХВС.РО!$AT$18</definedName>
    <definedName name="COLDVSNA_CALC_ADD_RANGE" localSheetId="13">COLDVSNA_REAGENT_TECH_VERTICAL!#REF!</definedName>
    <definedName name="COLDVSNA_CALC_ADD_RANGE" localSheetId="11">HEAT_FUEL_TECH_VERTICAL!#REF!</definedName>
    <definedName name="COLDVSNA_CALC_ADD_RANGE" localSheetId="14">VOTV_CALC_TECH_VERTICAL!#REF!</definedName>
    <definedName name="COLDVSNA_CALC_ADD_RANGE" localSheetId="15">VOTV_REAGENT_TECH_VERTICAL!#REF!</definedName>
    <definedName name="COLDVSNA_CALC_ADD_RANGE">COLDVSNA_CALC_TECH_VERTICAL!$AB$3:$AD$363</definedName>
    <definedName name="COLDVSNA_CALC_AREA">ХВС.РО!$AS$23:$AT$306</definedName>
    <definedName name="COLDVSNA_CALC_BALANCE_ROW_MARKER">ХВС.РО!$AN$240</definedName>
    <definedName name="COLDVSNA_CALC_CI_ROW_MARKER">ХВС.РО!$AN$210</definedName>
    <definedName name="COLDVSNA_CALC_COST_ROW_MARKER">ХВС.РО!$AN$203</definedName>
    <definedName name="COLDVSNA_CALC_D_AREA" localSheetId="13">COLDVSNA_REAGENT_TECH_VERTICAL!#REF!</definedName>
    <definedName name="COLDVSNA_CALC_D_AREA" localSheetId="11">HEAT_FUEL_TECH_VERTICAL!#REF!</definedName>
    <definedName name="COLDVSNA_CALC_D_AREA" localSheetId="14">VOTV_CALC_TECH_VERTICAL!#REF!</definedName>
    <definedName name="COLDVSNA_CALC_D_AREA" localSheetId="15">VOTV_REAGENT_TECH_VERTICAL!#REF!</definedName>
    <definedName name="COLDVSNA_CALC_D_AREA">COLDVSNA_CALC_TECH_VERTICAL!$AE$290:$AG$306</definedName>
    <definedName name="COLDVSNA_CALC_DELETE_HL_ROW_MARKER">ХВС.РО!$AS$18</definedName>
    <definedName name="COLDVSNA_CALC_ECONOMY_SUM_10_ROW_MARKER">ХВС.РО!$AN$351</definedName>
    <definedName name="COLDVSNA_CALC_ECONOMY_SUM_11_ROW_MARKER">ХВС.РО!$AN$357</definedName>
    <definedName name="COLDVSNA_CALC_EMPTY_BASE_RANGE" localSheetId="13">COLDVSNA_REAGENT_TECH_VERTICAL!#REF!</definedName>
    <definedName name="COLDVSNA_CALC_EMPTY_BASE_RANGE" localSheetId="11">HEAT_FUEL_TECH_VERTICAL!#REF!</definedName>
    <definedName name="COLDVSNA_CALC_EMPTY_BASE_RANGE" localSheetId="14">VOTV_CALC_TECH_VERTICAL!#REF!</definedName>
    <definedName name="COLDVSNA_CALC_EMPTY_BASE_RANGE" localSheetId="15">VOTV_REAGENT_TECH_VERTICAL!#REF!</definedName>
    <definedName name="COLDVSNA_CALC_EMPTY_BASE_RANGE">COLDVSNA_CALC_TECH_VERTICAL!$AB$23:$AD$363</definedName>
    <definedName name="COLDVSNA_CALC_EXTENDED_AREA">ХВС.РО!$AP$313:$AP$332</definedName>
    <definedName name="COLDVSNA_CALC_EXTENDED_CLN_AREA">ХВС.РО!$AP$319:$AP$322</definedName>
    <definedName name="COLDVSNA_CALC_EXTENDED_FACILITY_1_AREA">ХВС.РО!$AP$320</definedName>
    <definedName name="COLDVSNA_CALC_EXTENDED_PR_AREA">ХВС.РО!$AP$315:$AP$317</definedName>
    <definedName name="COLDVSNA_CALC_EXTENDED_SL_AREA">ХВС.РО!$AP$328:$AP$331</definedName>
    <definedName name="COLDVSNA_CALC_EXTENDED_TR_AREA">ХВС.РО!$AP$324:$AP$326</definedName>
    <definedName name="COLDVSNA_CALC_INV_DATA_CN">ХВС.РО!$AP$286</definedName>
    <definedName name="COLDVSNA_CALC_INV_DATA_IP">ХВС.РО!$AP$266</definedName>
    <definedName name="COLDVSNA_CALC_IP_EXCEPT_CN_1_ROW_MARKER">ХВС.РО!$AN$250</definedName>
    <definedName name="COLDVSNA_CALC_IP_EXCEPT_CN_4_ROW_MARKER">ХВС.РО!$AN$258</definedName>
    <definedName name="COLDVSNA_CALC_IP_EXCEPT_CN_TTL_ROW_MARKER">ХВС.РО!$AN$249</definedName>
    <definedName name="COLDVSNA_CALC_IP_INCLUDE_CN_1_ROW_MARKER">ХВС.РО!$AN$270</definedName>
    <definedName name="COLDVSNA_CALC_IP_INCLUDE_CN_4_ROW_MARKER">ХВС.РО!$AN$278</definedName>
    <definedName name="COLDVSNA_CALC_IP_INCLUDE_CN_TTL_ROW_MARKER">ХВС.РО!$AN$269</definedName>
    <definedName name="COLDVSNA_CALC_ITEM_NAMES">ХВС.РО!$AN$23:$AN$363</definedName>
    <definedName name="COLDVSNA_CALC_NUM_ROW_MARKER">ХВС.РО!$AS$19</definedName>
    <definedName name="COLDVSNA_CALC_PERIOD_MARKERS">ХВС.РО!$AP$9:$AT$9</definedName>
    <definedName name="COLDVSNA_CALC_RESULT_ROW_MARKER">ХВС.РО!$AN$290</definedName>
    <definedName name="COLDVSNA_CALC_SINGLE_BASE_RANGE" localSheetId="13">COLDVSNA_REAGENT_TECH_VERTICAL!#REF!</definedName>
    <definedName name="COLDVSNA_CALC_SINGLE_BASE_RANGE" localSheetId="11">HEAT_FUEL_TECH_VERTICAL!#REF!</definedName>
    <definedName name="COLDVSNA_CALC_SINGLE_BASE_RANGE" localSheetId="14">VOTV_CALC_TECH_VERTICAL!#REF!</definedName>
    <definedName name="COLDVSNA_CALC_SINGLE_BASE_RANGE" localSheetId="15">VOTV_REAGENT_TECH_VERTICAL!#REF!</definedName>
    <definedName name="COLDVSNA_CALC_SINGLE_BASE_RANGE">COLDVSNA_CALC_TECH_VERTICAL!$AE$23:$AG$363</definedName>
    <definedName name="COLDVSNA_CALC_TF_APPLY_OPTION">ХВС.РО!$AO$289</definedName>
    <definedName name="COLDVSNA_FACILITY_INDEX_GROUP">TECHSHEET!$M$21:$M$24</definedName>
    <definedName name="COLDVSNA_MIN_COST_VALUE">DICTIONARIES!$B$121</definedName>
    <definedName name="COLDVSNA_REAGENT_ADD_HL_MARKER">ХВС.Р!$AT$18</definedName>
    <definedName name="COLDVSNA_REAGENT_ADD_RANGE" localSheetId="12">COLDVSNA_CALC_TECH_VERTICAL!#REF!</definedName>
    <definedName name="COLDVSNA_REAGENT_ADD_RANGE" localSheetId="11">HEAT_FUEL_TECH_VERTICAL!#REF!</definedName>
    <definedName name="COLDVSNA_REAGENT_ADD_RANGE" localSheetId="14">VOTV_CALC_TECH_VERTICAL!#REF!</definedName>
    <definedName name="COLDVSNA_REAGENT_ADD_RANGE" localSheetId="15">VOTV_REAGENT_TECH_VERTICAL!#REF!</definedName>
    <definedName name="COLDVSNA_REAGENT_ADD_RANGE">COLDVSNA_REAGENT_TECH_VERTICAL!$AB$3:$AD$349</definedName>
    <definedName name="COLDVSNA_REAGENT_ADJUSTABLE_AREA">ХВС.Р!$AF$23:$AF$349</definedName>
    <definedName name="COLDVSNA_REAGENT_AREA">ХВС.Р!$AS$23:$AT$349</definedName>
    <definedName name="COLDVSNA_REAGENT_DELETE_HL_ROW_MARKER">ХВС.Р!$AS$18</definedName>
    <definedName name="COLDVSNA_REAGENT_EMPTY_BASE_RANGE" localSheetId="12">COLDVSNA_CALC_TECH_VERTICAL!#REF!</definedName>
    <definedName name="COLDVSNA_REAGENT_EMPTY_BASE_RANGE" localSheetId="11">HEAT_FUEL_TECH_VERTICAL!#REF!</definedName>
    <definedName name="COLDVSNA_REAGENT_EMPTY_BASE_RANGE" localSheetId="14">VOTV_CALC_TECH_VERTICAL!#REF!</definedName>
    <definedName name="COLDVSNA_REAGENT_EMPTY_BASE_RANGE" localSheetId="15">VOTV_REAGENT_TECH_VERTICAL!#REF!</definedName>
    <definedName name="COLDVSNA_REAGENT_EMPTY_BASE_RANGE">COLDVSNA_REAGENT_TECH_VERTICAL!$AB$23:$AD$349</definedName>
    <definedName name="COLDVSNA_REAGENT_EMPTY_TEMPLATE_RANGE" localSheetId="12">COLDVSNA_CALC_TECH_VERTICAL!#REF!</definedName>
    <definedName name="COLDVSNA_REAGENT_EMPTY_TEMPLATE_RANGE" localSheetId="11">HEAT_FUEL_TECH_VERTICAL!#REF!</definedName>
    <definedName name="COLDVSNA_REAGENT_EMPTY_TEMPLATE_RANGE" localSheetId="14">VOTV_CALC_TECH_VERTICAL!#REF!</definedName>
    <definedName name="COLDVSNA_REAGENT_EMPTY_TEMPLATE_RANGE" localSheetId="15">VOTV_REAGENT_TECH_VERTICAL!#REF!</definedName>
    <definedName name="COLDVSNA_REAGENT_EMPTY_TEMPLATE_RANGE">COLDVSNA_REAGENT_TECH_VERTICAL!$AQ$23:$AS$349</definedName>
    <definedName name="COLDVSNA_REAGENT_ITEM_NAMES">ХВС.Р!$AN$23:$AN$348</definedName>
    <definedName name="COLDVSNA_REAGENT_NO_ONE_RANGE" localSheetId="12">COLDVSNA_CALC_TECH_VERTICAL!#REF!</definedName>
    <definedName name="COLDVSNA_REAGENT_NO_ONE_RANGE" localSheetId="11">HEAT_FUEL_TECH_VERTICAL!#REF!</definedName>
    <definedName name="COLDVSNA_REAGENT_NO_ONE_RANGE" localSheetId="14">VOTV_CALC_TECH_VERTICAL!#REF!</definedName>
    <definedName name="COLDVSNA_REAGENT_NO_ONE_RANGE" localSheetId="15">VOTV_REAGENT_TECH_VERTICAL!#REF!</definedName>
    <definedName name="COLDVSNA_REAGENT_NO_ONE_RANGE">COLDVSNA_REAGENT_TECH_VERTICAL!$AQ$29:$AS$31</definedName>
    <definedName name="COLDVSNA_REAGENT_NO_OTH_RANGE" localSheetId="12">COLDVSNA_CALC_TECH_VERTICAL!#REF!</definedName>
    <definedName name="COLDVSNA_REAGENT_NO_OTH_RANGE" localSheetId="11">HEAT_FUEL_TECH_VERTICAL!#REF!</definedName>
    <definedName name="COLDVSNA_REAGENT_NO_OTH_RANGE" localSheetId="14">VOTV_CALC_TECH_VERTICAL!#REF!</definedName>
    <definedName name="COLDVSNA_REAGENT_NO_OTH_RANGE" localSheetId="15">VOTV_REAGENT_TECH_VERTICAL!#REF!</definedName>
    <definedName name="COLDVSNA_REAGENT_NO_OTH_RANGE">COLDVSNA_REAGENT_TECH_VERTICAL!$AQ$346:$AS$346</definedName>
    <definedName name="COLDVSNA_REAGENT_NUM_ROW_MARKER">ХВС.Р!$AS$19</definedName>
    <definedName name="COLDVSNA_REAGENT_ONE_RANGE" localSheetId="12">COLDVSNA_CALC_TECH_VERTICAL!#REF!</definedName>
    <definedName name="COLDVSNA_REAGENT_ONE_RANGE" localSheetId="11">HEAT_FUEL_TECH_VERTICAL!#REF!</definedName>
    <definedName name="COLDVSNA_REAGENT_ONE_RANGE" localSheetId="14">VOTV_CALC_TECH_VERTICAL!#REF!</definedName>
    <definedName name="COLDVSNA_REAGENT_ONE_RANGE" localSheetId="15">VOTV_REAGENT_TECH_VERTICAL!#REF!</definedName>
    <definedName name="COLDVSNA_REAGENT_ONE_RANGE">COLDVSNA_REAGENT_TECH_VERTICAL!$AK$29:$AM$31</definedName>
    <definedName name="COLDVSNA_REAGENT_OTH_RANGE" localSheetId="12">COLDVSNA_CALC_TECH_VERTICAL!#REF!</definedName>
    <definedName name="COLDVSNA_REAGENT_OTH_RANGE" localSheetId="11">HEAT_FUEL_TECH_VERTICAL!#REF!</definedName>
    <definedName name="COLDVSNA_REAGENT_OTH_RANGE" localSheetId="14">VOTV_CALC_TECH_VERTICAL!#REF!</definedName>
    <definedName name="COLDVSNA_REAGENT_OTH_RANGE" localSheetId="15">VOTV_REAGENT_TECH_VERTICAL!#REF!</definedName>
    <definedName name="COLDVSNA_REAGENT_OTH_RANGE">COLDVSNA_REAGENT_TECH_VERTICAL!$AK$346:$AM$346</definedName>
    <definedName name="COLDVSNA_REAGENT_PERIOD_MARKERS">ХВС.Р!$AP$9:$AT$9</definedName>
    <definedName name="COLDVSNA_REAGENT_SINGLE_BASE_RANGE" localSheetId="12">COLDVSNA_CALC_TECH_VERTICAL!#REF!</definedName>
    <definedName name="COLDVSNA_REAGENT_SINGLE_BASE_RANGE" localSheetId="11">HEAT_FUEL_TECH_VERTICAL!#REF!</definedName>
    <definedName name="COLDVSNA_REAGENT_SINGLE_BASE_RANGE" localSheetId="14">VOTV_CALC_TECH_VERTICAL!#REF!</definedName>
    <definedName name="COLDVSNA_REAGENT_SINGLE_BASE_RANGE" localSheetId="15">VOTV_REAGENT_TECH_VERTICAL!#REF!</definedName>
    <definedName name="COLDVSNA_REAGENT_SINGLE_BASE_RANGE">COLDVSNA_REAGENT_TECH_VERTICAL!$AE$23:$AG$349</definedName>
    <definedName name="COLDVSNA_REAGENT_TEMPLATE_RANGE" localSheetId="12">COLDVSNA_CALC_TECH_VERTICAL!#REF!</definedName>
    <definedName name="COLDVSNA_REAGENT_TEMPLATE_RANGE" localSheetId="11">HEAT_FUEL_TECH_VERTICAL!#REF!</definedName>
    <definedName name="COLDVSNA_REAGENT_TEMPLATE_RANGE" localSheetId="14">VOTV_CALC_TECH_VERTICAL!#REF!</definedName>
    <definedName name="COLDVSNA_REAGENT_TEMPLATE_RANGE" localSheetId="15">VOTV_REAGENT_TECH_VERTICAL!#REF!</definedName>
    <definedName name="COLDVSNA_REAGENT_TEMPLATE_RANGE">COLDVSNA_REAGENT_TECH_VERTICAL!$AK$23:$AM$349</definedName>
    <definedName name="COLDVSNA_TRANSMISSION_TARIFF_UNIT">TECHSHEET!$I$6</definedName>
    <definedName name="COLDVSNA_VD_COMPONENTS">TECHSHEET!$E$12:$E$16</definedName>
    <definedName name="COLDVSNA_VTOV">TECHSHEET!$I$12:$I$13</definedName>
    <definedName name="DELETE_HL_LIST_MO_COLUMN_MARKER">'Список территорий'!$E$14</definedName>
    <definedName name="DNS">TECHSHEET!$Q$2</definedName>
    <definedName name="DPR_AREA_BIND_LIST">TECHSHEET!$AG$7:$AG$9</definedName>
    <definedName name="DPR_AREA_TYPE_LIST">TECHSHEET!$AG$2:$AG$4</definedName>
    <definedName name="DPR_LIST">PLAN1X_LIST_DPR!$B$2:$B$378</definedName>
    <definedName name="DPR_LIST_RANGE">PLAN1X_LIST_DPR!$A$2:$B$378</definedName>
    <definedName name="FIL_ID">Титульный!$O$15</definedName>
    <definedName name="FIND_OGRN_ASSIST_URL">DICTIONARIES!$B$2</definedName>
    <definedName name="FIND_OKPO_ASSIST_URL">DICTIONARIES!$B$3</definedName>
    <definedName name="FIND_OPF_ASSIST_URL">DICTIONARIES!$B$4</definedName>
    <definedName name="FirstLine">Инструкция!$A$6</definedName>
    <definedName name="FULL_STATE_SHARE_OKOPF_LIST">DICTIONARIES!$B$5:$B$25</definedName>
    <definedName name="GEO_BASE_REGION">TECHSHEET!$C$87</definedName>
    <definedName name="god">Титульный!$H$9</definedName>
    <definedName name="HEAT_BAL_PR_4_1_MO_MARKER">БПр!$W$126</definedName>
    <definedName name="HEAT_BAL_PR_4_3_MO_MARKER">БПр!$AE$126</definedName>
    <definedName name="HEAT_BAL_PR_ADD_HL_MARKER">БПр!$G$160</definedName>
    <definedName name="HEAT_BAL_PR_ADD_RANGE">БПр!$1:$28</definedName>
    <definedName name="HEAT_BAL_PR_CALC_AREA">БПр!$F$131:$CK$160</definedName>
    <definedName name="HEAT_BAL_PR_CALC_USER_AREA">БПр!$H$131:$AX$160</definedName>
    <definedName name="HEAT_BAL_PR_DELETE_HL_COLUMN_MARKER">БПр!$E$124</definedName>
    <definedName name="HEAT_BAL_PR_EMPTY_ADD_RANGE">БПр!$H$1:$CK$28</definedName>
    <definedName name="HEAT_BAL_PR_EMPTY_RANGE">БПр!$H$1:$CE$28</definedName>
    <definedName name="HEAT_BAL_PR_END_COLUMN_MARKER">БПр!$AX$120</definedName>
    <definedName name="HEAT_BAL_PR_ISSUE_FOR_TRANSPORT">БПр!$CE$131:$CE$160</definedName>
    <definedName name="HEAT_BAL_PR_NUM_COLUMN_MARKER">БПр!$B$124</definedName>
    <definedName name="HEAT_BAL_PR_RANGE">БПр!$H$57:$CK$84</definedName>
    <definedName name="HEAT_BAL_TR_ADD_HL_MARKER">БТр!$G$160</definedName>
    <definedName name="HEAT_BAL_TR_ADD_RANGE">БТр!$1:$28</definedName>
    <definedName name="HEAT_BAL_TR_CALC_AREA">БТр!$F$131:$CD$160</definedName>
    <definedName name="HEAT_BAL_TR_CALC_USER_AREA">БТр!$H$131:$T$160</definedName>
    <definedName name="HEAT_BAL_TR_DELETE_HL_COLUMN_MARKER">БТр!$E$124</definedName>
    <definedName name="HEAT_BAL_TR_EMPTY_ADD_RANGE">БТр!$1:$28</definedName>
    <definedName name="HEAT_BAL_TR_EMPTY_RANGE">БТр!$H$1:$CY$28</definedName>
    <definedName name="HEAT_BAL_TR_END_COLUMN_MARKER">БТр!$T$119</definedName>
    <definedName name="HEAT_BAL_TR_NUM_COLUMN_MARKER">БТр!$B$124</definedName>
    <definedName name="HEAT_BAL_TR_RANGE">БТр!$H$57:$CY$84</definedName>
    <definedName name="HEAT_CALC_ADD_HL_MARKER">РО!$AW$18</definedName>
    <definedName name="HEAT_CALC_ADD_RANGE" localSheetId="12">COLDVSNA_CALC_TECH_VERTICAL!#REF!</definedName>
    <definedName name="HEAT_CALC_ADD_RANGE" localSheetId="13">COLDVSNA_REAGENT_TECH_VERTICAL!#REF!</definedName>
    <definedName name="HEAT_CALC_ADD_RANGE" localSheetId="11">HEAT_FUEL_TECH_VERTICAL!#REF!</definedName>
    <definedName name="HEAT_CALC_ADD_RANGE" localSheetId="14">VOTV_CALC_TECH_VERTICAL!#REF!</definedName>
    <definedName name="HEAT_CALC_ADD_RANGE" localSheetId="15">VOTV_REAGENT_TECH_VERTICAL!#REF!</definedName>
    <definedName name="HEAT_CALC_ADD_RANGE">HEAT_CALC_TECH_VERTICAL!$AB$3:$AD$491</definedName>
    <definedName name="HEAT_CALC_AREA">РО!$AS$23:$AW$434</definedName>
    <definedName name="HEAT_CALC_BALANCE_ROW_MARKER">РО!$AN$370</definedName>
    <definedName name="HEAT_CALC_CI_ROW_MARKER">РО!$AN$338</definedName>
    <definedName name="HEAT_CALC_COST_ROW_MARKER">РО!$AN$331</definedName>
    <definedName name="HEAT_CALC_D_AREA" localSheetId="12">COLDVSNA_CALC_TECH_VERTICAL!#REF!</definedName>
    <definedName name="HEAT_CALC_D_AREA" localSheetId="13">COLDVSNA_REAGENT_TECH_VERTICAL!#REF!</definedName>
    <definedName name="HEAT_CALC_D_AREA" localSheetId="11">HEAT_FUEL_TECH_VERTICAL!#REF!</definedName>
    <definedName name="HEAT_CALC_D_AREA" localSheetId="14">VOTV_CALC_TECH_VERTICAL!#REF!</definedName>
    <definedName name="HEAT_CALC_D_AREA" localSheetId="15">VOTV_REAGENT_TECH_VERTICAL!#REF!</definedName>
    <definedName name="HEAT_CALC_D_AREA">HEAT_CALC_TECH_VERTICAL!$AE$418:$AG$434</definedName>
    <definedName name="HEAT_CALC_DELETE_HL_ROW_MARKER">РО!$AS$18</definedName>
    <definedName name="HEAT_CALC_ECONOMY_SUM_10_ROW_MARKER">РО!$AN$479</definedName>
    <definedName name="HEAT_CALC_ECONOMY_SUM_11_ROW_MARKER">РО!$AN$485</definedName>
    <definedName name="HEAT_CALC_EMPTY_BASE_RANGE" localSheetId="12">COLDVSNA_CALC_TECH_VERTICAL!#REF!</definedName>
    <definedName name="HEAT_CALC_EMPTY_BASE_RANGE" localSheetId="13">COLDVSNA_REAGENT_TECH_VERTICAL!#REF!</definedName>
    <definedName name="HEAT_CALC_EMPTY_BASE_RANGE" localSheetId="11">HEAT_FUEL_TECH_VERTICAL!#REF!</definedName>
    <definedName name="HEAT_CALC_EMPTY_BASE_RANGE" localSheetId="14">VOTV_CALC_TECH_VERTICAL!#REF!</definedName>
    <definedName name="HEAT_CALC_EMPTY_BASE_RANGE" localSheetId="15">VOTV_REAGENT_TECH_VERTICAL!#REF!</definedName>
    <definedName name="HEAT_CALC_EMPTY_BASE_RANGE">HEAT_CALC_TECH_VERTICAL!$AB$23:$AD$491</definedName>
    <definedName name="HEAT_CALC_EXTENDED_AREA">РО!$AP$441:$AP$460</definedName>
    <definedName name="HEAT_CALC_EXTENDED_PR_AREA">РО!$AP$443:$AP$444</definedName>
    <definedName name="HEAT_CALC_EXTENDED_SALARY_FIELDS_CAN_BE_MISSED">DICTIONARIES!$B$26</definedName>
    <definedName name="HEAT_CALC_EXTENDED_SL_AREA">РО!$AP$450:$AP$452</definedName>
    <definedName name="HEAT_CALC_EXTENDED_TR_AREA">РО!$AP$446:$AP$448</definedName>
    <definedName name="HEAT_CALC_INV_DATA_CN">РО!$AP$414</definedName>
    <definedName name="HEAT_CALC_INV_DATA_INTEGRITY_STATUS">DICTIONARIES!$B$27</definedName>
    <definedName name="HEAT_CALC_INV_DATA_IP">РО!$AP$394</definedName>
    <definedName name="HEAT_CALC_IP_EXCEPT_CN_1_ROW_MARKER">РО!$AN$378</definedName>
    <definedName name="HEAT_CALC_IP_EXCEPT_CN_4_ROW_MARKER">РО!$AN$386</definedName>
    <definedName name="HEAT_CALC_IP_EXCEPT_CN_TTL_ROW_MARKER">РО!$AN$377</definedName>
    <definedName name="HEAT_CALC_IP_INCLUDE_CN_1_ROW_MARKER">РО!$AN$398</definedName>
    <definedName name="HEAT_CALC_IP_INCLUDE_CN_4_ROW_MARKER">РО!$AN$406</definedName>
    <definedName name="HEAT_CALC_IP_INCLUDE_CN_TTL_ROW_MARKER">РО!$AN$397</definedName>
    <definedName name="HEAT_CALC_ITEM_NAMES">РО!$AN$23:$AN$491</definedName>
    <definedName name="HEAT_CALC_NUM_ROW_MARKER">РО!$AS$19</definedName>
    <definedName name="HEAT_CALC_PERIOD_MARKERS">РО!$AP$9:$AW$9</definedName>
    <definedName name="HEAT_CALC_RESULT_BY_ORG_CAN_BE_NONZERO_LIST">DICTIONARIES!$B$28</definedName>
    <definedName name="HEAT_CALC_RESULT_ROW_MARKER">РО!$AN$418</definedName>
    <definedName name="HEAT_CALC_SINGLE_BASE_RANGE" localSheetId="12">COLDVSNA_CALC_TECH_VERTICAL!#REF!</definedName>
    <definedName name="HEAT_CALC_SINGLE_BASE_RANGE" localSheetId="13">COLDVSNA_REAGENT_TECH_VERTICAL!#REF!</definedName>
    <definedName name="HEAT_CALC_SINGLE_BASE_RANGE" localSheetId="11">HEAT_FUEL_TECH_VERTICAL!#REF!</definedName>
    <definedName name="HEAT_CALC_SINGLE_BASE_RANGE" localSheetId="14">VOTV_CALC_TECH_VERTICAL!#REF!</definedName>
    <definedName name="HEAT_CALC_SINGLE_BASE_RANGE" localSheetId="15">VOTV_REAGENT_TECH_VERTICAL!#REF!</definedName>
    <definedName name="HEAT_CALC_SINGLE_BASE_RANGE">HEAT_CALC_TECH_VERTICAL!$AE$23:$AG$491</definedName>
    <definedName name="HEAT_CALC_TF_APPLY_OPTION">РО!$AO$417</definedName>
    <definedName name="HEAT_CALC_VLD_BENEFIT_CI_STATUS">DICTIONARIES!$B$29</definedName>
    <definedName name="HEAT_FILTER_OBJECTS_BY_INN">DICTIONARIES!$B$30</definedName>
    <definedName name="HEAT_FUEL_ADD_HL_MARKER">Т!$AW$18</definedName>
    <definedName name="HEAT_FUEL_ADD_RANGE" localSheetId="12">COLDVSNA_CALC_TECH_VERTICAL!#REF!</definedName>
    <definedName name="HEAT_FUEL_ADD_RANGE" localSheetId="13">COLDVSNA_REAGENT_TECH_VERTICAL!#REF!</definedName>
    <definedName name="HEAT_FUEL_ADD_RANGE" localSheetId="14">VOTV_CALC_TECH_VERTICAL!#REF!</definedName>
    <definedName name="HEAT_FUEL_ADD_RANGE" localSheetId="15">VOTV_REAGENT_TECH_VERTICAL!#REF!</definedName>
    <definedName name="HEAT_FUEL_ADD_RANGE">HEAT_FUEL_TECH_VERTICAL!$AB$3:$AD$1214</definedName>
    <definedName name="HEAT_FUEL_ADJUSTABLE_AREA">Т!$AF$36:$AF$1214</definedName>
    <definedName name="HEAT_FUEL_AREA">Т!$AS$36:$AW$1214</definedName>
    <definedName name="HEAT_FUEL_BY_ORG_CAN_BE_SKIPPED_LIST">DICTIONARIES!$B$31</definedName>
    <definedName name="HEAT_FUEL_COST_AREA">Т!$AN$37:$AN$79</definedName>
    <definedName name="HEAT_FUEL_DELETE_HL_ROW_MARKER">Т!$AS$18</definedName>
    <definedName name="HEAT_FUEL_EMPTY_BASE_RANGE" localSheetId="12">COLDVSNA_CALC_TECH_VERTICAL!#REF!</definedName>
    <definedName name="HEAT_FUEL_EMPTY_BASE_RANGE" localSheetId="13">COLDVSNA_REAGENT_TECH_VERTICAL!#REF!</definedName>
    <definedName name="HEAT_FUEL_EMPTY_BASE_RANGE" localSheetId="14">VOTV_CALC_TECH_VERTICAL!#REF!</definedName>
    <definedName name="HEAT_FUEL_EMPTY_BASE_RANGE" localSheetId="15">VOTV_REAGENT_TECH_VERTICAL!#REF!</definedName>
    <definedName name="HEAT_FUEL_EMPTY_BASE_RANGE">HEAT_FUEL_TECH_VERTICAL!$AB$23:$AD$1214</definedName>
    <definedName name="HEAT_FUEL_ITEM_NAMES">Т!$AN$23:$AN$1214</definedName>
    <definedName name="HEAT_FUEL_NFV_AREA">Т!$AN$349:$AN$399</definedName>
    <definedName name="HEAT_FUEL_NUM_ROW_MARKER">Т!$AS$19</definedName>
    <definedName name="HEAT_FUEL_PERIOD_MARKERS">Т!$AP$9:$AW$9</definedName>
    <definedName name="HEAT_FUEL_SINGLE_BASE_RANGE" localSheetId="12">COLDVSNA_CALC_TECH_VERTICAL!#REF!</definedName>
    <definedName name="HEAT_FUEL_SINGLE_BASE_RANGE" localSheetId="13">COLDVSNA_REAGENT_TECH_VERTICAL!#REF!</definedName>
    <definedName name="HEAT_FUEL_SINGLE_BASE_RANGE" localSheetId="14">VOTV_CALC_TECH_VERTICAL!#REF!</definedName>
    <definedName name="HEAT_FUEL_SINGLE_BASE_RANGE" localSheetId="15">VOTV_REAGENT_TECH_VERTICAL!#REF!</definedName>
    <definedName name="HEAT_FUEL_SINGLE_BASE_RANGE">HEAT_FUEL_TECH_VERTICAL!$AE$23:$AG$1214</definedName>
    <definedName name="HEAT_FUEL_TEMPLATE_RANGE" localSheetId="12">COLDVSNA_CALC_TECH_VERTICAL!#REF!</definedName>
    <definedName name="HEAT_FUEL_TEMPLATE_RANGE" localSheetId="13">COLDVSNA_REAGENT_TECH_VERTICAL!#REF!</definedName>
    <definedName name="HEAT_FUEL_TEMPLATE_RANGE" localSheetId="14">VOTV_CALC_TECH_VERTICAL!#REF!</definedName>
    <definedName name="HEAT_FUEL_TEMPLATE_RANGE" localSheetId="15">VOTV_REAGENT_TECH_VERTICAL!#REF!</definedName>
    <definedName name="HEAT_FUEL_TEMPLATE_RANGE">HEAT_FUEL_TECH_VERTICAL!$AK$36:$AM$1214</definedName>
    <definedName name="HEAT_FUEL_TOTAL_ISSUE_HW_AREA">Т!$AN$1107</definedName>
    <definedName name="HEAT_MANUAL_TARIFF_ON_CALC">DICTIONARIES!$B$32</definedName>
    <definedName name="HEAT_MAX_COST_VALUE">DICTIONARIES!$B$33</definedName>
    <definedName name="HEAT_MAX_LEN">DICTIONARIES!$B$34</definedName>
    <definedName name="HEAT_MAX_PRICE_NO_TR_COAA">DICTIONARIES!$B$28</definedName>
    <definedName name="HEAT_MAX_PRICE_NO_TR_COAANT">DICTIONARIES!$B$35</definedName>
    <definedName name="HEAT_MAX_PRICE_NO_TR_COAB">DICTIONARIES!$B$29</definedName>
    <definedName name="HEAT_MAX_PRICE_NO_TR_COABRN">DICTIONARIES!$B$36</definedName>
    <definedName name="HEAT_MAX_PRICE_NO_TR_COAC">DICTIONARIES!$B$30</definedName>
    <definedName name="HEAT_MAX_PRICE_NO_TR_COACOK">DICTIONARIES!$B$37</definedName>
    <definedName name="HEAT_MAX_PRICE_NO_TR_COACOKFAT">DICTIONARIES!$B$38</definedName>
    <definedName name="HEAT_MAX_PRICE_NO_TR_COACOKWBK">DICTIONARIES!$B$39</definedName>
    <definedName name="HEAT_MAX_PRICE_NO_TR_COACOKWBKLMM">DICTIONARIES!$B$40</definedName>
    <definedName name="HEAT_MAX_PRICE_NO_TR_COACOKWEA">DICTIONARIES!$B$41</definedName>
    <definedName name="HEAT_MAX_PRICE_NO_TR_COAF">DICTIONARIES!$B$31</definedName>
    <definedName name="HEAT_MAX_PRICE_NO_TR_COAFAT">DICTIONARIES!$B$42</definedName>
    <definedName name="HEAT_MAX_PRICE_NO_TR_COAG">DICTIONARIES!$B$32</definedName>
    <definedName name="HEAT_MAX_PRICE_NO_TR_COAGAS">DICTIONARIES!$B$43</definedName>
    <definedName name="HEAT_MAX_PRICE_NO_TR_COAGASFAT">DICTIONARIES!$B$44</definedName>
    <definedName name="HEAT_MAX_PRICE_NO_TR_COAGASFATWEA">DICTIONARIES!$B$45</definedName>
    <definedName name="HEAT_MAX_PRICE_NO_TR_COALF">DICTIONARIES!$B$33</definedName>
    <definedName name="HEAT_MAX_PRICE_NO_TR_COALFM">DICTIONARIES!$B$46</definedName>
    <definedName name="HEAT_MAX_PRICE_NO_TR_COALFMGAS">DICTIONARIES!$B$47</definedName>
    <definedName name="HEAT_MAX_PRICE_NO_TR_COAS">DICTIONARIES!$B$34</definedName>
    <definedName name="HEAT_MAX_PRICE_NO_TR_COASC">DICTIONARIES!$B$35</definedName>
    <definedName name="HEAT_MAX_PRICE_NO_TR_COASKN">DICTIONARIES!$B$48</definedName>
    <definedName name="HEAT_MAX_PRICE_NO_TR_COASKNBKD">DICTIONARIES!$B$49</definedName>
    <definedName name="HEAT_MAX_PRICE_NO_TR_COAWBK">DICTIONARIES!$B$50</definedName>
    <definedName name="HEAT_MAX_PRICE_NO_TR_COAWC">DICTIONARIES!$B$36</definedName>
    <definedName name="HEAT_MAX_PRICE_NO_TR_COAWEABKD">DICTIONARIES!$B$51</definedName>
    <definedName name="HEAT_MAX_PRICE_NO_TR_CWD">DICTIONARIES!$B$52</definedName>
    <definedName name="HEAT_MAX_PRICE_NO_TR_DSG">DICTIONARIES!$B$53</definedName>
    <definedName name="HEAT_MAX_PRICE_NO_TR_DSLA">DICTIONARIES!$B$54</definedName>
    <definedName name="HEAT_MAX_PRICE_NO_TR_DSLO">DICTIONARIES!$B$55</definedName>
    <definedName name="HEAT_MAX_PRICE_NO_TR_DSLS">DICTIONARIES!$B$56</definedName>
    <definedName name="HEAT_MAX_PRICE_NO_TR_DSLW">DICTIONARIES!$B$57</definedName>
    <definedName name="HEAT_MAX_PRICE_NO_TR_ENR">DICTIONARIES!$B$58</definedName>
    <definedName name="HEAT_MAX_PRICE_NO_TR_GBL">DICTIONARIES!$B$59</definedName>
    <definedName name="HEAT_MAX_PRICE_NO_TR_GCK">DICTIONARIES!$B$60</definedName>
    <definedName name="HEAT_MAX_PRICE_NO_TR_GCN">DICTIONARIES!$B$61</definedName>
    <definedName name="HEAT_MAX_PRICE_NO_TR_GOA">DICTIONARIES!$B$62</definedName>
    <definedName name="HEAT_MAX_PRICE_NO_TR_LNG">DICTIONARIES!$B$63</definedName>
    <definedName name="HEAT_MAX_PRICE_NO_TR_MSTF12">DICTIONARIES!$B$64</definedName>
    <definedName name="HEAT_MAX_PRICE_NO_TR_MSTF5">DICTIONARIES!$B$65</definedName>
    <definedName name="HEAT_MAX_PRICE_NO_TR_MSTM100">DICTIONARIES!$B$66</definedName>
    <definedName name="HEAT_MAX_PRICE_NO_TR_MSTM200">DICTIONARIES!$B$67</definedName>
    <definedName name="HEAT_MAX_PRICE_NO_TR_MSTM40">DICTIONARIES!$B$68</definedName>
    <definedName name="HEAT_MAX_PRICE_NO_TR_MSTT">DICTIONARIES!$B$69</definedName>
    <definedName name="HEAT_MAX_PRICE_NO_TR_NGC">DICTIONARIES!$B$70</definedName>
    <definedName name="HEAT_MAX_PRICE_NO_TR_NGL">DICTIONARIES!$B$71</definedName>
    <definedName name="HEAT_MAX_PRICE_NO_TR_NGU">DICTIONARIES!$B$72</definedName>
    <definedName name="HEAT_MAX_PRICE_NO_TR_OIL">DICTIONARIES!$B$73</definedName>
    <definedName name="HEAT_MAX_PRICE_NO_TR_PEA">DICTIONARIES!$B$74</definedName>
    <definedName name="HEAT_MAX_PRICE_NO_TR_PLT">DICTIONARIES!$B$75</definedName>
    <definedName name="HEAT_MAX_PRICE_NO_TR_PWR">DICTIONARIES!$B$76</definedName>
    <definedName name="HEAT_MAX_PRICE_NO_TR_SAW">DICTIONARIES!$B$77</definedName>
    <definedName name="HEAT_MAX_PRICE_NO_TR_SHL">DICTIONARIES!$B$78</definedName>
    <definedName name="HEAT_MAX_PRICE_NO_TR_STF">DICTIONARIES!$B$79</definedName>
    <definedName name="HEAT_MAX_PRICE_NO_TR_WDS">DICTIONARIES!$B$80</definedName>
    <definedName name="HEAT_MAX_PRICE_TR_COAA">DICTIONARIES!$B$66</definedName>
    <definedName name="HEAT_MAX_PRICE_TR_COAANT">DICTIONARIES!$B$81</definedName>
    <definedName name="HEAT_MAX_PRICE_TR_COAB">DICTIONARIES!$B$67</definedName>
    <definedName name="HEAT_MAX_PRICE_TR_COABRN">DICTIONARIES!$B$82</definedName>
    <definedName name="HEAT_MAX_PRICE_TR_COAC">DICTIONARIES!$B$68</definedName>
    <definedName name="HEAT_MAX_PRICE_TR_COACOK">DICTIONARIES!$B$83</definedName>
    <definedName name="HEAT_MAX_PRICE_TR_COACOKFAT">DICTIONARIES!$B$84</definedName>
    <definedName name="HEAT_MAX_PRICE_TR_COACOKWBK">DICTIONARIES!$B$85</definedName>
    <definedName name="HEAT_MAX_PRICE_TR_COACOKWBKLMM">DICTIONARIES!$B$86</definedName>
    <definedName name="HEAT_MAX_PRICE_TR_COACOKWEA">DICTIONARIES!$B$87</definedName>
    <definedName name="HEAT_MAX_PRICE_TR_COAF">DICTIONARIES!$B$69</definedName>
    <definedName name="HEAT_MAX_PRICE_TR_COAFAT">DICTIONARIES!$B$88</definedName>
    <definedName name="HEAT_MAX_PRICE_TR_COAG">DICTIONARIES!$B$70</definedName>
    <definedName name="HEAT_MAX_PRICE_TR_COAGAS">DICTIONARIES!$B$89</definedName>
    <definedName name="HEAT_MAX_PRICE_TR_COAGASFAT">DICTIONARIES!$B$90</definedName>
    <definedName name="HEAT_MAX_PRICE_TR_COAGASFATWEA">DICTIONARIES!$B$91</definedName>
    <definedName name="HEAT_MAX_PRICE_TR_COALF">DICTIONARIES!$B$71</definedName>
    <definedName name="HEAT_MAX_PRICE_TR_COALFM">DICTIONARIES!$B$92</definedName>
    <definedName name="HEAT_MAX_PRICE_TR_COALFMGAS">DICTIONARIES!$B$93</definedName>
    <definedName name="HEAT_MAX_PRICE_TR_COAS">DICTIONARIES!$B$72</definedName>
    <definedName name="HEAT_MAX_PRICE_TR_COASC">DICTIONARIES!$B$73</definedName>
    <definedName name="HEAT_MAX_PRICE_TR_COASKN">DICTIONARIES!$B$94</definedName>
    <definedName name="HEAT_MAX_PRICE_TR_COASKNBKD">DICTIONARIES!$B$95</definedName>
    <definedName name="HEAT_MAX_PRICE_TR_COAWBK">DICTIONARIES!$B$96</definedName>
    <definedName name="HEAT_MAX_PRICE_TR_COAWC">DICTIONARIES!$B$74</definedName>
    <definedName name="HEAT_MAX_PRICE_TR_COAWEABKD">DICTIONARIES!$B$97</definedName>
    <definedName name="HEAT_MAX_PRICE_TR_CWD">DICTIONARIES!$B$98</definedName>
    <definedName name="HEAT_MAX_PRICE_TR_DSG">DICTIONARIES!$B$99</definedName>
    <definedName name="HEAT_MAX_PRICE_TR_DSLA">DICTIONARIES!$B$100</definedName>
    <definedName name="HEAT_MAX_PRICE_TR_DSLO">DICTIONARIES!$B$101</definedName>
    <definedName name="HEAT_MAX_PRICE_TR_DSLS">DICTIONARIES!$B$102</definedName>
    <definedName name="HEAT_MAX_PRICE_TR_DSLW">DICTIONARIES!$B$103</definedName>
    <definedName name="HEAT_MAX_PRICE_TR_ENR">DICTIONARIES!$B$104</definedName>
    <definedName name="HEAT_MAX_PRICE_TR_GBL">DICTIONARIES!$B$105</definedName>
    <definedName name="HEAT_MAX_PRICE_TR_GCK">DICTIONARIES!$B$106</definedName>
    <definedName name="HEAT_MAX_PRICE_TR_GCN">DICTIONARIES!$B$107</definedName>
    <definedName name="HEAT_MAX_PRICE_TR_GOA">DICTIONARIES!$B$108</definedName>
    <definedName name="HEAT_MAX_PRICE_TR_LNG">DICTIONARIES!$B$109</definedName>
    <definedName name="HEAT_MAX_PRICE_TR_MSTF12">DICTIONARIES!$B$110</definedName>
    <definedName name="HEAT_MAX_PRICE_TR_MSTF5">DICTIONARIES!$B$111</definedName>
    <definedName name="HEAT_MAX_PRICE_TR_MSTM100">DICTIONARIES!$B$112</definedName>
    <definedName name="HEAT_MAX_PRICE_TR_MSTM200">DICTIONARIES!$B$113</definedName>
    <definedName name="HEAT_MAX_PRICE_TR_MSTM40">DICTIONARIES!$B$114</definedName>
    <definedName name="HEAT_MAX_PRICE_TR_MSTT">DICTIONARIES!$B$115</definedName>
    <definedName name="HEAT_MAX_PRICE_TR_NGC">DICTIONARIES!$B$116</definedName>
    <definedName name="HEAT_MAX_PRICE_TR_NGL">DICTIONARIES!$B$117</definedName>
    <definedName name="HEAT_MAX_PRICE_TR_NGU">DICTIONARIES!$B$118</definedName>
    <definedName name="HEAT_MAX_PRICE_TR_OIL">DICTIONARIES!$B$119</definedName>
    <definedName name="HEAT_MAX_PRICE_TR_PEA">DICTIONARIES!$B$120</definedName>
    <definedName name="HEAT_MAX_PRICE_TR_PLT">DICTIONARIES!$B$121</definedName>
    <definedName name="HEAT_MAX_PRICE_TR_PWR">DICTIONARIES!$B$122</definedName>
    <definedName name="HEAT_MAX_PRICE_TR_SAW">DICTIONARIES!$B$123</definedName>
    <definedName name="HEAT_MAX_PRICE_TR_SHL">DICTIONARIES!$B$124</definedName>
    <definedName name="HEAT_MAX_PRICE_TR_STF">DICTIONARIES!$B$125</definedName>
    <definedName name="HEAT_MAX_PRICE_TR_WDS">DICTIONARIES!$B$126</definedName>
    <definedName name="HEAT_MIN_COST_VALUE">DICTIONARIES!$B$127</definedName>
    <definedName name="HEAT_MIN_LEN">DICTIONARIES!$B$128</definedName>
    <definedName name="HEAT_MIN_PRICE_NO_TR_COAA">DICTIONARIES!$B$105</definedName>
    <definedName name="HEAT_MIN_PRICE_NO_TR_COAANT">DICTIONARIES!$B$129</definedName>
    <definedName name="HEAT_MIN_PRICE_NO_TR_COAB">DICTIONARIES!$B$106</definedName>
    <definedName name="HEAT_MIN_PRICE_NO_TR_COABRN">DICTIONARIES!$B$130</definedName>
    <definedName name="HEAT_MIN_PRICE_NO_TR_COAC">DICTIONARIES!$B$107</definedName>
    <definedName name="HEAT_MIN_PRICE_NO_TR_COACOK">DICTIONARIES!$B$131</definedName>
    <definedName name="HEAT_MIN_PRICE_NO_TR_COACOKFAT">DICTIONARIES!$B$132</definedName>
    <definedName name="HEAT_MIN_PRICE_NO_TR_COACOKWBK">DICTIONARIES!$B$133</definedName>
    <definedName name="HEAT_MIN_PRICE_NO_TR_COACOKWBKLMM">DICTIONARIES!$B$134</definedName>
    <definedName name="HEAT_MIN_PRICE_NO_TR_COACOKWEA">DICTIONARIES!$B$135</definedName>
    <definedName name="HEAT_MIN_PRICE_NO_TR_COAF">DICTIONARIES!$B$108</definedName>
    <definedName name="HEAT_MIN_PRICE_NO_TR_COAFAT">DICTIONARIES!$B$136</definedName>
    <definedName name="HEAT_MIN_PRICE_NO_TR_COAG">DICTIONARIES!$B$109</definedName>
    <definedName name="HEAT_MIN_PRICE_NO_TR_COAGAS">DICTIONARIES!$B$137</definedName>
    <definedName name="HEAT_MIN_PRICE_NO_TR_COAGASFAT">DICTIONARIES!$B$138</definedName>
    <definedName name="HEAT_MIN_PRICE_NO_TR_COAGASFATWEA">DICTIONARIES!$B$139</definedName>
    <definedName name="HEAT_MIN_PRICE_NO_TR_COALF">DICTIONARIES!$B$110</definedName>
    <definedName name="HEAT_MIN_PRICE_NO_TR_COALFM">DICTIONARIES!$B$140</definedName>
    <definedName name="HEAT_MIN_PRICE_NO_TR_COALFMGAS">DICTIONARIES!$B$141</definedName>
    <definedName name="HEAT_MIN_PRICE_NO_TR_COAS">DICTIONARIES!$B$111</definedName>
    <definedName name="HEAT_MIN_PRICE_NO_TR_COASC">DICTIONARIES!$B$112</definedName>
    <definedName name="HEAT_MIN_PRICE_NO_TR_COASKN">DICTIONARIES!$B$142</definedName>
    <definedName name="HEAT_MIN_PRICE_NO_TR_COASKNBKD">DICTIONARIES!$B$143</definedName>
    <definedName name="HEAT_MIN_PRICE_NO_TR_COAWBK">DICTIONARIES!$B$144</definedName>
    <definedName name="HEAT_MIN_PRICE_NO_TR_COAWC">DICTIONARIES!$B$113</definedName>
    <definedName name="HEAT_MIN_PRICE_NO_TR_COAWEABKD">DICTIONARIES!$B$145</definedName>
    <definedName name="HEAT_MIN_PRICE_NO_TR_CWD">DICTIONARIES!$B$146</definedName>
    <definedName name="HEAT_MIN_PRICE_NO_TR_DSG">DICTIONARIES!$B$147</definedName>
    <definedName name="HEAT_MIN_PRICE_NO_TR_DSLA">DICTIONARIES!$B$148</definedName>
    <definedName name="HEAT_MIN_PRICE_NO_TR_DSLO">DICTIONARIES!$B$149</definedName>
    <definedName name="HEAT_MIN_PRICE_NO_TR_DSLS">DICTIONARIES!$B$150</definedName>
    <definedName name="HEAT_MIN_PRICE_NO_TR_DSLW">DICTIONARIES!$B$151</definedName>
    <definedName name="HEAT_MIN_PRICE_NO_TR_ENR">DICTIONARIES!$B$152</definedName>
    <definedName name="HEAT_MIN_PRICE_NO_TR_GBL">DICTIONARIES!$B$153</definedName>
    <definedName name="HEAT_MIN_PRICE_NO_TR_GCK">DICTIONARIES!$B$154</definedName>
    <definedName name="HEAT_MIN_PRICE_NO_TR_GCN">DICTIONARIES!$B$155</definedName>
    <definedName name="HEAT_MIN_PRICE_NO_TR_GOA">DICTIONARIES!$B$156</definedName>
    <definedName name="HEAT_MIN_PRICE_NO_TR_LNG">DICTIONARIES!$B$157</definedName>
    <definedName name="HEAT_MIN_PRICE_NO_TR_MSTF12">DICTIONARIES!$B$158</definedName>
    <definedName name="HEAT_MIN_PRICE_NO_TR_MSTF5">DICTIONARIES!$B$159</definedName>
    <definedName name="HEAT_MIN_PRICE_NO_TR_MSTM100">DICTIONARIES!$B$160</definedName>
    <definedName name="HEAT_MIN_PRICE_NO_TR_MSTM200">DICTIONARIES!$B$161</definedName>
    <definedName name="HEAT_MIN_PRICE_NO_TR_MSTM40">DICTIONARIES!$B$162</definedName>
    <definedName name="HEAT_MIN_PRICE_NO_TR_MSTT">DICTIONARIES!$B$163</definedName>
    <definedName name="HEAT_MIN_PRICE_NO_TR_NGC">DICTIONARIES!$B$164</definedName>
    <definedName name="HEAT_MIN_PRICE_NO_TR_NGL">DICTIONARIES!$B$165</definedName>
    <definedName name="HEAT_MIN_PRICE_NO_TR_NGU">DICTIONARIES!$B$166</definedName>
    <definedName name="HEAT_MIN_PRICE_NO_TR_OIL">DICTIONARIES!$B$167</definedName>
    <definedName name="HEAT_MIN_PRICE_NO_TR_PEA">DICTIONARIES!$B$168</definedName>
    <definedName name="HEAT_MIN_PRICE_NO_TR_PLT">DICTIONARIES!$B$169</definedName>
    <definedName name="HEAT_MIN_PRICE_NO_TR_PWR">DICTIONARIES!$B$170</definedName>
    <definedName name="HEAT_MIN_PRICE_NO_TR_SAW">DICTIONARIES!$B$171</definedName>
    <definedName name="HEAT_MIN_PRICE_NO_TR_SHL">DICTIONARIES!$B$172</definedName>
    <definedName name="HEAT_MIN_PRICE_NO_TR_STF">DICTIONARIES!$B$173</definedName>
    <definedName name="HEAT_MIN_PRICE_NO_TR_WDS">DICTIONARIES!$B$174</definedName>
    <definedName name="HEAT_MIN_PRICE_TR_COAA">DICTIONARIES!$B$139</definedName>
    <definedName name="HEAT_MIN_PRICE_TR_COAANT">DICTIONARIES!$B$175</definedName>
    <definedName name="HEAT_MIN_PRICE_TR_COAB">DICTIONARIES!$B$140</definedName>
    <definedName name="HEAT_MIN_PRICE_TR_COABRN">DICTIONARIES!$B$176</definedName>
    <definedName name="HEAT_MIN_PRICE_TR_COAC">DICTIONARIES!$B$141</definedName>
    <definedName name="HEAT_MIN_PRICE_TR_COACOK">DICTIONARIES!$B$177</definedName>
    <definedName name="HEAT_MIN_PRICE_TR_COACOKFAT">DICTIONARIES!$B$178</definedName>
    <definedName name="HEAT_MIN_PRICE_TR_COACOKWBK">DICTIONARIES!$B$179</definedName>
    <definedName name="HEAT_MIN_PRICE_TR_COACOKWBKLMM">DICTIONARIES!$B$180</definedName>
    <definedName name="HEAT_MIN_PRICE_TR_COACOKWEA">DICTIONARIES!$B$181</definedName>
    <definedName name="HEAT_MIN_PRICE_TR_COAF">DICTIONARIES!$B$142</definedName>
    <definedName name="HEAT_MIN_PRICE_TR_COAFAT">DICTIONARIES!$B$182</definedName>
    <definedName name="HEAT_MIN_PRICE_TR_COAG">DICTIONARIES!$B$143</definedName>
    <definedName name="HEAT_MIN_PRICE_TR_COAGAS">DICTIONARIES!$B$183</definedName>
    <definedName name="HEAT_MIN_PRICE_TR_COAGASFAT">DICTIONARIES!$B$184</definedName>
    <definedName name="HEAT_MIN_PRICE_TR_COAGASFATWEA">DICTIONARIES!$B$185</definedName>
    <definedName name="HEAT_MIN_PRICE_TR_COALF">DICTIONARIES!$B$144</definedName>
    <definedName name="HEAT_MIN_PRICE_TR_COALFM">DICTIONARIES!$B$186</definedName>
    <definedName name="HEAT_MIN_PRICE_TR_COALFMGAS">DICTIONARIES!$B$187</definedName>
    <definedName name="HEAT_MIN_PRICE_TR_COAS">DICTIONARIES!$B$145</definedName>
    <definedName name="HEAT_MIN_PRICE_TR_COASC">DICTIONARIES!$B$146</definedName>
    <definedName name="HEAT_MIN_PRICE_TR_COASKN">DICTIONARIES!$B$188</definedName>
    <definedName name="HEAT_MIN_PRICE_TR_COASKNBKD">DICTIONARIES!$B$189</definedName>
    <definedName name="HEAT_MIN_PRICE_TR_COAWBK">DICTIONARIES!$B$190</definedName>
    <definedName name="HEAT_MIN_PRICE_TR_COAWC">DICTIONARIES!$B$147</definedName>
    <definedName name="HEAT_MIN_PRICE_TR_COAWEABKD">DICTIONARIES!$B$191</definedName>
    <definedName name="HEAT_MIN_PRICE_TR_CWD">DICTIONARIES!$B$192</definedName>
    <definedName name="HEAT_MIN_PRICE_TR_DSG">DICTIONARIES!$B$193</definedName>
    <definedName name="HEAT_MIN_PRICE_TR_DSLA">DICTIONARIES!$B$194</definedName>
    <definedName name="HEAT_MIN_PRICE_TR_DSLO">DICTIONARIES!$B$195</definedName>
    <definedName name="HEAT_MIN_PRICE_TR_DSLS">DICTIONARIES!$B$196</definedName>
    <definedName name="HEAT_MIN_PRICE_TR_DSLW">DICTIONARIES!$B$197</definedName>
    <definedName name="HEAT_MIN_PRICE_TR_ENR">DICTIONARIES!$B$198</definedName>
    <definedName name="HEAT_MIN_PRICE_TR_GBL">DICTIONARIES!$B$199</definedName>
    <definedName name="HEAT_MIN_PRICE_TR_GCK">DICTIONARIES!$B$200</definedName>
    <definedName name="HEAT_MIN_PRICE_TR_GCN">DICTIONARIES!$B$201</definedName>
    <definedName name="HEAT_MIN_PRICE_TR_GOA">DICTIONARIES!$B$202</definedName>
    <definedName name="HEAT_MIN_PRICE_TR_LNG">DICTIONARIES!$B$203</definedName>
    <definedName name="HEAT_MIN_PRICE_TR_MSTF12">DICTIONARIES!$B$204</definedName>
    <definedName name="HEAT_MIN_PRICE_TR_MSTF5">DICTIONARIES!$B$205</definedName>
    <definedName name="HEAT_MIN_PRICE_TR_MSTM100">DICTIONARIES!$B$206</definedName>
    <definedName name="HEAT_MIN_PRICE_TR_MSTM200">DICTIONARIES!$B$207</definedName>
    <definedName name="HEAT_MIN_PRICE_TR_MSTM40">DICTIONARIES!$B$208</definedName>
    <definedName name="HEAT_MIN_PRICE_TR_MSTT">DICTIONARIES!$B$209</definedName>
    <definedName name="HEAT_MIN_PRICE_TR_NGC">DICTIONARIES!$B$210</definedName>
    <definedName name="HEAT_MIN_PRICE_TR_NGL">DICTIONARIES!$B$211</definedName>
    <definedName name="HEAT_MIN_PRICE_TR_NGU">DICTIONARIES!$B$212</definedName>
    <definedName name="HEAT_MIN_PRICE_TR_OIL">DICTIONARIES!$B$213</definedName>
    <definedName name="HEAT_MIN_PRICE_TR_PEA">DICTIONARIES!$B$214</definedName>
    <definedName name="HEAT_MIN_PRICE_TR_PLT">DICTIONARIES!$B$215</definedName>
    <definedName name="HEAT_MIN_PRICE_TR_PWR">DICTIONARIES!$B$216</definedName>
    <definedName name="HEAT_MIN_PRICE_TR_SAW">DICTIONARIES!$B$217</definedName>
    <definedName name="HEAT_MIN_PRICE_TR_SHL">DICTIONARIES!$B$218</definedName>
    <definedName name="HEAT_MIN_PRICE_TR_STF">DICTIONARIES!$B$219</definedName>
    <definedName name="HEAT_MIN_PRICE_TR_WDS">DICTIONARIES!$B$220</definedName>
    <definedName name="HEAT_NO_FUEL_IN_SRC_LIST">DICTIONARIES!$B$221</definedName>
    <definedName name="HEAT_PRODUCTION_TYPE_LIST">TECHSHEET!$E$2:$E$4</definedName>
    <definedName name="HEAT_TARIFF_OPTIONS_DATA_AREA">'Список территорий'!$AC$15:$AC$17</definedName>
    <definedName name="HEAT_TARIFF_OPTIONS_DATA_COLUMN_MARKER">'Список территорий'!$AC$12</definedName>
    <definedName name="HEAT_TRANSMISSION_TARIFF_UNIT">TECHSHEET!$I$2:$I$3</definedName>
    <definedName name="HEAT_VD_COMPONENTS">TECHSHEET!$E$7:$E$9</definedName>
    <definedName name="INN">Титульный!$H$16</definedName>
    <definedName name="INN_ID">Титульный!$O$16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Инструкция!$70:$75</definedName>
    <definedName name="Instr_7">Инструкция!$76:$92</definedName>
    <definedName name="Instr_8">Инструкция!$93:$107</definedName>
    <definedName name="INV1X_LIST_IP_RANGE_HEADERS">INV1X_LIST_IP!$A$1:$M$1</definedName>
    <definedName name="IP_LIST">REESTR_CNCSN_IP!$B$48:$G$111</definedName>
    <definedName name="IP_NAME_LIST">REESTR_CNCSN_IP!$C$48:$C$111</definedName>
    <definedName name="IpGeoBaseRegions">TECHSHEET!$C$1:$C$86</definedName>
    <definedName name="IS_PROFILE_ACTIVITY">Титульный!$H$27</definedName>
    <definedName name="KPP">Титульный!$H$17</definedName>
    <definedName name="KPP_ID">Титульный!$O$17</definedName>
    <definedName name="LastUpdateDate_CNCSN">КС!$F$24</definedName>
    <definedName name="LastUpdateDate_INDICATORS">Титульный!$E$47</definedName>
    <definedName name="LastUpdateDate_IP">КС!$F$25</definedName>
    <definedName name="LastUpdateDate_MO">'Список территорий'!$F$19</definedName>
    <definedName name="LastUpdateDate_ORG">Титульный!$E$45</definedName>
    <definedName name="LastUpdateDate_PLAN_PREV">Титульный!$E$46</definedName>
    <definedName name="LastUpdateDate_SRC">'Список объектов'!$F$25</definedName>
    <definedName name="LIST_CNCSN_ADD_HL_MARKER">КС!$G$18</definedName>
    <definedName name="LIST_CNCSN_ADD_OBJECT_RANGE">TECH_HORISONTAL!$27:$28</definedName>
    <definedName name="LIST_CNCSN_ADD_RANGE">TECH_HORISONTAL!$23:$24</definedName>
    <definedName name="LIST_CNCSN_ADD_SUBOBJECT_RANGE">TECH_HORISONTAL!$31:$31</definedName>
    <definedName name="LIST_CNCSN_CALC_AREA">КС!$AA$15:$ED$18</definedName>
    <definedName name="LIST_CNCSN_DATE_AREA">КС!$AI$15:$AJ$18</definedName>
    <definedName name="LIST_CNCSN_DELETE_HL_COLUMN_MARKER">КС!$E$14</definedName>
    <definedName name="LIST_CNCSN_HORISONTAL_AREA">КС!$F$15:$EE$15</definedName>
    <definedName name="LIST_CNCSN_IP_NAMES_AREA">КС!$DJ$15:$DJ$18</definedName>
    <definedName name="LIST_CNCSN_IP_RQT_URL_AREA">КС!$DP$15:$DP$18</definedName>
    <definedName name="LIST_CNCSN_NAMES_AREA">КС!$AD$15:$AD$18</definedName>
    <definedName name="LIST_CNCSN_NUM_COLUMN_MARKER">КС!$F$15</definedName>
    <definedName name="LIST_CNCSN_NUMERIC_AREA">КС!$AU$15:$DE$18</definedName>
    <definedName name="LIST_CNCSN_OBJECT_DELETE_HL_COLUMN_MARKER">КС!$AA$12</definedName>
    <definedName name="LIST_CNCSN_OBJECT_NUM_COLUMN_MARKER">КС!$AB$15</definedName>
    <definedName name="LIST_CNCSN_RQT_DATE_AREA">КС!$AQ$15:$AQ$18</definedName>
    <definedName name="LIST_CNCSN_RQT_TYPE_AREA">КС!$AO$15:$AO$18</definedName>
    <definedName name="LIST_CNCSN_RQT_URL_AREA">КС!$AR$15:$AR$18</definedName>
    <definedName name="LIST_CNCSN_SEARCH_AREA">КС!$AH$15:$AH$18</definedName>
    <definedName name="LIST_CNCSN_SUBOBJECT_DELETE_HL_COLUMN_MARKER">КС!$DH$13:$DH$14</definedName>
    <definedName name="LIST_CNCSN_SUBOBJECT_NUM_COLUMN_MARKER">КС!$DI$15</definedName>
    <definedName name="LIST_CNCSN_TYPE_AREA">КС!$AC$15:$AC$18</definedName>
    <definedName name="LIST_CNCSN_VLD_AREA">КС!$DS$15:$EB$18</definedName>
    <definedName name="LIST_CNCSN_VOTV_SPECIFIC_CNI_FACT">КС!$DD$14:$DE$14</definedName>
    <definedName name="LIST_CNCSN_VOTV_SPECIFIC_CNI_FACT_AREA">TECH_HORISONTAL!$DD$27:$DE$28</definedName>
    <definedName name="LIST_CNCSN_VOTV_SPECIFIC_CNI_PLAN">КС!$CF$14:$CG$14</definedName>
    <definedName name="LIST_LOCATIONS">REESTR_LOCATION!$A$2:$B$4842</definedName>
    <definedName name="LIST_MO_AREA">'Список территорий'!$H$15:$H$17</definedName>
    <definedName name="LIST_MO_CALC_AREA">'Список территорий'!$F$15:$EI$17</definedName>
    <definedName name="LIST_MO_COLDVSNA_ADD_RANGE">TECH_HORISONTAL!$7:$7</definedName>
    <definedName name="LIST_MO_COLDVSNA_FEATURES">'Список территорий'!$AJ$4</definedName>
    <definedName name="LIST_MO_COLDVSNA_VTOV_AREA">'Список территорий'!$AJ$15:$AJ$17</definedName>
    <definedName name="LIST_MO_DPR_AREA">'Список территорий'!$N$15:$N$17</definedName>
    <definedName name="LIST_MO_HEAT_ADD_RANGE">TECH_HORISONTAL!$4:$4</definedName>
    <definedName name="LIST_MO_HEAT_FEATURES">'Список территорий'!$AC$4</definedName>
    <definedName name="LIST_MO_HEAT_VTOV_AREA">'Список территорий'!$AC$15:$AC$17</definedName>
    <definedName name="LIST_MO_HORISONTAL_AREA">'Список территорий'!$F$15:$EM$15</definedName>
    <definedName name="LIST_MO_MONTH_TTL_AREA">'Список территорий'!$CI$15:$CI$17</definedName>
    <definedName name="LIST_MO_MONTH_TTL_CALC_AREA">'Список территорий'!$CJ$15:$CU$17</definedName>
    <definedName name="LIST_MO_PARAMETERS_AREA">'Список территорий'!$N$15:$AQ$17</definedName>
    <definedName name="LIST_MO_SRC_AREA">'Список территорий'!$Q$15:$Q$17</definedName>
    <definedName name="LIST_MO_TAX_AREA">'Список территорий'!$M$15:$M$17</definedName>
    <definedName name="LIST_MO_TRANSMISSION_TARIFF_AREA">'Список территорий'!$BV$15:$BV$17</definedName>
    <definedName name="LIST_MO_TYPE_AREA">'Список территорий'!$J$15:$J$17</definedName>
    <definedName name="LIST_MO_VLD_DATASTORE_AREA">'Список территорий'!$P$15:$P$17</definedName>
    <definedName name="LIST_MO_VOTV_ADD_RANGE">TECH_HORISONTAL!$10:$10</definedName>
    <definedName name="LIST_MO_VOTV_FEATURES">'Список территорий'!$AQ$4</definedName>
    <definedName name="LIST_MO_VOTV_VTOV_AREA">'Список территорий'!$AQ$15:$AQ$17</definedName>
    <definedName name="LIST_MR_AREA">'Список территорий'!$G$15:$G$17</definedName>
    <definedName name="LIST_MR_MO_OKTMO">REESTR_MO!$A$2:$E$52</definedName>
    <definedName name="LIST_OKTMO_AREA">'Список территорий'!$I$15:$I$17</definedName>
    <definedName name="LIST_ORG_HEAT">REESTR_ORG!$BI$2:$BY$310</definedName>
    <definedName name="LIST_PPL_TM_ADD_HL_MARKER">ТН!$G$18</definedName>
    <definedName name="LIST_PPL_TM_ADD_OBJECT_RANGE">TECH_HORISONTAL!$50:$50</definedName>
    <definedName name="LIST_PPL_TM_ADD_RANGE">TECH_HORISONTAL!$34:$35</definedName>
    <definedName name="LIST_PPL_TM_CALC_AREA">ТН!$AA$15:$CH$18</definedName>
    <definedName name="LIST_PPL_TM_CALC_SUM_AREA">ТН!$BG$15:$BG$18</definedName>
    <definedName name="LIST_PPL_TM_COLDVSNA_ADD_RANGE">TECH_HORISONTAL!$42:$43</definedName>
    <definedName name="LIST_PPL_TM_DELETE_HL_COLUMN_MARKER">ТН!$E$14</definedName>
    <definedName name="LIST_PPL_TM_FACT_SUM_AREA">ТН!$BH$15:$BH$18</definedName>
    <definedName name="LIST_PPL_TM_HEAT_ADD_RANGE">TECH_HORISONTAL!$38:$39</definedName>
    <definedName name="LIST_PPL_TM_HORISONTAL_AREA">ТН!$F$15:$CI$15</definedName>
    <definedName name="LIST_PPL_TM_MO_AREA">ТН!$AI$15:$AI$18</definedName>
    <definedName name="LIST_PPL_TM_MO_TYPE_AREA">ТН!$AK$15:$AK$18</definedName>
    <definedName name="LIST_PPL_TM_MONTH_PPL_CALC_AREA">ТН!$AR$15:$BC$18</definedName>
    <definedName name="LIST_PPL_TM_MR_AREA">ТН!$AH$15:$AH$18</definedName>
    <definedName name="LIST_PPL_TM_NUM_COLUMN_MARKER">ТН!$F$15</definedName>
    <definedName name="LIST_PPL_TM_OBJECT_DELETE_HL_COLUMN_MARKER">ТН!$AA$12</definedName>
    <definedName name="LIST_PPL_TM_OBJECT_NUM_COLUMN_MARKER">ТН!$AB$15</definedName>
    <definedName name="LIST_PPL_TM_OKTMO_AREA">ТН!$AJ$15:$AJ$18</definedName>
    <definedName name="LIST_PPL_TM_RQT_DATE_AREA">ТН!$BZ$15:$BZ$18</definedName>
    <definedName name="LIST_PPL_TM_RQT_URL_AREA">ТН!$CA$15:$CA$18</definedName>
    <definedName name="LIST_PPL_TM_TARIFF_AREA">ТН!$AE$15:$AF$18</definedName>
    <definedName name="LIST_PPL_TM_TF_DPR_AREA">ТН!$AC$15:$AC$18</definedName>
    <definedName name="LIST_PPL_TM_VLM_CALC_AREA">ТН!$AR$15:$BC$18</definedName>
    <definedName name="LIST_PPL_TM_VLM_TOTAL">ТН!$AQ$4</definedName>
    <definedName name="LIST_PPL_TM_VLM_TOTAL_AREA">ТН!$AQ$15:$AQ$18</definedName>
    <definedName name="LIST_PPL_TM_VOTV_ADD_RANGE">TECH_HORISONTAL!$46:$47</definedName>
    <definedName name="LIST_SRC_ADD_HL_MARKER">'Список объектов'!$G$19</definedName>
    <definedName name="LIST_SRC_ADD_OBJECT_RANGE">TECH_HORISONTAL!$19:$19</definedName>
    <definedName name="LIST_SRC_ADD_RANGE">TECH_HORISONTAL!$14:$15</definedName>
    <definedName name="LIST_SRC_CALC_AREA">'Список объектов'!$AA$15:$CC$19</definedName>
    <definedName name="LIST_SRC_DELETE_HL_COLUMN_MARKER">'Список объектов'!$E$14</definedName>
    <definedName name="LIST_SRC_FUEL_LIST_AREA">'Список объектов'!$BP$15:$BP$19</definedName>
    <definedName name="LIST_SRC_HORISONTAL_AREA">'Список объектов'!$F$15:$CD$15</definedName>
    <definedName name="LIST_SRC_NUM_COLUMN_MARKER">'Список объектов'!$F$15</definedName>
    <definedName name="LIST_SRC_OBJECT_DELETE_HL_COLUMN_MARKER">'Список объектов'!$AA$12</definedName>
    <definedName name="LIST_SRC_OBJECT_NUM_COLUMN_MARKER">'Список объектов'!$AB$15</definedName>
    <definedName name="LOCATION_22502000">REESTR_LOCATION!$B$2:$B$76</definedName>
    <definedName name="LOCATION_22505000">REESTR_LOCATION!$B$77:$B$122</definedName>
    <definedName name="LOCATION_22507000">REESTR_LOCATION!$B$123:$B$259</definedName>
    <definedName name="LOCATION_22509000">REESTR_LOCATION!$B$260:$B$315</definedName>
    <definedName name="LOCATION_22510000">REESTR_LOCATION!$B$316:$B$364</definedName>
    <definedName name="LOCATION_22512000">REESTR_LOCATION!$B$365:$B$418</definedName>
    <definedName name="LOCATION_22514000">REESTR_LOCATION!$B$419:$B$464</definedName>
    <definedName name="LOCATION_22515000">REESTR_LOCATION!$B$465:$B$555</definedName>
    <definedName name="LOCATION_22517000">REESTR_LOCATION!$B$556:$B$673</definedName>
    <definedName name="LOCATION_22518000">REESTR_LOCATION!$B$674:$B$811</definedName>
    <definedName name="LOCATION_22519000">REESTR_LOCATION!$B$812:$B$871</definedName>
    <definedName name="LOCATION_22520000">REESTR_LOCATION!$B$872:$B$903</definedName>
    <definedName name="LOCATION_22522000">REESTR_LOCATION!$B$904:$B$1066</definedName>
    <definedName name="LOCATION_22526000">REESTR_LOCATION!$B$1067:$B$1133</definedName>
    <definedName name="LOCATION_22528000">REESTR_LOCATION!$B$1134:$B$1570</definedName>
    <definedName name="LOCATION_22530000">REESTR_LOCATION!$B$1571:$B$1669</definedName>
    <definedName name="LOCATION_22532000">REESTR_LOCATION!$B$1670:$B$1714</definedName>
    <definedName name="LOCATION_22533000">REESTR_LOCATION!$B$1715:$B$1776</definedName>
    <definedName name="LOCATION_22534000">REESTR_LOCATION!$B$1777:$B$1960</definedName>
    <definedName name="LOCATION_22535000">REESTR_LOCATION!$B$1961:$B$2052</definedName>
    <definedName name="LOCATION_22536000">REESTR_LOCATION!$B$2053:$B$2097</definedName>
    <definedName name="LOCATION_22537000">REESTR_LOCATION!$B$2098:$B$2219</definedName>
    <definedName name="LOCATION_22539000">REESTR_LOCATION!$B$2220:$B$2292</definedName>
    <definedName name="LOCATION_22540000">REESTR_LOCATION!$B$2293:$B$2394</definedName>
    <definedName name="LOCATION_22542000">REESTR_LOCATION!$B$2395:$B$2489</definedName>
    <definedName name="LOCATION_22545000">REESTR_LOCATION!$B$2490:$B$2562</definedName>
    <definedName name="LOCATION_22546000">REESTR_LOCATION!$B$2563:$B$2640</definedName>
    <definedName name="LOCATION_22548000">REESTR_LOCATION!$B$2641:$B$2705</definedName>
    <definedName name="LOCATION_22549000">REESTR_LOCATION!$B$2706:$B$2758</definedName>
    <definedName name="LOCATION_22550000">REESTR_LOCATION!$B$2759:$B$2824</definedName>
    <definedName name="LOCATION_22551000">REESTR_LOCATION!$B$2825:$B$2868</definedName>
    <definedName name="LOCATION_22552000">REESTR_LOCATION!$B$2869:$B$2952</definedName>
    <definedName name="LOCATION_22553000">REESTR_LOCATION!$B$2953:$B$3032</definedName>
    <definedName name="LOCATION_22554000">REESTR_LOCATION!$B$3033:$B$3154</definedName>
    <definedName name="LOCATION_22556000">REESTR_LOCATION!$B$3155:$B$3248</definedName>
    <definedName name="LOCATION_22557000">REESTR_LOCATION!$B$3249:$B$3315</definedName>
    <definedName name="LOCATION_22701000">REESTR_LOCATION!$B$3316:$B$3336</definedName>
    <definedName name="LOCATION_22703000">REESTR_LOCATION!$B$3337:$B$3442</definedName>
    <definedName name="LOCATION_22704000">REESTR_LOCATION!$B$3443</definedName>
    <definedName name="LOCATION_22712000">REESTR_LOCATION!$B$3444:$B$3744</definedName>
    <definedName name="LOCATION_22715000">REESTR_LOCATION!$B$3745:$B$3791</definedName>
    <definedName name="LOCATION_22719000">REESTR_LOCATION!$B$3792:$B$3849</definedName>
    <definedName name="LOCATION_22721000">REESTR_LOCATION!$B$3850:$B$3864</definedName>
    <definedName name="LOCATION_22727000">REESTR_LOCATION!$B$3865:$B$3891</definedName>
    <definedName name="LOCATION_22730000">REESTR_LOCATION!$B$3892:$B$3942</definedName>
    <definedName name="LOCATION_22734000">REESTR_LOCATION!$B$3943:$B$3987</definedName>
    <definedName name="LOCATION_22737000">REESTR_LOCATION!$B$3988:$B$4179</definedName>
    <definedName name="LOCATION_22739000">REESTR_LOCATION!$B$4180:$B$4232</definedName>
    <definedName name="LOCATION_22749000">REESTR_LOCATION!$B$4233:$B$4475</definedName>
    <definedName name="LOCATION_22755000">REESTR_LOCATION!$B$4476:$B$4703</definedName>
    <definedName name="LOCATION_22758000">REESTR_LOCATION!$B$4704:$B$4842</definedName>
    <definedName name="LOCATION_NO_OKTMO">REESTR_LOCATION!$B$2:$B$4842</definedName>
    <definedName name="LOGIN">TECHSHEET!$X$1</definedName>
    <definedName name="MANDATORY_FIELDS">Титульный!$Q$7:$Q$43</definedName>
    <definedName name="MAX_ABONENT_VALUE">DICTIONARIES!$B$222</definedName>
    <definedName name="MD_PURE_LIST">REESTR_MO!$S$2:$S$37</definedName>
    <definedName name="MILITARY">Титульный!$H$26</definedName>
    <definedName name="MIN_ABONENT_VALUE">DICTIONARIES!$B$223</definedName>
    <definedName name="MO_END_DATE">TECHSHEET!$Q$20</definedName>
    <definedName name="MO_LIST_10">REESTR_MO!$B$10</definedName>
    <definedName name="MO_LIST_11">REESTR_MO!$B$11</definedName>
    <definedName name="MO_LIST_12">REESTR_MO!$B$12</definedName>
    <definedName name="MO_LIST_13">REESTR_MO!$B$13</definedName>
    <definedName name="MO_LIST_14">REESTR_MO!$B$14</definedName>
    <definedName name="MO_LIST_15">REESTR_MO!$B$15</definedName>
    <definedName name="MO_LIST_16">REESTR_MO!$B$16</definedName>
    <definedName name="MO_LIST_17">REESTR_MO!$B$17</definedName>
    <definedName name="MO_LIST_18">REESTR_MO!$B$18</definedName>
    <definedName name="MO_LIST_19">REESTR_MO!$B$19</definedName>
    <definedName name="MO_LIST_2">REESTR_MO!$B$2</definedName>
    <definedName name="MO_LIST_20">REESTR_MO!$B$20</definedName>
    <definedName name="MO_LIST_21">REESTR_MO!$B$21</definedName>
    <definedName name="MO_LIST_22">REESTR_MO!$B$22</definedName>
    <definedName name="MO_LIST_23">REESTR_MO!$B$23</definedName>
    <definedName name="MO_LIST_24">REESTR_MO!$B$24</definedName>
    <definedName name="MO_LIST_25">REESTR_MO!$B$25</definedName>
    <definedName name="MO_LIST_26">REESTR_MO!$B$26</definedName>
    <definedName name="MO_LIST_27">REESTR_MO!$B$27</definedName>
    <definedName name="MO_LIST_28">REESTR_MO!$B$28</definedName>
    <definedName name="MO_LIST_29">REESTR_MO!$B$29</definedName>
    <definedName name="MO_LIST_3">REESTR_MO!$B$3</definedName>
    <definedName name="MO_LIST_30">REESTR_MO!$B$30</definedName>
    <definedName name="MO_LIST_31">REESTR_MO!$B$31</definedName>
    <definedName name="MO_LIST_32">REESTR_MO!$B$32</definedName>
    <definedName name="MO_LIST_33">REESTR_MO!$B$33</definedName>
    <definedName name="MO_LIST_34">REESTR_MO!$B$34</definedName>
    <definedName name="MO_LIST_35">REESTR_MO!$B$35</definedName>
    <definedName name="MO_LIST_36">REESTR_MO!$B$36</definedName>
    <definedName name="MO_LIST_37">REESTR_MO!$B$37</definedName>
    <definedName name="MO_LIST_38">REESTR_MO!$B$38</definedName>
    <definedName name="MO_LIST_39">REESTR_MO!$B$39</definedName>
    <definedName name="MO_LIST_4">REESTR_MO!$B$4</definedName>
    <definedName name="MO_LIST_40">REESTR_MO!$B$40</definedName>
    <definedName name="MO_LIST_41">REESTR_MO!$B$41</definedName>
    <definedName name="MO_LIST_42">REESTR_MO!$B$42</definedName>
    <definedName name="MO_LIST_43">REESTR_MO!$B$43</definedName>
    <definedName name="MO_LIST_44">REESTR_MO!$B$44</definedName>
    <definedName name="MO_LIST_45">REESTR_MO!$B$45</definedName>
    <definedName name="MO_LIST_46">REESTR_MO!$B$46</definedName>
    <definedName name="MO_LIST_47">REESTR_MO!$B$47</definedName>
    <definedName name="MO_LIST_48">REESTR_MO!$B$48</definedName>
    <definedName name="MO_LIST_49">REESTR_MO!$B$49</definedName>
    <definedName name="MO_LIST_5">REESTR_MO!$B$5</definedName>
    <definedName name="MO_LIST_50">REESTR_MO!$B$50</definedName>
    <definedName name="MO_LIST_51">REESTR_MO!$B$51</definedName>
    <definedName name="MO_LIST_52">REESTR_MO!$B$52</definedName>
    <definedName name="MO_LIST_6">REESTR_MO!$B$6</definedName>
    <definedName name="MO_LIST_7">REESTR_MO!$B$7</definedName>
    <definedName name="MO_LIST_8">REESTR_MO!$B$8</definedName>
    <definedName name="MO_LIST_9">REESTR_MO!$B$9</definedName>
    <definedName name="MO_NO_OKTMO_LIST">REESTR_MO!$B$2:$B$52</definedName>
    <definedName name="MO_START_DATE">TECHSHEET!$Q$19</definedName>
    <definedName name="MONTH">Титульный!$H$10</definedName>
    <definedName name="MONTH_LIST">TECHSHEET!$AB$2:$AB$13</definedName>
    <definedName name="MR_LIST">REESTR_MO!$F$2:$F$52</definedName>
    <definedName name="NDS">TECHSHEET!$Q$5</definedName>
    <definedName name="NONPRIVATE_OWNERSHIP_TYPE">TECHSHEET!$E$32:$E$34</definedName>
    <definedName name="NUM_LIST_MO_COLUMN_MARKER">'Список территорий'!$F$15</definedName>
    <definedName name="OBFUSCATED_PASSWORD">TECHSHEET!$X$6</definedName>
    <definedName name="OGRN">Титульный!$H$30</definedName>
    <definedName name="OKOPF_LIST">DICTIONARIES!$B$224:$B$320</definedName>
    <definedName name="OKPO">Титульный!$H$31</definedName>
    <definedName name="OKTMO_VS_TYPE_LIST">REESTR_MO!$C$2:$E$52</definedName>
    <definedName name="OPF">Титульный!$H$18</definedName>
    <definedName name="OPTIONS_LIST_RANGE">DICTIONARIES!$A$2:$B$320</definedName>
    <definedName name="ORG">Титульный!$H$14</definedName>
    <definedName name="ORG_DATA_AREA">Титульный!$H$14:$H$17</definedName>
    <definedName name="ORG_END_DATE">TECHSHEET!$Q$12</definedName>
    <definedName name="ORG_START_DATE">TECHSHEET!$Q$11</definedName>
    <definedName name="OWNERSHIP_TYPE">TECHSHEET!$E$32:$E$35</definedName>
    <definedName name="OWNERSHIP_TYPE_VALUE">Титульный!$H$35</definedName>
    <definedName name="P19_T1_Protect" localSheetId="12" hidden="1">P5_T1_Protect,P6_T1_Protect,P7_T1_Protect,P8_T1_Protect,P9_T1_Protect,P10_T1_Protect,P11_T1_Protect,P12_T1_Protect,P13_T1_Protect,P14_T1_Protect</definedName>
    <definedName name="P19_T1_Protect" localSheetId="13" hidden="1">P5_T1_Protect,P6_T1_Protect,P7_T1_Protect,P8_T1_Protect,P9_T1_Protect,P10_T1_Protect,P11_T1_Protect,P12_T1_Protect,P13_T1_Protect,P14_T1_Protect</definedName>
    <definedName name="P19_T1_Protect" localSheetId="11" hidden="1">P5_T1_Protect,P6_T1_Protect,P7_T1_Protect,P8_T1_Protect,P9_T1_Protect,P10_T1_Protect,P11_T1_Protect,P12_T1_Protect,P13_T1_Protect,P14_T1_Protect</definedName>
    <definedName name="P19_T1_Protect" localSheetId="14" hidden="1">P5_T1_Protect,P6_T1_Protect,P7_T1_Protect,P8_T1_Protect,P9_T1_Protect,P10_T1_Protect,P11_T1_Protect,P12_T1_Protect,P13_T1_Protect,P14_T1_Protect</definedName>
    <definedName name="P19_T1_Protect" localSheetId="15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19_T2_Protect" localSheetId="12" hidden="1">P5_T1_Protect,P6_T1_Protect,P7_T1_Protect,P8_T1_Protect,P9_T1_Protect,P10_T1_Protect,P11_T1_Protect,P12_T1_Protect,P13_T1_Protect,P14_T1_Protect</definedName>
    <definedName name="P19_T2_Protect" localSheetId="13" hidden="1">P5_T1_Protect,P6_T1_Protect,P7_T1_Protect,P8_T1_Protect,P9_T1_Protect,P10_T1_Protect,P11_T1_Protect,P12_T1_Protect,P13_T1_Protect,P14_T1_Protect</definedName>
    <definedName name="P19_T2_Protect" localSheetId="11" hidden="1">P5_T1_Protect,P6_T1_Protect,P7_T1_Protect,P8_T1_Protect,P9_T1_Protect,P10_T1_Protect,P11_T1_Protect,P12_T1_Protect,P13_T1_Protect,P14_T1_Protect</definedName>
    <definedName name="P19_T2_Protect" localSheetId="14" hidden="1">P5_T1_Protect,P6_T1_Protect,P7_T1_Protect,P8_T1_Protect,P9_T1_Protect,P10_T1_Protect,P11_T1_Protect,P12_T1_Protect,P13_T1_Protect,P14_T1_Protect</definedName>
    <definedName name="P19_T2_Protect" localSheetId="15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ASSWORD">TECHSHEET!$X$2</definedName>
    <definedName name="PERIOD">TECHSHEET!$Q$8</definedName>
    <definedName name="PLAN1X_AUTHORISATION_RANGE">AUTHORISATION!$A$2:$B$2</definedName>
    <definedName name="PLAN1X_LIST_CNCSN_RANGE_HEADERS">PLAN1X_LIST_CNCSN!$A$1:$CR$1</definedName>
    <definedName name="PLAN1X_LIST_MO_RANGE">PLAN1X_LIST_MO!$A$2:$I$2</definedName>
    <definedName name="PLAN1X_LIST_ORG_RANGE">PLAN1X_LIST_ORG!$A$2:$Y$266</definedName>
    <definedName name="PLAN1X_LIST_SRC_RANGE">PLAN1X_LIST_SRC!$A$2:$AF$2</definedName>
    <definedName name="PLAN1X_LIST_SRC_RANGE_HEADERS">PLAN1X_LIST_SRC!$A$1:$AF$1</definedName>
    <definedName name="PLAN1X_LIST_TMX_RANGE">PLAN1X_LIST_TMX!$A$2:$S$3</definedName>
    <definedName name="PROTECT_MARKER">TECHSHEET!$M$6</definedName>
    <definedName name="PROXY_ADDRESS">Инструкция!$R$104</definedName>
    <definedName name="PROXY_PORT">Инструкция!$R$105</definedName>
    <definedName name="REGION">TECHSHEET!$A$1:$A$86</definedName>
    <definedName name="REGION_NAME">Титульный!$H$7</definedName>
    <definedName name="RESOURCE_IDENTIFIER">TECHSHEET!$G$20</definedName>
    <definedName name="RETAIN_PASSWORD">TECHSHEET!$X$4</definedName>
    <definedName name="RST_ORG_ID">Титульный!$H$12</definedName>
    <definedName name="SAPBEXrevision" hidden="1">1</definedName>
    <definedName name="SAPBEXsysID" hidden="1">"BW2"</definedName>
    <definedName name="SAPBEXwbID" hidden="1">"479GSPMTNK9HM4ZSIVE5K2SH6"</definedName>
    <definedName name="SAX_PARSER_FEATURE">TECHSHEET!$M$2</definedName>
    <definedName name="SCC">Титульный!$H$24</definedName>
    <definedName name="SESSION_ID">TECHSHEET!$X$5</definedName>
    <definedName name="SETTING_NO_ASK_AGAIN">TECHSHEET!$O$5</definedName>
    <definedName name="SETTING_NO_INTEGRITY_VLD">TECHSHEET!$O$4</definedName>
    <definedName name="SETTING_NO_WARNINGS">TECHSHEET!$O$3</definedName>
    <definedName name="SETTING_SAVE_AS_XLSB">TECHSHEET!$O$2</definedName>
    <definedName name="SHOW_VLD_SETTINGS">Титульный!$H$49</definedName>
    <definedName name="SPECIFIC_STATUS">Титульный!$H$20</definedName>
    <definedName name="SPECIFIC_STATUS_URL">Титульный!$H$21</definedName>
    <definedName name="SPHERE_SPECIFIC_STATUS">TECHSHEET!$G$39</definedName>
    <definedName name="SPHERE_SPECIFIC_STATUS_DESCRIPTION">TECHSHEET!$G$45</definedName>
    <definedName name="STATE_SHARE">TECHSHEET!$E$25:$E$28</definedName>
    <definedName name="STATE_SHARE_EXISTENCE">Титульный!$H$33</definedName>
    <definedName name="STATE_SHARE_VALUE">Титульный!$H$34</definedName>
    <definedName name="SUBSIDIARY">Титульный!$H$15</definedName>
    <definedName name="SUBSIDIARY_LIST">PLAN1X_LIST_SUBSIDIARY!$B$2:$B$13</definedName>
    <definedName name="SUBSIDIARY_LIST_RANGE">PLAN1X_LIST_SUBSIDIARY!$A$2:$B$13</definedName>
    <definedName name="TAX">Титульный!$H$25</definedName>
    <definedName name="TEMPLATE_CLAIM">TECHSHEET!$G$26</definedName>
    <definedName name="TEMPLATE_PERIOD_COUNT">TECHSHEET!$G$30</definedName>
    <definedName name="TEMPLATE_SPHERE">TECHSHEET!$G$2</definedName>
    <definedName name="TEMPLATE_SPHERE_CODE">TECHSHEET!$G$33</definedName>
    <definedName name="TEMPLATE_SPHERE_OKK_SOURCE">TECHSHEET!$G$8</definedName>
    <definedName name="TITLE_CONTACTS">Титульный!$H$40:$H$43</definedName>
    <definedName name="TITLE_FIND_OGRN_ASSIST">Титульный!$J$30</definedName>
    <definedName name="TITLE_FIND_OKPO_ASSIST">Титульный!$J$31</definedName>
    <definedName name="TITLE_FIND_OPF_ASSIST">Титульный!$J$18</definedName>
    <definedName name="UD_PURE_LIST">REESTR_MO!$K$2:$K$16</definedName>
    <definedName name="UNREG">Титульный!$H$23</definedName>
    <definedName name="UPDATE_INDICATORS_MARKER">Титульный!$E$4</definedName>
    <definedName name="UpdStatus">Инструкция!$AA$1</definedName>
    <definedName name="USE_DNS_SERVICE">Инструкция!$R$41</definedName>
    <definedName name="USE_PROXY_SETTING">Инструкция!$R$103</definedName>
    <definedName name="VALUABLE_STATE_SHARE">TECHSHEET!$E$26:$E$28</definedName>
    <definedName name="VDET">Титульный!$H$19</definedName>
    <definedName name="VDET_END_DATE">TECHSHEET!$Q$16</definedName>
    <definedName name="VDET_ID">Титульный!$O$19</definedName>
    <definedName name="VDET_ID_LIST">TECHSHEET!$S$2:$T$46</definedName>
    <definedName name="VDET_START_DATE">TECHSHEET!$Q$15</definedName>
    <definedName name="version">Инструкция!$B$3</definedName>
    <definedName name="VOTV_BAL_PR_ADD_HL_MARKER">ВО.БПр!$G$132</definedName>
    <definedName name="VOTV_BAL_PR_ADD_RANGE">ВО.БПр!$1:$28</definedName>
    <definedName name="VOTV_BAL_PR_CALC_AREA">ВО.БПр!$F$131:$AV$132</definedName>
    <definedName name="VOTV_BAL_PR_DELETE_HL_COLUMN_MARKER">ВО.БПр!$E$124</definedName>
    <definedName name="VOTV_BAL_PR_EMPTY_RANGE">ВО.БПр!$H$1:$BF$28</definedName>
    <definedName name="VOTV_BAL_PR_END_COLUMN_MARKER">ВО.БПр!$AF$120</definedName>
    <definedName name="VOTV_BAL_PR_NUM_COLUMN_MARKER">ВО.БПр!$B$124</definedName>
    <definedName name="VOTV_BAL_PR_RANGE">ВО.БПр!$H$29:$BF$56</definedName>
    <definedName name="VOTV_BAL_TR_ADD_HL_MARKER">ВО.БТр!$G$132</definedName>
    <definedName name="VOTV_BAL_TR_ADD_RANGE">ВО.БТр!$1:$28</definedName>
    <definedName name="VOTV_BAL_TR_CALC_AREA">ВО.БТр!$F$131:$AB$132</definedName>
    <definedName name="VOTV_BAL_TR_DELETE_HL_COLUMN_MARKER">ВО.БТр!$E$124</definedName>
    <definedName name="VOTV_BAL_TR_EMPTY_RANGE">ВО.БТр!$H$1:$BF$28</definedName>
    <definedName name="VOTV_BAL_TR_END_COLUMN_MARKER">ВО.БТр!$AB$119</definedName>
    <definedName name="VOTV_BAL_TR_NUM_COLUMN_MARKER">ВО.БТр!$B$124</definedName>
    <definedName name="VOTV_BAL_TR_RANGE">ВО.БТр!$H$29:$BF$56</definedName>
    <definedName name="VOTV_CALC_ADD_HL_MARKER">ВО.РО!$AT$18</definedName>
    <definedName name="VOTV_CALC_ADD_RANGE" localSheetId="12">COLDVSNA_CALC_TECH_VERTICAL!#REF!</definedName>
    <definedName name="VOTV_CALC_ADD_RANGE" localSheetId="13">COLDVSNA_REAGENT_TECH_VERTICAL!#REF!</definedName>
    <definedName name="VOTV_CALC_ADD_RANGE" localSheetId="11">HEAT_FUEL_TECH_VERTICAL!#REF!</definedName>
    <definedName name="VOTV_CALC_ADD_RANGE" localSheetId="15">VOTV_REAGENT_TECH_VERTICAL!#REF!</definedName>
    <definedName name="VOTV_CALC_ADD_RANGE">VOTV_CALC_TECH_VERTICAL!$AB$3:$AD$363</definedName>
    <definedName name="VOTV_CALC_AREA">ВО.РО!$AS$23:$AT$306</definedName>
    <definedName name="VOTV_CALC_BALANCE_ROW_MARKER">ВО.РО!$AN$240</definedName>
    <definedName name="VOTV_CALC_CI_ROW_MARKER">ВО.РО!$AN$210</definedName>
    <definedName name="VOTV_CALC_COST_ROW_MARKER">ВО.РО!$AN$203</definedName>
    <definedName name="VOTV_CALC_D_AREA" localSheetId="12">COLDVSNA_CALC_TECH_VERTICAL!#REF!</definedName>
    <definedName name="VOTV_CALC_D_AREA" localSheetId="13">COLDVSNA_REAGENT_TECH_VERTICAL!#REF!</definedName>
    <definedName name="VOTV_CALC_D_AREA" localSheetId="11">HEAT_FUEL_TECH_VERTICAL!#REF!</definedName>
    <definedName name="VOTV_CALC_D_AREA" localSheetId="15">VOTV_REAGENT_TECH_VERTICAL!#REF!</definedName>
    <definedName name="VOTV_CALC_D_AREA">VOTV_CALC_TECH_VERTICAL!$AE$290:$AG$306</definedName>
    <definedName name="VOTV_CALC_DELETE_HL_ROW_MARKER">ВО.РО!$AS$18</definedName>
    <definedName name="VOTV_CALC_ECONOMY_SUM_10_ROW_MARKER">ВО.РО!$AN$351</definedName>
    <definedName name="VOTV_CALC_ECONOMY_SUM_11_ROW_MARKER">ВО.РО!$AN$357</definedName>
    <definedName name="VOTV_CALC_EMPTY_BASE_RANGE" localSheetId="12">COLDVSNA_CALC_TECH_VERTICAL!#REF!</definedName>
    <definedName name="VOTV_CALC_EMPTY_BASE_RANGE" localSheetId="13">COLDVSNA_REAGENT_TECH_VERTICAL!#REF!</definedName>
    <definedName name="VOTV_CALC_EMPTY_BASE_RANGE" localSheetId="11">HEAT_FUEL_TECH_VERTICAL!#REF!</definedName>
    <definedName name="VOTV_CALC_EMPTY_BASE_RANGE" localSheetId="15">VOTV_REAGENT_TECH_VERTICAL!#REF!</definedName>
    <definedName name="VOTV_CALC_EMPTY_BASE_RANGE">VOTV_CALC_TECH_VERTICAL!$AB$23:$AD$363</definedName>
    <definedName name="VOTV_CALC_EXTENDED_AREA">ВО.РО!$AP$313:$AP$332</definedName>
    <definedName name="VOTV_CALC_EXTENDED_CLN_AREA">ВО.РО!$AP$319:$AP$322</definedName>
    <definedName name="VOTV_CALC_EXTENDED_PR_AREA">ВО.РО!$AP$315:$AP$317</definedName>
    <definedName name="VOTV_CALC_EXTENDED_SL_AREA">ВО.РО!$AP$328:$AP$330</definedName>
    <definedName name="VOTV_CALC_EXTENDED_TR_AREA">ВО.РО!$AP$324:$AP$326</definedName>
    <definedName name="VOTV_CALC_INV_DATA_CN">ВО.РО!$AP$286</definedName>
    <definedName name="VOTV_CALC_INV_DATA_IP">ВО.РО!$AP$266</definedName>
    <definedName name="VOTV_CALC_IP_EXCEPT_CN_1_ROW_MARKER">ВО.РО!$AN$250</definedName>
    <definedName name="VOTV_CALC_IP_EXCEPT_CN_4_ROW_MARKER">ВО.РО!$AN$258</definedName>
    <definedName name="VOTV_CALC_IP_EXCEPT_CN_TTL_ROW_MARKER">ВО.РО!$AN$249</definedName>
    <definedName name="VOTV_CALC_IP_INCLUDE_CN_1_ROW_MARKER">ВО.РО!$AN$270</definedName>
    <definedName name="VOTV_CALC_IP_INCLUDE_CN_4_ROW_MARKER">ВО.РО!$AN$278</definedName>
    <definedName name="VOTV_CALC_IP_INCLUDE_CN_TTL_ROW_MARKER">ВО.РО!$AN$269</definedName>
    <definedName name="VOTV_CALC_ITEM_NAMES">ВО.РО!$AN$23:$AN$363</definedName>
    <definedName name="VOTV_CALC_NEI_SUM_ROW_MARKER">ВО.РО!$AN$361</definedName>
    <definedName name="VOTV_CALC_NUM_ROW_MARKER">ВО.РО!$AS$19</definedName>
    <definedName name="VOTV_CALC_PERIOD_MARKERS">ВО.РО!$AP$9:$AT$9</definedName>
    <definedName name="VOTV_CALC_RESULT_ROW_MARKER">ВО.РО!$AN$290</definedName>
    <definedName name="VOTV_CALC_SINGLE_BASE_RANGE" localSheetId="12">COLDVSNA_CALC_TECH_VERTICAL!#REF!</definedName>
    <definedName name="VOTV_CALC_SINGLE_BASE_RANGE" localSheetId="13">COLDVSNA_REAGENT_TECH_VERTICAL!#REF!</definedName>
    <definedName name="VOTV_CALC_SINGLE_BASE_RANGE" localSheetId="11">HEAT_FUEL_TECH_VERTICAL!#REF!</definedName>
    <definedName name="VOTV_CALC_SINGLE_BASE_RANGE" localSheetId="15">VOTV_REAGENT_TECH_VERTICAL!#REF!</definedName>
    <definedName name="VOTV_CALC_SINGLE_BASE_RANGE">VOTV_CALC_TECH_VERTICAL!$AE$23:$AG$363</definedName>
    <definedName name="VOTV_CALC_TF_APPLY_OPTION">ВО.РО!$AO$289</definedName>
    <definedName name="VOTV_FACILITY_1_INDEX_GROUP">ВО.РО!$AP$320</definedName>
    <definedName name="VOTV_FACILITY_2_INDEX_GROUP">ВО.РО!$AP$321</definedName>
    <definedName name="VOTV_FACILITY_3_INDEX_GROUP">TECHSHEET!$O$22:$O$24</definedName>
    <definedName name="VOTV_FACILITY_INDEX_GROUP">TECHSHEET!$O$21:$O$24</definedName>
    <definedName name="VOTV_MIN_COST_VALUE">DICTIONARIES!$B$121</definedName>
    <definedName name="VOTV_REAGENT_ADD_HL_MARKER">ВО.Р!$AT$18</definedName>
    <definedName name="VOTV_REAGENT_ADD_RANGE" localSheetId="12">COLDVSNA_CALC_TECH_VERTICAL!#REF!</definedName>
    <definedName name="VOTV_REAGENT_ADD_RANGE" localSheetId="13">COLDVSNA_REAGENT_TECH_VERTICAL!#REF!</definedName>
    <definedName name="VOTV_REAGENT_ADD_RANGE" localSheetId="11">HEAT_FUEL_TECH_VERTICAL!#REF!</definedName>
    <definedName name="VOTV_REAGENT_ADD_RANGE" localSheetId="14">VOTV_CALC_TECH_VERTICAL!#REF!</definedName>
    <definedName name="VOTV_REAGENT_ADD_RANGE">VOTV_REAGENT_TECH_VERTICAL!$AB$3:$AD$349</definedName>
    <definedName name="VOTV_REAGENT_ADJUSTABLE_AREA">ВО.Р!$AF$23:$AF$349</definedName>
    <definedName name="VOTV_REAGENT_AREA">ВО.Р!$AS$23:$AT$349</definedName>
    <definedName name="VOTV_REAGENT_DELETE_HL_ROW_MARKER">ВО.Р!$AS$18</definedName>
    <definedName name="VOTV_REAGENT_EMPTY_BASE_RANGE" localSheetId="12">COLDVSNA_CALC_TECH_VERTICAL!#REF!</definedName>
    <definedName name="VOTV_REAGENT_EMPTY_BASE_RANGE" localSheetId="13">COLDVSNA_REAGENT_TECH_VERTICAL!#REF!</definedName>
    <definedName name="VOTV_REAGENT_EMPTY_BASE_RANGE" localSheetId="11">HEAT_FUEL_TECH_VERTICAL!#REF!</definedName>
    <definedName name="VOTV_REAGENT_EMPTY_BASE_RANGE" localSheetId="14">VOTV_CALC_TECH_VERTICAL!#REF!</definedName>
    <definedName name="VOTV_REAGENT_EMPTY_BASE_RANGE">VOTV_REAGENT_TECH_VERTICAL!$AB$23:$AD$349</definedName>
    <definedName name="VOTV_REAGENT_EMPTY_TEMPLATE_RANGE" localSheetId="12">COLDVSNA_CALC_TECH_VERTICAL!#REF!</definedName>
    <definedName name="VOTV_REAGENT_EMPTY_TEMPLATE_RANGE" localSheetId="13">COLDVSNA_REAGENT_TECH_VERTICAL!#REF!</definedName>
    <definedName name="VOTV_REAGENT_EMPTY_TEMPLATE_RANGE" localSheetId="11">HEAT_FUEL_TECH_VERTICAL!#REF!</definedName>
    <definedName name="VOTV_REAGENT_EMPTY_TEMPLATE_RANGE" localSheetId="14">VOTV_CALC_TECH_VERTICAL!#REF!</definedName>
    <definedName name="VOTV_REAGENT_EMPTY_TEMPLATE_RANGE">VOTV_REAGENT_TECH_VERTICAL!$AQ$23:$AS$349</definedName>
    <definedName name="VOTV_REAGENT_ITEM_NAMES">ВО.Р!$AN$23:$AN$348</definedName>
    <definedName name="VOTV_REAGENT_NO_ONE_RANGE" localSheetId="12">COLDVSNA_CALC_TECH_VERTICAL!#REF!</definedName>
    <definedName name="VOTV_REAGENT_NO_ONE_RANGE" localSheetId="13">COLDVSNA_REAGENT_TECH_VERTICAL!#REF!</definedName>
    <definedName name="VOTV_REAGENT_NO_ONE_RANGE" localSheetId="11">HEAT_FUEL_TECH_VERTICAL!#REF!</definedName>
    <definedName name="VOTV_REAGENT_NO_ONE_RANGE" localSheetId="14">VOTV_CALC_TECH_VERTICAL!#REF!</definedName>
    <definedName name="VOTV_REAGENT_NO_ONE_RANGE">VOTV_REAGENT_TECH_VERTICAL!$AQ$29:$AS$31</definedName>
    <definedName name="VOTV_REAGENT_NO_OTH_RANGE" localSheetId="12">COLDVSNA_CALC_TECH_VERTICAL!#REF!</definedName>
    <definedName name="VOTV_REAGENT_NO_OTH_RANGE" localSheetId="13">COLDVSNA_REAGENT_TECH_VERTICAL!#REF!</definedName>
    <definedName name="VOTV_REAGENT_NO_OTH_RANGE" localSheetId="11">HEAT_FUEL_TECH_VERTICAL!#REF!</definedName>
    <definedName name="VOTV_REAGENT_NO_OTH_RANGE" localSheetId="14">VOTV_CALC_TECH_VERTICAL!#REF!</definedName>
    <definedName name="VOTV_REAGENT_NO_OTH_RANGE">VOTV_REAGENT_TECH_VERTICAL!$AQ$346:$AS$346</definedName>
    <definedName name="VOTV_REAGENT_NUM_ROW_MARKER">ВО.Р!$AS$19</definedName>
    <definedName name="VOTV_REAGENT_ONE_RANGE" localSheetId="12">COLDVSNA_CALC_TECH_VERTICAL!#REF!</definedName>
    <definedName name="VOTV_REAGENT_ONE_RANGE" localSheetId="13">COLDVSNA_REAGENT_TECH_VERTICAL!#REF!</definedName>
    <definedName name="VOTV_REAGENT_ONE_RANGE" localSheetId="11">HEAT_FUEL_TECH_VERTICAL!#REF!</definedName>
    <definedName name="VOTV_REAGENT_ONE_RANGE" localSheetId="14">VOTV_CALC_TECH_VERTICAL!#REF!</definedName>
    <definedName name="VOTV_REAGENT_ONE_RANGE">VOTV_REAGENT_TECH_VERTICAL!$AK$29:$AM$31</definedName>
    <definedName name="VOTV_REAGENT_OTH_RANGE" localSheetId="12">COLDVSNA_CALC_TECH_VERTICAL!#REF!</definedName>
    <definedName name="VOTV_REAGENT_OTH_RANGE" localSheetId="13">COLDVSNA_REAGENT_TECH_VERTICAL!#REF!</definedName>
    <definedName name="VOTV_REAGENT_OTH_RANGE" localSheetId="11">HEAT_FUEL_TECH_VERTICAL!#REF!</definedName>
    <definedName name="VOTV_REAGENT_OTH_RANGE" localSheetId="14">VOTV_CALC_TECH_VERTICAL!#REF!</definedName>
    <definedName name="VOTV_REAGENT_OTH_RANGE">VOTV_REAGENT_TECH_VERTICAL!$AK$346:$AM$346</definedName>
    <definedName name="VOTV_REAGENT_PERIOD_MARKERS">ВО.Р!$AP$9:$AT$9</definedName>
    <definedName name="VOTV_REAGENT_SINGLE_BASE_RANGE" localSheetId="12">COLDVSNA_CALC_TECH_VERTICAL!#REF!</definedName>
    <definedName name="VOTV_REAGENT_SINGLE_BASE_RANGE" localSheetId="13">COLDVSNA_REAGENT_TECH_VERTICAL!#REF!</definedName>
    <definedName name="VOTV_REAGENT_SINGLE_BASE_RANGE" localSheetId="11">HEAT_FUEL_TECH_VERTICAL!#REF!</definedName>
    <definedName name="VOTV_REAGENT_SINGLE_BASE_RANGE" localSheetId="14">VOTV_CALC_TECH_VERTICAL!#REF!</definedName>
    <definedName name="VOTV_REAGENT_SINGLE_BASE_RANGE">VOTV_REAGENT_TECH_VERTICAL!$AE$23:$AG$349</definedName>
    <definedName name="VOTV_REAGENT_TEMPLATE_RANGE" localSheetId="12">COLDVSNA_CALC_TECH_VERTICAL!#REF!</definedName>
    <definedName name="VOTV_REAGENT_TEMPLATE_RANGE" localSheetId="13">COLDVSNA_REAGENT_TECH_VERTICAL!#REF!</definedName>
    <definedName name="VOTV_REAGENT_TEMPLATE_RANGE" localSheetId="11">HEAT_FUEL_TECH_VERTICAL!#REF!</definedName>
    <definedName name="VOTV_REAGENT_TEMPLATE_RANGE" localSheetId="14">VOTV_CALC_TECH_VERTICAL!#REF!</definedName>
    <definedName name="VOTV_REAGENT_TEMPLATE_RANGE">VOTV_REAGENT_TECH_VERTICAL!$AK$23:$AM$349</definedName>
    <definedName name="VOTV_TRANSMISSION_TARIFF_UNIT">TECHSHEET!$I$9</definedName>
    <definedName name="VOTV_VD_COMPONENTS">TECHSHEET!$E$19:$E$21</definedName>
    <definedName name="VOTV_VTOV">TECHSHEET!$I$16:$I$21</definedName>
    <definedName name="XML_AUTHORISATION_TAG_NAMES">TECHSHEET!$X$39:$X$40</definedName>
    <definedName name="XML_CNCSN_IP_LIST_TAG_NAMES">TECHSHEET!$X$64:$X$70</definedName>
    <definedName name="XML_DICTIONARIES_TAG_NAMES">TECHSHEET!$X$49:$X$50</definedName>
    <definedName name="XML_DPR_LIST_TAG_NAMES">TECHSHEET!$X$59:$X$60</definedName>
    <definedName name="XML_FILE_STORE_DATA_TAG_NAMES">TECHSHEET!$X$74:$X$78</definedName>
    <definedName name="XML_INV1X_COLDVSNA_LIST_IP_TAG_NAMES">TECHSHEET!$M$254:$M$266</definedName>
    <definedName name="XML_INV1X_HEAT_LIST_IP_TAG_NAMES">TECHSHEET!$K$254:$K$266</definedName>
    <definedName name="XML_INV1X_VOTV_LIST_IP_TAG_NAMES">TECHSHEET!$O$254:$O$266</definedName>
    <definedName name="XML_LOCATION_LIST_TAG_NAMES">TECHSHEET!$X$44:$X$45</definedName>
    <definedName name="XML_MR_MO_OKTMO_LIST_TAG_NAMES">TECHSHEET!$X$29:$X$35</definedName>
    <definedName name="XML_ORG_LIST_TAG_NAMES">TECHSHEET!$X$10:$X$25</definedName>
    <definedName name="XML_PARSE_STATUS_TAG_NAMES">TECHSHEET!$X$82:$X$83</definedName>
    <definedName name="XML_PLAN1X_COLDVSNA_LIST_CNCSN_TAG_NAMES">TECHSHEET!$M$153:$M$251</definedName>
    <definedName name="XML_PLAN1X_COLDVSNA_LIST_MO_TAG_NAMES">TECHSHEET!$M$142:$M$150</definedName>
    <definedName name="XML_PLAN1X_COLDVSNA_LIST_ORG_TAG_NAMES">TECHSHEET!$M$94:$M$118</definedName>
    <definedName name="XML_PLAN1X_COLDVSNA_LIST_PPL_TM_TAG_NAMES">TECHSHEET!$M$269:$M$284</definedName>
    <definedName name="XML_PLAN1X_COLDVSNA_LIST_SRC_TAG_NAMES">TECHSHEET!$M$60:$M$90</definedName>
    <definedName name="XML_PLAN1X_COLDVSNA_LIST_TMX_TAG_NAMES">TECHSHEET!$M$121:$M$139</definedName>
    <definedName name="XML_PLAN1X_HEAT_LIST_CNCSN_TAG_NAMES">TECHSHEET!$K$153:$K$251</definedName>
    <definedName name="XML_PLAN1X_HEAT_LIST_MO_TAG_NAMES">TECHSHEET!$K$142:$K$150</definedName>
    <definedName name="XML_PLAN1X_HEAT_LIST_ORG_TAG_NAMES">TECHSHEET!$K$94:$K$118</definedName>
    <definedName name="XML_PLAN1X_HEAT_LIST_PPL_TM_TAG_NAMES">TECHSHEET!$K$269:$K$284</definedName>
    <definedName name="XML_PLAN1X_HEAT_LIST_SRC_TAG_NAMES">TECHSHEET!$K$60:$K$91</definedName>
    <definedName name="XML_PLAN1X_HEAT_LIST_TMX_TAG_NAMES">TECHSHEET!$K$121:$K$139</definedName>
    <definedName name="XML_PLAN1X_VOTV_LIST_CNCSN_TAG_NAMES">TECHSHEET!$O$153:$O$251</definedName>
    <definedName name="XML_PLAN1X_VOTV_LIST_MO_TAG_NAMES">TECHSHEET!$O$142:$O$150</definedName>
    <definedName name="XML_PLAN1X_VOTV_LIST_ORG_TAG_NAMES">TECHSHEET!$O$94:$O$118</definedName>
    <definedName name="XML_PLAN1X_VOTV_LIST_PPL_TM_TAG_NAMES">TECHSHEET!$O$269:$O$284</definedName>
    <definedName name="XML_PLAN1X_VOTV_LIST_SRC_TAG_NAMES">TECHSHEET!$O$60:$O$90</definedName>
    <definedName name="XML_PLAN1X_VOTV_LIST_TMX_TAG_NAMES">TECHSHEET!$O$121:$O$139</definedName>
    <definedName name="XML_SUBSIDIARY_LIST_TAG_NAMES">TECHSHEET!$X$54:$X$55</definedName>
    <definedName name="YEAR">Титульный!$H$9</definedName>
    <definedName name="YEAR_LIST">TECHSHEET!$AA$2:$AA$20</definedName>
    <definedName name="YES_NO">TECHSHEET!$K$2:$K$3</definedName>
  </definedNames>
  <calcPr calcId="162913"/>
</workbook>
</file>

<file path=xl/calcChain.xml><?xml version="1.0" encoding="utf-8"?>
<calcChain xmlns="http://schemas.openxmlformats.org/spreadsheetml/2006/main">
  <c r="AV266" i="1138" l="1"/>
  <c r="AU266" i="1138"/>
  <c r="AV325" i="1138"/>
  <c r="AU325" i="1138"/>
  <c r="AV316" i="1138"/>
  <c r="AU316" i="1138"/>
  <c r="AV319" i="1138"/>
  <c r="AV320" i="1138"/>
  <c r="AV318" i="1138"/>
  <c r="AU320" i="1138"/>
  <c r="AU319" i="1138"/>
  <c r="AU318" i="1138"/>
  <c r="AV302" i="1138"/>
  <c r="AU302" i="1138"/>
  <c r="AV291" i="1138"/>
  <c r="AU291" i="1138"/>
  <c r="AV269" i="1138"/>
  <c r="AU269" i="1138"/>
  <c r="AV261" i="1138"/>
  <c r="AU261" i="1138"/>
  <c r="AV260" i="1138"/>
  <c r="AV258" i="1138"/>
  <c r="AU258" i="1138"/>
  <c r="AV257" i="1138"/>
  <c r="AV240" i="1138"/>
  <c r="AU240" i="1138"/>
  <c r="AV229" i="1138"/>
  <c r="AU229" i="1138"/>
  <c r="AV222" i="1138"/>
  <c r="AU222" i="1138"/>
  <c r="AV137" i="1138"/>
  <c r="AV138" i="1138"/>
  <c r="AU138" i="1138"/>
  <c r="AU137" i="1138"/>
  <c r="AV405" i="948"/>
  <c r="AU405" i="948"/>
  <c r="AT561" i="948"/>
  <c r="AT560" i="948" s="1"/>
  <c r="AV560" i="948"/>
  <c r="AU560" i="948"/>
  <c r="AT559" i="948"/>
  <c r="AV558" i="948"/>
  <c r="AU558" i="948"/>
  <c r="AT558" i="948" s="1"/>
  <c r="AV557" i="948"/>
  <c r="AU557" i="948"/>
  <c r="AT557" i="948" s="1"/>
  <c r="AV556" i="948"/>
  <c r="AU556" i="948"/>
  <c r="AT556" i="948"/>
  <c r="AV554" i="948"/>
  <c r="AU554" i="948"/>
  <c r="AT554" i="948" s="1"/>
  <c r="AV553" i="948"/>
  <c r="AU553" i="948"/>
  <c r="AT553" i="948" s="1"/>
  <c r="AV552" i="948"/>
  <c r="AU552" i="948"/>
  <c r="AV550" i="948"/>
  <c r="AU550" i="948"/>
  <c r="AT550" i="948" s="1"/>
  <c r="AV549" i="948"/>
  <c r="AU549" i="948"/>
  <c r="AT549" i="948" s="1"/>
  <c r="AV548" i="948"/>
  <c r="AU548" i="948"/>
  <c r="AT548" i="948"/>
  <c r="AV546" i="948"/>
  <c r="AU546" i="948"/>
  <c r="AT546" i="948" s="1"/>
  <c r="AV545" i="948"/>
  <c r="AU545" i="948"/>
  <c r="AT545" i="948" s="1"/>
  <c r="AV544" i="948"/>
  <c r="AT542" i="948"/>
  <c r="AT541" i="948"/>
  <c r="AT540" i="948"/>
  <c r="AT539" i="948"/>
  <c r="AT538" i="948"/>
  <c r="AT537" i="948"/>
  <c r="AT536" i="948"/>
  <c r="AT533" i="948"/>
  <c r="AT529" i="948"/>
  <c r="AT408" i="948"/>
  <c r="AT534" i="948" s="1"/>
  <c r="AT407" i="948"/>
  <c r="AT406" i="948"/>
  <c r="AT532" i="948" s="1"/>
  <c r="AT404" i="948"/>
  <c r="AT530" i="948" s="1"/>
  <c r="AT403" i="948"/>
  <c r="AT402" i="948"/>
  <c r="AV298" i="948"/>
  <c r="AU544" i="948" l="1"/>
  <c r="AT544" i="948"/>
  <c r="AT528" i="948" s="1"/>
  <c r="AT552" i="948"/>
  <c r="AT486" i="1138" l="1"/>
  <c r="AT485" i="1138"/>
  <c r="AT484" i="1138"/>
  <c r="AV482" i="1138"/>
  <c r="AU482" i="1138"/>
  <c r="AT480" i="1138"/>
  <c r="AT479" i="1138"/>
  <c r="AT482" i="1138" s="1"/>
  <c r="AT478" i="1138"/>
  <c r="AT477" i="1138"/>
  <c r="AT476" i="1138"/>
  <c r="AT475" i="1138"/>
  <c r="AT474" i="1138"/>
  <c r="AT473" i="1138"/>
  <c r="AT472" i="1138"/>
  <c r="AT471" i="1138"/>
  <c r="AT470" i="1138"/>
  <c r="AT469" i="1138"/>
  <c r="AT468" i="1138"/>
  <c r="AT467" i="1138"/>
  <c r="AT466" i="1138"/>
  <c r="AT465" i="1138"/>
  <c r="AT463" i="1138"/>
  <c r="AT462" i="1138"/>
  <c r="AT461" i="1138"/>
  <c r="AT434" i="1138"/>
  <c r="AT433" i="1138"/>
  <c r="AT341" i="1138"/>
  <c r="AT340" i="1138"/>
  <c r="AT339" i="1138"/>
  <c r="AT338" i="1138"/>
  <c r="AV336" i="1138"/>
  <c r="AU336" i="1138"/>
  <c r="AT335" i="1138"/>
  <c r="AT329" i="1138"/>
  <c r="AT328" i="1138"/>
  <c r="AT327" i="1138"/>
  <c r="AT326" i="1138"/>
  <c r="AT325" i="1138"/>
  <c r="AV324" i="1138"/>
  <c r="AU324" i="1138"/>
  <c r="AT323" i="1138"/>
  <c r="AT322" i="1138"/>
  <c r="AT321" i="1138"/>
  <c r="AT320" i="1138"/>
  <c r="AT319" i="1138"/>
  <c r="AT318" i="1138"/>
  <c r="AV317" i="1138"/>
  <c r="AU317" i="1138"/>
  <c r="AU313" i="1138" s="1"/>
  <c r="AT316" i="1138"/>
  <c r="AT315" i="1138"/>
  <c r="AT314" i="1138"/>
  <c r="AT312" i="1138"/>
  <c r="AT311" i="1138"/>
  <c r="AT310" i="1138"/>
  <c r="AV309" i="1138"/>
  <c r="AU309" i="1138"/>
  <c r="AT308" i="1138"/>
  <c r="AT307" i="1138"/>
  <c r="AT306" i="1138"/>
  <c r="AV305" i="1138"/>
  <c r="AU305" i="1138"/>
  <c r="AT305" i="1138" s="1"/>
  <c r="AT304" i="1138"/>
  <c r="AT303" i="1138"/>
  <c r="AT302" i="1138"/>
  <c r="AV301" i="1138"/>
  <c r="AU301" i="1138"/>
  <c r="AT300" i="1138"/>
  <c r="AT299" i="1138"/>
  <c r="AT298" i="1138"/>
  <c r="AT297" i="1138"/>
  <c r="AT296" i="1138"/>
  <c r="AT295" i="1138"/>
  <c r="AT294" i="1138"/>
  <c r="AV293" i="1138"/>
  <c r="AU293" i="1138"/>
  <c r="AT291" i="1138"/>
  <c r="AT290" i="1138"/>
  <c r="AT289" i="1138"/>
  <c r="AT288" i="1138"/>
  <c r="AT287" i="1138"/>
  <c r="AT286" i="1138"/>
  <c r="AT285" i="1138"/>
  <c r="AT284" i="1138"/>
  <c r="AT283" i="1138"/>
  <c r="AT282" i="1138"/>
  <c r="AT281" i="1138"/>
  <c r="AT280" i="1138"/>
  <c r="AV279" i="1138"/>
  <c r="AU279" i="1138"/>
  <c r="AT278" i="1138"/>
  <c r="AT277" i="1138"/>
  <c r="AT276" i="1138"/>
  <c r="AT275" i="1138"/>
  <c r="AV274" i="1138"/>
  <c r="AU274" i="1138"/>
  <c r="AT273" i="1138"/>
  <c r="AT272" i="1138"/>
  <c r="AT271" i="1138"/>
  <c r="AT270" i="1138"/>
  <c r="AT269" i="1138"/>
  <c r="AT268" i="1138"/>
  <c r="AT267" i="1138"/>
  <c r="AT266" i="1138"/>
  <c r="AV265" i="1138"/>
  <c r="AU265" i="1138"/>
  <c r="AT263" i="1138"/>
  <c r="AT262" i="1138"/>
  <c r="AT261" i="1138"/>
  <c r="AV259" i="1138"/>
  <c r="AU259" i="1138"/>
  <c r="AT259" i="1138" s="1"/>
  <c r="AT258" i="1138"/>
  <c r="AV256" i="1138"/>
  <c r="AU256" i="1138"/>
  <c r="AV254" i="1138"/>
  <c r="AU254" i="1138"/>
  <c r="AT254" i="1138" s="1"/>
  <c r="AV253" i="1138"/>
  <c r="AU253" i="1138"/>
  <c r="AV252" i="1138"/>
  <c r="AU252" i="1138"/>
  <c r="AV251" i="1138"/>
  <c r="AU251" i="1138"/>
  <c r="AV250" i="1138"/>
  <c r="AU250" i="1138"/>
  <c r="AV245" i="1138"/>
  <c r="AU245" i="1138"/>
  <c r="AT244" i="1138"/>
  <c r="AV241" i="1138"/>
  <c r="AU241" i="1138"/>
  <c r="AT240" i="1138"/>
  <c r="AV237" i="1138"/>
  <c r="AU237" i="1138"/>
  <c r="AT236" i="1138"/>
  <c r="AV230" i="1138"/>
  <c r="AU230" i="1138"/>
  <c r="AT229" i="1138"/>
  <c r="AV223" i="1138"/>
  <c r="AU223" i="1138"/>
  <c r="AT222" i="1138"/>
  <c r="AV219" i="1138"/>
  <c r="AV220" i="1138" s="1"/>
  <c r="AU219" i="1138"/>
  <c r="AU220" i="1138" s="1"/>
  <c r="AV218" i="1138"/>
  <c r="AV217" i="1138" s="1"/>
  <c r="AU218" i="1138"/>
  <c r="AU217" i="1138" s="1"/>
  <c r="AV216" i="1138"/>
  <c r="AU216" i="1138"/>
  <c r="AT215" i="1138"/>
  <c r="AT214" i="1138" s="1"/>
  <c r="AV213" i="1138"/>
  <c r="AU213" i="1138"/>
  <c r="AT212" i="1138"/>
  <c r="AT211" i="1138" s="1"/>
  <c r="AV210" i="1138"/>
  <c r="AU210" i="1138"/>
  <c r="AT209" i="1138"/>
  <c r="AT208" i="1138" s="1"/>
  <c r="AV207" i="1138"/>
  <c r="AU207" i="1138"/>
  <c r="AT207" i="1138" s="1"/>
  <c r="AT206" i="1138"/>
  <c r="AT205" i="1138" s="1"/>
  <c r="AV204" i="1138"/>
  <c r="AU204" i="1138"/>
  <c r="AT204" i="1138" s="1"/>
  <c r="AT203" i="1138"/>
  <c r="AT202" i="1138" s="1"/>
  <c r="AV201" i="1138"/>
  <c r="AU201" i="1138"/>
  <c r="AT200" i="1138"/>
  <c r="AT199" i="1138" s="1"/>
  <c r="AV198" i="1138"/>
  <c r="AU198" i="1138"/>
  <c r="AT198" i="1138" s="1"/>
  <c r="AT197" i="1138"/>
  <c r="AT196" i="1138" s="1"/>
  <c r="AV195" i="1138"/>
  <c r="AU195" i="1138"/>
  <c r="AT194" i="1138"/>
  <c r="AT193" i="1138" s="1"/>
  <c r="AV192" i="1138"/>
  <c r="AU192" i="1138"/>
  <c r="AV191" i="1138"/>
  <c r="AU191" i="1138"/>
  <c r="AV190" i="1138"/>
  <c r="AU190" i="1138"/>
  <c r="AT190" i="1138"/>
  <c r="AT188" i="1138"/>
  <c r="AT187" i="1138"/>
  <c r="AT186" i="1138"/>
  <c r="AV185" i="1138"/>
  <c r="AU185" i="1138"/>
  <c r="AV183" i="1138"/>
  <c r="AU183" i="1138"/>
  <c r="AT182" i="1138"/>
  <c r="AT183" i="1138" s="1"/>
  <c r="AT181" i="1138"/>
  <c r="AV179" i="1138"/>
  <c r="AU179" i="1138"/>
  <c r="AT178" i="1138"/>
  <c r="AT179" i="1138" s="1"/>
  <c r="AT177" i="1138"/>
  <c r="AV175" i="1138"/>
  <c r="AU175" i="1138"/>
  <c r="AT174" i="1138"/>
  <c r="AT175" i="1138" s="1"/>
  <c r="AT173" i="1138"/>
  <c r="AT172" i="1138" s="1"/>
  <c r="AV172" i="1138"/>
  <c r="AU172" i="1138"/>
  <c r="AT171" i="1138"/>
  <c r="AT170" i="1138"/>
  <c r="AT169" i="1138"/>
  <c r="AT168" i="1138" s="1"/>
  <c r="AV168" i="1138"/>
  <c r="AU168" i="1138"/>
  <c r="AV167" i="1138"/>
  <c r="AU167" i="1138"/>
  <c r="AT166" i="1138"/>
  <c r="AT167" i="1138" s="1"/>
  <c r="AT165" i="1138"/>
  <c r="AV163" i="1138"/>
  <c r="AU163" i="1138"/>
  <c r="AT162" i="1138"/>
  <c r="AT163" i="1138" s="1"/>
  <c r="AT161" i="1138"/>
  <c r="AV159" i="1138"/>
  <c r="AU159" i="1138"/>
  <c r="AT158" i="1138"/>
  <c r="AT159" i="1138" s="1"/>
  <c r="AT157" i="1138"/>
  <c r="AT156" i="1138" s="1"/>
  <c r="AV156" i="1138"/>
  <c r="AU156" i="1138"/>
  <c r="AU155" i="1138" s="1"/>
  <c r="AT153" i="1138"/>
  <c r="AT152" i="1138" s="1"/>
  <c r="AV151" i="1138"/>
  <c r="AU151" i="1138"/>
  <c r="AT151" i="1138" s="1"/>
  <c r="AT150" i="1138"/>
  <c r="AT149" i="1138" s="1"/>
  <c r="AV148" i="1138"/>
  <c r="AU148" i="1138"/>
  <c r="AT147" i="1138"/>
  <c r="AT146" i="1138" s="1"/>
  <c r="AV145" i="1138"/>
  <c r="AU145" i="1138"/>
  <c r="AT145" i="1138" s="1"/>
  <c r="AT144" i="1138"/>
  <c r="AT143" i="1138" s="1"/>
  <c r="AV142" i="1138"/>
  <c r="AU142" i="1138"/>
  <c r="AT141" i="1138"/>
  <c r="AT140" i="1138" s="1"/>
  <c r="AV139" i="1138"/>
  <c r="AU139" i="1138"/>
  <c r="AT139" i="1138" s="1"/>
  <c r="AT138" i="1138"/>
  <c r="AV136" i="1138"/>
  <c r="AU136" i="1138"/>
  <c r="AT135" i="1138"/>
  <c r="AT134" i="1138" s="1"/>
  <c r="AV133" i="1138"/>
  <c r="AU133" i="1138"/>
  <c r="AT133" i="1138" s="1"/>
  <c r="AT132" i="1138"/>
  <c r="AT131" i="1138" s="1"/>
  <c r="AV130" i="1138"/>
  <c r="AU130" i="1138"/>
  <c r="AV129" i="1138"/>
  <c r="AU129" i="1138"/>
  <c r="AV128" i="1138"/>
  <c r="AU128" i="1138"/>
  <c r="AT126" i="1138"/>
  <c r="AT125" i="1138"/>
  <c r="AT124" i="1138"/>
  <c r="AT123" i="1138"/>
  <c r="AV122" i="1138"/>
  <c r="AU122" i="1138"/>
  <c r="AV120" i="1138"/>
  <c r="AU120" i="1138"/>
  <c r="AT119" i="1138"/>
  <c r="AT120" i="1138" s="1"/>
  <c r="AT118" i="1138"/>
  <c r="AV116" i="1138"/>
  <c r="AU116" i="1138"/>
  <c r="AT115" i="1138"/>
  <c r="AT116" i="1138" s="1"/>
  <c r="AT114" i="1138"/>
  <c r="AV112" i="1138"/>
  <c r="AU112" i="1138"/>
  <c r="AT111" i="1138"/>
  <c r="AT112" i="1138" s="1"/>
  <c r="AT110" i="1138"/>
  <c r="AV109" i="1138"/>
  <c r="AU109" i="1138"/>
  <c r="AT108" i="1138"/>
  <c r="AT107" i="1138"/>
  <c r="AT106" i="1138"/>
  <c r="AT105" i="1138" s="1"/>
  <c r="AV105" i="1138"/>
  <c r="AU105" i="1138"/>
  <c r="AV104" i="1138"/>
  <c r="AU104" i="1138"/>
  <c r="AT103" i="1138"/>
  <c r="AT104" i="1138" s="1"/>
  <c r="AT102" i="1138"/>
  <c r="AV100" i="1138"/>
  <c r="AU100" i="1138"/>
  <c r="AT99" i="1138"/>
  <c r="AT100" i="1138" s="1"/>
  <c r="AT98" i="1138"/>
  <c r="AV96" i="1138"/>
  <c r="AU96" i="1138"/>
  <c r="AT95" i="1138"/>
  <c r="AT96" i="1138" s="1"/>
  <c r="AT94" i="1138"/>
  <c r="AT93" i="1138" s="1"/>
  <c r="AV93" i="1138"/>
  <c r="AU93" i="1138"/>
  <c r="AU92" i="1138"/>
  <c r="AT22" i="1138"/>
  <c r="AT20" i="1138"/>
  <c r="AV17" i="1138"/>
  <c r="AU17" i="1138"/>
  <c r="AT17" i="1138"/>
  <c r="AT15" i="1138" s="1"/>
  <c r="AV15" i="1138"/>
  <c r="AV1013" i="948"/>
  <c r="AU1013" i="948"/>
  <c r="AT1013" i="948"/>
  <c r="AV857" i="948"/>
  <c r="AU857" i="948"/>
  <c r="AT857" i="948"/>
  <c r="AV701" i="948"/>
  <c r="AU701" i="948"/>
  <c r="AT701" i="948"/>
  <c r="AT20" i="948"/>
  <c r="AV17" i="948"/>
  <c r="AU17" i="948"/>
  <c r="AT17" i="948"/>
  <c r="AT15" i="948" s="1"/>
  <c r="AV15" i="948"/>
  <c r="CN134" i="939"/>
  <c r="CM134" i="939"/>
  <c r="CL134" i="939"/>
  <c r="CK134" i="939"/>
  <c r="CJ134" i="939"/>
  <c r="CI134" i="939"/>
  <c r="CH134" i="939"/>
  <c r="CW135" i="939" s="1"/>
  <c r="CG134" i="939"/>
  <c r="CF134" i="939"/>
  <c r="CE134" i="939"/>
  <c r="BY134" i="939"/>
  <c r="CX141" i="939" s="1"/>
  <c r="BX134" i="939"/>
  <c r="BW134" i="939"/>
  <c r="BV134" i="939"/>
  <c r="BU134" i="939"/>
  <c r="CT141" i="939" s="1"/>
  <c r="BT134" i="939"/>
  <c r="BS134" i="939"/>
  <c r="BR134" i="939"/>
  <c r="BQ134" i="939"/>
  <c r="CU135" i="939" s="1"/>
  <c r="BP134" i="939"/>
  <c r="A132" i="939"/>
  <c r="G132" i="939"/>
  <c r="F134" i="939"/>
  <c r="C132" i="939" s="1"/>
  <c r="BA145" i="939" s="1"/>
  <c r="F132" i="939"/>
  <c r="F145" i="939" s="1"/>
  <c r="AU146" i="1106"/>
  <c r="AQ146" i="1106"/>
  <c r="O146" i="1106"/>
  <c r="M146" i="1106" s="1"/>
  <c r="K146" i="1106" s="1"/>
  <c r="AU145" i="1106"/>
  <c r="AQ145" i="1106"/>
  <c r="O145" i="1106"/>
  <c r="M145" i="1106" s="1"/>
  <c r="K145" i="1106" s="1"/>
  <c r="AU144" i="1106"/>
  <c r="AQ144" i="1106"/>
  <c r="AO144" i="1106" s="1"/>
  <c r="O144" i="1106"/>
  <c r="M144" i="1106" s="1"/>
  <c r="K144" i="1106" s="1"/>
  <c r="AU143" i="1106"/>
  <c r="AO143" i="1106" s="1"/>
  <c r="AQ143" i="1106"/>
  <c r="O143" i="1106"/>
  <c r="M143" i="1106" s="1"/>
  <c r="K143" i="1106" s="1"/>
  <c r="AU142" i="1106"/>
  <c r="AQ142" i="1106"/>
  <c r="O142" i="1106"/>
  <c r="M142" i="1106" s="1"/>
  <c r="K142" i="1106" s="1"/>
  <c r="BX141" i="1106"/>
  <c r="BW141" i="1106"/>
  <c r="BV141" i="1106"/>
  <c r="BU141" i="1106"/>
  <c r="BS141" i="1106"/>
  <c r="BR141" i="1106"/>
  <c r="BQ141" i="1106"/>
  <c r="BP141" i="1106"/>
  <c r="AU141" i="1106"/>
  <c r="AQ141" i="1106"/>
  <c r="O141" i="1106"/>
  <c r="M141" i="1106" s="1"/>
  <c r="K141" i="1106" s="1"/>
  <c r="AU140" i="1106"/>
  <c r="AQ140" i="1106"/>
  <c r="AO140" i="1106"/>
  <c r="O140" i="1106"/>
  <c r="M140" i="1106" s="1"/>
  <c r="K140" i="1106" s="1"/>
  <c r="AU139" i="1106"/>
  <c r="AQ139" i="1106"/>
  <c r="AO139" i="1106" s="1"/>
  <c r="O139" i="1106"/>
  <c r="M139" i="1106" s="1"/>
  <c r="K139" i="1106" s="1"/>
  <c r="AU138" i="1106"/>
  <c r="AO138" i="1106" s="1"/>
  <c r="AQ138" i="1106"/>
  <c r="O138" i="1106"/>
  <c r="M138" i="1106" s="1"/>
  <c r="K138" i="1106" s="1"/>
  <c r="AU137" i="1106"/>
  <c r="AQ137" i="1106"/>
  <c r="O137" i="1106"/>
  <c r="M137" i="1106" s="1"/>
  <c r="K137" i="1106" s="1"/>
  <c r="AU136" i="1106"/>
  <c r="AQ136" i="1106"/>
  <c r="O136" i="1106"/>
  <c r="M136" i="1106" s="1"/>
  <c r="K136" i="1106" s="1"/>
  <c r="BX135" i="1106"/>
  <c r="BW135" i="1106"/>
  <c r="BV135" i="1106"/>
  <c r="BU135" i="1106"/>
  <c r="BS135" i="1106"/>
  <c r="BR135" i="1106"/>
  <c r="BQ135" i="1106"/>
  <c r="BP135" i="1106"/>
  <c r="AU135" i="1106"/>
  <c r="AQ135" i="1106"/>
  <c r="O135" i="1106"/>
  <c r="M135" i="1106" s="1"/>
  <c r="K135" i="1106" s="1"/>
  <c r="BX134" i="1106"/>
  <c r="BW134" i="1106"/>
  <c r="BV134" i="1106"/>
  <c r="BU134" i="1106"/>
  <c r="BS134" i="1106"/>
  <c r="BR134" i="1106"/>
  <c r="BQ134" i="1106"/>
  <c r="BP134" i="1106"/>
  <c r="AX134" i="1106"/>
  <c r="AX132" i="1106" s="1"/>
  <c r="AW134" i="1106"/>
  <c r="AV134" i="1106"/>
  <c r="AV132" i="1106" s="1"/>
  <c r="AT134" i="1106"/>
  <c r="AT132" i="1106" s="1"/>
  <c r="AS134" i="1106"/>
  <c r="AS132" i="1106" s="1"/>
  <c r="AR134" i="1106"/>
  <c r="AR132" i="1106" s="1"/>
  <c r="AI134" i="1106"/>
  <c r="AI132" i="1106" s="1"/>
  <c r="AE134" i="1106"/>
  <c r="AE132" i="1106" s="1"/>
  <c r="AA134" i="1106"/>
  <c r="AA132" i="1106" s="1"/>
  <c r="W134" i="1106"/>
  <c r="W132" i="1106" s="1"/>
  <c r="V134" i="1106"/>
  <c r="V132" i="1106" s="1"/>
  <c r="U134" i="1106"/>
  <c r="T134" i="1106"/>
  <c r="T132" i="1106" s="1"/>
  <c r="S134" i="1106"/>
  <c r="S132" i="1106" s="1"/>
  <c r="R134" i="1106"/>
  <c r="R132" i="1106" s="1"/>
  <c r="Q134" i="1106"/>
  <c r="P134" i="1106"/>
  <c r="P132" i="1106" s="1"/>
  <c r="AW132" i="1106"/>
  <c r="AN132" i="1106"/>
  <c r="AL132" i="1106"/>
  <c r="AK132" i="1106"/>
  <c r="AJ132" i="1106"/>
  <c r="AH132" i="1106"/>
  <c r="AG132" i="1106"/>
  <c r="AF132" i="1106"/>
  <c r="AD132" i="1106"/>
  <c r="AC132" i="1106"/>
  <c r="AB132" i="1106"/>
  <c r="Z132" i="1106"/>
  <c r="Y132" i="1106"/>
  <c r="X132" i="1106"/>
  <c r="U132" i="1106"/>
  <c r="Q132" i="1106"/>
  <c r="L132" i="1106"/>
  <c r="A132" i="1106"/>
  <c r="J132" i="1106" s="1"/>
  <c r="J134" i="1106" s="1"/>
  <c r="G132" i="1106"/>
  <c r="F142" i="1106"/>
  <c r="F132" i="1106"/>
  <c r="J146" i="1106" s="1"/>
  <c r="N16" i="1144"/>
  <c r="I16" i="1144"/>
  <c r="H16" i="1144"/>
  <c r="G16" i="1144"/>
  <c r="F16" i="1144"/>
  <c r="Q16" i="1144"/>
  <c r="T16" i="936" s="1"/>
  <c r="N16" i="1139"/>
  <c r="I16" i="1139"/>
  <c r="H16" i="1139"/>
  <c r="G16" i="1139"/>
  <c r="F16" i="1139"/>
  <c r="R16" i="1139" s="1"/>
  <c r="Q16" i="1139"/>
  <c r="S16" i="936" s="1"/>
  <c r="I16" i="1109"/>
  <c r="H16" i="1109"/>
  <c r="G16" i="1109"/>
  <c r="F16" i="1109"/>
  <c r="R16" i="1109" s="1"/>
  <c r="X16" i="1109"/>
  <c r="W16" i="1109"/>
  <c r="V16" i="1109"/>
  <c r="U16" i="1109"/>
  <c r="T16" i="1109"/>
  <c r="S16" i="1109"/>
  <c r="Q16" i="1109"/>
  <c r="Q16" i="936" s="1"/>
  <c r="M16" i="936"/>
  <c r="AT21" i="1138" s="1"/>
  <c r="J16" i="936"/>
  <c r="AO136" i="1106" l="1"/>
  <c r="AO146" i="1106"/>
  <c r="AU134" i="1106"/>
  <c r="AU132" i="1106" s="1"/>
  <c r="AT260" i="1138"/>
  <c r="AT253" i="1138"/>
  <c r="AT250" i="1138"/>
  <c r="AT128" i="1138"/>
  <c r="AO137" i="1106"/>
  <c r="AO145" i="1106"/>
  <c r="AV189" i="1138"/>
  <c r="AQ134" i="1106"/>
  <c r="AQ132" i="1106" s="1"/>
  <c r="AO142" i="1106"/>
  <c r="AT256" i="1138"/>
  <c r="AT257" i="1138" s="1"/>
  <c r="AT185" i="1138"/>
  <c r="F135" i="939"/>
  <c r="AT129" i="1138"/>
  <c r="AT195" i="1138"/>
  <c r="AT210" i="1138"/>
  <c r="AT279" i="1138"/>
  <c r="AT317" i="1138"/>
  <c r="F134" i="1106"/>
  <c r="AO141" i="1106"/>
  <c r="F139" i="939"/>
  <c r="CY135" i="939"/>
  <c r="CX135" i="939"/>
  <c r="CW141" i="939"/>
  <c r="AT122" i="1138"/>
  <c r="AU127" i="1138"/>
  <c r="AU91" i="1138" s="1"/>
  <c r="AU248" i="1138"/>
  <c r="F144" i="939"/>
  <c r="AT109" i="1138"/>
  <c r="AT130" i="1138"/>
  <c r="AT142" i="1138"/>
  <c r="AT191" i="1138"/>
  <c r="AT216" i="1138"/>
  <c r="AT293" i="1138"/>
  <c r="F140" i="1106"/>
  <c r="AO135" i="1106"/>
  <c r="F138" i="939"/>
  <c r="F143" i="939"/>
  <c r="CV141" i="939"/>
  <c r="AV92" i="1138"/>
  <c r="AV155" i="1138"/>
  <c r="AV154" i="1138" s="1"/>
  <c r="AT192" i="1138"/>
  <c r="AT251" i="1138"/>
  <c r="AT265" i="1138"/>
  <c r="AT309" i="1138"/>
  <c r="J135" i="1106"/>
  <c r="J137" i="1106"/>
  <c r="J139" i="1106"/>
  <c r="J141" i="1106"/>
  <c r="AT324" i="1138"/>
  <c r="AT336" i="1138"/>
  <c r="F136" i="1106"/>
  <c r="F144" i="1106"/>
  <c r="F140" i="939"/>
  <c r="F146" i="939"/>
  <c r="AT136" i="1138"/>
  <c r="AT137" i="1138" s="1"/>
  <c r="AT201" i="1138"/>
  <c r="AT301" i="1138"/>
  <c r="F138" i="1106"/>
  <c r="F146" i="1106"/>
  <c r="O134" i="1106"/>
  <c r="M134" i="1106" s="1"/>
  <c r="J136" i="1106"/>
  <c r="J138" i="1106"/>
  <c r="J140" i="1106"/>
  <c r="F136" i="939"/>
  <c r="F142" i="939"/>
  <c r="CV135" i="939"/>
  <c r="CY141" i="939"/>
  <c r="AT148" i="1138"/>
  <c r="AT213" i="1138"/>
  <c r="AV248" i="1138"/>
  <c r="AT248" i="1138" s="1"/>
  <c r="AT252" i="1138"/>
  <c r="AT274" i="1138"/>
  <c r="H134" i="1106"/>
  <c r="H132" i="1106" s="1"/>
  <c r="C132" i="1106"/>
  <c r="I134" i="1106"/>
  <c r="I132" i="1106" s="1"/>
  <c r="X16" i="1144"/>
  <c r="R16" i="1144"/>
  <c r="AT92" i="1138"/>
  <c r="AT155" i="1138"/>
  <c r="F135" i="1106"/>
  <c r="F139" i="1106"/>
  <c r="F143" i="1106"/>
  <c r="F137" i="939"/>
  <c r="F141" i="939"/>
  <c r="BB134" i="939"/>
  <c r="BA136" i="939"/>
  <c r="BA140" i="939"/>
  <c r="BA142" i="939"/>
  <c r="BA146" i="939"/>
  <c r="AT21" i="948"/>
  <c r="AU189" i="1138"/>
  <c r="AT189" i="1138" s="1"/>
  <c r="BA135" i="939"/>
  <c r="BA137" i="939"/>
  <c r="BA141" i="939"/>
  <c r="BA143" i="939"/>
  <c r="F137" i="1106"/>
  <c r="F141" i="1106"/>
  <c r="F145" i="1106"/>
  <c r="CT135" i="939"/>
  <c r="BA138" i="939"/>
  <c r="BA144" i="939"/>
  <c r="AU15" i="948"/>
  <c r="AV127" i="1138"/>
  <c r="AV91" i="1138" s="1"/>
  <c r="AV90" i="1138" s="1"/>
  <c r="J142" i="1106"/>
  <c r="J143" i="1106"/>
  <c r="J144" i="1106"/>
  <c r="J145" i="1106"/>
  <c r="BA139" i="939"/>
  <c r="CU141" i="939"/>
  <c r="AU15" i="1138"/>
  <c r="AV313" i="1138"/>
  <c r="AT313" i="1138" s="1"/>
  <c r="AO134" i="1106" l="1"/>
  <c r="O132" i="1106"/>
  <c r="AT127" i="1138"/>
  <c r="AT91" i="1138"/>
  <c r="CE134" i="1106"/>
  <c r="M132" i="1106"/>
  <c r="AT154" i="1138"/>
  <c r="AU154" i="1138"/>
  <c r="AU90" i="1138" s="1"/>
  <c r="BA146" i="1106"/>
  <c r="BA145" i="1106"/>
  <c r="BA144" i="1106"/>
  <c r="BA143" i="1106"/>
  <c r="BA142" i="1106"/>
  <c r="BA141" i="1106"/>
  <c r="BA140" i="1106"/>
  <c r="BA139" i="1106"/>
  <c r="BA138" i="1106"/>
  <c r="BA137" i="1106"/>
  <c r="BA136" i="1106"/>
  <c r="BA135" i="1106"/>
  <c r="AO132" i="1106" l="1"/>
  <c r="AM134" i="1106"/>
  <c r="AT90" i="1138"/>
  <c r="AQ16" i="1144"/>
  <c r="AU1104" i="948"/>
  <c r="AU1106" i="948"/>
  <c r="AU1107" i="948" s="1"/>
  <c r="AV426" i="1138"/>
  <c r="AV424" i="1138" s="1"/>
  <c r="AV423" i="1138"/>
  <c r="AV1104" i="948"/>
  <c r="AU429" i="1138"/>
  <c r="AU426" i="1138"/>
  <c r="AV371" i="1138"/>
  <c r="AU373" i="1138"/>
  <c r="AV432" i="1138"/>
  <c r="AV430" i="1138" s="1"/>
  <c r="AV429" i="1138"/>
  <c r="AV427" i="1138" s="1"/>
  <c r="AV1106" i="948"/>
  <c r="AU423" i="1138"/>
  <c r="AU432" i="1138"/>
  <c r="AV373" i="1138"/>
  <c r="AU371" i="1138"/>
  <c r="AT371" i="1138" s="1"/>
  <c r="AU370" i="1138"/>
  <c r="AV370" i="1138"/>
  <c r="AM132" i="1106" l="1"/>
  <c r="K134" i="1106"/>
  <c r="K132" i="1106" s="1"/>
  <c r="AV1107" i="948"/>
  <c r="AV1108" i="948" s="1"/>
  <c r="AV372" i="1138"/>
  <c r="AU424" i="1138"/>
  <c r="AT424" i="1138" s="1"/>
  <c r="AT426" i="1138"/>
  <c r="AV421" i="1138"/>
  <c r="AV419" i="1138" s="1"/>
  <c r="AV420" i="1138"/>
  <c r="AU430" i="1138"/>
  <c r="AT430" i="1138" s="1"/>
  <c r="AT432" i="1138"/>
  <c r="AT429" i="1138"/>
  <c r="AT428" i="1138" s="1"/>
  <c r="AU427" i="1138"/>
  <c r="AT427" i="1138" s="1"/>
  <c r="AU1108" i="948"/>
  <c r="AT1106" i="948"/>
  <c r="AT370" i="1138"/>
  <c r="AT372" i="1138" s="1"/>
  <c r="AU372" i="1138"/>
  <c r="AU420" i="1138"/>
  <c r="AU421" i="1138"/>
  <c r="AT423" i="1138"/>
  <c r="AT422" i="1138" s="1"/>
  <c r="AT373" i="1138"/>
  <c r="AT1104" i="948"/>
  <c r="AT1107" i="948" l="1"/>
  <c r="AT1108" i="948"/>
  <c r="AT431" i="1138"/>
  <c r="AT425" i="1138"/>
  <c r="AT421" i="1138"/>
  <c r="AU419" i="1138"/>
  <c r="AT420" i="1138"/>
  <c r="AT419" i="1138" l="1"/>
  <c r="AG25" i="1150" l="1"/>
  <c r="AF25" i="1150"/>
  <c r="AG25" i="1148"/>
  <c r="AF25" i="1148"/>
  <c r="B3" i="1091"/>
  <c r="B2" i="1091"/>
  <c r="AG92" i="1151" l="1"/>
  <c r="AF92" i="1151"/>
  <c r="AG64" i="1151"/>
  <c r="AF64" i="1151"/>
  <c r="AG27" i="1151"/>
  <c r="AF27" i="1151"/>
  <c r="AG92" i="1149"/>
  <c r="AF92" i="1149"/>
  <c r="AG64" i="1149"/>
  <c r="AF64" i="1149"/>
  <c r="AG27" i="1149"/>
  <c r="AF27" i="1149"/>
  <c r="AE361" i="1150" l="1"/>
  <c r="AE358" i="1150"/>
  <c r="AE357" i="1150"/>
  <c r="AE356" i="1150"/>
  <c r="AE352" i="1150"/>
  <c r="AE351" i="1150"/>
  <c r="AE350" i="1150"/>
  <c r="AE349" i="1150"/>
  <c r="AE348" i="1150"/>
  <c r="AE347" i="1150"/>
  <c r="AE346" i="1150"/>
  <c r="AE345" i="1150"/>
  <c r="AE344" i="1150"/>
  <c r="AE343" i="1150"/>
  <c r="AE342" i="1150"/>
  <c r="AE341" i="1150"/>
  <c r="AE340" i="1150"/>
  <c r="AE339" i="1150"/>
  <c r="AE338" i="1150"/>
  <c r="AE337" i="1150"/>
  <c r="AE335" i="1150"/>
  <c r="AE334" i="1150"/>
  <c r="AE333" i="1150"/>
  <c r="AE358" i="1148"/>
  <c r="AE357" i="1148"/>
  <c r="AE356" i="1148"/>
  <c r="AE352" i="1148"/>
  <c r="AE351" i="1148"/>
  <c r="AE350" i="1148"/>
  <c r="AE349" i="1148"/>
  <c r="AE348" i="1148"/>
  <c r="AE347" i="1148"/>
  <c r="AE346" i="1148"/>
  <c r="AE345" i="1148"/>
  <c r="AE344" i="1148"/>
  <c r="AE343" i="1148"/>
  <c r="AE342" i="1148"/>
  <c r="AE341" i="1148"/>
  <c r="AE340" i="1148"/>
  <c r="AE339" i="1148"/>
  <c r="AE338" i="1148"/>
  <c r="AE337" i="1148"/>
  <c r="AE335" i="1148"/>
  <c r="AE334" i="1148"/>
  <c r="AE333" i="1148"/>
  <c r="AE486" i="967"/>
  <c r="AE485" i="967"/>
  <c r="AE484" i="967"/>
  <c r="AE480" i="967"/>
  <c r="AE479" i="967"/>
  <c r="AE478" i="967"/>
  <c r="AE477" i="967"/>
  <c r="AE476" i="967"/>
  <c r="AE475" i="967"/>
  <c r="AE474" i="967"/>
  <c r="AE473" i="967"/>
  <c r="AE472" i="967"/>
  <c r="AE471" i="967"/>
  <c r="AE470" i="967"/>
  <c r="AE469" i="967"/>
  <c r="AE468" i="967"/>
  <c r="AE467" i="967"/>
  <c r="AE466" i="967"/>
  <c r="AE465" i="967"/>
  <c r="AE463" i="967"/>
  <c r="AE462" i="967"/>
  <c r="AE461" i="967"/>
  <c r="AE171" i="967" l="1"/>
  <c r="AE108" i="967"/>
  <c r="AP171" i="1138"/>
  <c r="AQ171" i="1138"/>
  <c r="AR171" i="1138"/>
  <c r="AP108" i="1138"/>
  <c r="AQ108" i="1138"/>
  <c r="AR108" i="1138"/>
  <c r="AG1106" i="1147" l="1"/>
  <c r="AF1106" i="1147"/>
  <c r="AG1104" i="1147"/>
  <c r="AF1104" i="1147"/>
  <c r="AK1102" i="1147" l="1"/>
  <c r="AK1101" i="1147"/>
  <c r="AK1098" i="1147"/>
  <c r="AK1093" i="1147"/>
  <c r="AK1090" i="1147"/>
  <c r="AK1087" i="1147"/>
  <c r="AK1084" i="1147"/>
  <c r="AK1081" i="1147"/>
  <c r="AK1078" i="1147"/>
  <c r="AK1075" i="1147"/>
  <c r="AK1072" i="1147"/>
  <c r="AK1011" i="1147"/>
  <c r="AK1010" i="1147"/>
  <c r="AK1009" i="1147"/>
  <c r="AK1008" i="1147"/>
  <c r="AK1007" i="1147"/>
  <c r="AK1006" i="1147"/>
  <c r="AK1005" i="1147"/>
  <c r="AK1002" i="1147"/>
  <c r="AK1001" i="1147"/>
  <c r="AK1000" i="1147"/>
  <c r="AK999" i="1147"/>
  <c r="AK998" i="1147"/>
  <c r="AK997" i="1147"/>
  <c r="AK996" i="1147"/>
  <c r="AK995" i="1147"/>
  <c r="AK994" i="1147"/>
  <c r="AK993" i="1147"/>
  <c r="AK992" i="1147"/>
  <c r="AK991" i="1147"/>
  <c r="AK990" i="1147"/>
  <c r="AK989" i="1147"/>
  <c r="AK988" i="1147"/>
  <c r="AK987" i="1147"/>
  <c r="AK986" i="1147"/>
  <c r="AK984" i="1147"/>
  <c r="AK983" i="1147"/>
  <c r="AK982" i="1147"/>
  <c r="AK981" i="1147"/>
  <c r="AK980" i="1147"/>
  <c r="AK979" i="1147"/>
  <c r="AK978" i="1147"/>
  <c r="AK976" i="1147"/>
  <c r="AK975" i="1147"/>
  <c r="AK974" i="1147"/>
  <c r="AK973" i="1147"/>
  <c r="AK971" i="1147"/>
  <c r="AK970" i="1147"/>
  <c r="AK855" i="1147"/>
  <c r="AK854" i="1147"/>
  <c r="AK853" i="1147"/>
  <c r="AK852" i="1147"/>
  <c r="AK851" i="1147"/>
  <c r="AK850" i="1147"/>
  <c r="AK849" i="1147"/>
  <c r="AK846" i="1147"/>
  <c r="AK845" i="1147"/>
  <c r="AK844" i="1147"/>
  <c r="AK843" i="1147"/>
  <c r="AK842" i="1147"/>
  <c r="AK841" i="1147"/>
  <c r="AK840" i="1147"/>
  <c r="AK839" i="1147"/>
  <c r="AK838" i="1147"/>
  <c r="AK837" i="1147"/>
  <c r="AK836" i="1147"/>
  <c r="AK835" i="1147"/>
  <c r="AK834" i="1147"/>
  <c r="AK833" i="1147"/>
  <c r="AK832" i="1147"/>
  <c r="AK831" i="1147"/>
  <c r="AK830" i="1147"/>
  <c r="AK828" i="1147"/>
  <c r="AK827" i="1147"/>
  <c r="AK826" i="1147"/>
  <c r="AK825" i="1147"/>
  <c r="AK824" i="1147"/>
  <c r="AK823" i="1147"/>
  <c r="AK822" i="1147"/>
  <c r="AK820" i="1147"/>
  <c r="AK819" i="1147"/>
  <c r="AK818" i="1147"/>
  <c r="AK817" i="1147"/>
  <c r="AK815" i="1147"/>
  <c r="AK814" i="1147"/>
  <c r="AK699" i="1147"/>
  <c r="AK698" i="1147"/>
  <c r="AK697" i="1147"/>
  <c r="AK696" i="1147"/>
  <c r="AK695" i="1147"/>
  <c r="AK694" i="1147"/>
  <c r="AK693" i="1147"/>
  <c r="AK690" i="1147"/>
  <c r="AK689" i="1147"/>
  <c r="AK688" i="1147"/>
  <c r="AK687" i="1147"/>
  <c r="AK686" i="1147"/>
  <c r="AK685" i="1147"/>
  <c r="AK684" i="1147"/>
  <c r="AK683" i="1147"/>
  <c r="AK682" i="1147"/>
  <c r="AK681" i="1147"/>
  <c r="AK680" i="1147"/>
  <c r="AK679" i="1147"/>
  <c r="AK678" i="1147"/>
  <c r="AK677" i="1147"/>
  <c r="AK676" i="1147"/>
  <c r="AK675" i="1147"/>
  <c r="AK674" i="1147"/>
  <c r="AK672" i="1147"/>
  <c r="AK671" i="1147"/>
  <c r="AK670" i="1147"/>
  <c r="AK669" i="1147"/>
  <c r="AK668" i="1147"/>
  <c r="AK667" i="1147"/>
  <c r="AK666" i="1147"/>
  <c r="AK664" i="1147"/>
  <c r="AK663" i="1147"/>
  <c r="AK662" i="1147"/>
  <c r="AK661" i="1147"/>
  <c r="AK659" i="1147"/>
  <c r="AK658" i="1147"/>
  <c r="AK596" i="1147"/>
  <c r="AK594" i="1147"/>
  <c r="AK561" i="1147"/>
  <c r="AK559" i="1147"/>
  <c r="AK416" i="1147"/>
  <c r="AK415" i="1147"/>
  <c r="AK414" i="1147"/>
  <c r="AK413" i="1147"/>
  <c r="AK412" i="1147"/>
  <c r="AK411" i="1147"/>
  <c r="AK410" i="1147"/>
  <c r="AK408" i="1147"/>
  <c r="AK407" i="1147"/>
  <c r="AK406" i="1147"/>
  <c r="AK405" i="1147"/>
  <c r="AK404" i="1147"/>
  <c r="AK403" i="1147"/>
  <c r="AK402" i="1147"/>
  <c r="AK398" i="1147"/>
  <c r="AK397" i="1147"/>
  <c r="AK396" i="1147"/>
  <c r="AK395" i="1147"/>
  <c r="AK394" i="1147"/>
  <c r="AK393" i="1147"/>
  <c r="AK392" i="1147"/>
  <c r="AK389" i="1147"/>
  <c r="AK388" i="1147"/>
  <c r="AK387" i="1147"/>
  <c r="AK386" i="1147"/>
  <c r="AK385" i="1147"/>
  <c r="AK384" i="1147"/>
  <c r="AK383" i="1147"/>
  <c r="AK382" i="1147"/>
  <c r="AK381" i="1147"/>
  <c r="AK380" i="1147"/>
  <c r="AK379" i="1147"/>
  <c r="AK378" i="1147"/>
  <c r="AK377" i="1147"/>
  <c r="AK376" i="1147"/>
  <c r="AK375" i="1147"/>
  <c r="AK374" i="1147"/>
  <c r="AK373" i="1147"/>
  <c r="AK371" i="1147"/>
  <c r="AK370" i="1147"/>
  <c r="AK369" i="1147"/>
  <c r="AK368" i="1147"/>
  <c r="AK367" i="1147"/>
  <c r="AK366" i="1147"/>
  <c r="AK365" i="1147"/>
  <c r="AK363" i="1147"/>
  <c r="AK362" i="1147"/>
  <c r="AK361" i="1147"/>
  <c r="AK360" i="1147"/>
  <c r="AK358" i="1147"/>
  <c r="AK357" i="1147"/>
  <c r="AK356" i="1147"/>
  <c r="AK355" i="1147"/>
  <c r="AK354" i="1147"/>
  <c r="AK353" i="1147"/>
  <c r="AK352" i="1147"/>
  <c r="AR361" i="1045" l="1"/>
  <c r="AQ361" i="1045"/>
  <c r="AP361" i="1045"/>
  <c r="AR358" i="1045"/>
  <c r="AQ358" i="1045"/>
  <c r="AP358" i="1045"/>
  <c r="AR357" i="1045"/>
  <c r="AQ357" i="1045"/>
  <c r="AP357" i="1045"/>
  <c r="AR356" i="1045"/>
  <c r="AQ356" i="1045"/>
  <c r="AP356" i="1045"/>
  <c r="AR354" i="1045"/>
  <c r="AQ354" i="1045"/>
  <c r="AP354" i="1045"/>
  <c r="AR352" i="1045"/>
  <c r="AQ352" i="1045"/>
  <c r="AP352" i="1045"/>
  <c r="AR351" i="1045"/>
  <c r="AQ351" i="1045"/>
  <c r="AP351" i="1045"/>
  <c r="AR350" i="1045"/>
  <c r="AQ350" i="1045"/>
  <c r="AP350" i="1045"/>
  <c r="AR349" i="1045"/>
  <c r="AQ349" i="1045"/>
  <c r="AP349" i="1045"/>
  <c r="AR348" i="1045"/>
  <c r="AQ348" i="1045"/>
  <c r="AP348" i="1045"/>
  <c r="AR347" i="1045"/>
  <c r="AQ347" i="1045"/>
  <c r="AP347" i="1045"/>
  <c r="AR346" i="1045"/>
  <c r="AQ346" i="1045"/>
  <c r="AP346" i="1045"/>
  <c r="AR345" i="1045"/>
  <c r="AQ345" i="1045"/>
  <c r="AP345" i="1045"/>
  <c r="AR344" i="1045"/>
  <c r="AQ344" i="1045"/>
  <c r="AP344" i="1045"/>
  <c r="AR343" i="1045"/>
  <c r="AQ343" i="1045"/>
  <c r="AP343" i="1045"/>
  <c r="AR342" i="1045"/>
  <c r="AQ342" i="1045"/>
  <c r="AP342" i="1045"/>
  <c r="AR341" i="1045"/>
  <c r="AQ341" i="1045"/>
  <c r="AP341" i="1045"/>
  <c r="AR340" i="1045"/>
  <c r="AQ340" i="1045"/>
  <c r="AP340" i="1045"/>
  <c r="AR339" i="1045"/>
  <c r="AQ339" i="1045"/>
  <c r="AP339" i="1045"/>
  <c r="AR338" i="1045"/>
  <c r="AQ338" i="1045"/>
  <c r="AP338" i="1045"/>
  <c r="AR337" i="1045"/>
  <c r="AQ337" i="1045"/>
  <c r="AP337" i="1045"/>
  <c r="AR335" i="1045"/>
  <c r="AQ335" i="1045"/>
  <c r="AP335" i="1045"/>
  <c r="AR334" i="1045"/>
  <c r="AQ334" i="1045"/>
  <c r="AP334" i="1045"/>
  <c r="AR333" i="1045"/>
  <c r="AQ333" i="1045"/>
  <c r="AP333" i="1045"/>
  <c r="AR358" i="1005"/>
  <c r="AQ358" i="1005"/>
  <c r="AP358" i="1005"/>
  <c r="AR357" i="1005"/>
  <c r="AQ357" i="1005"/>
  <c r="AP357" i="1005"/>
  <c r="AR356" i="1005"/>
  <c r="AQ356" i="1005"/>
  <c r="AP356" i="1005"/>
  <c r="AR354" i="1005"/>
  <c r="AQ354" i="1005"/>
  <c r="AP354" i="1005"/>
  <c r="AR352" i="1005"/>
  <c r="AQ352" i="1005"/>
  <c r="AP352" i="1005"/>
  <c r="AR351" i="1005"/>
  <c r="AQ351" i="1005"/>
  <c r="AP351" i="1005"/>
  <c r="AR350" i="1005"/>
  <c r="AQ350" i="1005"/>
  <c r="AP350" i="1005"/>
  <c r="AR349" i="1005"/>
  <c r="AQ349" i="1005"/>
  <c r="AP349" i="1005"/>
  <c r="AR348" i="1005"/>
  <c r="AQ348" i="1005"/>
  <c r="AP348" i="1005"/>
  <c r="AR347" i="1005"/>
  <c r="AQ347" i="1005"/>
  <c r="AP347" i="1005"/>
  <c r="AR346" i="1005"/>
  <c r="AQ346" i="1005"/>
  <c r="AP346" i="1005"/>
  <c r="AR345" i="1005"/>
  <c r="AQ345" i="1005"/>
  <c r="AP345" i="1005"/>
  <c r="AR344" i="1005"/>
  <c r="AQ344" i="1005"/>
  <c r="AP344" i="1005"/>
  <c r="AR343" i="1005"/>
  <c r="AQ343" i="1005"/>
  <c r="AP343" i="1005"/>
  <c r="AR342" i="1005"/>
  <c r="AQ342" i="1005"/>
  <c r="AP342" i="1005"/>
  <c r="AR341" i="1005"/>
  <c r="AQ341" i="1005"/>
  <c r="AP341" i="1005"/>
  <c r="AR340" i="1005"/>
  <c r="AQ340" i="1005"/>
  <c r="AP340" i="1005"/>
  <c r="AR339" i="1005"/>
  <c r="AQ339" i="1005"/>
  <c r="AP339" i="1005"/>
  <c r="AR338" i="1005"/>
  <c r="AQ338" i="1005"/>
  <c r="AP338" i="1005"/>
  <c r="AR337" i="1005"/>
  <c r="AQ337" i="1005"/>
  <c r="AP337" i="1005"/>
  <c r="AR335" i="1005"/>
  <c r="AQ335" i="1005"/>
  <c r="AP335" i="1005"/>
  <c r="AR334" i="1005"/>
  <c r="AQ334" i="1005"/>
  <c r="AP334" i="1005"/>
  <c r="AR333" i="1005"/>
  <c r="AQ333" i="1005"/>
  <c r="AP333" i="1005"/>
  <c r="AR486" i="1138"/>
  <c r="AQ486" i="1138"/>
  <c r="AP486" i="1138"/>
  <c r="AR485" i="1138"/>
  <c r="AQ485" i="1138"/>
  <c r="AP485" i="1138"/>
  <c r="AR484" i="1138"/>
  <c r="AQ484" i="1138"/>
  <c r="AP484" i="1138"/>
  <c r="AR482" i="1138"/>
  <c r="AQ482" i="1138"/>
  <c r="AP482" i="1138"/>
  <c r="AR480" i="1138"/>
  <c r="AQ480" i="1138"/>
  <c r="AP480" i="1138"/>
  <c r="AR479" i="1138"/>
  <c r="AQ479" i="1138"/>
  <c r="AP479" i="1138"/>
  <c r="AR478" i="1138"/>
  <c r="AQ478" i="1138"/>
  <c r="AP478" i="1138"/>
  <c r="AR477" i="1138"/>
  <c r="AQ477" i="1138"/>
  <c r="AP477" i="1138"/>
  <c r="AR476" i="1138"/>
  <c r="AQ476" i="1138"/>
  <c r="AP476" i="1138"/>
  <c r="AR475" i="1138"/>
  <c r="AQ475" i="1138"/>
  <c r="AP475" i="1138"/>
  <c r="AR474" i="1138"/>
  <c r="AQ474" i="1138"/>
  <c r="AP474" i="1138"/>
  <c r="AR473" i="1138"/>
  <c r="AQ473" i="1138"/>
  <c r="AP473" i="1138"/>
  <c r="AR472" i="1138"/>
  <c r="AQ472" i="1138"/>
  <c r="AP472" i="1138"/>
  <c r="AR471" i="1138"/>
  <c r="AQ471" i="1138"/>
  <c r="AP471" i="1138"/>
  <c r="AR470" i="1138"/>
  <c r="AQ470" i="1138"/>
  <c r="AP470" i="1138"/>
  <c r="AR469" i="1138"/>
  <c r="AQ469" i="1138"/>
  <c r="AP469" i="1138"/>
  <c r="AR468" i="1138"/>
  <c r="AQ468" i="1138"/>
  <c r="AP468" i="1138"/>
  <c r="AR467" i="1138"/>
  <c r="AQ467" i="1138"/>
  <c r="AP467" i="1138"/>
  <c r="AR466" i="1138"/>
  <c r="AQ466" i="1138"/>
  <c r="AP466" i="1138"/>
  <c r="AR465" i="1138"/>
  <c r="AQ465" i="1138"/>
  <c r="AP465" i="1138"/>
  <c r="AR463" i="1138"/>
  <c r="AQ463" i="1138"/>
  <c r="AP463" i="1138"/>
  <c r="AR462" i="1138"/>
  <c r="AQ462" i="1138"/>
  <c r="AP462" i="1138"/>
  <c r="AR461" i="1138"/>
  <c r="AQ461" i="1138"/>
  <c r="AP461" i="1138"/>
  <c r="AM358" i="1045"/>
  <c r="AM356" i="1045"/>
  <c r="AM350" i="1045"/>
  <c r="AM348" i="1045"/>
  <c r="AM346" i="1045"/>
  <c r="AM344" i="1045"/>
  <c r="AM342" i="1045"/>
  <c r="AM340" i="1045"/>
  <c r="AM338" i="1045"/>
  <c r="AM334" i="1045"/>
  <c r="AM358" i="1005"/>
  <c r="AM356" i="1005"/>
  <c r="AM350" i="1005"/>
  <c r="AM348" i="1005"/>
  <c r="AM346" i="1005"/>
  <c r="AM344" i="1005"/>
  <c r="AM342" i="1005"/>
  <c r="AM340" i="1005"/>
  <c r="AM338" i="1005"/>
  <c r="AM334" i="1005"/>
  <c r="AM486" i="1138"/>
  <c r="AM484" i="1138"/>
  <c r="AM478" i="1138"/>
  <c r="AM476" i="1138"/>
  <c r="AM474" i="1138"/>
  <c r="AM472" i="1138"/>
  <c r="AM470" i="1138"/>
  <c r="AM468" i="1138"/>
  <c r="AM466" i="1138"/>
  <c r="AM462" i="1138"/>
  <c r="M334" i="1150"/>
  <c r="M338" i="1150"/>
  <c r="M340" i="1150"/>
  <c r="M342" i="1150"/>
  <c r="M344" i="1150"/>
  <c r="M346" i="1150"/>
  <c r="M348" i="1150"/>
  <c r="M350" i="1150"/>
  <c r="AE354" i="1150"/>
  <c r="AF354" i="1150"/>
  <c r="AG354" i="1150"/>
  <c r="M356" i="1150"/>
  <c r="M358" i="1150"/>
  <c r="M358" i="1148"/>
  <c r="M356" i="1148"/>
  <c r="AG354" i="1148"/>
  <c r="AF354" i="1148"/>
  <c r="AE354" i="1148"/>
  <c r="M350" i="1148"/>
  <c r="M348" i="1148"/>
  <c r="M346" i="1148"/>
  <c r="M344" i="1148"/>
  <c r="M342" i="1148"/>
  <c r="M340" i="1148"/>
  <c r="M338" i="1148"/>
  <c r="M334" i="1148"/>
  <c r="M486" i="967"/>
  <c r="M484" i="967"/>
  <c r="AG482" i="967"/>
  <c r="AF482" i="967"/>
  <c r="AE482" i="967"/>
  <c r="M478" i="967"/>
  <c r="M476" i="967"/>
  <c r="M474" i="967"/>
  <c r="M472" i="967"/>
  <c r="M470" i="967"/>
  <c r="M468" i="967"/>
  <c r="M466" i="967"/>
  <c r="M462" i="967"/>
  <c r="AG36" i="967" l="1"/>
  <c r="AF36" i="967"/>
  <c r="AE36" i="967"/>
  <c r="AR1161" i="948"/>
  <c r="AQ1161" i="948"/>
  <c r="AP1161" i="948"/>
  <c r="AR1160" i="948"/>
  <c r="AQ1160" i="948"/>
  <c r="AP1160" i="948"/>
  <c r="AR1159" i="948"/>
  <c r="AQ1159" i="948"/>
  <c r="AP1159" i="948"/>
  <c r="AR1158" i="948"/>
  <c r="AQ1158" i="948"/>
  <c r="AP1158" i="948"/>
  <c r="AR1157" i="948"/>
  <c r="AQ1157" i="948"/>
  <c r="AP1157" i="948"/>
  <c r="AR1156" i="948"/>
  <c r="AQ1156" i="948"/>
  <c r="AP1156" i="948"/>
  <c r="AR1155" i="948"/>
  <c r="AQ1155" i="948"/>
  <c r="AP1155" i="948"/>
  <c r="AR1154" i="948"/>
  <c r="AQ1154" i="948"/>
  <c r="AP1154" i="948"/>
  <c r="AR1153" i="948"/>
  <c r="AQ1153" i="948"/>
  <c r="AP1153" i="948"/>
  <c r="AR1152" i="948"/>
  <c r="AQ1152" i="948"/>
  <c r="AP1152" i="948"/>
  <c r="AR1151" i="948"/>
  <c r="AQ1151" i="948"/>
  <c r="AP1151" i="948"/>
  <c r="AR1150" i="948"/>
  <c r="AQ1150" i="948"/>
  <c r="AP1150" i="948"/>
  <c r="AR1149" i="948"/>
  <c r="AQ1149" i="948"/>
  <c r="AP1149" i="948"/>
  <c r="AR1148" i="948"/>
  <c r="AQ1148" i="948"/>
  <c r="AP1148" i="948"/>
  <c r="AR1147" i="948"/>
  <c r="AQ1147" i="948"/>
  <c r="AP1147" i="948"/>
  <c r="AR1146" i="948"/>
  <c r="AQ1146" i="948"/>
  <c r="AP1146" i="948"/>
  <c r="AR1145" i="948"/>
  <c r="AQ1145" i="948"/>
  <c r="AP1145" i="948"/>
  <c r="AR1144" i="948"/>
  <c r="AQ1144" i="948"/>
  <c r="AP1144" i="948"/>
  <c r="AR1143" i="948"/>
  <c r="AQ1143" i="948"/>
  <c r="AP1143" i="948"/>
  <c r="AR1142" i="948"/>
  <c r="AQ1142" i="948"/>
  <c r="AP1142" i="948"/>
  <c r="AR1141" i="948"/>
  <c r="AQ1141" i="948"/>
  <c r="AP1141" i="948"/>
  <c r="AR1140" i="948"/>
  <c r="AQ1140" i="948"/>
  <c r="AP1140" i="948"/>
  <c r="AR1139" i="948"/>
  <c r="AQ1139" i="948"/>
  <c r="AP1139" i="948"/>
  <c r="AR1138" i="948"/>
  <c r="AQ1138" i="948"/>
  <c r="AP1138" i="948"/>
  <c r="AR1137" i="948"/>
  <c r="AQ1137" i="948"/>
  <c r="AP1137" i="948"/>
  <c r="AR1136" i="948"/>
  <c r="AQ1136" i="948"/>
  <c r="AP1136" i="948"/>
  <c r="AR1135" i="948"/>
  <c r="AQ1135" i="948"/>
  <c r="AP1135" i="948"/>
  <c r="AR1134" i="948"/>
  <c r="AQ1134" i="948"/>
  <c r="AP1134" i="948"/>
  <c r="AR1133" i="948"/>
  <c r="AQ1133" i="948"/>
  <c r="AP1133" i="948"/>
  <c r="AR1132" i="948"/>
  <c r="AQ1132" i="948"/>
  <c r="AP1132" i="948"/>
  <c r="AR1131" i="948"/>
  <c r="AQ1131" i="948"/>
  <c r="AP1131" i="948"/>
  <c r="AR1130" i="948"/>
  <c r="AQ1130" i="948"/>
  <c r="AP1130" i="948"/>
  <c r="AR1129" i="948"/>
  <c r="AQ1129" i="948"/>
  <c r="AP1129" i="948"/>
  <c r="AR1128" i="948"/>
  <c r="AQ1128" i="948"/>
  <c r="AP1128" i="948"/>
  <c r="AR1127" i="948"/>
  <c r="AQ1127" i="948"/>
  <c r="AP1127" i="948"/>
  <c r="AR1126" i="948"/>
  <c r="AQ1126" i="948"/>
  <c r="AP1126" i="948"/>
  <c r="AR1125" i="948"/>
  <c r="AQ1125" i="948"/>
  <c r="AP1125" i="948"/>
  <c r="AR1124" i="948"/>
  <c r="AQ1124" i="948"/>
  <c r="AP1124" i="948"/>
  <c r="AR1123" i="948"/>
  <c r="AQ1123" i="948"/>
  <c r="AP1123" i="948"/>
  <c r="AR1122" i="948"/>
  <c r="AQ1122" i="948"/>
  <c r="AP1122" i="948"/>
  <c r="AR1121" i="948"/>
  <c r="AQ1121" i="948"/>
  <c r="AP1121" i="948"/>
  <c r="AR1120" i="948"/>
  <c r="AQ1120" i="948"/>
  <c r="AP1120" i="948"/>
  <c r="AR1119" i="948"/>
  <c r="AQ1119" i="948"/>
  <c r="AP1119" i="948"/>
  <c r="AR1118" i="948"/>
  <c r="AQ1118" i="948"/>
  <c r="AP1118" i="948"/>
  <c r="AR1117" i="948"/>
  <c r="AQ1117" i="948"/>
  <c r="AP1117" i="948"/>
  <c r="AR1116" i="948"/>
  <c r="AQ1116" i="948"/>
  <c r="AP1116" i="948"/>
  <c r="AR1115" i="948"/>
  <c r="AQ1115" i="948"/>
  <c r="AP1115" i="948"/>
  <c r="AR1114" i="948"/>
  <c r="AQ1114" i="948"/>
  <c r="AP1114" i="948"/>
  <c r="AR1113" i="948"/>
  <c r="AQ1113" i="948"/>
  <c r="AP1113" i="948"/>
  <c r="AR1102" i="948"/>
  <c r="AQ1102" i="948"/>
  <c r="AP1102" i="948"/>
  <c r="AR1101" i="948"/>
  <c r="AR1100" i="948" s="1"/>
  <c r="AQ1101" i="948"/>
  <c r="AQ1100" i="948" s="1"/>
  <c r="AP1101" i="948"/>
  <c r="AP1100" i="948" s="1"/>
  <c r="AR1099" i="948"/>
  <c r="AQ1099" i="948"/>
  <c r="AP1099" i="948"/>
  <c r="AR1098" i="948"/>
  <c r="AR1097" i="948" s="1"/>
  <c r="AQ1098" i="948"/>
  <c r="AQ1097" i="948" s="1"/>
  <c r="AP1098" i="948"/>
  <c r="AP1097" i="948" s="1"/>
  <c r="AR1096" i="948"/>
  <c r="AQ1096" i="948"/>
  <c r="AP1096" i="948"/>
  <c r="AR1095" i="948"/>
  <c r="AQ1095" i="948"/>
  <c r="AP1095" i="948"/>
  <c r="AR1093" i="948"/>
  <c r="AQ1093" i="948"/>
  <c r="AQ1092" i="948" s="1"/>
  <c r="AP1093" i="948"/>
  <c r="AM1093" i="948"/>
  <c r="AR1092" i="948"/>
  <c r="AP1092" i="948"/>
  <c r="AM1092" i="948"/>
  <c r="AR1091" i="948"/>
  <c r="AQ1091" i="948"/>
  <c r="AP1091" i="948"/>
  <c r="AR1090" i="948"/>
  <c r="AQ1090" i="948"/>
  <c r="AP1090" i="948"/>
  <c r="AP1089" i="948" s="1"/>
  <c r="AM1090" i="948"/>
  <c r="AR1089" i="948"/>
  <c r="AQ1089" i="948"/>
  <c r="AM1089" i="948"/>
  <c r="AR1088" i="948"/>
  <c r="AQ1088" i="948"/>
  <c r="AP1088" i="948"/>
  <c r="AR1087" i="948"/>
  <c r="AQ1087" i="948"/>
  <c r="AQ1086" i="948" s="1"/>
  <c r="AP1087" i="948"/>
  <c r="AM1087" i="948"/>
  <c r="AR1086" i="948"/>
  <c r="AP1086" i="948"/>
  <c r="AM1086" i="948"/>
  <c r="AR1085" i="948"/>
  <c r="AQ1085" i="948"/>
  <c r="AP1085" i="948"/>
  <c r="AR1084" i="948"/>
  <c r="AR1083" i="948" s="1"/>
  <c r="AQ1084" i="948"/>
  <c r="AQ1083" i="948" s="1"/>
  <c r="AP1084" i="948"/>
  <c r="AP1083" i="948" s="1"/>
  <c r="AM1084" i="948"/>
  <c r="AM1083" i="948"/>
  <c r="AR1082" i="948"/>
  <c r="AQ1082" i="948"/>
  <c r="AP1082" i="948"/>
  <c r="AR1081" i="948"/>
  <c r="AR1080" i="948" s="1"/>
  <c r="AQ1081" i="948"/>
  <c r="AQ1080" i="948" s="1"/>
  <c r="AP1081" i="948"/>
  <c r="AP1080" i="948" s="1"/>
  <c r="AM1081" i="948"/>
  <c r="AM1080" i="948"/>
  <c r="AR1079" i="948"/>
  <c r="AQ1079" i="948"/>
  <c r="AP1079" i="948"/>
  <c r="AR1078" i="948"/>
  <c r="AQ1078" i="948"/>
  <c r="AP1078" i="948"/>
  <c r="AP1077" i="948" s="1"/>
  <c r="AM1078" i="948"/>
  <c r="AR1077" i="948"/>
  <c r="AQ1077" i="948"/>
  <c r="AM1077" i="948"/>
  <c r="AR1076" i="948"/>
  <c r="AQ1076" i="948"/>
  <c r="AP1076" i="948"/>
  <c r="AR1075" i="948"/>
  <c r="AR1074" i="948" s="1"/>
  <c r="AQ1075" i="948"/>
  <c r="AQ1074" i="948" s="1"/>
  <c r="AP1075" i="948"/>
  <c r="AP1074" i="948" s="1"/>
  <c r="AM1075" i="948"/>
  <c r="AM1074" i="948"/>
  <c r="AR1073" i="948"/>
  <c r="AQ1073" i="948"/>
  <c r="AP1073" i="948"/>
  <c r="AR1072" i="948"/>
  <c r="AR1071" i="948" s="1"/>
  <c r="AQ1072" i="948"/>
  <c r="AQ1071" i="948" s="1"/>
  <c r="AP1072" i="948"/>
  <c r="AP1071" i="948" s="1"/>
  <c r="AM1072" i="948"/>
  <c r="AM1071" i="948"/>
  <c r="AR1070" i="948"/>
  <c r="AQ1070" i="948"/>
  <c r="AP1070" i="948"/>
  <c r="AR1069" i="948"/>
  <c r="AQ1069" i="948"/>
  <c r="AP1069" i="948"/>
  <c r="AR1068" i="948"/>
  <c r="AR182" i="948" s="1"/>
  <c r="AQ1068" i="948"/>
  <c r="AP1068" i="948"/>
  <c r="AR1063" i="948"/>
  <c r="AQ1063" i="948"/>
  <c r="AP1063" i="948"/>
  <c r="AR1062" i="948"/>
  <c r="AQ1062" i="948"/>
  <c r="AP1062" i="948"/>
  <c r="AR1061" i="948"/>
  <c r="AQ1061" i="948"/>
  <c r="AP1061" i="948"/>
  <c r="AR1060" i="948"/>
  <c r="AQ1060" i="948"/>
  <c r="AP1060" i="948"/>
  <c r="AR1059" i="948"/>
  <c r="AQ1059" i="948"/>
  <c r="AP1059" i="948"/>
  <c r="AR1058" i="948"/>
  <c r="AQ1058" i="948"/>
  <c r="AP1058" i="948"/>
  <c r="AR1057" i="948"/>
  <c r="AQ1057" i="948"/>
  <c r="AP1057" i="948"/>
  <c r="AR1054" i="948"/>
  <c r="AQ1054" i="948"/>
  <c r="AP1054" i="948"/>
  <c r="AR1053" i="948"/>
  <c r="AQ1053" i="948"/>
  <c r="AP1053" i="948"/>
  <c r="AR1052" i="948"/>
  <c r="AQ1052" i="948"/>
  <c r="AP1052" i="948"/>
  <c r="AR1051" i="948"/>
  <c r="AQ1051" i="948"/>
  <c r="AP1051" i="948"/>
  <c r="AR1050" i="948"/>
  <c r="AQ1050" i="948"/>
  <c r="AP1050" i="948"/>
  <c r="AR1049" i="948"/>
  <c r="AQ1049" i="948"/>
  <c r="AP1049" i="948"/>
  <c r="AR1048" i="948"/>
  <c r="AQ1048" i="948"/>
  <c r="AP1048" i="948"/>
  <c r="AR1047" i="948"/>
  <c r="AQ1047" i="948"/>
  <c r="AP1047" i="948"/>
  <c r="AR1046" i="948"/>
  <c r="AQ1046" i="948"/>
  <c r="AP1046" i="948"/>
  <c r="AR1045" i="948"/>
  <c r="AQ1045" i="948"/>
  <c r="AP1045" i="948"/>
  <c r="AR1044" i="948"/>
  <c r="AQ1044" i="948"/>
  <c r="AP1044" i="948"/>
  <c r="AR1043" i="948"/>
  <c r="AQ1043" i="948"/>
  <c r="AP1043" i="948"/>
  <c r="AR1042" i="948"/>
  <c r="AQ1042" i="948"/>
  <c r="AP1042" i="948"/>
  <c r="AR1041" i="948"/>
  <c r="AQ1041" i="948"/>
  <c r="AP1041" i="948"/>
  <c r="AR1040" i="948"/>
  <c r="AQ1040" i="948"/>
  <c r="AP1040" i="948"/>
  <c r="AR1039" i="948"/>
  <c r="AQ1039" i="948"/>
  <c r="AP1039" i="948"/>
  <c r="AR1038" i="948"/>
  <c r="AQ1038" i="948"/>
  <c r="AP1038" i="948"/>
  <c r="AR1037" i="948"/>
  <c r="AQ1037" i="948"/>
  <c r="AP1037" i="948"/>
  <c r="AR1036" i="948"/>
  <c r="AQ1036" i="948"/>
  <c r="AP1036" i="948"/>
  <c r="AR1035" i="948"/>
  <c r="AQ1035" i="948"/>
  <c r="AP1035" i="948"/>
  <c r="AR1034" i="948"/>
  <c r="AQ1034" i="948"/>
  <c r="AP1034" i="948"/>
  <c r="AR1033" i="948"/>
  <c r="AQ1033" i="948"/>
  <c r="AP1033" i="948"/>
  <c r="AR1032" i="948"/>
  <c r="AQ1032" i="948"/>
  <c r="AP1032" i="948"/>
  <c r="AR1031" i="948"/>
  <c r="AQ1031" i="948"/>
  <c r="AP1031" i="948"/>
  <c r="AR1030" i="948"/>
  <c r="AQ1030" i="948"/>
  <c r="AP1030" i="948"/>
  <c r="AR1029" i="948"/>
  <c r="AQ1029" i="948"/>
  <c r="AP1029" i="948"/>
  <c r="AR1028" i="948"/>
  <c r="AQ1028" i="948"/>
  <c r="AP1028" i="948"/>
  <c r="AR1027" i="948"/>
  <c r="AQ1027" i="948"/>
  <c r="AP1027" i="948"/>
  <c r="AR1026" i="948"/>
  <c r="AQ1026" i="948"/>
  <c r="AP1026" i="948"/>
  <c r="AR1025" i="948"/>
  <c r="AQ1025" i="948"/>
  <c r="AP1025" i="948"/>
  <c r="AR1024" i="948"/>
  <c r="AQ1024" i="948"/>
  <c r="AP1024" i="948"/>
  <c r="AR1023" i="948"/>
  <c r="AQ1023" i="948"/>
  <c r="AP1023" i="948"/>
  <c r="AR1022" i="948"/>
  <c r="AQ1022" i="948"/>
  <c r="AP1022" i="948"/>
  <c r="AR1013" i="948"/>
  <c r="AQ1013" i="948"/>
  <c r="AP1013" i="948"/>
  <c r="AR1011" i="948"/>
  <c r="AQ1011" i="948"/>
  <c r="AP1011" i="948"/>
  <c r="AR1010" i="948"/>
  <c r="AQ1010" i="948"/>
  <c r="AP1010" i="948"/>
  <c r="AR1009" i="948"/>
  <c r="AQ1009" i="948"/>
  <c r="AP1009" i="948"/>
  <c r="AR1008" i="948"/>
  <c r="AQ1008" i="948"/>
  <c r="AP1008" i="948"/>
  <c r="AR1007" i="948"/>
  <c r="AQ1007" i="948"/>
  <c r="AP1007" i="948"/>
  <c r="AR1006" i="948"/>
  <c r="AQ1006" i="948"/>
  <c r="AP1006" i="948"/>
  <c r="AR1005" i="948"/>
  <c r="AQ1005" i="948"/>
  <c r="AP1005" i="948"/>
  <c r="AR1002" i="948"/>
  <c r="AQ1002" i="948"/>
  <c r="AP1002" i="948"/>
  <c r="AR1001" i="948"/>
  <c r="AQ1001" i="948"/>
  <c r="AP1001" i="948"/>
  <c r="AR1000" i="948"/>
  <c r="AQ1000" i="948"/>
  <c r="AP1000" i="948"/>
  <c r="AR999" i="948"/>
  <c r="AQ999" i="948"/>
  <c r="AP999" i="948"/>
  <c r="AR998" i="948"/>
  <c r="AQ998" i="948"/>
  <c r="AP998" i="948"/>
  <c r="AR997" i="948"/>
  <c r="AQ997" i="948"/>
  <c r="AP997" i="948"/>
  <c r="AR996" i="948"/>
  <c r="AQ996" i="948"/>
  <c r="AP996" i="948"/>
  <c r="AR995" i="948"/>
  <c r="AQ995" i="948"/>
  <c r="AP995" i="948"/>
  <c r="AR994" i="948"/>
  <c r="AQ994" i="948"/>
  <c r="AP994" i="948"/>
  <c r="AR993" i="948"/>
  <c r="AQ993" i="948"/>
  <c r="AP993" i="948"/>
  <c r="AR992" i="948"/>
  <c r="AQ992" i="948"/>
  <c r="AP992" i="948"/>
  <c r="AR991" i="948"/>
  <c r="AQ991" i="948"/>
  <c r="AP991" i="948"/>
  <c r="AR990" i="948"/>
  <c r="AQ990" i="948"/>
  <c r="AP990" i="948"/>
  <c r="AR989" i="948"/>
  <c r="AQ989" i="948"/>
  <c r="AP989" i="948"/>
  <c r="AR988" i="948"/>
  <c r="AQ988" i="948"/>
  <c r="AP988" i="948"/>
  <c r="AR987" i="948"/>
  <c r="AQ987" i="948"/>
  <c r="AP987" i="948"/>
  <c r="AR986" i="948"/>
  <c r="AQ986" i="948"/>
  <c r="AP986" i="948"/>
  <c r="AR985" i="948"/>
  <c r="AQ985" i="948"/>
  <c r="AP985" i="948"/>
  <c r="AR984" i="948"/>
  <c r="AQ984" i="948"/>
  <c r="AP984" i="948"/>
  <c r="AR983" i="948"/>
  <c r="AQ983" i="948"/>
  <c r="AP983" i="948"/>
  <c r="AR982" i="948"/>
  <c r="AQ982" i="948"/>
  <c r="AP982" i="948"/>
  <c r="AR981" i="948"/>
  <c r="AQ981" i="948"/>
  <c r="AP981" i="948"/>
  <c r="AR980" i="948"/>
  <c r="AQ980" i="948"/>
  <c r="AP980" i="948"/>
  <c r="AR979" i="948"/>
  <c r="AQ979" i="948"/>
  <c r="AP979" i="948"/>
  <c r="AR978" i="948"/>
  <c r="AQ978" i="948"/>
  <c r="AP978" i="948"/>
  <c r="AR977" i="948"/>
  <c r="AQ977" i="948"/>
  <c r="AP977" i="948"/>
  <c r="AR976" i="948"/>
  <c r="AQ976" i="948"/>
  <c r="AP976" i="948"/>
  <c r="AR975" i="948"/>
  <c r="AQ975" i="948"/>
  <c r="AP975" i="948"/>
  <c r="AR974" i="948"/>
  <c r="AQ974" i="948"/>
  <c r="AP974" i="948"/>
  <c r="AR973" i="948"/>
  <c r="AQ973" i="948"/>
  <c r="AP973" i="948"/>
  <c r="AR972" i="948"/>
  <c r="AQ972" i="948"/>
  <c r="AP972" i="948"/>
  <c r="AR971" i="948"/>
  <c r="AQ971" i="948"/>
  <c r="AP971" i="948"/>
  <c r="AR970" i="948"/>
  <c r="AQ970" i="948"/>
  <c r="AP970" i="948"/>
  <c r="AR959" i="948"/>
  <c r="AQ959" i="948"/>
  <c r="AP959" i="948"/>
  <c r="AR958" i="948"/>
  <c r="AQ958" i="948"/>
  <c r="AP958" i="948"/>
  <c r="AR957" i="948"/>
  <c r="AQ957" i="948"/>
  <c r="AP957" i="948"/>
  <c r="AR956" i="948"/>
  <c r="AQ956" i="948"/>
  <c r="AP956" i="948"/>
  <c r="AR955" i="948"/>
  <c r="AQ955" i="948"/>
  <c r="AP955" i="948"/>
  <c r="AR954" i="948"/>
  <c r="AQ954" i="948"/>
  <c r="AP954" i="948"/>
  <c r="AR953" i="948"/>
  <c r="AQ953" i="948"/>
  <c r="AP953" i="948"/>
  <c r="AR950" i="948"/>
  <c r="AQ950" i="948"/>
  <c r="AP950" i="948"/>
  <c r="AR949" i="948"/>
  <c r="AQ949" i="948"/>
  <c r="AP949" i="948"/>
  <c r="AR948" i="948"/>
  <c r="AQ948" i="948"/>
  <c r="AP948" i="948"/>
  <c r="AR947" i="948"/>
  <c r="AQ947" i="948"/>
  <c r="AP947" i="948"/>
  <c r="AR946" i="948"/>
  <c r="AQ946" i="948"/>
  <c r="AP946" i="948"/>
  <c r="AR945" i="948"/>
  <c r="AQ945" i="948"/>
  <c r="AP945" i="948"/>
  <c r="AR944" i="948"/>
  <c r="AQ944" i="948"/>
  <c r="AP944" i="948"/>
  <c r="AR943" i="948"/>
  <c r="AQ943" i="948"/>
  <c r="AP943" i="948"/>
  <c r="AR942" i="948"/>
  <c r="AQ942" i="948"/>
  <c r="AP942" i="948"/>
  <c r="AR941" i="948"/>
  <c r="AQ941" i="948"/>
  <c r="AP941" i="948"/>
  <c r="AR940" i="948"/>
  <c r="AQ940" i="948"/>
  <c r="AP940" i="948"/>
  <c r="AR939" i="948"/>
  <c r="AQ939" i="948"/>
  <c r="AP939" i="948"/>
  <c r="AR938" i="948"/>
  <c r="AQ938" i="948"/>
  <c r="AP938" i="948"/>
  <c r="AR937" i="948"/>
  <c r="AQ937" i="948"/>
  <c r="AP937" i="948"/>
  <c r="AR936" i="948"/>
  <c r="AQ936" i="948"/>
  <c r="AP936" i="948"/>
  <c r="AR935" i="948"/>
  <c r="AQ935" i="948"/>
  <c r="AP935" i="948"/>
  <c r="AR934" i="948"/>
  <c r="AQ934" i="948"/>
  <c r="AP934" i="948"/>
  <c r="AR933" i="948"/>
  <c r="AQ933" i="948"/>
  <c r="AP933" i="948"/>
  <c r="AR932" i="948"/>
  <c r="AQ932" i="948"/>
  <c r="AP932" i="948"/>
  <c r="AR931" i="948"/>
  <c r="AQ931" i="948"/>
  <c r="AP931" i="948"/>
  <c r="AR930" i="948"/>
  <c r="AQ930" i="948"/>
  <c r="AP930" i="948"/>
  <c r="AR929" i="948"/>
  <c r="AQ929" i="948"/>
  <c r="AP929" i="948"/>
  <c r="AR928" i="948"/>
  <c r="AQ928" i="948"/>
  <c r="AP928" i="948"/>
  <c r="AR927" i="948"/>
  <c r="AQ927" i="948"/>
  <c r="AP927" i="948"/>
  <c r="AR926" i="948"/>
  <c r="AQ926" i="948"/>
  <c r="AP926" i="948"/>
  <c r="AR925" i="948"/>
  <c r="AQ925" i="948"/>
  <c r="AP925" i="948"/>
  <c r="AR924" i="948"/>
  <c r="AQ924" i="948"/>
  <c r="AP924" i="948"/>
  <c r="AR923" i="948"/>
  <c r="AQ923" i="948"/>
  <c r="AP923" i="948"/>
  <c r="AR922" i="948"/>
  <c r="AQ922" i="948"/>
  <c r="AP922" i="948"/>
  <c r="AR921" i="948"/>
  <c r="AQ921" i="948"/>
  <c r="AP921" i="948"/>
  <c r="AR920" i="948"/>
  <c r="AQ920" i="948"/>
  <c r="AP920" i="948"/>
  <c r="AR919" i="948"/>
  <c r="AQ919" i="948"/>
  <c r="AP919" i="948"/>
  <c r="AR918" i="948"/>
  <c r="AQ918" i="948"/>
  <c r="AP918" i="948"/>
  <c r="AR907" i="948"/>
  <c r="AQ907" i="948"/>
  <c r="AP907" i="948"/>
  <c r="AR906" i="948"/>
  <c r="AQ906" i="948"/>
  <c r="AP906" i="948"/>
  <c r="AR905" i="948"/>
  <c r="AQ905" i="948"/>
  <c r="AP905" i="948"/>
  <c r="AR904" i="948"/>
  <c r="AQ904" i="948"/>
  <c r="AP904" i="948"/>
  <c r="AR903" i="948"/>
  <c r="AQ903" i="948"/>
  <c r="AP903" i="948"/>
  <c r="AR902" i="948"/>
  <c r="AQ902" i="948"/>
  <c r="AP902" i="948"/>
  <c r="AR901" i="948"/>
  <c r="AQ901" i="948"/>
  <c r="AP901" i="948"/>
  <c r="AR898" i="948"/>
  <c r="AQ898" i="948"/>
  <c r="AP898" i="948"/>
  <c r="AR897" i="948"/>
  <c r="AQ897" i="948"/>
  <c r="AP897" i="948"/>
  <c r="AR896" i="948"/>
  <c r="AQ896" i="948"/>
  <c r="AP896" i="948"/>
  <c r="AR895" i="948"/>
  <c r="AQ895" i="948"/>
  <c r="AP895" i="948"/>
  <c r="AR894" i="948"/>
  <c r="AQ894" i="948"/>
  <c r="AP894" i="948"/>
  <c r="AR893" i="948"/>
  <c r="AQ893" i="948"/>
  <c r="AP893" i="948"/>
  <c r="AR892" i="948"/>
  <c r="AQ892" i="948"/>
  <c r="AP892" i="948"/>
  <c r="AR891" i="948"/>
  <c r="AQ891" i="948"/>
  <c r="AP891" i="948"/>
  <c r="AR890" i="948"/>
  <c r="AQ890" i="948"/>
  <c r="AP890" i="948"/>
  <c r="AR889" i="948"/>
  <c r="AQ889" i="948"/>
  <c r="AP889" i="948"/>
  <c r="AR888" i="948"/>
  <c r="AQ888" i="948"/>
  <c r="AP888" i="948"/>
  <c r="AR887" i="948"/>
  <c r="AQ887" i="948"/>
  <c r="AP887" i="948"/>
  <c r="AR886" i="948"/>
  <c r="AQ886" i="948"/>
  <c r="AP886" i="948"/>
  <c r="AR885" i="948"/>
  <c r="AQ885" i="948"/>
  <c r="AP885" i="948"/>
  <c r="AR884" i="948"/>
  <c r="AQ884" i="948"/>
  <c r="AP884" i="948"/>
  <c r="AR883" i="948"/>
  <c r="AQ883" i="948"/>
  <c r="AP883" i="948"/>
  <c r="AR882" i="948"/>
  <c r="AQ882" i="948"/>
  <c r="AP882" i="948"/>
  <c r="AR881" i="948"/>
  <c r="AQ881" i="948"/>
  <c r="AP881" i="948"/>
  <c r="AR880" i="948"/>
  <c r="AQ880" i="948"/>
  <c r="AP880" i="948"/>
  <c r="AR879" i="948"/>
  <c r="AQ879" i="948"/>
  <c r="AP879" i="948"/>
  <c r="AR878" i="948"/>
  <c r="AQ878" i="948"/>
  <c r="AP878" i="948"/>
  <c r="AR877" i="948"/>
  <c r="AQ877" i="948"/>
  <c r="AP877" i="948"/>
  <c r="AR876" i="948"/>
  <c r="AQ876" i="948"/>
  <c r="AP876" i="948"/>
  <c r="AR875" i="948"/>
  <c r="AQ875" i="948"/>
  <c r="AP875" i="948"/>
  <c r="AR874" i="948"/>
  <c r="AQ874" i="948"/>
  <c r="AP874" i="948"/>
  <c r="AR873" i="948"/>
  <c r="AQ873" i="948"/>
  <c r="AP873" i="948"/>
  <c r="AR872" i="948"/>
  <c r="AQ872" i="948"/>
  <c r="AP872" i="948"/>
  <c r="AR871" i="948"/>
  <c r="AQ871" i="948"/>
  <c r="AP871" i="948"/>
  <c r="AR870" i="948"/>
  <c r="AQ870" i="948"/>
  <c r="AP870" i="948"/>
  <c r="AR869" i="948"/>
  <c r="AQ869" i="948"/>
  <c r="AP869" i="948"/>
  <c r="AR868" i="948"/>
  <c r="AQ868" i="948"/>
  <c r="AP868" i="948"/>
  <c r="AR867" i="948"/>
  <c r="AQ867" i="948"/>
  <c r="AP867" i="948"/>
  <c r="AR866" i="948"/>
  <c r="AQ866" i="948"/>
  <c r="AP866" i="948"/>
  <c r="AR857" i="948"/>
  <c r="AQ857" i="948"/>
  <c r="AP857" i="948"/>
  <c r="AR855" i="948"/>
  <c r="AQ855" i="948"/>
  <c r="AP855" i="948"/>
  <c r="AR854" i="948"/>
  <c r="AQ854" i="948"/>
  <c r="AP854" i="948"/>
  <c r="AR853" i="948"/>
  <c r="AQ853" i="948"/>
  <c r="AP853" i="948"/>
  <c r="AR852" i="948"/>
  <c r="AQ852" i="948"/>
  <c r="AP852" i="948"/>
  <c r="AR851" i="948"/>
  <c r="AQ851" i="948"/>
  <c r="AP851" i="948"/>
  <c r="AR850" i="948"/>
  <c r="AQ850" i="948"/>
  <c r="AP850" i="948"/>
  <c r="AR849" i="948"/>
  <c r="AQ849" i="948"/>
  <c r="AP849" i="948"/>
  <c r="AR846" i="948"/>
  <c r="AQ846" i="948"/>
  <c r="AP846" i="948"/>
  <c r="AR845" i="948"/>
  <c r="AQ845" i="948"/>
  <c r="AP845" i="948"/>
  <c r="AR844" i="948"/>
  <c r="AQ844" i="948"/>
  <c r="AP844" i="948"/>
  <c r="AR843" i="948"/>
  <c r="AQ843" i="948"/>
  <c r="AP843" i="948"/>
  <c r="AR842" i="948"/>
  <c r="AQ842" i="948"/>
  <c r="AP842" i="948"/>
  <c r="AR841" i="948"/>
  <c r="AQ841" i="948"/>
  <c r="AP841" i="948"/>
  <c r="AR840" i="948"/>
  <c r="AQ840" i="948"/>
  <c r="AP840" i="948"/>
  <c r="AR839" i="948"/>
  <c r="AQ839" i="948"/>
  <c r="AP839" i="948"/>
  <c r="AR838" i="948"/>
  <c r="AQ838" i="948"/>
  <c r="AP838" i="948"/>
  <c r="AR837" i="948"/>
  <c r="AQ837" i="948"/>
  <c r="AP837" i="948"/>
  <c r="AR836" i="948"/>
  <c r="AQ836" i="948"/>
  <c r="AP836" i="948"/>
  <c r="AR835" i="948"/>
  <c r="AQ835" i="948"/>
  <c r="AP835" i="948"/>
  <c r="AR834" i="948"/>
  <c r="AQ834" i="948"/>
  <c r="AP834" i="948"/>
  <c r="AR833" i="948"/>
  <c r="AQ833" i="948"/>
  <c r="AP833" i="948"/>
  <c r="AR832" i="948"/>
  <c r="AQ832" i="948"/>
  <c r="AP832" i="948"/>
  <c r="AR831" i="948"/>
  <c r="AQ831" i="948"/>
  <c r="AP831" i="948"/>
  <c r="AR830" i="948"/>
  <c r="AQ830" i="948"/>
  <c r="AP830" i="948"/>
  <c r="AR829" i="948"/>
  <c r="AQ829" i="948"/>
  <c r="AP829" i="948"/>
  <c r="AR828" i="948"/>
  <c r="AQ828" i="948"/>
  <c r="AP828" i="948"/>
  <c r="AR827" i="948"/>
  <c r="AQ827" i="948"/>
  <c r="AP827" i="948"/>
  <c r="AR826" i="948"/>
  <c r="AQ826" i="948"/>
  <c r="AP826" i="948"/>
  <c r="AR825" i="948"/>
  <c r="AQ825" i="948"/>
  <c r="AP825" i="948"/>
  <c r="AR824" i="948"/>
  <c r="AQ824" i="948"/>
  <c r="AP824" i="948"/>
  <c r="AR823" i="948"/>
  <c r="AQ823" i="948"/>
  <c r="AP823" i="948"/>
  <c r="AR822" i="948"/>
  <c r="AQ822" i="948"/>
  <c r="AP822" i="948"/>
  <c r="AR821" i="948"/>
  <c r="AQ821" i="948"/>
  <c r="AP821" i="948"/>
  <c r="AR820" i="948"/>
  <c r="AQ820" i="948"/>
  <c r="AP820" i="948"/>
  <c r="AR819" i="948"/>
  <c r="AQ819" i="948"/>
  <c r="AP819" i="948"/>
  <c r="AR818" i="948"/>
  <c r="AQ818" i="948"/>
  <c r="AP818" i="948"/>
  <c r="AR817" i="948"/>
  <c r="AQ817" i="948"/>
  <c r="AP817" i="948"/>
  <c r="AR816" i="948"/>
  <c r="AQ816" i="948"/>
  <c r="AP816" i="948"/>
  <c r="AR815" i="948"/>
  <c r="AQ815" i="948"/>
  <c r="AP815" i="948"/>
  <c r="AR814" i="948"/>
  <c r="AQ814" i="948"/>
  <c r="AP814" i="948"/>
  <c r="AR803" i="948"/>
  <c r="AQ803" i="948"/>
  <c r="AP803" i="948"/>
  <c r="AR802" i="948"/>
  <c r="AQ802" i="948"/>
  <c r="AP802" i="948"/>
  <c r="AR801" i="948"/>
  <c r="AQ801" i="948"/>
  <c r="AP801" i="948"/>
  <c r="AR800" i="948"/>
  <c r="AQ800" i="948"/>
  <c r="AP800" i="948"/>
  <c r="AR799" i="948"/>
  <c r="AQ799" i="948"/>
  <c r="AP799" i="948"/>
  <c r="AR798" i="948"/>
  <c r="AQ798" i="948"/>
  <c r="AP798" i="948"/>
  <c r="AR797" i="948"/>
  <c r="AQ797" i="948"/>
  <c r="AP797" i="948"/>
  <c r="AR794" i="948"/>
  <c r="AQ794" i="948"/>
  <c r="AP794" i="948"/>
  <c r="AR793" i="948"/>
  <c r="AQ793" i="948"/>
  <c r="AP793" i="948"/>
  <c r="AR792" i="948"/>
  <c r="AQ792" i="948"/>
  <c r="AP792" i="948"/>
  <c r="AR791" i="948"/>
  <c r="AQ791" i="948"/>
  <c r="AP791" i="948"/>
  <c r="AR790" i="948"/>
  <c r="AQ790" i="948"/>
  <c r="AP790" i="948"/>
  <c r="AR789" i="948"/>
  <c r="AQ789" i="948"/>
  <c r="AP789" i="948"/>
  <c r="AR788" i="948"/>
  <c r="AQ788" i="948"/>
  <c r="AP788" i="948"/>
  <c r="AR787" i="948"/>
  <c r="AQ787" i="948"/>
  <c r="AP787" i="948"/>
  <c r="AR786" i="948"/>
  <c r="AQ786" i="948"/>
  <c r="AP786" i="948"/>
  <c r="AR785" i="948"/>
  <c r="AQ785" i="948"/>
  <c r="AP785" i="948"/>
  <c r="AR784" i="948"/>
  <c r="AQ784" i="948"/>
  <c r="AP784" i="948"/>
  <c r="AR783" i="948"/>
  <c r="AQ783" i="948"/>
  <c r="AP783" i="948"/>
  <c r="AR782" i="948"/>
  <c r="AQ782" i="948"/>
  <c r="AP782" i="948"/>
  <c r="AR781" i="948"/>
  <c r="AQ781" i="948"/>
  <c r="AP781" i="948"/>
  <c r="AR780" i="948"/>
  <c r="AQ780" i="948"/>
  <c r="AP780" i="948"/>
  <c r="AR779" i="948"/>
  <c r="AQ779" i="948"/>
  <c r="AP779" i="948"/>
  <c r="AR778" i="948"/>
  <c r="AQ778" i="948"/>
  <c r="AP778" i="948"/>
  <c r="AR777" i="948"/>
  <c r="AQ777" i="948"/>
  <c r="AP777" i="948"/>
  <c r="AR776" i="948"/>
  <c r="AQ776" i="948"/>
  <c r="AP776" i="948"/>
  <c r="AR775" i="948"/>
  <c r="AQ775" i="948"/>
  <c r="AP775" i="948"/>
  <c r="AR774" i="948"/>
  <c r="AQ774" i="948"/>
  <c r="AP774" i="948"/>
  <c r="AR773" i="948"/>
  <c r="AQ773" i="948"/>
  <c r="AP773" i="948"/>
  <c r="AR772" i="948"/>
  <c r="AQ772" i="948"/>
  <c r="AP772" i="948"/>
  <c r="AR771" i="948"/>
  <c r="AQ771" i="948"/>
  <c r="AP771" i="948"/>
  <c r="AR770" i="948"/>
  <c r="AQ770" i="948"/>
  <c r="AP770" i="948"/>
  <c r="AR769" i="948"/>
  <c r="AQ769" i="948"/>
  <c r="AP769" i="948"/>
  <c r="AR768" i="948"/>
  <c r="AQ768" i="948"/>
  <c r="AP768" i="948"/>
  <c r="AR767" i="948"/>
  <c r="AQ767" i="948"/>
  <c r="AP767" i="948"/>
  <c r="AR766" i="948"/>
  <c r="AQ766" i="948"/>
  <c r="AP766" i="948"/>
  <c r="AR765" i="948"/>
  <c r="AQ765" i="948"/>
  <c r="AP765" i="948"/>
  <c r="AR764" i="948"/>
  <c r="AQ764" i="948"/>
  <c r="AP764" i="948"/>
  <c r="AR763" i="948"/>
  <c r="AQ763" i="948"/>
  <c r="AP763" i="948"/>
  <c r="AR762" i="948"/>
  <c r="AQ762" i="948"/>
  <c r="AP762" i="948"/>
  <c r="AR751" i="948"/>
  <c r="AQ751" i="948"/>
  <c r="AP751" i="948"/>
  <c r="AR750" i="948"/>
  <c r="AQ750" i="948"/>
  <c r="AP750" i="948"/>
  <c r="AR749" i="948"/>
  <c r="AQ749" i="948"/>
  <c r="AP749" i="948"/>
  <c r="AR748" i="948"/>
  <c r="AQ748" i="948"/>
  <c r="AP748" i="948"/>
  <c r="AR747" i="948"/>
  <c r="AQ747" i="948"/>
  <c r="AP747" i="948"/>
  <c r="AR746" i="948"/>
  <c r="AQ746" i="948"/>
  <c r="AP746" i="948"/>
  <c r="AR745" i="948"/>
  <c r="AQ745" i="948"/>
  <c r="AP745" i="948"/>
  <c r="AR742" i="948"/>
  <c r="AQ742" i="948"/>
  <c r="AP742" i="948"/>
  <c r="AR741" i="948"/>
  <c r="AQ741" i="948"/>
  <c r="AP741" i="948"/>
  <c r="AR740" i="948"/>
  <c r="AQ740" i="948"/>
  <c r="AP740" i="948"/>
  <c r="AR739" i="948"/>
  <c r="AQ739" i="948"/>
  <c r="AP739" i="948"/>
  <c r="AR738" i="948"/>
  <c r="AQ738" i="948"/>
  <c r="AP738" i="948"/>
  <c r="AR737" i="948"/>
  <c r="AQ737" i="948"/>
  <c r="AP737" i="948"/>
  <c r="AR736" i="948"/>
  <c r="AQ736" i="948"/>
  <c r="AP736" i="948"/>
  <c r="AR735" i="948"/>
  <c r="AQ735" i="948"/>
  <c r="AP735" i="948"/>
  <c r="AR734" i="948"/>
  <c r="AQ734" i="948"/>
  <c r="AP734" i="948"/>
  <c r="AR733" i="948"/>
  <c r="AQ733" i="948"/>
  <c r="AP733" i="948"/>
  <c r="AR732" i="948"/>
  <c r="AQ732" i="948"/>
  <c r="AP732" i="948"/>
  <c r="AR731" i="948"/>
  <c r="AQ731" i="948"/>
  <c r="AP731" i="948"/>
  <c r="AR730" i="948"/>
  <c r="AQ730" i="948"/>
  <c r="AP730" i="948"/>
  <c r="AR729" i="948"/>
  <c r="AQ729" i="948"/>
  <c r="AP729" i="948"/>
  <c r="AR728" i="948"/>
  <c r="AQ728" i="948"/>
  <c r="AP728" i="948"/>
  <c r="AR727" i="948"/>
  <c r="AQ727" i="948"/>
  <c r="AP727" i="948"/>
  <c r="AR726" i="948"/>
  <c r="AQ726" i="948"/>
  <c r="AP726" i="948"/>
  <c r="AR725" i="948"/>
  <c r="AQ725" i="948"/>
  <c r="AP725" i="948"/>
  <c r="AR724" i="948"/>
  <c r="AQ724" i="948"/>
  <c r="AP724" i="948"/>
  <c r="AR723" i="948"/>
  <c r="AQ723" i="948"/>
  <c r="AP723" i="948"/>
  <c r="AR722" i="948"/>
  <c r="AQ722" i="948"/>
  <c r="AP722" i="948"/>
  <c r="AR721" i="948"/>
  <c r="AQ721" i="948"/>
  <c r="AP721" i="948"/>
  <c r="AR720" i="948"/>
  <c r="AQ720" i="948"/>
  <c r="AP720" i="948"/>
  <c r="AR719" i="948"/>
  <c r="AQ719" i="948"/>
  <c r="AP719" i="948"/>
  <c r="AR718" i="948"/>
  <c r="AQ718" i="948"/>
  <c r="AP718" i="948"/>
  <c r="AR717" i="948"/>
  <c r="AQ717" i="948"/>
  <c r="AP717" i="948"/>
  <c r="AR716" i="948"/>
  <c r="AQ716" i="948"/>
  <c r="AP716" i="948"/>
  <c r="AR715" i="948"/>
  <c r="AQ715" i="948"/>
  <c r="AP715" i="948"/>
  <c r="AR714" i="948"/>
  <c r="AQ714" i="948"/>
  <c r="AP714" i="948"/>
  <c r="AR713" i="948"/>
  <c r="AQ713" i="948"/>
  <c r="AP713" i="948"/>
  <c r="AR712" i="948"/>
  <c r="AQ712" i="948"/>
  <c r="AP712" i="948"/>
  <c r="AR711" i="948"/>
  <c r="AQ711" i="948"/>
  <c r="AP711" i="948"/>
  <c r="AR710" i="948"/>
  <c r="AQ710" i="948"/>
  <c r="AP710" i="948"/>
  <c r="AR701" i="948"/>
  <c r="AQ701" i="948"/>
  <c r="AP701" i="948"/>
  <c r="AR699" i="948"/>
  <c r="AQ699" i="948"/>
  <c r="AP699" i="948"/>
  <c r="AR698" i="948"/>
  <c r="AQ698" i="948"/>
  <c r="AP698" i="948"/>
  <c r="AR697" i="948"/>
  <c r="AQ697" i="948"/>
  <c r="AP697" i="948"/>
  <c r="AR696" i="948"/>
  <c r="AQ696" i="948"/>
  <c r="AP696" i="948"/>
  <c r="AR695" i="948"/>
  <c r="AQ695" i="948"/>
  <c r="AP695" i="948"/>
  <c r="AR694" i="948"/>
  <c r="AQ694" i="948"/>
  <c r="AP694" i="948"/>
  <c r="AR693" i="948"/>
  <c r="AQ693" i="948"/>
  <c r="AP693" i="948"/>
  <c r="AR690" i="948"/>
  <c r="AQ690" i="948"/>
  <c r="AP690" i="948"/>
  <c r="AR689" i="948"/>
  <c r="AQ689" i="948"/>
  <c r="AP689" i="948"/>
  <c r="AR688" i="948"/>
  <c r="AQ688" i="948"/>
  <c r="AP688" i="948"/>
  <c r="AR687" i="948"/>
  <c r="AQ687" i="948"/>
  <c r="AP687" i="948"/>
  <c r="AR686" i="948"/>
  <c r="AQ686" i="948"/>
  <c r="AP686" i="948"/>
  <c r="AR685" i="948"/>
  <c r="AQ685" i="948"/>
  <c r="AP685" i="948"/>
  <c r="AR684" i="948"/>
  <c r="AQ684" i="948"/>
  <c r="AP684" i="948"/>
  <c r="AR683" i="948"/>
  <c r="AQ683" i="948"/>
  <c r="AP683" i="948"/>
  <c r="AR682" i="948"/>
  <c r="AQ682" i="948"/>
  <c r="AP682" i="948"/>
  <c r="AR681" i="948"/>
  <c r="AQ681" i="948"/>
  <c r="AP681" i="948"/>
  <c r="AR680" i="948"/>
  <c r="AQ680" i="948"/>
  <c r="AP680" i="948"/>
  <c r="AR679" i="948"/>
  <c r="AQ679" i="948"/>
  <c r="AP679" i="948"/>
  <c r="AR678" i="948"/>
  <c r="AQ678" i="948"/>
  <c r="AP678" i="948"/>
  <c r="AR677" i="948"/>
  <c r="AQ677" i="948"/>
  <c r="AP677" i="948"/>
  <c r="AR676" i="948"/>
  <c r="AQ676" i="948"/>
  <c r="AP676" i="948"/>
  <c r="AR675" i="948"/>
  <c r="AQ675" i="948"/>
  <c r="AP675" i="948"/>
  <c r="AR674" i="948"/>
  <c r="AQ674" i="948"/>
  <c r="AP674" i="948"/>
  <c r="AR673" i="948"/>
  <c r="AQ673" i="948"/>
  <c r="AP673" i="948"/>
  <c r="AR672" i="948"/>
  <c r="AQ672" i="948"/>
  <c r="AP672" i="948"/>
  <c r="AR671" i="948"/>
  <c r="AQ671" i="948"/>
  <c r="AP671" i="948"/>
  <c r="AR670" i="948"/>
  <c r="AQ670" i="948"/>
  <c r="AP670" i="948"/>
  <c r="AR669" i="948"/>
  <c r="AQ669" i="948"/>
  <c r="AP669" i="948"/>
  <c r="AR668" i="948"/>
  <c r="AQ668" i="948"/>
  <c r="AP668" i="948"/>
  <c r="AR667" i="948"/>
  <c r="AQ667" i="948"/>
  <c r="AP667" i="948"/>
  <c r="AR666" i="948"/>
  <c r="AQ666" i="948"/>
  <c r="AP666" i="948"/>
  <c r="AR665" i="948"/>
  <c r="AR613" i="948" s="1"/>
  <c r="AQ665" i="948"/>
  <c r="AQ613" i="948" s="1"/>
  <c r="AP665" i="948"/>
  <c r="AP613" i="948" s="1"/>
  <c r="AR664" i="948"/>
  <c r="AQ664" i="948"/>
  <c r="AQ612" i="948" s="1"/>
  <c r="AP664" i="948"/>
  <c r="AP612" i="948" s="1"/>
  <c r="AR663" i="948"/>
  <c r="AR611" i="948" s="1"/>
  <c r="AQ663" i="948"/>
  <c r="AP663" i="948"/>
  <c r="AR662" i="948"/>
  <c r="AR610" i="948" s="1"/>
  <c r="AQ662" i="948"/>
  <c r="AQ610" i="948" s="1"/>
  <c r="AP662" i="948"/>
  <c r="AR661" i="948"/>
  <c r="AQ661" i="948"/>
  <c r="AP661" i="948"/>
  <c r="AP609" i="948" s="1"/>
  <c r="AR660" i="948"/>
  <c r="AR608" i="948" s="1"/>
  <c r="AQ660" i="948"/>
  <c r="AP660" i="948"/>
  <c r="AP608" i="948" s="1"/>
  <c r="AR659" i="948"/>
  <c r="AR607" i="948" s="1"/>
  <c r="AQ659" i="948"/>
  <c r="AP659" i="948"/>
  <c r="AP607" i="948" s="1"/>
  <c r="AR658" i="948"/>
  <c r="AR606" i="948" s="1"/>
  <c r="AQ658" i="948"/>
  <c r="AQ606" i="948" s="1"/>
  <c r="AP658" i="948"/>
  <c r="AR647" i="948"/>
  <c r="AQ647" i="948"/>
  <c r="AP647" i="948"/>
  <c r="AR646" i="948"/>
  <c r="AQ646" i="948"/>
  <c r="AP646" i="948"/>
  <c r="AR645" i="948"/>
  <c r="AQ645" i="948"/>
  <c r="AP645" i="948"/>
  <c r="AR644" i="948"/>
  <c r="AQ644" i="948"/>
  <c r="AP644" i="948"/>
  <c r="AR643" i="948"/>
  <c r="AQ643" i="948"/>
  <c r="AP643" i="948"/>
  <c r="AR642" i="948"/>
  <c r="AQ642" i="948"/>
  <c r="AP642" i="948"/>
  <c r="AR641" i="948"/>
  <c r="AQ641" i="948"/>
  <c r="AP641" i="948"/>
  <c r="AR638" i="948"/>
  <c r="AQ638" i="948"/>
  <c r="AP638" i="948"/>
  <c r="AR637" i="948"/>
  <c r="AQ637" i="948"/>
  <c r="AP637" i="948"/>
  <c r="AR636" i="948"/>
  <c r="AQ636" i="948"/>
  <c r="AP636" i="948"/>
  <c r="AR635" i="948"/>
  <c r="AQ635" i="948"/>
  <c r="AP635" i="948"/>
  <c r="AR634" i="948"/>
  <c r="AQ634" i="948"/>
  <c r="AP634" i="948"/>
  <c r="AR633" i="948"/>
  <c r="AQ633" i="948"/>
  <c r="AP633" i="948"/>
  <c r="AR632" i="948"/>
  <c r="AQ632" i="948"/>
  <c r="AP632" i="948"/>
  <c r="AR631" i="948"/>
  <c r="AQ631" i="948"/>
  <c r="AP631" i="948"/>
  <c r="AR630" i="948"/>
  <c r="AQ630" i="948"/>
  <c r="AP630" i="948"/>
  <c r="AR629" i="948"/>
  <c r="AQ629" i="948"/>
  <c r="AP629" i="948"/>
  <c r="AR628" i="948"/>
  <c r="AQ628" i="948"/>
  <c r="AP628" i="948"/>
  <c r="AR627" i="948"/>
  <c r="AQ627" i="948"/>
  <c r="AP627" i="948"/>
  <c r="AR626" i="948"/>
  <c r="AQ626" i="948"/>
  <c r="AP626" i="948"/>
  <c r="AR625" i="948"/>
  <c r="AQ625" i="948"/>
  <c r="AP625" i="948"/>
  <c r="AR624" i="948"/>
  <c r="AQ624" i="948"/>
  <c r="AP624" i="948"/>
  <c r="AR623" i="948"/>
  <c r="AQ623" i="948"/>
  <c r="AP623" i="948"/>
  <c r="AR622" i="948"/>
  <c r="AQ622" i="948"/>
  <c r="AP622" i="948"/>
  <c r="AR621" i="948"/>
  <c r="AQ621" i="948"/>
  <c r="AP621" i="948"/>
  <c r="AR620" i="948"/>
  <c r="AQ620" i="948"/>
  <c r="AP620" i="948"/>
  <c r="AR619" i="948"/>
  <c r="AQ619" i="948"/>
  <c r="AP619" i="948"/>
  <c r="AR618" i="948"/>
  <c r="AQ618" i="948"/>
  <c r="AP618" i="948"/>
  <c r="AR617" i="948"/>
  <c r="AQ617" i="948"/>
  <c r="AP617" i="948"/>
  <c r="AR616" i="948"/>
  <c r="AQ616" i="948"/>
  <c r="AP616" i="948"/>
  <c r="AR615" i="948"/>
  <c r="AQ615" i="948"/>
  <c r="AP615" i="948"/>
  <c r="AR614" i="948"/>
  <c r="AQ614" i="948"/>
  <c r="AP614" i="948"/>
  <c r="AR612" i="948"/>
  <c r="AQ611" i="948"/>
  <c r="AP611" i="948"/>
  <c r="AP610" i="948"/>
  <c r="AR609" i="948"/>
  <c r="AQ609" i="948"/>
  <c r="AQ608" i="948"/>
  <c r="AQ607" i="948"/>
  <c r="AP606" i="948"/>
  <c r="AR596" i="948"/>
  <c r="AR595" i="948" s="1"/>
  <c r="AQ596" i="948"/>
  <c r="AP596" i="948"/>
  <c r="AP595" i="948" s="1"/>
  <c r="AM596" i="948"/>
  <c r="AQ595" i="948"/>
  <c r="AM595" i="948"/>
  <c r="AR594" i="948"/>
  <c r="AQ594" i="948"/>
  <c r="AP594" i="948"/>
  <c r="AR593" i="948"/>
  <c r="AQ593" i="948"/>
  <c r="AP593" i="948"/>
  <c r="AM593" i="948"/>
  <c r="AR592" i="948"/>
  <c r="AQ592" i="948"/>
  <c r="AP592" i="948"/>
  <c r="AM592" i="948"/>
  <c r="AR591" i="948"/>
  <c r="AQ591" i="948"/>
  <c r="AP591" i="948"/>
  <c r="AM591" i="948"/>
  <c r="AR590" i="948"/>
  <c r="AQ590" i="948"/>
  <c r="AP590" i="948"/>
  <c r="AM590" i="948"/>
  <c r="AR589" i="948"/>
  <c r="AQ589" i="948"/>
  <c r="AP589" i="948"/>
  <c r="AM589" i="948"/>
  <c r="AR588" i="948"/>
  <c r="AQ588" i="948"/>
  <c r="AP588" i="948"/>
  <c r="AM588" i="948"/>
  <c r="AR587" i="948"/>
  <c r="AQ587" i="948"/>
  <c r="AP587" i="948"/>
  <c r="AM587" i="948"/>
  <c r="AR586" i="948"/>
  <c r="AQ586" i="948"/>
  <c r="AP586" i="948"/>
  <c r="AR585" i="948"/>
  <c r="AQ585" i="948"/>
  <c r="AP585" i="948"/>
  <c r="AM585" i="948"/>
  <c r="AR584" i="948"/>
  <c r="AQ584" i="948"/>
  <c r="AP584" i="948"/>
  <c r="AM584" i="948"/>
  <c r="AR583" i="948"/>
  <c r="AQ583" i="948"/>
  <c r="AP583" i="948"/>
  <c r="AM583" i="948"/>
  <c r="AR582" i="948"/>
  <c r="AQ582" i="948"/>
  <c r="AP582" i="948"/>
  <c r="AM582" i="948"/>
  <c r="AR581" i="948"/>
  <c r="AQ581" i="948"/>
  <c r="AP581" i="948"/>
  <c r="AM581" i="948"/>
  <c r="AR580" i="948"/>
  <c r="AQ580" i="948"/>
  <c r="AP580" i="948"/>
  <c r="AM580" i="948"/>
  <c r="AR579" i="948"/>
  <c r="AQ579" i="948"/>
  <c r="AP579" i="948"/>
  <c r="AM579" i="948"/>
  <c r="AR578" i="948"/>
  <c r="AQ578" i="948"/>
  <c r="AP578" i="948"/>
  <c r="AM577" i="948"/>
  <c r="AM576" i="948"/>
  <c r="AM575" i="948"/>
  <c r="AM574" i="948"/>
  <c r="AM573" i="948"/>
  <c r="AM572" i="948"/>
  <c r="AM571" i="948"/>
  <c r="AM569" i="948"/>
  <c r="AM568" i="948"/>
  <c r="AM567" i="948"/>
  <c r="AM566" i="948"/>
  <c r="AM565" i="948"/>
  <c r="AM564" i="948"/>
  <c r="AM563" i="948"/>
  <c r="AR561" i="948"/>
  <c r="AQ561" i="948"/>
  <c r="AP561" i="948"/>
  <c r="AP560" i="948" s="1"/>
  <c r="AM561" i="948"/>
  <c r="AR560" i="948"/>
  <c r="AQ560" i="948"/>
  <c r="AM560" i="948"/>
  <c r="AR559" i="948"/>
  <c r="AQ559" i="948"/>
  <c r="AP559" i="948"/>
  <c r="AR558" i="948"/>
  <c r="AQ558" i="948"/>
  <c r="AP558" i="948"/>
  <c r="AM558" i="948"/>
  <c r="AR557" i="948"/>
  <c r="AQ557" i="948"/>
  <c r="AP557" i="948"/>
  <c r="AM557" i="948"/>
  <c r="AR556" i="948"/>
  <c r="AQ556" i="948"/>
  <c r="AP556" i="948"/>
  <c r="AM556" i="948"/>
  <c r="AM555" i="948"/>
  <c r="AR554" i="948"/>
  <c r="AQ554" i="948"/>
  <c r="AP554" i="948"/>
  <c r="AM554" i="948"/>
  <c r="AR553" i="948"/>
  <c r="AQ553" i="948"/>
  <c r="AP553" i="948"/>
  <c r="AM553" i="948"/>
  <c r="AR552" i="948"/>
  <c r="AQ552" i="948"/>
  <c r="AP552" i="948"/>
  <c r="AM552" i="948"/>
  <c r="AR550" i="948"/>
  <c r="AQ550" i="948"/>
  <c r="AP550" i="948"/>
  <c r="AM550" i="948"/>
  <c r="AR549" i="948"/>
  <c r="AQ549" i="948"/>
  <c r="AP549" i="948"/>
  <c r="AM549" i="948"/>
  <c r="AR548" i="948"/>
  <c r="AQ548" i="948"/>
  <c r="AP548" i="948"/>
  <c r="AM548" i="948"/>
  <c r="AM547" i="948"/>
  <c r="AR546" i="948"/>
  <c r="AQ546" i="948"/>
  <c r="AP546" i="948"/>
  <c r="AM546" i="948"/>
  <c r="AR545" i="948"/>
  <c r="AQ545" i="948"/>
  <c r="AP545" i="948"/>
  <c r="AM545" i="948"/>
  <c r="AR544" i="948"/>
  <c r="AQ544" i="948"/>
  <c r="AP544" i="948"/>
  <c r="AM544" i="948"/>
  <c r="AM542" i="948"/>
  <c r="AM541" i="948"/>
  <c r="AM540" i="948"/>
  <c r="AM539" i="948"/>
  <c r="AM538" i="948"/>
  <c r="AM537" i="948"/>
  <c r="AM536" i="948"/>
  <c r="AM534" i="948"/>
  <c r="AM533" i="948"/>
  <c r="AM532" i="948"/>
  <c r="AM531" i="948"/>
  <c r="AM530" i="948"/>
  <c r="AM529" i="948"/>
  <c r="AM528" i="948"/>
  <c r="AR522" i="948"/>
  <c r="AQ522" i="948"/>
  <c r="AP522" i="948"/>
  <c r="AR521" i="948"/>
  <c r="AQ521" i="948"/>
  <c r="AP521" i="948"/>
  <c r="AR520" i="948"/>
  <c r="AQ520" i="948"/>
  <c r="AP520" i="948"/>
  <c r="AR519" i="948"/>
  <c r="AQ519" i="948"/>
  <c r="AP519" i="948"/>
  <c r="AR518" i="948"/>
  <c r="AQ518" i="948"/>
  <c r="AP518" i="948"/>
  <c r="AR517" i="948"/>
  <c r="AQ517" i="948"/>
  <c r="AP517" i="948"/>
  <c r="AR516" i="948"/>
  <c r="AQ516" i="948"/>
  <c r="AP516" i="948"/>
  <c r="AR513" i="948"/>
  <c r="AQ513" i="948"/>
  <c r="AP513" i="948"/>
  <c r="AR512" i="948"/>
  <c r="AQ512" i="948"/>
  <c r="AP512" i="948"/>
  <c r="AR511" i="948"/>
  <c r="AQ511" i="948"/>
  <c r="AP511" i="948"/>
  <c r="AR510" i="948"/>
  <c r="AQ510" i="948"/>
  <c r="AP510" i="948"/>
  <c r="AR509" i="948"/>
  <c r="AQ509" i="948"/>
  <c r="AP509" i="948"/>
  <c r="AR508" i="948"/>
  <c r="AQ508" i="948"/>
  <c r="AP508" i="948"/>
  <c r="AR507" i="948"/>
  <c r="AQ507" i="948"/>
  <c r="AP507" i="948"/>
  <c r="AR506" i="948"/>
  <c r="AQ506" i="948"/>
  <c r="AP506" i="948"/>
  <c r="AR505" i="948"/>
  <c r="AQ505" i="948"/>
  <c r="AP505" i="948"/>
  <c r="AR504" i="948"/>
  <c r="AQ504" i="948"/>
  <c r="AP504" i="948"/>
  <c r="AR503" i="948"/>
  <c r="AQ503" i="948"/>
  <c r="AP503" i="948"/>
  <c r="AR502" i="948"/>
  <c r="AQ502" i="948"/>
  <c r="AP502" i="948"/>
  <c r="AR501" i="948"/>
  <c r="AQ501" i="948"/>
  <c r="AP501" i="948"/>
  <c r="AR500" i="948"/>
  <c r="AQ500" i="948"/>
  <c r="AP500" i="948"/>
  <c r="AR499" i="948"/>
  <c r="AQ499" i="948"/>
  <c r="AP499" i="948"/>
  <c r="AR498" i="948"/>
  <c r="AQ498" i="948"/>
  <c r="AP498" i="948"/>
  <c r="AR497" i="948"/>
  <c r="AQ497" i="948"/>
  <c r="AP497" i="948"/>
  <c r="AR496" i="948"/>
  <c r="AQ496" i="948"/>
  <c r="AP496" i="948"/>
  <c r="AR495" i="948"/>
  <c r="AQ495" i="948"/>
  <c r="AP495" i="948"/>
  <c r="AR494" i="948"/>
  <c r="AQ494" i="948"/>
  <c r="AP494" i="948"/>
  <c r="AR493" i="948"/>
  <c r="AQ493" i="948"/>
  <c r="AP493" i="948"/>
  <c r="AR492" i="948"/>
  <c r="AQ492" i="948"/>
  <c r="AP492" i="948"/>
  <c r="AR491" i="948"/>
  <c r="AQ491" i="948"/>
  <c r="AP491" i="948"/>
  <c r="AR490" i="948"/>
  <c r="AQ490" i="948"/>
  <c r="AP490" i="948"/>
  <c r="AR489" i="948"/>
  <c r="AQ489" i="948"/>
  <c r="AP489" i="948"/>
  <c r="AR488" i="948"/>
  <c r="AQ488" i="948"/>
  <c r="AP488" i="948"/>
  <c r="AR487" i="948"/>
  <c r="AQ487" i="948"/>
  <c r="AP487" i="948"/>
  <c r="AR486" i="948"/>
  <c r="AQ486" i="948"/>
  <c r="AP486" i="948"/>
  <c r="AR485" i="948"/>
  <c r="AQ485" i="948"/>
  <c r="AP485" i="948"/>
  <c r="AR484" i="948"/>
  <c r="AQ484" i="948"/>
  <c r="AP484" i="948"/>
  <c r="AR483" i="948"/>
  <c r="AQ483" i="948"/>
  <c r="AP483" i="948"/>
  <c r="AR482" i="948"/>
  <c r="AQ482" i="948"/>
  <c r="AP482" i="948"/>
  <c r="AR481" i="948"/>
  <c r="AQ481" i="948"/>
  <c r="AP481" i="948"/>
  <c r="AR480" i="948"/>
  <c r="AQ480" i="948"/>
  <c r="AP480" i="948"/>
  <c r="AR479" i="948"/>
  <c r="AQ479" i="948"/>
  <c r="AP479" i="948"/>
  <c r="AR478" i="948"/>
  <c r="AQ478" i="948"/>
  <c r="AP478" i="948"/>
  <c r="AR477" i="948"/>
  <c r="AQ477" i="948"/>
  <c r="AP477" i="948"/>
  <c r="AR476" i="948"/>
  <c r="AQ476" i="948"/>
  <c r="AP476" i="948"/>
  <c r="AR475" i="948"/>
  <c r="AQ475" i="948"/>
  <c r="AP475" i="948"/>
  <c r="AR416" i="948"/>
  <c r="AR577" i="948" s="1"/>
  <c r="AQ416" i="948"/>
  <c r="AQ577" i="948" s="1"/>
  <c r="AP416" i="948"/>
  <c r="AP577" i="948" s="1"/>
  <c r="AR415" i="948"/>
  <c r="AR576" i="948" s="1"/>
  <c r="AQ415" i="948"/>
  <c r="AQ576" i="948" s="1"/>
  <c r="AP415" i="948"/>
  <c r="AP576" i="948" s="1"/>
  <c r="AR414" i="948"/>
  <c r="AR575" i="948" s="1"/>
  <c r="AQ414" i="948"/>
  <c r="AQ575" i="948" s="1"/>
  <c r="AP414" i="948"/>
  <c r="AP575" i="948" s="1"/>
  <c r="AR413" i="948"/>
  <c r="AR574" i="948" s="1"/>
  <c r="AQ413" i="948"/>
  <c r="AQ574" i="948" s="1"/>
  <c r="AP413" i="948"/>
  <c r="AP574" i="948" s="1"/>
  <c r="AR412" i="948"/>
  <c r="AR573" i="948" s="1"/>
  <c r="AQ412" i="948"/>
  <c r="AQ573" i="948" s="1"/>
  <c r="AP412" i="948"/>
  <c r="AP573" i="948" s="1"/>
  <c r="AR411" i="948"/>
  <c r="AR572" i="948" s="1"/>
  <c r="AQ411" i="948"/>
  <c r="AQ572" i="948" s="1"/>
  <c r="AP411" i="948"/>
  <c r="AP572" i="948" s="1"/>
  <c r="AR410" i="948"/>
  <c r="AR571" i="948" s="1"/>
  <c r="AQ410" i="948"/>
  <c r="AQ571" i="948" s="1"/>
  <c r="AP410" i="948"/>
  <c r="AP571" i="948" s="1"/>
  <c r="AR409" i="948"/>
  <c r="AQ409" i="948"/>
  <c r="AP409" i="948"/>
  <c r="AR408" i="948"/>
  <c r="AR542" i="948" s="1"/>
  <c r="AQ408" i="948"/>
  <c r="AQ542" i="948" s="1"/>
  <c r="AP408" i="948"/>
  <c r="AP542" i="948" s="1"/>
  <c r="AR407" i="948"/>
  <c r="AR541" i="948" s="1"/>
  <c r="AQ407" i="948"/>
  <c r="AQ541" i="948" s="1"/>
  <c r="AP407" i="948"/>
  <c r="AP541" i="948" s="1"/>
  <c r="AR406" i="948"/>
  <c r="AR540" i="948" s="1"/>
  <c r="AQ406" i="948"/>
  <c r="AQ540" i="948" s="1"/>
  <c r="AP406" i="948"/>
  <c r="AP540" i="948" s="1"/>
  <c r="AR404" i="948"/>
  <c r="AR538" i="948" s="1"/>
  <c r="AQ404" i="948"/>
  <c r="AQ538" i="948" s="1"/>
  <c r="AP404" i="948"/>
  <c r="AP538" i="948" s="1"/>
  <c r="AR403" i="948"/>
  <c r="AR537" i="948" s="1"/>
  <c r="AQ403" i="948"/>
  <c r="AQ537" i="948" s="1"/>
  <c r="AP403" i="948"/>
  <c r="AP537" i="948" s="1"/>
  <c r="AR402" i="948"/>
  <c r="AR536" i="948" s="1"/>
  <c r="AQ402" i="948"/>
  <c r="AQ536" i="948" s="1"/>
  <c r="AP402" i="948"/>
  <c r="AP536" i="948" s="1"/>
  <c r="AR398" i="948"/>
  <c r="AR470" i="948" s="1"/>
  <c r="AQ398" i="948"/>
  <c r="AQ470" i="948" s="1"/>
  <c r="AP398" i="948"/>
  <c r="AP470" i="948" s="1"/>
  <c r="AR397" i="948"/>
  <c r="AR469" i="948" s="1"/>
  <c r="AQ397" i="948"/>
  <c r="AQ469" i="948" s="1"/>
  <c r="AP397" i="948"/>
  <c r="AP469" i="948" s="1"/>
  <c r="AR396" i="948"/>
  <c r="AR468" i="948" s="1"/>
  <c r="AQ396" i="948"/>
  <c r="AQ468" i="948" s="1"/>
  <c r="AP396" i="948"/>
  <c r="AP468" i="948" s="1"/>
  <c r="AR395" i="948"/>
  <c r="AR467" i="948" s="1"/>
  <c r="AQ395" i="948"/>
  <c r="AQ467" i="948" s="1"/>
  <c r="AP395" i="948"/>
  <c r="AP467" i="948" s="1"/>
  <c r="AR394" i="948"/>
  <c r="AR466" i="948" s="1"/>
  <c r="AQ394" i="948"/>
  <c r="AQ466" i="948" s="1"/>
  <c r="AP394" i="948"/>
  <c r="AP466" i="948" s="1"/>
  <c r="AR393" i="948"/>
  <c r="AR465" i="948" s="1"/>
  <c r="AQ393" i="948"/>
  <c r="AQ465" i="948" s="1"/>
  <c r="AP393" i="948"/>
  <c r="AP465" i="948" s="1"/>
  <c r="AR392" i="948"/>
  <c r="AR464" i="948" s="1"/>
  <c r="AQ392" i="948"/>
  <c r="AQ464" i="948" s="1"/>
  <c r="AP392" i="948"/>
  <c r="AP464" i="948" s="1"/>
  <c r="AR391" i="948"/>
  <c r="AQ391" i="948"/>
  <c r="AP391" i="948"/>
  <c r="AR390" i="948"/>
  <c r="AQ390" i="948"/>
  <c r="AP390" i="948"/>
  <c r="AR389" i="948"/>
  <c r="AR461" i="948" s="1"/>
  <c r="AQ389" i="948"/>
  <c r="AQ461" i="948" s="1"/>
  <c r="AP389" i="948"/>
  <c r="AP461" i="948" s="1"/>
  <c r="AR388" i="948"/>
  <c r="AR460" i="948" s="1"/>
  <c r="AQ388" i="948"/>
  <c r="AQ460" i="948" s="1"/>
  <c r="AP388" i="948"/>
  <c r="AP460" i="948" s="1"/>
  <c r="AR387" i="948"/>
  <c r="AR459" i="948" s="1"/>
  <c r="AQ387" i="948"/>
  <c r="AQ459" i="948" s="1"/>
  <c r="AP387" i="948"/>
  <c r="AP459" i="948" s="1"/>
  <c r="AR386" i="948"/>
  <c r="AR458" i="948" s="1"/>
  <c r="AQ386" i="948"/>
  <c r="AQ458" i="948" s="1"/>
  <c r="AP386" i="948"/>
  <c r="AP458" i="948" s="1"/>
  <c r="AR385" i="948"/>
  <c r="AR457" i="948" s="1"/>
  <c r="AQ385" i="948"/>
  <c r="AQ457" i="948" s="1"/>
  <c r="AP385" i="948"/>
  <c r="AP457" i="948" s="1"/>
  <c r="AR384" i="948"/>
  <c r="AR456" i="948" s="1"/>
  <c r="AQ384" i="948"/>
  <c r="AQ456" i="948" s="1"/>
  <c r="AP384" i="948"/>
  <c r="AP456" i="948" s="1"/>
  <c r="AR383" i="948"/>
  <c r="AR455" i="948" s="1"/>
  <c r="AQ383" i="948"/>
  <c r="AQ455" i="948" s="1"/>
  <c r="AP383" i="948"/>
  <c r="AP455" i="948" s="1"/>
  <c r="AR382" i="948"/>
  <c r="AR454" i="948" s="1"/>
  <c r="AQ382" i="948"/>
  <c r="AQ454" i="948" s="1"/>
  <c r="AP382" i="948"/>
  <c r="AP454" i="948" s="1"/>
  <c r="AR381" i="948"/>
  <c r="AR453" i="948" s="1"/>
  <c r="AQ381" i="948"/>
  <c r="AQ453" i="948" s="1"/>
  <c r="AP381" i="948"/>
  <c r="AP453" i="948" s="1"/>
  <c r="AR380" i="948"/>
  <c r="AR452" i="948" s="1"/>
  <c r="AQ380" i="948"/>
  <c r="AQ452" i="948" s="1"/>
  <c r="AP380" i="948"/>
  <c r="AP452" i="948" s="1"/>
  <c r="AR379" i="948"/>
  <c r="AR451" i="948" s="1"/>
  <c r="AQ379" i="948"/>
  <c r="AQ451" i="948" s="1"/>
  <c r="AP379" i="948"/>
  <c r="AP451" i="948" s="1"/>
  <c r="AR378" i="948"/>
  <c r="AR450" i="948" s="1"/>
  <c r="AQ378" i="948"/>
  <c r="AQ450" i="948" s="1"/>
  <c r="AP378" i="948"/>
  <c r="AP450" i="948" s="1"/>
  <c r="AR377" i="948"/>
  <c r="AR449" i="948" s="1"/>
  <c r="AQ377" i="948"/>
  <c r="AQ449" i="948" s="1"/>
  <c r="AP377" i="948"/>
  <c r="AP449" i="948" s="1"/>
  <c r="AR376" i="948"/>
  <c r="AR448" i="948" s="1"/>
  <c r="AQ376" i="948"/>
  <c r="AQ448" i="948" s="1"/>
  <c r="AP376" i="948"/>
  <c r="AP448" i="948" s="1"/>
  <c r="AR375" i="948"/>
  <c r="AR447" i="948" s="1"/>
  <c r="AQ375" i="948"/>
  <c r="AQ447" i="948" s="1"/>
  <c r="AP375" i="948"/>
  <c r="AP447" i="948" s="1"/>
  <c r="AR374" i="948"/>
  <c r="AR446" i="948" s="1"/>
  <c r="AQ374" i="948"/>
  <c r="AQ446" i="948" s="1"/>
  <c r="AP374" i="948"/>
  <c r="AP446" i="948" s="1"/>
  <c r="AR373" i="948"/>
  <c r="AR445" i="948" s="1"/>
  <c r="AQ373" i="948"/>
  <c r="AQ445" i="948" s="1"/>
  <c r="AP373" i="948"/>
  <c r="AP445" i="948" s="1"/>
  <c r="AR372" i="948"/>
  <c r="AR444" i="948" s="1"/>
  <c r="AQ372" i="948"/>
  <c r="AQ444" i="948" s="1"/>
  <c r="AP372" i="948"/>
  <c r="AP444" i="948" s="1"/>
  <c r="AR371" i="948"/>
  <c r="AR443" i="948" s="1"/>
  <c r="AQ371" i="948"/>
  <c r="AQ443" i="948" s="1"/>
  <c r="AP371" i="948"/>
  <c r="AP443" i="948" s="1"/>
  <c r="AR370" i="948"/>
  <c r="AR442" i="948" s="1"/>
  <c r="AQ370" i="948"/>
  <c r="AQ442" i="948" s="1"/>
  <c r="AP370" i="948"/>
  <c r="AP442" i="948" s="1"/>
  <c r="AR369" i="948"/>
  <c r="AR441" i="948" s="1"/>
  <c r="AQ369" i="948"/>
  <c r="AQ441" i="948" s="1"/>
  <c r="AP369" i="948"/>
  <c r="AP441" i="948" s="1"/>
  <c r="AR368" i="948"/>
  <c r="AR440" i="948" s="1"/>
  <c r="AQ368" i="948"/>
  <c r="AQ440" i="948" s="1"/>
  <c r="AP368" i="948"/>
  <c r="AP440" i="948" s="1"/>
  <c r="AR367" i="948"/>
  <c r="AR439" i="948" s="1"/>
  <c r="AQ367" i="948"/>
  <c r="AQ439" i="948" s="1"/>
  <c r="AP367" i="948"/>
  <c r="AP439" i="948" s="1"/>
  <c r="AR366" i="948"/>
  <c r="AR438" i="948" s="1"/>
  <c r="AQ366" i="948"/>
  <c r="AQ438" i="948" s="1"/>
  <c r="AP366" i="948"/>
  <c r="AP438" i="948" s="1"/>
  <c r="AR365" i="948"/>
  <c r="AR437" i="948" s="1"/>
  <c r="AQ365" i="948"/>
  <c r="AQ437" i="948" s="1"/>
  <c r="AP365" i="948"/>
  <c r="AP437" i="948" s="1"/>
  <c r="AR364" i="948"/>
  <c r="AR436" i="948" s="1"/>
  <c r="AQ364" i="948"/>
  <c r="AQ436" i="948" s="1"/>
  <c r="AP364" i="948"/>
  <c r="AP436" i="948" s="1"/>
  <c r="AR363" i="948"/>
  <c r="AR435" i="948" s="1"/>
  <c r="AQ363" i="948"/>
  <c r="AQ435" i="948" s="1"/>
  <c r="AP363" i="948"/>
  <c r="AP435" i="948" s="1"/>
  <c r="AR362" i="948"/>
  <c r="AR434" i="948" s="1"/>
  <c r="AQ362" i="948"/>
  <c r="AQ434" i="948" s="1"/>
  <c r="AP362" i="948"/>
  <c r="AP434" i="948" s="1"/>
  <c r="AR361" i="948"/>
  <c r="AR433" i="948" s="1"/>
  <c r="AQ361" i="948"/>
  <c r="AQ433" i="948" s="1"/>
  <c r="AP361" i="948"/>
  <c r="AP433" i="948" s="1"/>
  <c r="AR360" i="948"/>
  <c r="AR432" i="948" s="1"/>
  <c r="AQ360" i="948"/>
  <c r="AQ432" i="948" s="1"/>
  <c r="AP360" i="948"/>
  <c r="AP432" i="948" s="1"/>
  <c r="AR359" i="948"/>
  <c r="AR431" i="948" s="1"/>
  <c r="AQ359" i="948"/>
  <c r="AQ431" i="948" s="1"/>
  <c r="AP359" i="948"/>
  <c r="AP431" i="948" s="1"/>
  <c r="AR358" i="948"/>
  <c r="AR430" i="948" s="1"/>
  <c r="AQ358" i="948"/>
  <c r="AQ430" i="948" s="1"/>
  <c r="AP358" i="948"/>
  <c r="AP430" i="948" s="1"/>
  <c r="AR357" i="948"/>
  <c r="AR429" i="948" s="1"/>
  <c r="AQ357" i="948"/>
  <c r="AQ429" i="948" s="1"/>
  <c r="AP357" i="948"/>
  <c r="AP429" i="948" s="1"/>
  <c r="AR356" i="948"/>
  <c r="AR428" i="948" s="1"/>
  <c r="AQ356" i="948"/>
  <c r="AQ428" i="948" s="1"/>
  <c r="AP356" i="948"/>
  <c r="AP428" i="948" s="1"/>
  <c r="AR355" i="948"/>
  <c r="AR427" i="948" s="1"/>
  <c r="AQ355" i="948"/>
  <c r="AQ427" i="948" s="1"/>
  <c r="AP355" i="948"/>
  <c r="AP427" i="948" s="1"/>
  <c r="AR354" i="948"/>
  <c r="AR426" i="948" s="1"/>
  <c r="AQ354" i="948"/>
  <c r="AQ426" i="948" s="1"/>
  <c r="AP354" i="948"/>
  <c r="AP426" i="948" s="1"/>
  <c r="AR353" i="948"/>
  <c r="AR425" i="948" s="1"/>
  <c r="AQ353" i="948"/>
  <c r="AQ425" i="948" s="1"/>
  <c r="AP353" i="948"/>
  <c r="AP425" i="948" s="1"/>
  <c r="AR352" i="948"/>
  <c r="AR424" i="948" s="1"/>
  <c r="AQ352" i="948"/>
  <c r="AQ424" i="948" s="1"/>
  <c r="AP352" i="948"/>
  <c r="AP424" i="948" s="1"/>
  <c r="AR351" i="948"/>
  <c r="AR423" i="948" s="1"/>
  <c r="AQ351" i="948"/>
  <c r="AQ423" i="948" s="1"/>
  <c r="AP351" i="948"/>
  <c r="AP423" i="948" s="1"/>
  <c r="AR242" i="948"/>
  <c r="AQ242" i="948"/>
  <c r="AP242" i="948"/>
  <c r="AP138" i="948" s="1"/>
  <c r="AR241" i="948"/>
  <c r="AR137" i="948" s="1"/>
  <c r="AQ241" i="948"/>
  <c r="AQ137" i="948" s="1"/>
  <c r="AP241" i="948"/>
  <c r="AR240" i="948"/>
  <c r="AR136" i="948" s="1"/>
  <c r="AQ240" i="948"/>
  <c r="AQ136" i="948" s="1"/>
  <c r="AP240" i="948"/>
  <c r="AR239" i="948"/>
  <c r="AQ239" i="948"/>
  <c r="AQ135" i="948" s="1"/>
  <c r="AP239" i="948"/>
  <c r="AP135" i="948" s="1"/>
  <c r="AR238" i="948"/>
  <c r="AR134" i="948" s="1"/>
  <c r="AQ238" i="948"/>
  <c r="AP238" i="948"/>
  <c r="AP134" i="948" s="1"/>
  <c r="AR237" i="948"/>
  <c r="AR133" i="948" s="1"/>
  <c r="AQ237" i="948"/>
  <c r="AP237" i="948"/>
  <c r="AR236" i="948"/>
  <c r="AQ236" i="948"/>
  <c r="AQ132" i="948" s="1"/>
  <c r="AP236" i="948"/>
  <c r="AR233" i="948"/>
  <c r="AQ233" i="948"/>
  <c r="AQ129" i="948" s="1"/>
  <c r="AP233" i="948"/>
  <c r="AP129" i="948" s="1"/>
  <c r="AR232" i="948"/>
  <c r="AR128" i="948" s="1"/>
  <c r="AQ232" i="948"/>
  <c r="AP232" i="948"/>
  <c r="AP128" i="948" s="1"/>
  <c r="AR231" i="948"/>
  <c r="AR127" i="948" s="1"/>
  <c r="AQ231" i="948"/>
  <c r="AP231" i="948"/>
  <c r="AR230" i="948"/>
  <c r="AR126" i="948" s="1"/>
  <c r="AQ230" i="948"/>
  <c r="AQ126" i="948" s="1"/>
  <c r="AP230" i="948"/>
  <c r="AP126" i="948" s="1"/>
  <c r="AR229" i="948"/>
  <c r="AQ229" i="948"/>
  <c r="AP229" i="948"/>
  <c r="AP125" i="948" s="1"/>
  <c r="AR228" i="948"/>
  <c r="AQ228" i="948"/>
  <c r="AP228" i="948"/>
  <c r="AP124" i="948" s="1"/>
  <c r="AR227" i="948"/>
  <c r="AR123" i="948" s="1"/>
  <c r="AQ227" i="948"/>
  <c r="AQ123" i="948" s="1"/>
  <c r="AP227" i="948"/>
  <c r="AR226" i="948"/>
  <c r="AR122" i="948" s="1"/>
  <c r="AQ226" i="948"/>
  <c r="AQ122" i="948" s="1"/>
  <c r="AP226" i="948"/>
  <c r="AR225" i="948"/>
  <c r="AQ225" i="948"/>
  <c r="AQ121" i="948" s="1"/>
  <c r="AP225" i="948"/>
  <c r="AP121" i="948" s="1"/>
  <c r="AR224" i="948"/>
  <c r="AR120" i="948" s="1"/>
  <c r="AQ224" i="948"/>
  <c r="AP224" i="948"/>
  <c r="AR223" i="948"/>
  <c r="AR119" i="948" s="1"/>
  <c r="AQ223" i="948"/>
  <c r="AQ119" i="948" s="1"/>
  <c r="AP223" i="948"/>
  <c r="AR222" i="948"/>
  <c r="AR118" i="948" s="1"/>
  <c r="AQ222" i="948"/>
  <c r="AQ118" i="948" s="1"/>
  <c r="AP222" i="948"/>
  <c r="AP118" i="948" s="1"/>
  <c r="AR221" i="948"/>
  <c r="AQ221" i="948"/>
  <c r="AQ117" i="948" s="1"/>
  <c r="AP221" i="948"/>
  <c r="AP117" i="948" s="1"/>
  <c r="AR220" i="948"/>
  <c r="AR116" i="948" s="1"/>
  <c r="AQ220" i="948"/>
  <c r="AP220" i="948"/>
  <c r="AP116" i="948" s="1"/>
  <c r="AR219" i="948"/>
  <c r="AR115" i="948" s="1"/>
  <c r="AQ219" i="948"/>
  <c r="AQ115" i="948" s="1"/>
  <c r="AP219" i="948"/>
  <c r="AR218" i="948"/>
  <c r="AR114" i="948" s="1"/>
  <c r="AQ218" i="948"/>
  <c r="AQ114" i="948" s="1"/>
  <c r="AP218" i="948"/>
  <c r="AP114" i="948" s="1"/>
  <c r="AR217" i="948"/>
  <c r="AQ217" i="948"/>
  <c r="AQ113" i="948" s="1"/>
  <c r="AP217" i="948"/>
  <c r="AP113" i="948" s="1"/>
  <c r="AR216" i="948"/>
  <c r="AQ216" i="948"/>
  <c r="AP216" i="948"/>
  <c r="AP112" i="948" s="1"/>
  <c r="AR215" i="948"/>
  <c r="AR111" i="948" s="1"/>
  <c r="AQ215" i="948"/>
  <c r="AQ111" i="948" s="1"/>
  <c r="AP215" i="948"/>
  <c r="AR214" i="948"/>
  <c r="AR110" i="948" s="1"/>
  <c r="AQ214" i="948"/>
  <c r="AQ110" i="948" s="1"/>
  <c r="AP214" i="948"/>
  <c r="AR213" i="948"/>
  <c r="AQ213" i="948"/>
  <c r="AP213" i="948"/>
  <c r="AP109" i="948" s="1"/>
  <c r="AR212" i="948"/>
  <c r="AR108" i="948" s="1"/>
  <c r="AQ212" i="948"/>
  <c r="AP212" i="948"/>
  <c r="AP108" i="948" s="1"/>
  <c r="AR211" i="948"/>
  <c r="AR107" i="948" s="1"/>
  <c r="AQ211" i="948"/>
  <c r="AQ107" i="948" s="1"/>
  <c r="AP211" i="948"/>
  <c r="AR210" i="948"/>
  <c r="AR106" i="948" s="1"/>
  <c r="AQ210" i="948"/>
  <c r="AQ106" i="948" s="1"/>
  <c r="AP210" i="948"/>
  <c r="AP106" i="948" s="1"/>
  <c r="AR209" i="948"/>
  <c r="AQ209" i="948"/>
  <c r="AQ105" i="948" s="1"/>
  <c r="AP209" i="948"/>
  <c r="AP105" i="948" s="1"/>
  <c r="AR208" i="948"/>
  <c r="AR104" i="948" s="1"/>
  <c r="AQ208" i="948"/>
  <c r="AP208" i="948"/>
  <c r="AR207" i="948"/>
  <c r="AR103" i="948" s="1"/>
  <c r="AQ207" i="948"/>
  <c r="AP207" i="948"/>
  <c r="AR206" i="948"/>
  <c r="AR102" i="948" s="1"/>
  <c r="AQ206" i="948"/>
  <c r="AQ102" i="948" s="1"/>
  <c r="AP206" i="948"/>
  <c r="AP102" i="948" s="1"/>
  <c r="AR205" i="948"/>
  <c r="AQ205" i="948"/>
  <c r="AQ101" i="948" s="1"/>
  <c r="AP205" i="948"/>
  <c r="AP101" i="948" s="1"/>
  <c r="AR204" i="948"/>
  <c r="AQ204" i="948"/>
  <c r="AP204" i="948"/>
  <c r="AP100" i="948" s="1"/>
  <c r="AR203" i="948"/>
  <c r="AR99" i="948" s="1"/>
  <c r="AQ203" i="948"/>
  <c r="AQ99" i="948" s="1"/>
  <c r="AP203" i="948"/>
  <c r="AR202" i="948"/>
  <c r="AQ202" i="948"/>
  <c r="AQ98" i="948" s="1"/>
  <c r="AP202" i="948"/>
  <c r="AP98" i="948" s="1"/>
  <c r="AR201" i="948"/>
  <c r="AQ201" i="948"/>
  <c r="AQ97" i="948" s="1"/>
  <c r="AP201" i="948"/>
  <c r="AP97" i="948" s="1"/>
  <c r="AR200" i="948"/>
  <c r="AR96" i="948" s="1"/>
  <c r="AQ200" i="948"/>
  <c r="AP200" i="948"/>
  <c r="AP96" i="948" s="1"/>
  <c r="AR199" i="948"/>
  <c r="AR95" i="948" s="1"/>
  <c r="AQ199" i="948"/>
  <c r="AQ95" i="948" s="1"/>
  <c r="AP199" i="948"/>
  <c r="AR198" i="948"/>
  <c r="AR94" i="948" s="1"/>
  <c r="AQ198" i="948"/>
  <c r="AQ94" i="948" s="1"/>
  <c r="AP198" i="948"/>
  <c r="AP94" i="948" s="1"/>
  <c r="AR197" i="948"/>
  <c r="AQ197" i="948"/>
  <c r="AQ93" i="948" s="1"/>
  <c r="AP197" i="948"/>
  <c r="AP93" i="948" s="1"/>
  <c r="AR196" i="948"/>
  <c r="AR92" i="948" s="1"/>
  <c r="AQ196" i="948"/>
  <c r="AP196" i="948"/>
  <c r="AP92" i="948" s="1"/>
  <c r="AR195" i="948"/>
  <c r="AR91" i="948" s="1"/>
  <c r="AQ195" i="948"/>
  <c r="AP195" i="948"/>
  <c r="AQ190" i="948"/>
  <c r="AR189" i="948"/>
  <c r="AQ188" i="948"/>
  <c r="AQ187" i="948"/>
  <c r="AP187" i="948"/>
  <c r="AR185" i="948"/>
  <c r="AQ185" i="948"/>
  <c r="AR184" i="948"/>
  <c r="AQ184" i="948"/>
  <c r="AR183" i="948"/>
  <c r="AQ183" i="948"/>
  <c r="AP183" i="948"/>
  <c r="AQ182" i="948"/>
  <c r="AP182" i="948"/>
  <c r="AR181" i="948"/>
  <c r="AR180" i="948"/>
  <c r="AQ180" i="948"/>
  <c r="AQ179" i="948"/>
  <c r="AP179" i="948"/>
  <c r="AP178" i="948"/>
  <c r="AR177" i="948"/>
  <c r="AQ177" i="948"/>
  <c r="AR176" i="948"/>
  <c r="AQ176" i="948"/>
  <c r="AP175" i="948"/>
  <c r="AP174" i="948"/>
  <c r="AR173" i="948"/>
  <c r="AQ172" i="948"/>
  <c r="AP172" i="948"/>
  <c r="AQ171" i="948"/>
  <c r="AP171" i="948"/>
  <c r="AR169" i="948"/>
  <c r="AR168" i="948"/>
  <c r="AQ168" i="948"/>
  <c r="AP167" i="948"/>
  <c r="AR166" i="948"/>
  <c r="AR165" i="948"/>
  <c r="AR164" i="948"/>
  <c r="AQ164" i="948"/>
  <c r="AP163" i="948"/>
  <c r="AP162" i="948"/>
  <c r="AR161" i="948"/>
  <c r="AQ160" i="948"/>
  <c r="AQ159" i="948"/>
  <c r="AP159" i="948"/>
  <c r="AR157" i="948"/>
  <c r="AR156" i="948"/>
  <c r="AQ156" i="948"/>
  <c r="AP156" i="948"/>
  <c r="AQ155" i="948"/>
  <c r="AP155" i="948"/>
  <c r="AR153" i="948"/>
  <c r="AR152" i="948"/>
  <c r="AQ152" i="948"/>
  <c r="AP151" i="948"/>
  <c r="AR150" i="948"/>
  <c r="AP150" i="948"/>
  <c r="AR149" i="948"/>
  <c r="AQ148" i="948"/>
  <c r="AQ147" i="948"/>
  <c r="AP147" i="948"/>
  <c r="AR145" i="948"/>
  <c r="AQ145" i="948"/>
  <c r="AQ144" i="948"/>
  <c r="AQ143" i="948"/>
  <c r="AP143" i="948"/>
  <c r="AR138" i="948"/>
  <c r="AQ138" i="948"/>
  <c r="AP137" i="948"/>
  <c r="AP136" i="948"/>
  <c r="AR135" i="948"/>
  <c r="AQ134" i="948"/>
  <c r="AQ133" i="948"/>
  <c r="AP133" i="948"/>
  <c r="AR132" i="948"/>
  <c r="AP132" i="948"/>
  <c r="AR129" i="948"/>
  <c r="AQ128" i="948"/>
  <c r="AQ127" i="948"/>
  <c r="AP127" i="948"/>
  <c r="AR125" i="948"/>
  <c r="AQ125" i="948"/>
  <c r="AR124" i="948"/>
  <c r="AQ124" i="948"/>
  <c r="AP123" i="948"/>
  <c r="AP122" i="948"/>
  <c r="AR121" i="948"/>
  <c r="AQ120" i="948"/>
  <c r="AP120" i="948"/>
  <c r="AP119" i="948"/>
  <c r="AR117" i="948"/>
  <c r="AQ116" i="948"/>
  <c r="AP115" i="948"/>
  <c r="AR113" i="948"/>
  <c r="AR112" i="948"/>
  <c r="AQ112" i="948"/>
  <c r="AP111" i="948"/>
  <c r="AP110" i="948"/>
  <c r="AR109" i="948"/>
  <c r="AQ109" i="948"/>
  <c r="AQ108" i="948"/>
  <c r="AP107" i="948"/>
  <c r="AR105" i="948"/>
  <c r="AQ104" i="948"/>
  <c r="AP104" i="948"/>
  <c r="AQ103" i="948"/>
  <c r="AP103" i="948"/>
  <c r="AR101" i="948"/>
  <c r="AR100" i="948"/>
  <c r="AQ100" i="948"/>
  <c r="AP99" i="948"/>
  <c r="AR98" i="948"/>
  <c r="AR97" i="948"/>
  <c r="AQ96" i="948"/>
  <c r="AP95" i="948"/>
  <c r="AR93" i="948"/>
  <c r="AQ92" i="948"/>
  <c r="AQ91" i="948"/>
  <c r="AP91" i="948"/>
  <c r="AR87" i="948"/>
  <c r="AQ87" i="948"/>
  <c r="AP87" i="948"/>
  <c r="AR86" i="948"/>
  <c r="AQ86" i="948"/>
  <c r="AP86" i="948"/>
  <c r="AR85" i="948"/>
  <c r="AQ85" i="948"/>
  <c r="AP85" i="948"/>
  <c r="AR84" i="948"/>
  <c r="AQ84" i="948"/>
  <c r="AP84" i="948"/>
  <c r="AR83" i="948"/>
  <c r="AQ83" i="948"/>
  <c r="AP83" i="948"/>
  <c r="AR82" i="948"/>
  <c r="AQ82" i="948"/>
  <c r="AP82" i="948"/>
  <c r="AR81" i="948"/>
  <c r="AQ81" i="948"/>
  <c r="AP81" i="948"/>
  <c r="AR80" i="948"/>
  <c r="AQ80" i="948"/>
  <c r="AP80" i="948"/>
  <c r="AR79" i="948"/>
  <c r="AQ79" i="948"/>
  <c r="AP79" i="948"/>
  <c r="AR78" i="948"/>
  <c r="AQ78" i="948"/>
  <c r="AP78" i="948"/>
  <c r="AR77" i="948"/>
  <c r="AQ77" i="948"/>
  <c r="AP77" i="948"/>
  <c r="AR76" i="948"/>
  <c r="AQ76" i="948"/>
  <c r="AP76" i="948"/>
  <c r="AR75" i="948"/>
  <c r="AQ75" i="948"/>
  <c r="AP75" i="948"/>
  <c r="AR74" i="948"/>
  <c r="AQ74" i="948"/>
  <c r="AP74" i="948"/>
  <c r="AR73" i="948"/>
  <c r="AQ73" i="948"/>
  <c r="AP73" i="948"/>
  <c r="AR72" i="948"/>
  <c r="AQ72" i="948"/>
  <c r="AP72" i="948"/>
  <c r="AR71" i="948"/>
  <c r="AQ71" i="948"/>
  <c r="AP71" i="948"/>
  <c r="AR70" i="948"/>
  <c r="AQ70" i="948"/>
  <c r="AP70" i="948"/>
  <c r="AR69" i="948"/>
  <c r="AQ69" i="948"/>
  <c r="AP69" i="948"/>
  <c r="AR68" i="948"/>
  <c r="AQ68" i="948"/>
  <c r="AP68" i="948"/>
  <c r="AR67" i="948"/>
  <c r="AQ67" i="948"/>
  <c r="AP67" i="948"/>
  <c r="AR66" i="948"/>
  <c r="AQ66" i="948"/>
  <c r="AP66" i="948"/>
  <c r="AR65" i="948"/>
  <c r="AQ65" i="948"/>
  <c r="AP65" i="948"/>
  <c r="AR64" i="948"/>
  <c r="AQ64" i="948"/>
  <c r="AP64" i="948"/>
  <c r="AR63" i="948"/>
  <c r="AQ63" i="948"/>
  <c r="AP63" i="948"/>
  <c r="AR62" i="948"/>
  <c r="AQ62" i="948"/>
  <c r="AP62" i="948"/>
  <c r="AR61" i="948"/>
  <c r="AQ61" i="948"/>
  <c r="AP61" i="948"/>
  <c r="AR60" i="948"/>
  <c r="AQ60" i="948"/>
  <c r="AP60" i="948"/>
  <c r="AR59" i="948"/>
  <c r="AQ59" i="948"/>
  <c r="AP59" i="948"/>
  <c r="AR58" i="948"/>
  <c r="AQ58" i="948"/>
  <c r="AP58" i="948"/>
  <c r="AR57" i="948"/>
  <c r="AQ57" i="948"/>
  <c r="AP57" i="948"/>
  <c r="AR56" i="948"/>
  <c r="AQ56" i="948"/>
  <c r="AP56" i="948"/>
  <c r="AR55" i="948"/>
  <c r="AQ55" i="948"/>
  <c r="AP55" i="948"/>
  <c r="AR54" i="948"/>
  <c r="AQ54" i="948"/>
  <c r="AP54" i="948"/>
  <c r="AR53" i="948"/>
  <c r="AQ53" i="948"/>
  <c r="AP53" i="948"/>
  <c r="AR52" i="948"/>
  <c r="AQ52" i="948"/>
  <c r="AP52" i="948"/>
  <c r="AR51" i="948"/>
  <c r="AQ51" i="948"/>
  <c r="AP51" i="948"/>
  <c r="AR50" i="948"/>
  <c r="AQ50" i="948"/>
  <c r="AP50" i="948"/>
  <c r="AR49" i="948"/>
  <c r="AQ49" i="948"/>
  <c r="AP49" i="948"/>
  <c r="AR48" i="948"/>
  <c r="AQ48" i="948"/>
  <c r="AP48" i="948"/>
  <c r="AR47" i="948"/>
  <c r="AQ47" i="948"/>
  <c r="AP47" i="948"/>
  <c r="AR46" i="948"/>
  <c r="AQ46" i="948"/>
  <c r="AP46" i="948"/>
  <c r="AR45" i="948"/>
  <c r="AQ45" i="948"/>
  <c r="AP45" i="948"/>
  <c r="AR44" i="948"/>
  <c r="AQ44" i="948"/>
  <c r="AP44" i="948"/>
  <c r="AR43" i="948"/>
  <c r="AQ43" i="948"/>
  <c r="AP43" i="948"/>
  <c r="AR42" i="948"/>
  <c r="AQ42" i="948"/>
  <c r="AP42" i="948"/>
  <c r="AR41" i="948"/>
  <c r="AQ41" i="948"/>
  <c r="AP41" i="948"/>
  <c r="AR40" i="948"/>
  <c r="AQ40" i="948"/>
  <c r="AP40" i="948"/>
  <c r="AR39" i="948"/>
  <c r="AQ39" i="948"/>
  <c r="AP39" i="948"/>
  <c r="AR148" i="948" l="1"/>
  <c r="AP158" i="948"/>
  <c r="AQ167" i="948"/>
  <c r="AR144" i="948"/>
  <c r="AQ151" i="948"/>
  <c r="AP154" i="948"/>
  <c r="AQ161" i="948"/>
  <c r="AQ163" i="948"/>
  <c r="AP166" i="948"/>
  <c r="AR172" i="948"/>
  <c r="AQ175" i="948"/>
  <c r="AP186" i="948"/>
  <c r="AR188" i="948"/>
  <c r="AP146" i="948"/>
  <c r="AR160" i="948"/>
  <c r="AP170" i="948"/>
  <c r="AP144" i="948"/>
  <c r="AQ149" i="948"/>
  <c r="AR154" i="948"/>
  <c r="AP160" i="948"/>
  <c r="AQ165" i="948"/>
  <c r="AR170" i="948"/>
  <c r="AP176" i="948"/>
  <c r="AQ181" i="948"/>
  <c r="AP184" i="948"/>
  <c r="AQ189" i="948"/>
  <c r="AP148" i="948"/>
  <c r="AQ153" i="948"/>
  <c r="AR158" i="948"/>
  <c r="AP164" i="948"/>
  <c r="AQ169" i="948"/>
  <c r="AR174" i="948"/>
  <c r="AP180" i="948"/>
  <c r="AP188" i="948"/>
  <c r="AR146" i="948"/>
  <c r="AP152" i="948"/>
  <c r="AQ157" i="948"/>
  <c r="AR162" i="948"/>
  <c r="AP168" i="948"/>
  <c r="AQ173" i="948"/>
  <c r="AR178" i="948"/>
  <c r="AR186" i="948"/>
  <c r="AR143" i="948"/>
  <c r="AP145" i="948"/>
  <c r="AQ146" i="948"/>
  <c r="AR147" i="948"/>
  <c r="AP149" i="948"/>
  <c r="AQ150" i="948"/>
  <c r="AR151" i="948"/>
  <c r="AP153" i="948"/>
  <c r="AQ154" i="948"/>
  <c r="AR155" i="948"/>
  <c r="AP157" i="948"/>
  <c r="AQ158" i="948"/>
  <c r="AR159" i="948"/>
  <c r="AP161" i="948"/>
  <c r="AQ162" i="948"/>
  <c r="AR163" i="948"/>
  <c r="AP165" i="948"/>
  <c r="AQ166" i="948"/>
  <c r="AR167" i="948"/>
  <c r="AP169" i="948"/>
  <c r="AQ170" i="948"/>
  <c r="AR171" i="948"/>
  <c r="AP173" i="948"/>
  <c r="AQ174" i="948"/>
  <c r="AR175" i="948"/>
  <c r="AP177" i="948"/>
  <c r="AQ178" i="948"/>
  <c r="AR179" i="948"/>
  <c r="AP181" i="948"/>
  <c r="AP185" i="948"/>
  <c r="AQ186" i="948"/>
  <c r="AR187" i="948"/>
  <c r="AP189" i="948"/>
  <c r="AR190" i="948"/>
  <c r="AP190" i="948"/>
  <c r="AP528" i="948"/>
  <c r="AP529" i="948"/>
  <c r="AP530" i="948"/>
  <c r="AP532" i="948"/>
  <c r="AP533" i="948"/>
  <c r="AP534" i="948"/>
  <c r="AQ528" i="948"/>
  <c r="AQ529" i="948"/>
  <c r="AQ530" i="948"/>
  <c r="AQ532" i="948"/>
  <c r="AQ533" i="948"/>
  <c r="AQ534" i="948"/>
  <c r="AP563" i="948"/>
  <c r="AP564" i="948"/>
  <c r="AP565" i="948"/>
  <c r="AP566" i="948"/>
  <c r="AP567" i="948"/>
  <c r="AP568" i="948"/>
  <c r="AP569" i="948"/>
  <c r="AR528" i="948"/>
  <c r="AR529" i="948"/>
  <c r="AR530" i="948"/>
  <c r="AR532" i="948"/>
  <c r="AR533" i="948"/>
  <c r="AR534" i="948"/>
  <c r="AQ563" i="948"/>
  <c r="AQ564" i="948"/>
  <c r="AQ565" i="948"/>
  <c r="AQ566" i="948"/>
  <c r="AQ567" i="948"/>
  <c r="AQ568" i="948"/>
  <c r="AQ569" i="948"/>
  <c r="AR563" i="948"/>
  <c r="AR564" i="948"/>
  <c r="AR565" i="948"/>
  <c r="AR566" i="948"/>
  <c r="AR567" i="948"/>
  <c r="AR568" i="948"/>
  <c r="AR569" i="948"/>
  <c r="AG1110" i="1147" l="1"/>
  <c r="AF1110" i="1147"/>
  <c r="AE1110" i="1147"/>
  <c r="AE1107" i="1147"/>
  <c r="AG1108" i="1147"/>
  <c r="AF1108" i="1147"/>
  <c r="AE1104" i="1147"/>
  <c r="AK1100" i="1147"/>
  <c r="AM1099" i="1147"/>
  <c r="AL1099" i="1147"/>
  <c r="AK1099" i="1147" s="1"/>
  <c r="AK1097" i="1147"/>
  <c r="AM1096" i="1147"/>
  <c r="AM1095" i="1147" s="1"/>
  <c r="AM87" i="1147" s="1"/>
  <c r="AM1161" i="1147" s="1"/>
  <c r="AL1096" i="1147"/>
  <c r="AK1092" i="1147"/>
  <c r="M1093" i="1147"/>
  <c r="M1092" i="1147"/>
  <c r="AM1091" i="1147"/>
  <c r="AL1091" i="1147"/>
  <c r="AK1089" i="1147"/>
  <c r="M1090" i="1147"/>
  <c r="M1089" i="1147"/>
  <c r="AM1088" i="1147"/>
  <c r="AL1088" i="1147"/>
  <c r="AK1088" i="1147" s="1"/>
  <c r="M1087" i="1147"/>
  <c r="AK1086" i="1147"/>
  <c r="M1086" i="1147"/>
  <c r="AM1085" i="1147"/>
  <c r="AL1085" i="1147"/>
  <c r="M1084" i="1147"/>
  <c r="AK1083" i="1147"/>
  <c r="M1083" i="1147"/>
  <c r="AM1082" i="1147"/>
  <c r="AL1082" i="1147"/>
  <c r="AK1080" i="1147"/>
  <c r="M1081" i="1147"/>
  <c r="M1080" i="1147"/>
  <c r="AM1079" i="1147"/>
  <c r="AL1079" i="1147"/>
  <c r="AK1077" i="1147"/>
  <c r="M1078" i="1147"/>
  <c r="M1077" i="1147"/>
  <c r="AM1076" i="1147"/>
  <c r="AL1076" i="1147"/>
  <c r="AK1076" i="1147" s="1"/>
  <c r="AK1074" i="1147"/>
  <c r="M1075" i="1147"/>
  <c r="M1074" i="1147"/>
  <c r="AM1073" i="1147"/>
  <c r="AL1073" i="1147"/>
  <c r="AK1071" i="1147"/>
  <c r="M1072" i="1147"/>
  <c r="M1071" i="1147"/>
  <c r="AM1070" i="1147"/>
  <c r="AL1070" i="1147"/>
  <c r="AM1069" i="1147"/>
  <c r="AL1069" i="1147"/>
  <c r="AK1069" i="1147" s="1"/>
  <c r="AK183" i="1147" s="1"/>
  <c r="AM1068" i="1147"/>
  <c r="AL1068" i="1147"/>
  <c r="AM1063" i="1147"/>
  <c r="AL1063" i="1147"/>
  <c r="AK1063" i="1147" s="1"/>
  <c r="AM1062" i="1147"/>
  <c r="AL1062" i="1147"/>
  <c r="AK1062" i="1147" s="1"/>
  <c r="AM1061" i="1147"/>
  <c r="AL1061" i="1147"/>
  <c r="AK1061" i="1147" s="1"/>
  <c r="AM1060" i="1147"/>
  <c r="AL1060" i="1147"/>
  <c r="AK1060" i="1147" s="1"/>
  <c r="AM1059" i="1147"/>
  <c r="AL1059" i="1147"/>
  <c r="AK1059" i="1147" s="1"/>
  <c r="AM1058" i="1147"/>
  <c r="AL1058" i="1147"/>
  <c r="AK1058" i="1147" s="1"/>
  <c r="AM1057" i="1147"/>
  <c r="AL1057" i="1147"/>
  <c r="AK1057" i="1147" s="1"/>
  <c r="AM1054" i="1147"/>
  <c r="AL1054" i="1147"/>
  <c r="AK1054" i="1147" s="1"/>
  <c r="AM1053" i="1147"/>
  <c r="AL1053" i="1147"/>
  <c r="AK1053" i="1147" s="1"/>
  <c r="AM1052" i="1147"/>
  <c r="AL1052" i="1147"/>
  <c r="AK1052" i="1147" s="1"/>
  <c r="AM1051" i="1147"/>
  <c r="AL1051" i="1147"/>
  <c r="AK1051" i="1147" s="1"/>
  <c r="AM1050" i="1147"/>
  <c r="AL1050" i="1147"/>
  <c r="AK1050" i="1147" s="1"/>
  <c r="AM1049" i="1147"/>
  <c r="AL1049" i="1147"/>
  <c r="AK1049" i="1147" s="1"/>
  <c r="AM1048" i="1147"/>
  <c r="AL1048" i="1147"/>
  <c r="AK1048" i="1147" s="1"/>
  <c r="AM1047" i="1147"/>
  <c r="AL1047" i="1147"/>
  <c r="AK1047" i="1147" s="1"/>
  <c r="AM1046" i="1147"/>
  <c r="AL1046" i="1147"/>
  <c r="AK1046" i="1147" s="1"/>
  <c r="AM1045" i="1147"/>
  <c r="AL1045" i="1147"/>
  <c r="AK1045" i="1147" s="1"/>
  <c r="AM1044" i="1147"/>
  <c r="AL1044" i="1147"/>
  <c r="AK1044" i="1147" s="1"/>
  <c r="AM1043" i="1147"/>
  <c r="AL1043" i="1147"/>
  <c r="AK1043" i="1147" s="1"/>
  <c r="AM1042" i="1147"/>
  <c r="AL1042" i="1147"/>
  <c r="AK1042" i="1147" s="1"/>
  <c r="AM1041" i="1147"/>
  <c r="AL1041" i="1147"/>
  <c r="AK1041" i="1147" s="1"/>
  <c r="AM1040" i="1147"/>
  <c r="AL1040" i="1147"/>
  <c r="AK1040" i="1147" s="1"/>
  <c r="AM1039" i="1147"/>
  <c r="AL1039" i="1147"/>
  <c r="AK1039" i="1147" s="1"/>
  <c r="AM1038" i="1147"/>
  <c r="AL1038" i="1147"/>
  <c r="AM1036" i="1147"/>
  <c r="AL1036" i="1147"/>
  <c r="AK1036" i="1147" s="1"/>
  <c r="AM1035" i="1147"/>
  <c r="AL1035" i="1147"/>
  <c r="AK1035" i="1147" s="1"/>
  <c r="AM1034" i="1147"/>
  <c r="AL1034" i="1147"/>
  <c r="AK1034" i="1147" s="1"/>
  <c r="AM1033" i="1147"/>
  <c r="AL1033" i="1147"/>
  <c r="AK1033" i="1147" s="1"/>
  <c r="AM1032" i="1147"/>
  <c r="AL1032" i="1147"/>
  <c r="AK1032" i="1147" s="1"/>
  <c r="AM1031" i="1147"/>
  <c r="AL1031" i="1147"/>
  <c r="AK1031" i="1147" s="1"/>
  <c r="AM1030" i="1147"/>
  <c r="AL1030" i="1147"/>
  <c r="AK1030" i="1147" s="1"/>
  <c r="AM1028" i="1147"/>
  <c r="AL1028" i="1147"/>
  <c r="AM1027" i="1147"/>
  <c r="AL1027" i="1147"/>
  <c r="AM1026" i="1147"/>
  <c r="AL1026" i="1147"/>
  <c r="AM1025" i="1147"/>
  <c r="AL1025" i="1147"/>
  <c r="AM1023" i="1147"/>
  <c r="AL1023" i="1147"/>
  <c r="AK1023" i="1147" s="1"/>
  <c r="AM1022" i="1147"/>
  <c r="AL1022" i="1147"/>
  <c r="AG1013" i="1147"/>
  <c r="AF1013" i="1147"/>
  <c r="AE1013" i="1147"/>
  <c r="AK956" i="1147"/>
  <c r="AK950" i="1147"/>
  <c r="AK946" i="1147"/>
  <c r="AK942" i="1147"/>
  <c r="AK938" i="1147"/>
  <c r="AK934" i="1147"/>
  <c r="AM985" i="1147"/>
  <c r="AM933" i="1147" s="1"/>
  <c r="AL985" i="1147"/>
  <c r="AK932" i="1147"/>
  <c r="AK928" i="1147"/>
  <c r="AM977" i="1147"/>
  <c r="AL977" i="1147"/>
  <c r="AK922" i="1147"/>
  <c r="AM972" i="1147"/>
  <c r="AL972" i="1147"/>
  <c r="AK972" i="1147" s="1"/>
  <c r="AK920" i="1147" s="1"/>
  <c r="AK959" i="1147"/>
  <c r="AK958" i="1147"/>
  <c r="AK957" i="1147"/>
  <c r="AK955" i="1147"/>
  <c r="AK954" i="1147"/>
  <c r="AK953" i="1147"/>
  <c r="AK949" i="1147"/>
  <c r="AK948" i="1147"/>
  <c r="AK947" i="1147"/>
  <c r="AK945" i="1147"/>
  <c r="AK944" i="1147"/>
  <c r="AK943" i="1147"/>
  <c r="AK941" i="1147"/>
  <c r="AK940" i="1147"/>
  <c r="AK939" i="1147"/>
  <c r="AK937" i="1147"/>
  <c r="AK936" i="1147"/>
  <c r="AK935" i="1147"/>
  <c r="AL933" i="1147"/>
  <c r="AK931" i="1147"/>
  <c r="AK930" i="1147"/>
  <c r="AK929" i="1147"/>
  <c r="AK927" i="1147"/>
  <c r="AK926" i="1147"/>
  <c r="AM925" i="1147"/>
  <c r="AK924" i="1147"/>
  <c r="AK923" i="1147"/>
  <c r="AK921" i="1147"/>
  <c r="AM920" i="1147"/>
  <c r="AK919" i="1147"/>
  <c r="AK918" i="1147"/>
  <c r="AM907" i="1147"/>
  <c r="AL907" i="1147"/>
  <c r="AM906" i="1147"/>
  <c r="AL906" i="1147"/>
  <c r="AK906" i="1147" s="1"/>
  <c r="AM905" i="1147"/>
  <c r="AL905" i="1147"/>
  <c r="AK905" i="1147" s="1"/>
  <c r="AM904" i="1147"/>
  <c r="AL904" i="1147"/>
  <c r="AK904" i="1147" s="1"/>
  <c r="AM903" i="1147"/>
  <c r="AL903" i="1147"/>
  <c r="AK903" i="1147" s="1"/>
  <c r="AM902" i="1147"/>
  <c r="AL902" i="1147"/>
  <c r="AK902" i="1147" s="1"/>
  <c r="AM901" i="1147"/>
  <c r="AL901" i="1147"/>
  <c r="AK901" i="1147" s="1"/>
  <c r="AM898" i="1147"/>
  <c r="AL898" i="1147"/>
  <c r="AK898" i="1147" s="1"/>
  <c r="AM897" i="1147"/>
  <c r="AL897" i="1147"/>
  <c r="AK897" i="1147" s="1"/>
  <c r="AM896" i="1147"/>
  <c r="AL896" i="1147"/>
  <c r="AK896" i="1147" s="1"/>
  <c r="AM895" i="1147"/>
  <c r="AL895" i="1147"/>
  <c r="AK895" i="1147" s="1"/>
  <c r="AM894" i="1147"/>
  <c r="AL894" i="1147"/>
  <c r="AK894" i="1147" s="1"/>
  <c r="AM893" i="1147"/>
  <c r="AL893" i="1147"/>
  <c r="AK893" i="1147" s="1"/>
  <c r="AM892" i="1147"/>
  <c r="AL892" i="1147"/>
  <c r="AK892" i="1147" s="1"/>
  <c r="AM891" i="1147"/>
  <c r="AL891" i="1147"/>
  <c r="AK891" i="1147" s="1"/>
  <c r="AM890" i="1147"/>
  <c r="AL890" i="1147"/>
  <c r="AK890" i="1147" s="1"/>
  <c r="AM889" i="1147"/>
  <c r="AL889" i="1147"/>
  <c r="AK889" i="1147" s="1"/>
  <c r="AM888" i="1147"/>
  <c r="AL888" i="1147"/>
  <c r="AK888" i="1147" s="1"/>
  <c r="AM887" i="1147"/>
  <c r="AL887" i="1147"/>
  <c r="AK887" i="1147" s="1"/>
  <c r="AM886" i="1147"/>
  <c r="AL886" i="1147"/>
  <c r="AK886" i="1147" s="1"/>
  <c r="AM885" i="1147"/>
  <c r="AL885" i="1147"/>
  <c r="AK885" i="1147" s="1"/>
  <c r="AM884" i="1147"/>
  <c r="AL884" i="1147"/>
  <c r="AK884" i="1147" s="1"/>
  <c r="AM883" i="1147"/>
  <c r="AL883" i="1147"/>
  <c r="AK883" i="1147" s="1"/>
  <c r="AM882" i="1147"/>
  <c r="AL882" i="1147"/>
  <c r="AK882" i="1147" s="1"/>
  <c r="AM880" i="1147"/>
  <c r="AL880" i="1147"/>
  <c r="AK880" i="1147" s="1"/>
  <c r="AM879" i="1147"/>
  <c r="AL879" i="1147"/>
  <c r="AK879" i="1147" s="1"/>
  <c r="AM878" i="1147"/>
  <c r="AL878" i="1147"/>
  <c r="AK878" i="1147" s="1"/>
  <c r="AM877" i="1147"/>
  <c r="AL877" i="1147"/>
  <c r="AK877" i="1147" s="1"/>
  <c r="AM876" i="1147"/>
  <c r="AL876" i="1147"/>
  <c r="AK876" i="1147" s="1"/>
  <c r="AM875" i="1147"/>
  <c r="AL875" i="1147"/>
  <c r="AK875" i="1147" s="1"/>
  <c r="AM874" i="1147"/>
  <c r="AL874" i="1147"/>
  <c r="AK874" i="1147" s="1"/>
  <c r="AM872" i="1147"/>
  <c r="AL872" i="1147"/>
  <c r="AK872" i="1147" s="1"/>
  <c r="AM871" i="1147"/>
  <c r="AL871" i="1147"/>
  <c r="AK871" i="1147" s="1"/>
  <c r="AM870" i="1147"/>
  <c r="AL870" i="1147"/>
  <c r="AK870" i="1147" s="1"/>
  <c r="AM869" i="1147"/>
  <c r="AL869" i="1147"/>
  <c r="AK869" i="1147" s="1"/>
  <c r="AM868" i="1147"/>
  <c r="AM867" i="1147"/>
  <c r="AL867" i="1147"/>
  <c r="AM866" i="1147"/>
  <c r="AL866" i="1147"/>
  <c r="AG857" i="1147"/>
  <c r="AF857" i="1147"/>
  <c r="AE857" i="1147"/>
  <c r="AK803" i="1147"/>
  <c r="AK799" i="1147"/>
  <c r="AK793" i="1147"/>
  <c r="AK789" i="1147"/>
  <c r="AK785" i="1147"/>
  <c r="AK781" i="1147"/>
  <c r="AM829" i="1147"/>
  <c r="AM777" i="1147" s="1"/>
  <c r="AL829" i="1147"/>
  <c r="AL777" i="1147" s="1"/>
  <c r="AK775" i="1147"/>
  <c r="AK771" i="1147"/>
  <c r="AM821" i="1147"/>
  <c r="AL821" i="1147"/>
  <c r="AK765" i="1147"/>
  <c r="AM816" i="1147"/>
  <c r="AL816" i="1147"/>
  <c r="AK763" i="1147"/>
  <c r="AK802" i="1147"/>
  <c r="AK801" i="1147"/>
  <c r="AK800" i="1147"/>
  <c r="AK798" i="1147"/>
  <c r="AK797" i="1147"/>
  <c r="AK794" i="1147"/>
  <c r="AK792" i="1147"/>
  <c r="AK791" i="1147"/>
  <c r="AK790" i="1147"/>
  <c r="AK788" i="1147"/>
  <c r="AK787" i="1147"/>
  <c r="AK786" i="1147"/>
  <c r="AK784" i="1147"/>
  <c r="AK783" i="1147"/>
  <c r="AK782" i="1147"/>
  <c r="AK780" i="1147"/>
  <c r="AK779" i="1147"/>
  <c r="AK778" i="1147"/>
  <c r="AK776" i="1147"/>
  <c r="AK774" i="1147"/>
  <c r="AK773" i="1147"/>
  <c r="AK772" i="1147"/>
  <c r="AK770" i="1147"/>
  <c r="AM769" i="1147"/>
  <c r="AL769" i="1147"/>
  <c r="AK768" i="1147"/>
  <c r="AK767" i="1147"/>
  <c r="AK766" i="1147"/>
  <c r="AM764" i="1147"/>
  <c r="AL764" i="1147"/>
  <c r="AK762" i="1147"/>
  <c r="AM751" i="1147"/>
  <c r="AL751" i="1147"/>
  <c r="AM750" i="1147"/>
  <c r="AL750" i="1147"/>
  <c r="AM749" i="1147"/>
  <c r="AL749" i="1147"/>
  <c r="AM748" i="1147"/>
  <c r="AL748" i="1147"/>
  <c r="AM747" i="1147"/>
  <c r="AL747" i="1147"/>
  <c r="AM746" i="1147"/>
  <c r="AL746" i="1147"/>
  <c r="AM745" i="1147"/>
  <c r="AL745" i="1147"/>
  <c r="AM742" i="1147"/>
  <c r="AL742" i="1147"/>
  <c r="AM741" i="1147"/>
  <c r="AL741" i="1147"/>
  <c r="AM740" i="1147"/>
  <c r="AL740" i="1147"/>
  <c r="AM739" i="1147"/>
  <c r="AL739" i="1147"/>
  <c r="AM738" i="1147"/>
  <c r="AL738" i="1147"/>
  <c r="AM737" i="1147"/>
  <c r="AL737" i="1147"/>
  <c r="AM736" i="1147"/>
  <c r="AL736" i="1147"/>
  <c r="AM735" i="1147"/>
  <c r="AL735" i="1147"/>
  <c r="AM734" i="1147"/>
  <c r="AL734" i="1147"/>
  <c r="AM733" i="1147"/>
  <c r="AL733" i="1147"/>
  <c r="AM732" i="1147"/>
  <c r="AL732" i="1147"/>
  <c r="AM731" i="1147"/>
  <c r="AL731" i="1147"/>
  <c r="AM730" i="1147"/>
  <c r="AL730" i="1147"/>
  <c r="AM729" i="1147"/>
  <c r="AL729" i="1147"/>
  <c r="AM728" i="1147"/>
  <c r="AL728" i="1147"/>
  <c r="AM727" i="1147"/>
  <c r="AL727" i="1147"/>
  <c r="AM726" i="1147"/>
  <c r="AL726" i="1147"/>
  <c r="AM725" i="1147"/>
  <c r="AM724" i="1147"/>
  <c r="AL724" i="1147"/>
  <c r="AM723" i="1147"/>
  <c r="AL723" i="1147"/>
  <c r="AM722" i="1147"/>
  <c r="AL722" i="1147"/>
  <c r="AM721" i="1147"/>
  <c r="AL721" i="1147"/>
  <c r="AM720" i="1147"/>
  <c r="AL720" i="1147"/>
  <c r="AM719" i="1147"/>
  <c r="AL719" i="1147"/>
  <c r="AM718" i="1147"/>
  <c r="AM717" i="1147" s="1"/>
  <c r="AL718" i="1147"/>
  <c r="AM716" i="1147"/>
  <c r="AL716" i="1147"/>
  <c r="AM715" i="1147"/>
  <c r="AL715" i="1147"/>
  <c r="AK715" i="1147" s="1"/>
  <c r="AM714" i="1147"/>
  <c r="AL714" i="1147"/>
  <c r="AK714" i="1147" s="1"/>
  <c r="AM713" i="1147"/>
  <c r="AL713" i="1147"/>
  <c r="AK713" i="1147" s="1"/>
  <c r="AM711" i="1147"/>
  <c r="AL711" i="1147"/>
  <c r="AK711" i="1147" s="1"/>
  <c r="AM710" i="1147"/>
  <c r="AL710" i="1147"/>
  <c r="AK710" i="1147" s="1"/>
  <c r="AG701" i="1147"/>
  <c r="AF701" i="1147"/>
  <c r="AE701" i="1147"/>
  <c r="AK646" i="1147"/>
  <c r="AK645" i="1147"/>
  <c r="AK644" i="1147"/>
  <c r="AK641" i="1147"/>
  <c r="AK638" i="1147"/>
  <c r="AK636" i="1147"/>
  <c r="AK635" i="1147"/>
  <c r="AK634" i="1147"/>
  <c r="AK631" i="1147"/>
  <c r="AK630" i="1147"/>
  <c r="AK628" i="1147"/>
  <c r="AK627" i="1147"/>
  <c r="AK626" i="1147"/>
  <c r="AK623" i="1147"/>
  <c r="AK622" i="1147"/>
  <c r="AM673" i="1147"/>
  <c r="AL673" i="1147"/>
  <c r="AK620" i="1147"/>
  <c r="AK617" i="1147"/>
  <c r="AK616" i="1147"/>
  <c r="AK614" i="1147"/>
  <c r="AM665" i="1147"/>
  <c r="AM613" i="1147" s="1"/>
  <c r="AL665" i="1147"/>
  <c r="AK611" i="1147"/>
  <c r="AK610" i="1147"/>
  <c r="AM660" i="1147"/>
  <c r="AM608" i="1147" s="1"/>
  <c r="AL660" i="1147"/>
  <c r="AK647" i="1147"/>
  <c r="AK643" i="1147"/>
  <c r="AK642" i="1147"/>
  <c r="AK637" i="1147"/>
  <c r="AK633" i="1147"/>
  <c r="AK632" i="1147"/>
  <c r="AK629" i="1147"/>
  <c r="AK625" i="1147"/>
  <c r="AK624" i="1147"/>
  <c r="AM621" i="1147"/>
  <c r="AK619" i="1147"/>
  <c r="AK618" i="1147"/>
  <c r="AK615" i="1147"/>
  <c r="AK612" i="1147"/>
  <c r="AK609" i="1147"/>
  <c r="AK607" i="1147"/>
  <c r="AK606" i="1147"/>
  <c r="M596" i="1147"/>
  <c r="AM595" i="1147"/>
  <c r="AL595" i="1147"/>
  <c r="AK595" i="1147"/>
  <c r="M595" i="1147"/>
  <c r="AM593" i="1147"/>
  <c r="AL593" i="1147"/>
  <c r="M593" i="1147"/>
  <c r="AM592" i="1147"/>
  <c r="AL592" i="1147"/>
  <c r="M592" i="1147"/>
  <c r="AM591" i="1147"/>
  <c r="AL591" i="1147"/>
  <c r="M591" i="1147"/>
  <c r="AM590" i="1147"/>
  <c r="AL590" i="1147"/>
  <c r="M590" i="1147"/>
  <c r="AM589" i="1147"/>
  <c r="AL589" i="1147"/>
  <c r="M589" i="1147"/>
  <c r="AM588" i="1147"/>
  <c r="AL588" i="1147"/>
  <c r="M588" i="1147"/>
  <c r="AM587" i="1147"/>
  <c r="AL587" i="1147"/>
  <c r="M587" i="1147"/>
  <c r="AL586" i="1147"/>
  <c r="AM585" i="1147"/>
  <c r="AL585" i="1147"/>
  <c r="AK585" i="1147" s="1"/>
  <c r="M585" i="1147"/>
  <c r="AM584" i="1147"/>
  <c r="AL584" i="1147"/>
  <c r="M584" i="1147"/>
  <c r="AM583" i="1147"/>
  <c r="AL583" i="1147"/>
  <c r="AK583" i="1147" s="1"/>
  <c r="M583" i="1147"/>
  <c r="AM582" i="1147"/>
  <c r="AL582" i="1147"/>
  <c r="M582" i="1147"/>
  <c r="AM581" i="1147"/>
  <c r="AL581" i="1147"/>
  <c r="AK581" i="1147" s="1"/>
  <c r="M581" i="1147"/>
  <c r="AM580" i="1147"/>
  <c r="AM578" i="1147" s="1"/>
  <c r="AL580" i="1147"/>
  <c r="M580" i="1147"/>
  <c r="AM579" i="1147"/>
  <c r="AL579" i="1147"/>
  <c r="AK579" i="1147" s="1"/>
  <c r="M579" i="1147"/>
  <c r="M577" i="1147"/>
  <c r="M576" i="1147"/>
  <c r="M575" i="1147"/>
  <c r="M574" i="1147"/>
  <c r="M573" i="1147"/>
  <c r="M572" i="1147"/>
  <c r="M571" i="1147"/>
  <c r="M569" i="1147"/>
  <c r="M568" i="1147"/>
  <c r="M567" i="1147"/>
  <c r="M566" i="1147"/>
  <c r="M565" i="1147"/>
  <c r="M564" i="1147"/>
  <c r="M563" i="1147"/>
  <c r="M561" i="1147"/>
  <c r="AM560" i="1147"/>
  <c r="AL560" i="1147"/>
  <c r="AK560" i="1147"/>
  <c r="M560" i="1147"/>
  <c r="AM558" i="1147"/>
  <c r="AL558" i="1147"/>
  <c r="AK558" i="1147" s="1"/>
  <c r="M558" i="1147"/>
  <c r="AM557" i="1147"/>
  <c r="AL557" i="1147"/>
  <c r="M557" i="1147"/>
  <c r="AM556" i="1147"/>
  <c r="AL556" i="1147"/>
  <c r="AK556" i="1147" s="1"/>
  <c r="M556" i="1147"/>
  <c r="AM555" i="1147"/>
  <c r="AL555" i="1147"/>
  <c r="M555" i="1147"/>
  <c r="AM554" i="1147"/>
  <c r="AL554" i="1147"/>
  <c r="AK554" i="1147" s="1"/>
  <c r="M554" i="1147"/>
  <c r="AM553" i="1147"/>
  <c r="AM551" i="1147" s="1"/>
  <c r="AL553" i="1147"/>
  <c r="M553" i="1147"/>
  <c r="AM552" i="1147"/>
  <c r="AL552" i="1147"/>
  <c r="AK552" i="1147" s="1"/>
  <c r="M552" i="1147"/>
  <c r="AM550" i="1147"/>
  <c r="AL550" i="1147"/>
  <c r="M550" i="1147"/>
  <c r="AM549" i="1147"/>
  <c r="AL549" i="1147"/>
  <c r="M549" i="1147"/>
  <c r="AM548" i="1147"/>
  <c r="AL548" i="1147"/>
  <c r="M548" i="1147"/>
  <c r="AM547" i="1147"/>
  <c r="AL547" i="1147"/>
  <c r="M547" i="1147"/>
  <c r="AM546" i="1147"/>
  <c r="AL546" i="1147"/>
  <c r="M546" i="1147"/>
  <c r="AM545" i="1147"/>
  <c r="AL545" i="1147"/>
  <c r="M545" i="1147"/>
  <c r="AM544" i="1147"/>
  <c r="AL544" i="1147"/>
  <c r="M544" i="1147"/>
  <c r="AL543" i="1147"/>
  <c r="M542" i="1147"/>
  <c r="M541" i="1147"/>
  <c r="M540" i="1147"/>
  <c r="M539" i="1147"/>
  <c r="M538" i="1147"/>
  <c r="M537" i="1147"/>
  <c r="M536" i="1147"/>
  <c r="M534" i="1147"/>
  <c r="M533" i="1147"/>
  <c r="M532" i="1147"/>
  <c r="M531" i="1147"/>
  <c r="M530" i="1147"/>
  <c r="M529" i="1147"/>
  <c r="M528" i="1147"/>
  <c r="AM522" i="1147"/>
  <c r="AL522" i="1147"/>
  <c r="AK522" i="1147" s="1"/>
  <c r="AM521" i="1147"/>
  <c r="AL521" i="1147"/>
  <c r="AK521" i="1147" s="1"/>
  <c r="AM520" i="1147"/>
  <c r="AL520" i="1147"/>
  <c r="AK520" i="1147" s="1"/>
  <c r="AM519" i="1147"/>
  <c r="AL519" i="1147"/>
  <c r="AK519" i="1147" s="1"/>
  <c r="AM518" i="1147"/>
  <c r="AL518" i="1147"/>
  <c r="AK518" i="1147" s="1"/>
  <c r="AM517" i="1147"/>
  <c r="AL517" i="1147"/>
  <c r="AK517" i="1147" s="1"/>
  <c r="AM516" i="1147"/>
  <c r="AL516" i="1147"/>
  <c r="AK516" i="1147" s="1"/>
  <c r="AM513" i="1147"/>
  <c r="AL513" i="1147"/>
  <c r="AK513" i="1147" s="1"/>
  <c r="AM512" i="1147"/>
  <c r="AL512" i="1147"/>
  <c r="AK512" i="1147" s="1"/>
  <c r="AM511" i="1147"/>
  <c r="AL511" i="1147"/>
  <c r="AK511" i="1147" s="1"/>
  <c r="AM510" i="1147"/>
  <c r="AL510" i="1147"/>
  <c r="AK510" i="1147" s="1"/>
  <c r="AM509" i="1147"/>
  <c r="AL509" i="1147"/>
  <c r="AK509" i="1147" s="1"/>
  <c r="AM508" i="1147"/>
  <c r="AL508" i="1147"/>
  <c r="AK508" i="1147" s="1"/>
  <c r="AM507" i="1147"/>
  <c r="AL507" i="1147"/>
  <c r="AK507" i="1147" s="1"/>
  <c r="AM506" i="1147"/>
  <c r="AL506" i="1147"/>
  <c r="AK506" i="1147" s="1"/>
  <c r="AM505" i="1147"/>
  <c r="AL505" i="1147"/>
  <c r="AK505" i="1147" s="1"/>
  <c r="AM504" i="1147"/>
  <c r="AL504" i="1147"/>
  <c r="AK504" i="1147" s="1"/>
  <c r="AM503" i="1147"/>
  <c r="AL503" i="1147"/>
  <c r="AK503" i="1147" s="1"/>
  <c r="AM502" i="1147"/>
  <c r="AL502" i="1147"/>
  <c r="AK502" i="1147" s="1"/>
  <c r="AM501" i="1147"/>
  <c r="AL501" i="1147"/>
  <c r="AK501" i="1147" s="1"/>
  <c r="AM500" i="1147"/>
  <c r="AL500" i="1147"/>
  <c r="AK500" i="1147" s="1"/>
  <c r="AM499" i="1147"/>
  <c r="AL499" i="1147"/>
  <c r="AK499" i="1147" s="1"/>
  <c r="AM498" i="1147"/>
  <c r="AL498" i="1147"/>
  <c r="AK498" i="1147" s="1"/>
  <c r="AM497" i="1147"/>
  <c r="AM496" i="1147" s="1"/>
  <c r="AL497" i="1147"/>
  <c r="AK497" i="1147" s="1"/>
  <c r="AM495" i="1147"/>
  <c r="AL495" i="1147"/>
  <c r="AK495" i="1147" s="1"/>
  <c r="AM494" i="1147"/>
  <c r="AL494" i="1147"/>
  <c r="AK494" i="1147" s="1"/>
  <c r="AM493" i="1147"/>
  <c r="AL493" i="1147"/>
  <c r="AK493" i="1147" s="1"/>
  <c r="AM492" i="1147"/>
  <c r="AL492" i="1147"/>
  <c r="AK492" i="1147" s="1"/>
  <c r="AM491" i="1147"/>
  <c r="AL491" i="1147"/>
  <c r="AK491" i="1147" s="1"/>
  <c r="AM490" i="1147"/>
  <c r="AM488" i="1147" s="1"/>
  <c r="AL490" i="1147"/>
  <c r="AK490" i="1147" s="1"/>
  <c r="AM489" i="1147"/>
  <c r="AL489" i="1147"/>
  <c r="AK489" i="1147" s="1"/>
  <c r="AM487" i="1147"/>
  <c r="AL487" i="1147"/>
  <c r="AK487" i="1147" s="1"/>
  <c r="AM486" i="1147"/>
  <c r="AL486" i="1147"/>
  <c r="AK486" i="1147" s="1"/>
  <c r="AM485" i="1147"/>
  <c r="AL485" i="1147"/>
  <c r="AK485" i="1147" s="1"/>
  <c r="AM484" i="1147"/>
  <c r="AL484" i="1147"/>
  <c r="AK484" i="1147" s="1"/>
  <c r="AM482" i="1147"/>
  <c r="AL482" i="1147"/>
  <c r="AM481" i="1147"/>
  <c r="AL481" i="1147"/>
  <c r="AM480" i="1147"/>
  <c r="AL480" i="1147"/>
  <c r="AM479" i="1147"/>
  <c r="AM43" i="1147" s="1"/>
  <c r="AM1117" i="1147" s="1"/>
  <c r="AL479" i="1147"/>
  <c r="AM478" i="1147"/>
  <c r="AL478" i="1147"/>
  <c r="AM477" i="1147"/>
  <c r="AL477" i="1147"/>
  <c r="AM476" i="1147"/>
  <c r="AL476" i="1147"/>
  <c r="AG472" i="1147"/>
  <c r="AF472" i="1147"/>
  <c r="AE472" i="1147"/>
  <c r="AK577" i="1147"/>
  <c r="AK576" i="1147"/>
  <c r="AK573" i="1147"/>
  <c r="AK572" i="1147"/>
  <c r="AM409" i="1147"/>
  <c r="AM351" i="1147" s="1"/>
  <c r="AM475" i="1147" s="1"/>
  <c r="AL409" i="1147"/>
  <c r="AK567" i="1147"/>
  <c r="AK566" i="1147"/>
  <c r="AK563" i="1147"/>
  <c r="AM401" i="1147"/>
  <c r="AM350" i="1147" s="1"/>
  <c r="AL401" i="1147"/>
  <c r="AK470" i="1147"/>
  <c r="AK469" i="1147"/>
  <c r="AK468" i="1147"/>
  <c r="AK467" i="1147"/>
  <c r="AK466" i="1147"/>
  <c r="AK465" i="1147"/>
  <c r="AK464" i="1147"/>
  <c r="AM391" i="1147"/>
  <c r="AM390" i="1147"/>
  <c r="AL390" i="1147"/>
  <c r="AK461" i="1147"/>
  <c r="AK460" i="1147"/>
  <c r="AK459" i="1147"/>
  <c r="AK458" i="1147"/>
  <c r="AK457" i="1147"/>
  <c r="AK456" i="1147"/>
  <c r="AK455" i="1147"/>
  <c r="AK454" i="1147"/>
  <c r="AK453" i="1147"/>
  <c r="AK452" i="1147"/>
  <c r="AK451" i="1147"/>
  <c r="AK450" i="1147"/>
  <c r="AK449" i="1147"/>
  <c r="AK448" i="1147"/>
  <c r="AK447" i="1147"/>
  <c r="AK446" i="1147"/>
  <c r="AK445" i="1147"/>
  <c r="AM372" i="1147"/>
  <c r="AM444" i="1147" s="1"/>
  <c r="AL372" i="1147"/>
  <c r="AK443" i="1147"/>
  <c r="AK442" i="1147"/>
  <c r="AK441" i="1147"/>
  <c r="AK440" i="1147"/>
  <c r="AK439" i="1147"/>
  <c r="AK438" i="1147"/>
  <c r="AK437" i="1147"/>
  <c r="AM364" i="1147"/>
  <c r="AM312" i="1147" s="1"/>
  <c r="AL364" i="1147"/>
  <c r="AK435" i="1147"/>
  <c r="AK434" i="1147"/>
  <c r="AK433" i="1147"/>
  <c r="AK432" i="1147"/>
  <c r="AM359" i="1147"/>
  <c r="AM431" i="1147" s="1"/>
  <c r="AL359" i="1147"/>
  <c r="AK430" i="1147"/>
  <c r="AK429" i="1147"/>
  <c r="AK428" i="1147"/>
  <c r="AK427" i="1147"/>
  <c r="AK426" i="1147"/>
  <c r="AK425" i="1147"/>
  <c r="AK424" i="1147"/>
  <c r="AL346" i="1147"/>
  <c r="AM346" i="1147" s="1"/>
  <c r="AM242" i="1147" s="1"/>
  <c r="AM138" i="1147" s="1"/>
  <c r="AL345" i="1147"/>
  <c r="AM345" i="1147" s="1"/>
  <c r="AM241" i="1147" s="1"/>
  <c r="AM137" i="1147" s="1"/>
  <c r="AL344" i="1147"/>
  <c r="AL240" i="1147" s="1"/>
  <c r="AL343" i="1147"/>
  <c r="AM343" i="1147" s="1"/>
  <c r="AL342" i="1147"/>
  <c r="AM342" i="1147" s="1"/>
  <c r="AM238" i="1147" s="1"/>
  <c r="AM134" i="1147" s="1"/>
  <c r="AL341" i="1147"/>
  <c r="AM341" i="1147" s="1"/>
  <c r="AM237" i="1147" s="1"/>
  <c r="AM133" i="1147" s="1"/>
  <c r="AL340" i="1147"/>
  <c r="AM340" i="1147" s="1"/>
  <c r="AM236" i="1147" s="1"/>
  <c r="AM132" i="1147" s="1"/>
  <c r="AL337" i="1147"/>
  <c r="AM337" i="1147" s="1"/>
  <c r="AL336" i="1147"/>
  <c r="AM336" i="1147" s="1"/>
  <c r="AM232" i="1147" s="1"/>
  <c r="AM128" i="1147" s="1"/>
  <c r="AL335" i="1147"/>
  <c r="AM335" i="1147" s="1"/>
  <c r="AM231" i="1147" s="1"/>
  <c r="AM127" i="1147" s="1"/>
  <c r="AL334" i="1147"/>
  <c r="AL230" i="1147" s="1"/>
  <c r="AL333" i="1147"/>
  <c r="AM333" i="1147" s="1"/>
  <c r="AL332" i="1147"/>
  <c r="AM332" i="1147" s="1"/>
  <c r="AM228" i="1147" s="1"/>
  <c r="AM124" i="1147" s="1"/>
  <c r="AL331" i="1147"/>
  <c r="AM331" i="1147" s="1"/>
  <c r="AM227" i="1147" s="1"/>
  <c r="AM123" i="1147" s="1"/>
  <c r="AL330" i="1147"/>
  <c r="AM330" i="1147" s="1"/>
  <c r="AM226" i="1147" s="1"/>
  <c r="AM122" i="1147" s="1"/>
  <c r="AL329" i="1147"/>
  <c r="AM329" i="1147" s="1"/>
  <c r="AL328" i="1147"/>
  <c r="AM328" i="1147" s="1"/>
  <c r="AM224" i="1147" s="1"/>
  <c r="AM120" i="1147" s="1"/>
  <c r="AL327" i="1147"/>
  <c r="AM327" i="1147" s="1"/>
  <c r="AM223" i="1147" s="1"/>
  <c r="AM119" i="1147" s="1"/>
  <c r="AL326" i="1147"/>
  <c r="AL222" i="1147" s="1"/>
  <c r="AL325" i="1147"/>
  <c r="AM325" i="1147" s="1"/>
  <c r="AL324" i="1147"/>
  <c r="AM324" i="1147" s="1"/>
  <c r="AM220" i="1147" s="1"/>
  <c r="AM116" i="1147" s="1"/>
  <c r="AL323" i="1147"/>
  <c r="AM323" i="1147" s="1"/>
  <c r="AM219" i="1147" s="1"/>
  <c r="AM115" i="1147" s="1"/>
  <c r="AL322" i="1147"/>
  <c r="AM322" i="1147" s="1"/>
  <c r="AM218" i="1147" s="1"/>
  <c r="AM114" i="1147" s="1"/>
  <c r="AL321" i="1147"/>
  <c r="AM321" i="1147" s="1"/>
  <c r="AL320" i="1147"/>
  <c r="AL319" i="1147"/>
  <c r="AM319" i="1147" s="1"/>
  <c r="AM318" i="1147"/>
  <c r="AL318" i="1147"/>
  <c r="AL317" i="1147"/>
  <c r="AM317" i="1147" s="1"/>
  <c r="AL316" i="1147"/>
  <c r="AM316" i="1147" s="1"/>
  <c r="AM212" i="1147" s="1"/>
  <c r="AM108" i="1147" s="1"/>
  <c r="AL315" i="1147"/>
  <c r="AM315" i="1147" s="1"/>
  <c r="AL314" i="1147"/>
  <c r="AM314" i="1147" s="1"/>
  <c r="AM210" i="1147" s="1"/>
  <c r="AM106" i="1147" s="1"/>
  <c r="AL313" i="1147"/>
  <c r="AM313" i="1147" s="1"/>
  <c r="AM209" i="1147" s="1"/>
  <c r="AL312" i="1147"/>
  <c r="AL311" i="1147"/>
  <c r="AM311" i="1147" s="1"/>
  <c r="AM207" i="1147" s="1"/>
  <c r="AM103" i="1147" s="1"/>
  <c r="AL310" i="1147"/>
  <c r="AM310" i="1147" s="1"/>
  <c r="AM206" i="1147" s="1"/>
  <c r="AM102" i="1147" s="1"/>
  <c r="AL309" i="1147"/>
  <c r="AM309" i="1147" s="1"/>
  <c r="AM205" i="1147" s="1"/>
  <c r="AM101" i="1147" s="1"/>
  <c r="AL308" i="1147"/>
  <c r="AM308" i="1147" s="1"/>
  <c r="AM204" i="1147" s="1"/>
  <c r="AL307" i="1147"/>
  <c r="AL306" i="1147"/>
  <c r="AM306" i="1147" s="1"/>
  <c r="AL305" i="1147"/>
  <c r="AM305" i="1147" s="1"/>
  <c r="AM201" i="1147" s="1"/>
  <c r="AM97" i="1147" s="1"/>
  <c r="AL304" i="1147"/>
  <c r="AM304" i="1147" s="1"/>
  <c r="AL303" i="1147"/>
  <c r="AM303" i="1147" s="1"/>
  <c r="AM199" i="1147" s="1"/>
  <c r="AM95" i="1147" s="1"/>
  <c r="AL302" i="1147"/>
  <c r="AM302" i="1147" s="1"/>
  <c r="AM198" i="1147" s="1"/>
  <c r="AM94" i="1147" s="1"/>
  <c r="AL301" i="1147"/>
  <c r="AM301" i="1147" s="1"/>
  <c r="AM197" i="1147" s="1"/>
  <c r="AM93" i="1147" s="1"/>
  <c r="AL300" i="1147"/>
  <c r="AM300" i="1147" s="1"/>
  <c r="AM299" i="1147"/>
  <c r="AM195" i="1147" s="1"/>
  <c r="AL299" i="1147"/>
  <c r="AL298" i="1147"/>
  <c r="AM298" i="1147" s="1"/>
  <c r="AG244" i="1147"/>
  <c r="AF244" i="1147"/>
  <c r="AE244" i="1147"/>
  <c r="AL242" i="1147"/>
  <c r="AK242" i="1147" s="1"/>
  <c r="AM239" i="1147"/>
  <c r="AM135" i="1147" s="1"/>
  <c r="AL239" i="1147"/>
  <c r="AL238" i="1147"/>
  <c r="AK238" i="1147" s="1"/>
  <c r="AM233" i="1147"/>
  <c r="AM129" i="1147" s="1"/>
  <c r="AL233" i="1147"/>
  <c r="AL232" i="1147"/>
  <c r="AL231" i="1147"/>
  <c r="AL127" i="1147" s="1"/>
  <c r="AM229" i="1147"/>
  <c r="AL228" i="1147"/>
  <c r="AK228" i="1147" s="1"/>
  <c r="AL226" i="1147"/>
  <c r="AK226" i="1147" s="1"/>
  <c r="AK122" i="1147" s="1"/>
  <c r="AM225" i="1147"/>
  <c r="AL225" i="1147"/>
  <c r="AK225" i="1147" s="1"/>
  <c r="AL224" i="1147"/>
  <c r="AK224" i="1147" s="1"/>
  <c r="AL223" i="1147"/>
  <c r="AK223" i="1147" s="1"/>
  <c r="AM221" i="1147"/>
  <c r="AL221" i="1147"/>
  <c r="AK221" i="1147" s="1"/>
  <c r="AL220" i="1147"/>
  <c r="AK220" i="1147" s="1"/>
  <c r="AL219" i="1147"/>
  <c r="AK219" i="1147" s="1"/>
  <c r="AL218" i="1147"/>
  <c r="AK218" i="1147" s="1"/>
  <c r="AM217" i="1147"/>
  <c r="AL217" i="1147"/>
  <c r="AM215" i="1147"/>
  <c r="AM111" i="1147" s="1"/>
  <c r="AL215" i="1147"/>
  <c r="AM214" i="1147"/>
  <c r="AL214" i="1147"/>
  <c r="AM213" i="1147"/>
  <c r="AM109" i="1147" s="1"/>
  <c r="AM211" i="1147"/>
  <c r="AL211" i="1147"/>
  <c r="AL210" i="1147"/>
  <c r="AK210" i="1147" s="1"/>
  <c r="AK106" i="1147" s="1"/>
  <c r="AL204" i="1147"/>
  <c r="AK204" i="1147" s="1"/>
  <c r="AM202" i="1147"/>
  <c r="AL201" i="1147"/>
  <c r="AK201" i="1147" s="1"/>
  <c r="AM200" i="1147"/>
  <c r="AL200" i="1147"/>
  <c r="AL199" i="1147"/>
  <c r="AK199" i="1147" s="1"/>
  <c r="AL198" i="1147"/>
  <c r="AK198" i="1147" s="1"/>
  <c r="AL197" i="1147"/>
  <c r="AK197" i="1147" s="1"/>
  <c r="AM196" i="1147"/>
  <c r="AL196" i="1147"/>
  <c r="AG192" i="1147"/>
  <c r="AF192" i="1147"/>
  <c r="AF88" i="1147" s="1"/>
  <c r="AE192" i="1147"/>
  <c r="AM190" i="1147"/>
  <c r="AL190" i="1147"/>
  <c r="AK190" i="1147"/>
  <c r="AM189" i="1147"/>
  <c r="AL189" i="1147"/>
  <c r="AK189" i="1147"/>
  <c r="AM188" i="1147"/>
  <c r="AL188" i="1147"/>
  <c r="AK188" i="1147"/>
  <c r="AM187" i="1147"/>
  <c r="AL187" i="1147"/>
  <c r="AK187" i="1147"/>
  <c r="AM186" i="1147"/>
  <c r="AL186" i="1147"/>
  <c r="AK186" i="1147"/>
  <c r="AM185" i="1147"/>
  <c r="AL185" i="1147"/>
  <c r="AK185" i="1147"/>
  <c r="AM184" i="1147"/>
  <c r="AL184" i="1147"/>
  <c r="AK184" i="1147"/>
  <c r="AM183" i="1147"/>
  <c r="AL183" i="1147"/>
  <c r="AM182" i="1147"/>
  <c r="AL182" i="1147"/>
  <c r="AM181" i="1147"/>
  <c r="AL181" i="1147"/>
  <c r="AK181" i="1147"/>
  <c r="AM180" i="1147"/>
  <c r="AL180" i="1147"/>
  <c r="AK180" i="1147"/>
  <c r="AM179" i="1147"/>
  <c r="AL179" i="1147"/>
  <c r="AK179" i="1147"/>
  <c r="AM178" i="1147"/>
  <c r="AL178" i="1147"/>
  <c r="AK178" i="1147"/>
  <c r="AM177" i="1147"/>
  <c r="AL177" i="1147"/>
  <c r="AK177" i="1147"/>
  <c r="AM176" i="1147"/>
  <c r="AL176" i="1147"/>
  <c r="AK176" i="1147"/>
  <c r="AM175" i="1147"/>
  <c r="AL175" i="1147"/>
  <c r="AK175" i="1147"/>
  <c r="AM174" i="1147"/>
  <c r="AL174" i="1147"/>
  <c r="AK174" i="1147"/>
  <c r="AM173" i="1147"/>
  <c r="AL173" i="1147"/>
  <c r="AK173" i="1147"/>
  <c r="AM172" i="1147"/>
  <c r="AL172" i="1147"/>
  <c r="AK172" i="1147"/>
  <c r="AM171" i="1147"/>
  <c r="AL171" i="1147"/>
  <c r="AK171" i="1147"/>
  <c r="AM170" i="1147"/>
  <c r="AL170" i="1147"/>
  <c r="AK170" i="1147"/>
  <c r="AM169" i="1147"/>
  <c r="AL169" i="1147"/>
  <c r="AK169" i="1147"/>
  <c r="AM168" i="1147"/>
  <c r="AL168" i="1147"/>
  <c r="AK168" i="1147"/>
  <c r="AM167" i="1147"/>
  <c r="AL167" i="1147"/>
  <c r="AK167" i="1147"/>
  <c r="AM166" i="1147"/>
  <c r="AL166" i="1147"/>
  <c r="AK166" i="1147"/>
  <c r="AM165" i="1147"/>
  <c r="AL165" i="1147"/>
  <c r="AK165" i="1147"/>
  <c r="AM164" i="1147"/>
  <c r="AL164" i="1147"/>
  <c r="AM163" i="1147"/>
  <c r="AL163" i="1147"/>
  <c r="AK163" i="1147"/>
  <c r="AM162" i="1147"/>
  <c r="AL162" i="1147"/>
  <c r="AK162" i="1147"/>
  <c r="AM161" i="1147"/>
  <c r="AL161" i="1147"/>
  <c r="AK161" i="1147"/>
  <c r="AM160" i="1147"/>
  <c r="AL160" i="1147"/>
  <c r="AK160" i="1147"/>
  <c r="AM159" i="1147"/>
  <c r="AL159" i="1147"/>
  <c r="AK159" i="1147"/>
  <c r="AM158" i="1147"/>
  <c r="AL158" i="1147"/>
  <c r="AK158" i="1147"/>
  <c r="AM157" i="1147"/>
  <c r="AL157" i="1147"/>
  <c r="AK157" i="1147"/>
  <c r="AM156" i="1147"/>
  <c r="AL156" i="1147"/>
  <c r="AM155" i="1147"/>
  <c r="AL155" i="1147"/>
  <c r="AK155" i="1147"/>
  <c r="AM154" i="1147"/>
  <c r="AL154" i="1147"/>
  <c r="AK154" i="1147"/>
  <c r="AM153" i="1147"/>
  <c r="AL153" i="1147"/>
  <c r="AK153" i="1147"/>
  <c r="AM152" i="1147"/>
  <c r="AL152" i="1147"/>
  <c r="AK152" i="1147"/>
  <c r="AL151" i="1147"/>
  <c r="AM150" i="1147"/>
  <c r="AL150" i="1147"/>
  <c r="AK150" i="1147"/>
  <c r="AM149" i="1147"/>
  <c r="AL149" i="1147"/>
  <c r="AK149" i="1147"/>
  <c r="AM148" i="1147"/>
  <c r="AL148" i="1147"/>
  <c r="AK148" i="1147"/>
  <c r="AM147" i="1147"/>
  <c r="AL147" i="1147"/>
  <c r="AK147" i="1147"/>
  <c r="AM146" i="1147"/>
  <c r="AL146" i="1147"/>
  <c r="AK146" i="1147"/>
  <c r="AM145" i="1147"/>
  <c r="AL145" i="1147"/>
  <c r="AK145" i="1147"/>
  <c r="AM144" i="1147"/>
  <c r="AL144" i="1147"/>
  <c r="AK144" i="1147"/>
  <c r="AM143" i="1147"/>
  <c r="AL138" i="1147"/>
  <c r="AK138" i="1147"/>
  <c r="AL135" i="1147"/>
  <c r="AL134" i="1147"/>
  <c r="AK134" i="1147"/>
  <c r="AL129" i="1147"/>
  <c r="AL128" i="1147"/>
  <c r="AM125" i="1147"/>
  <c r="AL124" i="1147"/>
  <c r="AK124" i="1147"/>
  <c r="AL122" i="1147"/>
  <c r="AM121" i="1147"/>
  <c r="AL121" i="1147"/>
  <c r="AK121" i="1147"/>
  <c r="AL120" i="1147"/>
  <c r="AK120" i="1147"/>
  <c r="AK119" i="1147"/>
  <c r="AM117" i="1147"/>
  <c r="AL117" i="1147"/>
  <c r="AK117" i="1147"/>
  <c r="AL116" i="1147"/>
  <c r="AK116" i="1147"/>
  <c r="AK115" i="1147"/>
  <c r="AL114" i="1147"/>
  <c r="AK114" i="1147"/>
  <c r="AM113" i="1147"/>
  <c r="AL113" i="1147"/>
  <c r="AL111" i="1147"/>
  <c r="AM110" i="1147"/>
  <c r="AL110" i="1147"/>
  <c r="AM107" i="1147"/>
  <c r="AL107" i="1147"/>
  <c r="AL106" i="1147"/>
  <c r="AL100" i="1147"/>
  <c r="AK100" i="1147"/>
  <c r="AM98" i="1147"/>
  <c r="AL97" i="1147"/>
  <c r="AK97" i="1147"/>
  <c r="AM96" i="1147"/>
  <c r="AL96" i="1147"/>
  <c r="AK95" i="1147"/>
  <c r="AL94" i="1147"/>
  <c r="AK94" i="1147"/>
  <c r="AL93" i="1147"/>
  <c r="AK93" i="1147"/>
  <c r="AM92" i="1147"/>
  <c r="AM91" i="1147"/>
  <c r="AG88" i="1147"/>
  <c r="AE88" i="1147"/>
  <c r="AM86" i="1147"/>
  <c r="AM1160" i="1147" s="1"/>
  <c r="AL86" i="1147"/>
  <c r="AL1160" i="1147" s="1"/>
  <c r="AM85" i="1147"/>
  <c r="AM1159" i="1147" s="1"/>
  <c r="AM84" i="1147"/>
  <c r="AM1158" i="1147" s="1"/>
  <c r="AM83" i="1147"/>
  <c r="AM1157" i="1147" s="1"/>
  <c r="AM82" i="1147"/>
  <c r="AM1156" i="1147" s="1"/>
  <c r="AL82" i="1147"/>
  <c r="AL1156" i="1147" s="1"/>
  <c r="AM81" i="1147"/>
  <c r="AM1155" i="1147" s="1"/>
  <c r="AM80" i="1147"/>
  <c r="AM1154" i="1147" s="1"/>
  <c r="AM79" i="1147"/>
  <c r="AM1153" i="1147" s="1"/>
  <c r="AL79" i="1147"/>
  <c r="AL1153" i="1147" s="1"/>
  <c r="AM78" i="1147"/>
  <c r="AM1152" i="1147" s="1"/>
  <c r="AL78" i="1147"/>
  <c r="AL1152" i="1147" s="1"/>
  <c r="AK1152" i="1147" s="1"/>
  <c r="AM77" i="1147"/>
  <c r="AM1151" i="1147" s="1"/>
  <c r="AM76" i="1147"/>
  <c r="AM1150" i="1147" s="1"/>
  <c r="AM75" i="1147"/>
  <c r="AM1149" i="1147" s="1"/>
  <c r="AM74" i="1147"/>
  <c r="AM1148" i="1147" s="1"/>
  <c r="AL74" i="1147"/>
  <c r="AL1148" i="1147" s="1"/>
  <c r="AK1148" i="1147" s="1"/>
  <c r="AM73" i="1147"/>
  <c r="AM1147" i="1147" s="1"/>
  <c r="AM72" i="1147"/>
  <c r="AM1146" i="1147" s="1"/>
  <c r="AM71" i="1147"/>
  <c r="AM1145" i="1147" s="1"/>
  <c r="AM70" i="1147"/>
  <c r="AM1144" i="1147" s="1"/>
  <c r="AL70" i="1147"/>
  <c r="AL1144" i="1147" s="1"/>
  <c r="AK1144" i="1147" s="1"/>
  <c r="AM69" i="1147"/>
  <c r="AM1143" i="1147" s="1"/>
  <c r="AM68" i="1147"/>
  <c r="AM1142" i="1147" s="1"/>
  <c r="AM67" i="1147"/>
  <c r="AM1141" i="1147" s="1"/>
  <c r="AM66" i="1147"/>
  <c r="AM1140" i="1147" s="1"/>
  <c r="AL66" i="1147"/>
  <c r="AL1140" i="1147" s="1"/>
  <c r="AK1140" i="1147" s="1"/>
  <c r="AM65" i="1147"/>
  <c r="AM1139" i="1147" s="1"/>
  <c r="AM64" i="1147"/>
  <c r="AM1138" i="1147" s="1"/>
  <c r="AM63" i="1147"/>
  <c r="AM1137" i="1147" s="1"/>
  <c r="AM62" i="1147"/>
  <c r="AM1136" i="1147" s="1"/>
  <c r="AL62" i="1147"/>
  <c r="AL1136" i="1147" s="1"/>
  <c r="AK1136" i="1147" s="1"/>
  <c r="AM61" i="1147"/>
  <c r="AM1135" i="1147" s="1"/>
  <c r="AM58" i="1147"/>
  <c r="AM1132" i="1147" s="1"/>
  <c r="AM57" i="1147"/>
  <c r="AM1131" i="1147" s="1"/>
  <c r="AM56" i="1147"/>
  <c r="AM1130" i="1147" s="1"/>
  <c r="AL56" i="1147"/>
  <c r="AL1130" i="1147" s="1"/>
  <c r="AK1130" i="1147" s="1"/>
  <c r="AM54" i="1147"/>
  <c r="AM1128" i="1147" s="1"/>
  <c r="AM53" i="1147"/>
  <c r="AM1127" i="1147" s="1"/>
  <c r="AM51" i="1147"/>
  <c r="AM1125" i="1147" s="1"/>
  <c r="AL50" i="1147"/>
  <c r="AL1124" i="1147" s="1"/>
  <c r="AM49" i="1147"/>
  <c r="AM1123" i="1147" s="1"/>
  <c r="AM45" i="1147"/>
  <c r="AM1119" i="1147" s="1"/>
  <c r="AL45" i="1147"/>
  <c r="AL1119" i="1147" s="1"/>
  <c r="AM44" i="1147"/>
  <c r="AM1118" i="1147" s="1"/>
  <c r="AL44" i="1147"/>
  <c r="AL1118" i="1147" s="1"/>
  <c r="AK1118" i="1147" s="1"/>
  <c r="AL43" i="1147"/>
  <c r="AL1117" i="1147" s="1"/>
  <c r="AM42" i="1147"/>
  <c r="AM1116" i="1147" s="1"/>
  <c r="AL42" i="1147"/>
  <c r="AL1116" i="1147" s="1"/>
  <c r="AM41" i="1147"/>
  <c r="AM1115" i="1147" s="1"/>
  <c r="AL41" i="1147"/>
  <c r="AL1115" i="1147" s="1"/>
  <c r="AM40" i="1147"/>
  <c r="AM1114" i="1147" s="1"/>
  <c r="AL40" i="1147"/>
  <c r="AL1114" i="1147" s="1"/>
  <c r="AK1114" i="1147" s="1"/>
  <c r="AG36" i="1147"/>
  <c r="AF36" i="1147"/>
  <c r="AE36" i="1147"/>
  <c r="N22" i="1147"/>
  <c r="AD17" i="1147"/>
  <c r="AC17" i="1147"/>
  <c r="AC15" i="1147" s="1"/>
  <c r="AB17" i="1147"/>
  <c r="AB15" i="1147" s="1"/>
  <c r="AD15" i="1147"/>
  <c r="AG304" i="1148"/>
  <c r="AG301" i="1148"/>
  <c r="AG298" i="1148"/>
  <c r="AG295" i="1148"/>
  <c r="AG243" i="1148"/>
  <c r="AG241" i="1148"/>
  <c r="AG240" i="1148"/>
  <c r="AF304" i="1148"/>
  <c r="AF301" i="1148"/>
  <c r="AF298" i="1148"/>
  <c r="AF295" i="1148"/>
  <c r="AF243" i="1148"/>
  <c r="AF241" i="1148"/>
  <c r="AF240" i="1148"/>
  <c r="AG161" i="1148"/>
  <c r="AF161" i="1148"/>
  <c r="AE161" i="1148"/>
  <c r="AG140" i="1148"/>
  <c r="AF140" i="1148"/>
  <c r="AE140" i="1148"/>
  <c r="AG110" i="1148"/>
  <c r="AF110" i="1148"/>
  <c r="AE110" i="1148"/>
  <c r="AG243" i="1150"/>
  <c r="AG241" i="1150"/>
  <c r="AG240" i="1150"/>
  <c r="AF240" i="1150"/>
  <c r="AF241" i="1150"/>
  <c r="AF243" i="1150"/>
  <c r="AF304" i="1150"/>
  <c r="AF301" i="1150"/>
  <c r="AF298" i="1150"/>
  <c r="AG304" i="1150"/>
  <c r="AG301" i="1150"/>
  <c r="AG298" i="1150"/>
  <c r="AF295" i="1150"/>
  <c r="AG295" i="1150"/>
  <c r="AG161" i="1150"/>
  <c r="AF161" i="1150"/>
  <c r="AE161" i="1150"/>
  <c r="AG140" i="1150"/>
  <c r="AF140" i="1150"/>
  <c r="AE140" i="1150"/>
  <c r="AG110" i="1150"/>
  <c r="AF110" i="1150"/>
  <c r="AE110" i="1150"/>
  <c r="AG348" i="1149"/>
  <c r="AF348" i="1149"/>
  <c r="AE348" i="1149"/>
  <c r="AG348" i="1151"/>
  <c r="AF348" i="1151"/>
  <c r="AE348" i="1151"/>
  <c r="AK1156" i="1147" l="1"/>
  <c r="AK545" i="1147"/>
  <c r="AK549" i="1147"/>
  <c r="AK588" i="1147"/>
  <c r="AK592" i="1147"/>
  <c r="AK726" i="1147"/>
  <c r="AK728" i="1147"/>
  <c r="AK730" i="1147"/>
  <c r="AK65" i="1147" s="1"/>
  <c r="AK732" i="1147"/>
  <c r="AK734" i="1147"/>
  <c r="AK69" i="1147" s="1"/>
  <c r="AK736" i="1147"/>
  <c r="AK738" i="1147"/>
  <c r="AK73" i="1147" s="1"/>
  <c r="AK740" i="1147"/>
  <c r="AK742" i="1147"/>
  <c r="AK77" i="1147" s="1"/>
  <c r="AK746" i="1147"/>
  <c r="AK81" i="1147" s="1"/>
  <c r="AK748" i="1147"/>
  <c r="AK750" i="1147"/>
  <c r="AK85" i="1147" s="1"/>
  <c r="AK1160" i="1147"/>
  <c r="AK196" i="1147"/>
  <c r="AK92" i="1147" s="1"/>
  <c r="AM543" i="1147"/>
  <c r="AK547" i="1147"/>
  <c r="AM586" i="1147"/>
  <c r="AK590" i="1147"/>
  <c r="AM55" i="1147"/>
  <c r="AM1129" i="1147" s="1"/>
  <c r="AM59" i="1147"/>
  <c r="AM1133" i="1147" s="1"/>
  <c r="AK729" i="1147"/>
  <c r="AK731" i="1147"/>
  <c r="AK733" i="1147"/>
  <c r="AK735" i="1147"/>
  <c r="AK737" i="1147"/>
  <c r="AK739" i="1147"/>
  <c r="AK741" i="1147"/>
  <c r="AK745" i="1147"/>
  <c r="AK747" i="1147"/>
  <c r="AK749" i="1147"/>
  <c r="AK751" i="1147"/>
  <c r="AK816" i="1147"/>
  <c r="AK764" i="1147" s="1"/>
  <c r="AM48" i="1147"/>
  <c r="AM1122" i="1147" s="1"/>
  <c r="AM50" i="1147"/>
  <c r="AM1124" i="1147" s="1"/>
  <c r="AK1124" i="1147" s="1"/>
  <c r="AK1079" i="1147"/>
  <c r="AK232" i="1147"/>
  <c r="AK128" i="1147" s="1"/>
  <c r="AK64" i="1147"/>
  <c r="AK66" i="1147"/>
  <c r="AK68" i="1147"/>
  <c r="AK70" i="1147"/>
  <c r="AK72" i="1147"/>
  <c r="AK74" i="1147"/>
  <c r="AK76" i="1147"/>
  <c r="AK80" i="1147"/>
  <c r="AK82" i="1147"/>
  <c r="AK84" i="1147"/>
  <c r="AM46" i="1147"/>
  <c r="AM1120" i="1147" s="1"/>
  <c r="AK63" i="1147"/>
  <c r="AK67" i="1147"/>
  <c r="AK71" i="1147"/>
  <c r="AK75" i="1147"/>
  <c r="AK83" i="1147"/>
  <c r="AK1068" i="1147"/>
  <c r="AK1070" i="1147"/>
  <c r="AK78" i="1147" s="1"/>
  <c r="AE1108" i="1147"/>
  <c r="AM474" i="1147"/>
  <c r="AM38" i="1147" s="1"/>
  <c r="AM1112" i="1147" s="1"/>
  <c r="AM142" i="1147"/>
  <c r="AM194" i="1147"/>
  <c r="AM39" i="1147"/>
  <c r="AM1113" i="1147" s="1"/>
  <c r="AL351" i="1147"/>
  <c r="AL143" i="1147" s="1"/>
  <c r="AK409" i="1147"/>
  <c r="AK351" i="1147" s="1"/>
  <c r="AK543" i="1147"/>
  <c r="AL712" i="1147"/>
  <c r="AK716" i="1147"/>
  <c r="AK1117" i="1147"/>
  <c r="AL49" i="1147"/>
  <c r="AL1123" i="1147" s="1"/>
  <c r="AK1123" i="1147" s="1"/>
  <c r="AL55" i="1147"/>
  <c r="AL1129" i="1147" s="1"/>
  <c r="AK1129" i="1147" s="1"/>
  <c r="AL59" i="1147"/>
  <c r="AL1133" i="1147" s="1"/>
  <c r="AK1133" i="1147" s="1"/>
  <c r="AL61" i="1147"/>
  <c r="AL1135" i="1147" s="1"/>
  <c r="AL65" i="1147"/>
  <c r="AL1139" i="1147" s="1"/>
  <c r="AK1139" i="1147" s="1"/>
  <c r="AL69" i="1147"/>
  <c r="AL1143" i="1147" s="1"/>
  <c r="AK1143" i="1147" s="1"/>
  <c r="AL73" i="1147"/>
  <c r="AL1147" i="1147" s="1"/>
  <c r="AK1147" i="1147" s="1"/>
  <c r="AL77" i="1147"/>
  <c r="AL1151" i="1147" s="1"/>
  <c r="AK1151" i="1147" s="1"/>
  <c r="AL81" i="1147"/>
  <c r="AL1155" i="1147" s="1"/>
  <c r="AK1155" i="1147" s="1"/>
  <c r="AL85" i="1147"/>
  <c r="AL1159" i="1147" s="1"/>
  <c r="AK1159" i="1147" s="1"/>
  <c r="AL95" i="1147"/>
  <c r="AL115" i="1147"/>
  <c r="AL119" i="1147"/>
  <c r="AM151" i="1147"/>
  <c r="AK200" i="1147"/>
  <c r="AK96" i="1147" s="1"/>
  <c r="AK211" i="1147"/>
  <c r="AK107" i="1147" s="1"/>
  <c r="AK214" i="1147"/>
  <c r="AK110" i="1147" s="1"/>
  <c r="AK217" i="1147"/>
  <c r="AK113" i="1147" s="1"/>
  <c r="AL227" i="1147"/>
  <c r="AL236" i="1147"/>
  <c r="AM320" i="1147"/>
  <c r="AL436" i="1147"/>
  <c r="AK364" i="1147"/>
  <c r="AK156" i="1147" s="1"/>
  <c r="AK391" i="1147"/>
  <c r="AK476" i="1147"/>
  <c r="AK40" i="1147" s="1"/>
  <c r="AK478" i="1147"/>
  <c r="AK42" i="1147" s="1"/>
  <c r="AK480" i="1147"/>
  <c r="AK44" i="1147" s="1"/>
  <c r="AK482" i="1147"/>
  <c r="AK546" i="1147"/>
  <c r="AK550" i="1147"/>
  <c r="AK553" i="1147"/>
  <c r="AK557" i="1147"/>
  <c r="AL578" i="1147"/>
  <c r="AK578" i="1147" s="1"/>
  <c r="AK582" i="1147"/>
  <c r="AK589" i="1147"/>
  <c r="AK593" i="1147"/>
  <c r="AL717" i="1147"/>
  <c r="AK717" i="1147" s="1"/>
  <c r="AK719" i="1147"/>
  <c r="AK54" i="1147" s="1"/>
  <c r="AK721" i="1147"/>
  <c r="AK56" i="1147" s="1"/>
  <c r="AK723" i="1147"/>
  <c r="AK58" i="1147" s="1"/>
  <c r="AK821" i="1147"/>
  <c r="AK769" i="1147" s="1"/>
  <c r="AK829" i="1147"/>
  <c r="AK777" i="1147" s="1"/>
  <c r="AK866" i="1147"/>
  <c r="AK1026" i="1147"/>
  <c r="AK49" i="1147" s="1"/>
  <c r="AK1028" i="1147"/>
  <c r="AK1091" i="1147"/>
  <c r="AL136" i="1147"/>
  <c r="AL725" i="1147"/>
  <c r="AK725" i="1147" s="1"/>
  <c r="AK727" i="1147"/>
  <c r="AK62" i="1147" s="1"/>
  <c r="AK1116" i="1147"/>
  <c r="AL46" i="1147"/>
  <c r="AL1120" i="1147" s="1"/>
  <c r="AK1120" i="1147" s="1"/>
  <c r="AL48" i="1147"/>
  <c r="AL1122" i="1147" s="1"/>
  <c r="AK1122" i="1147" s="1"/>
  <c r="AL54" i="1147"/>
  <c r="AL1128" i="1147" s="1"/>
  <c r="AK1128" i="1147" s="1"/>
  <c r="AL58" i="1147"/>
  <c r="AL1132" i="1147" s="1"/>
  <c r="AK1132" i="1147" s="1"/>
  <c r="AL64" i="1147"/>
  <c r="AL1138" i="1147" s="1"/>
  <c r="AK1138" i="1147" s="1"/>
  <c r="AL68" i="1147"/>
  <c r="AL1142" i="1147" s="1"/>
  <c r="AK1142" i="1147" s="1"/>
  <c r="AL72" i="1147"/>
  <c r="AL1146" i="1147" s="1"/>
  <c r="AK1146" i="1147" s="1"/>
  <c r="AL76" i="1147"/>
  <c r="AL1150" i="1147" s="1"/>
  <c r="AK1150" i="1147" s="1"/>
  <c r="AL80" i="1147"/>
  <c r="AL1154" i="1147" s="1"/>
  <c r="AK1154" i="1147" s="1"/>
  <c r="AL84" i="1147"/>
  <c r="AL1158" i="1147" s="1"/>
  <c r="AK1158" i="1147" s="1"/>
  <c r="AL92" i="1147"/>
  <c r="AL205" i="1147"/>
  <c r="AM307" i="1147"/>
  <c r="AL391" i="1147"/>
  <c r="AL621" i="1147"/>
  <c r="AK673" i="1147"/>
  <c r="AK621" i="1147" s="1"/>
  <c r="AK907" i="1147"/>
  <c r="AK86" i="1147" s="1"/>
  <c r="AL920" i="1147"/>
  <c r="AL1037" i="1147"/>
  <c r="AK1038" i="1147"/>
  <c r="AK61" i="1147" s="1"/>
  <c r="AK1082" i="1147"/>
  <c r="AK231" i="1147"/>
  <c r="AK127" i="1147" s="1"/>
  <c r="AK586" i="1147"/>
  <c r="AK1115" i="1147"/>
  <c r="AK1119" i="1147"/>
  <c r="AL51" i="1147"/>
  <c r="AL1125" i="1147" s="1"/>
  <c r="AK1125" i="1147" s="1"/>
  <c r="AL53" i="1147"/>
  <c r="AL1127" i="1147" s="1"/>
  <c r="AL57" i="1147"/>
  <c r="AL1131" i="1147" s="1"/>
  <c r="AK1131" i="1147" s="1"/>
  <c r="AL63" i="1147"/>
  <c r="AL1137" i="1147" s="1"/>
  <c r="AK1137" i="1147" s="1"/>
  <c r="AL67" i="1147"/>
  <c r="AL1141" i="1147" s="1"/>
  <c r="AK1141" i="1147" s="1"/>
  <c r="AL71" i="1147"/>
  <c r="AL1145" i="1147" s="1"/>
  <c r="AK1145" i="1147" s="1"/>
  <c r="AL75" i="1147"/>
  <c r="AL1149" i="1147" s="1"/>
  <c r="AK1149" i="1147" s="1"/>
  <c r="AK1153" i="1147"/>
  <c r="AL83" i="1147"/>
  <c r="AL1157" i="1147" s="1"/>
  <c r="AK1157" i="1147" s="1"/>
  <c r="AL209" i="1147"/>
  <c r="AL213" i="1147"/>
  <c r="AK215" i="1147"/>
  <c r="AK111" i="1147" s="1"/>
  <c r="AK233" i="1147"/>
  <c r="AK129" i="1147" s="1"/>
  <c r="AK239" i="1147"/>
  <c r="AK135" i="1147" s="1"/>
  <c r="AL126" i="1147"/>
  <c r="AL431" i="1147"/>
  <c r="AK359" i="1147"/>
  <c r="AL444" i="1147"/>
  <c r="AK372" i="1147"/>
  <c r="AL350" i="1147"/>
  <c r="AL142" i="1147" s="1"/>
  <c r="AK401" i="1147"/>
  <c r="AK350" i="1147" s="1"/>
  <c r="AK477" i="1147"/>
  <c r="AK41" i="1147" s="1"/>
  <c r="AK479" i="1147"/>
  <c r="AK43" i="1147" s="1"/>
  <c r="AK481" i="1147"/>
  <c r="AL483" i="1147"/>
  <c r="AK544" i="1147"/>
  <c r="AK548" i="1147"/>
  <c r="AL551" i="1147"/>
  <c r="AK551" i="1147" s="1"/>
  <c r="AK555" i="1147"/>
  <c r="AK580" i="1147"/>
  <c r="AK584" i="1147"/>
  <c r="AK587" i="1147"/>
  <c r="AK591" i="1147"/>
  <c r="AL608" i="1147"/>
  <c r="AK660" i="1147"/>
  <c r="AK608" i="1147" s="1"/>
  <c r="AL613" i="1147"/>
  <c r="AK665" i="1147"/>
  <c r="AK613" i="1147" s="1"/>
  <c r="AM712" i="1147"/>
  <c r="AK718" i="1147"/>
  <c r="AK53" i="1147" s="1"/>
  <c r="AK720" i="1147"/>
  <c r="AK55" i="1147" s="1"/>
  <c r="AK722" i="1147"/>
  <c r="AK57" i="1147" s="1"/>
  <c r="AK724" i="1147"/>
  <c r="AK59" i="1147" s="1"/>
  <c r="AK867" i="1147"/>
  <c r="AL925" i="1147"/>
  <c r="AK977" i="1147"/>
  <c r="AK925" i="1147" s="1"/>
  <c r="AK985" i="1147"/>
  <c r="AK933" i="1147" s="1"/>
  <c r="AK1022" i="1147"/>
  <c r="AL1024" i="1147"/>
  <c r="AK1025" i="1147"/>
  <c r="AK48" i="1147" s="1"/>
  <c r="AK1027" i="1147"/>
  <c r="AK50" i="1147" s="1"/>
  <c r="AL1029" i="1147"/>
  <c r="AL1013" i="1147" s="1"/>
  <c r="AK1073" i="1147"/>
  <c r="AK1085" i="1147"/>
  <c r="AL1095" i="1147"/>
  <c r="AK1096" i="1147"/>
  <c r="AM208" i="1147"/>
  <c r="AM104" i="1147" s="1"/>
  <c r="AM105" i="1147"/>
  <c r="AL195" i="1147"/>
  <c r="AM701" i="1147"/>
  <c r="AL212" i="1147"/>
  <c r="AM473" i="1147"/>
  <c r="AL496" i="1147"/>
  <c r="AL868" i="1147"/>
  <c r="AL881" i="1147"/>
  <c r="AM881" i="1147"/>
  <c r="AM1024" i="1147"/>
  <c r="AL206" i="1147"/>
  <c r="AL237" i="1147"/>
  <c r="AL241" i="1147"/>
  <c r="AK320" i="1147"/>
  <c r="AM436" i="1147"/>
  <c r="AL488" i="1147"/>
  <c r="AK488" i="1147" s="1"/>
  <c r="AM1037" i="1147"/>
  <c r="AL229" i="1147"/>
  <c r="AM483" i="1147"/>
  <c r="AL873" i="1147"/>
  <c r="AM873" i="1147"/>
  <c r="AM1029" i="1147"/>
  <c r="AM203" i="1147"/>
  <c r="AM99" i="1147" s="1"/>
  <c r="AM100" i="1147"/>
  <c r="AL118" i="1147"/>
  <c r="AM37" i="1147"/>
  <c r="AL1121" i="1147"/>
  <c r="AM1126" i="1147"/>
  <c r="AM1134" i="1147"/>
  <c r="AL207" i="1147"/>
  <c r="AM326" i="1147"/>
  <c r="AM222" i="1147" s="1"/>
  <c r="AM118" i="1147" s="1"/>
  <c r="AM334" i="1147"/>
  <c r="AM230" i="1147" s="1"/>
  <c r="AM126" i="1147" s="1"/>
  <c r="AM344" i="1147"/>
  <c r="AM240" i="1147" s="1"/>
  <c r="AM136" i="1147" s="1"/>
  <c r="AK436" i="1147"/>
  <c r="AK565" i="1147"/>
  <c r="AK530" i="1147"/>
  <c r="AK569" i="1147"/>
  <c r="AK534" i="1147"/>
  <c r="AK571" i="1147"/>
  <c r="AK536" i="1147"/>
  <c r="AK575" i="1147"/>
  <c r="AK540" i="1147"/>
  <c r="AM1121" i="1147"/>
  <c r="AL194" i="1147"/>
  <c r="AK194" i="1147" s="1"/>
  <c r="AK90" i="1147" s="1"/>
  <c r="AL202" i="1147"/>
  <c r="AM349" i="1147"/>
  <c r="AK564" i="1147"/>
  <c r="AK529" i="1147"/>
  <c r="AK568" i="1147"/>
  <c r="AK533" i="1147"/>
  <c r="AK574" i="1147"/>
  <c r="AK539" i="1147"/>
  <c r="AK528" i="1147"/>
  <c r="AK532" i="1147"/>
  <c r="AK537" i="1147"/>
  <c r="AK541" i="1147"/>
  <c r="AK531" i="1147"/>
  <c r="AK538" i="1147"/>
  <c r="AK542" i="1147"/>
  <c r="AE1106" i="1147"/>
  <c r="AK346" i="1151"/>
  <c r="AK343" i="1151"/>
  <c r="AK342" i="1151"/>
  <c r="AK341" i="1151" s="1"/>
  <c r="M342" i="1151"/>
  <c r="M341" i="1151"/>
  <c r="AM340" i="1151"/>
  <c r="AL340" i="1151"/>
  <c r="AK339" i="1151"/>
  <c r="AK338" i="1151" s="1"/>
  <c r="M339" i="1151"/>
  <c r="M338" i="1151"/>
  <c r="AM337" i="1151"/>
  <c r="AL337" i="1151"/>
  <c r="AK336" i="1151"/>
  <c r="AK335" i="1151" s="1"/>
  <c r="M336" i="1151"/>
  <c r="M335" i="1151"/>
  <c r="AM334" i="1151"/>
  <c r="AL334" i="1151"/>
  <c r="AK333" i="1151"/>
  <c r="AK332" i="1151" s="1"/>
  <c r="M333" i="1151"/>
  <c r="M332" i="1151"/>
  <c r="AM331" i="1151"/>
  <c r="AL331" i="1151"/>
  <c r="AK330" i="1151"/>
  <c r="AK329" i="1151" s="1"/>
  <c r="M330" i="1151"/>
  <c r="M329" i="1151"/>
  <c r="AM328" i="1151"/>
  <c r="AL328" i="1151"/>
  <c r="AK327" i="1151"/>
  <c r="AK326" i="1151" s="1"/>
  <c r="M327" i="1151"/>
  <c r="M326" i="1151"/>
  <c r="AM325" i="1151"/>
  <c r="AL325" i="1151"/>
  <c r="AK324" i="1151"/>
  <c r="AK323" i="1151" s="1"/>
  <c r="M324" i="1151"/>
  <c r="M323" i="1151"/>
  <c r="AM322" i="1151"/>
  <c r="AL322" i="1151"/>
  <c r="AK321" i="1151"/>
  <c r="AK320" i="1151" s="1"/>
  <c r="M321" i="1151"/>
  <c r="M320" i="1151"/>
  <c r="AM319" i="1151"/>
  <c r="AL319" i="1151"/>
  <c r="AK319" i="1151" s="1"/>
  <c r="AK318" i="1151"/>
  <c r="AK317" i="1151" s="1"/>
  <c r="M318" i="1151"/>
  <c r="M317" i="1151"/>
  <c r="AM316" i="1151"/>
  <c r="AL316" i="1151"/>
  <c r="AK315" i="1151"/>
  <c r="AK314" i="1151" s="1"/>
  <c r="M315" i="1151"/>
  <c r="M314" i="1151"/>
  <c r="AM313" i="1151"/>
  <c r="AL313" i="1151"/>
  <c r="AK313" i="1151" s="1"/>
  <c r="AK312" i="1151"/>
  <c r="AK311" i="1151" s="1"/>
  <c r="M312" i="1151"/>
  <c r="M311" i="1151"/>
  <c r="AM310" i="1151"/>
  <c r="AL310" i="1151"/>
  <c r="AK309" i="1151"/>
  <c r="AK308" i="1151" s="1"/>
  <c r="M309" i="1151"/>
  <c r="M308" i="1151"/>
  <c r="AM307" i="1151"/>
  <c r="AL307" i="1151"/>
  <c r="AK306" i="1151"/>
  <c r="AK305" i="1151" s="1"/>
  <c r="M306" i="1151"/>
  <c r="M305" i="1151"/>
  <c r="AM304" i="1151"/>
  <c r="AL304" i="1151"/>
  <c r="AK303" i="1151"/>
  <c r="AK302" i="1151" s="1"/>
  <c r="M303" i="1151"/>
  <c r="M302" i="1151"/>
  <c r="AM301" i="1151"/>
  <c r="AL301" i="1151"/>
  <c r="AK301" i="1151" s="1"/>
  <c r="AK300" i="1151"/>
  <c r="AK299" i="1151" s="1"/>
  <c r="M300" i="1151"/>
  <c r="M299" i="1151"/>
  <c r="AM298" i="1151"/>
  <c r="AL298" i="1151"/>
  <c r="AK297" i="1151"/>
  <c r="AK296" i="1151" s="1"/>
  <c r="M297" i="1151"/>
  <c r="M296" i="1151"/>
  <c r="AM295" i="1151"/>
  <c r="AL295" i="1151"/>
  <c r="AK294" i="1151"/>
  <c r="AK293" i="1151" s="1"/>
  <c r="M294" i="1151"/>
  <c r="M293" i="1151"/>
  <c r="AM292" i="1151"/>
  <c r="AL292" i="1151"/>
  <c r="AK291" i="1151"/>
  <c r="AK290" i="1151" s="1"/>
  <c r="M291" i="1151"/>
  <c r="M290" i="1151"/>
  <c r="AM289" i="1151"/>
  <c r="AL289" i="1151"/>
  <c r="AK288" i="1151"/>
  <c r="AK287" i="1151" s="1"/>
  <c r="M288" i="1151"/>
  <c r="M287" i="1151"/>
  <c r="AM286" i="1151"/>
  <c r="AL286" i="1151"/>
  <c r="AK285" i="1151"/>
  <c r="AK284" i="1151" s="1"/>
  <c r="M285" i="1151"/>
  <c r="M284" i="1151"/>
  <c r="AM283" i="1151"/>
  <c r="AL283" i="1151"/>
  <c r="AK283" i="1151" s="1"/>
  <c r="AK282" i="1151"/>
  <c r="AK281" i="1151" s="1"/>
  <c r="M282" i="1151"/>
  <c r="M281" i="1151"/>
  <c r="AM280" i="1151"/>
  <c r="AL280" i="1151"/>
  <c r="AK279" i="1151"/>
  <c r="AK278" i="1151" s="1"/>
  <c r="M279" i="1151"/>
  <c r="M278" i="1151"/>
  <c r="AM277" i="1151"/>
  <c r="AL277" i="1151"/>
  <c r="AK276" i="1151"/>
  <c r="AK275" i="1151" s="1"/>
  <c r="M276" i="1151"/>
  <c r="M275" i="1151"/>
  <c r="AM274" i="1151"/>
  <c r="AL274" i="1151"/>
  <c r="AK274" i="1151" s="1"/>
  <c r="AK273" i="1151"/>
  <c r="AK272" i="1151" s="1"/>
  <c r="M273" i="1151"/>
  <c r="M272" i="1151"/>
  <c r="AM271" i="1151"/>
  <c r="AL271" i="1151"/>
  <c r="AK270" i="1151"/>
  <c r="AK269" i="1151" s="1"/>
  <c r="M270" i="1151"/>
  <c r="M269" i="1151"/>
  <c r="AM268" i="1151"/>
  <c r="AL268" i="1151"/>
  <c r="AK267" i="1151"/>
  <c r="AK266" i="1151" s="1"/>
  <c r="M267" i="1151"/>
  <c r="M266" i="1151"/>
  <c r="AM265" i="1151"/>
  <c r="AL265" i="1151"/>
  <c r="AK264" i="1151"/>
  <c r="AK263" i="1151" s="1"/>
  <c r="M264" i="1151"/>
  <c r="M263" i="1151"/>
  <c r="AM262" i="1151"/>
  <c r="AL262" i="1151"/>
  <c r="AK261" i="1151"/>
  <c r="AK260" i="1151" s="1"/>
  <c r="M261" i="1151"/>
  <c r="M260" i="1151"/>
  <c r="AM259" i="1151"/>
  <c r="AL259" i="1151"/>
  <c r="AK258" i="1151"/>
  <c r="AK257" i="1151" s="1"/>
  <c r="M258" i="1151"/>
  <c r="M257" i="1151"/>
  <c r="AM256" i="1151"/>
  <c r="AL256" i="1151"/>
  <c r="AK255" i="1151"/>
  <c r="AK254" i="1151" s="1"/>
  <c r="M255" i="1151"/>
  <c r="M254" i="1151"/>
  <c r="AM253" i="1151"/>
  <c r="AL253" i="1151"/>
  <c r="AK252" i="1151"/>
  <c r="AK251" i="1151" s="1"/>
  <c r="M252" i="1151"/>
  <c r="M251" i="1151"/>
  <c r="AM250" i="1151"/>
  <c r="AL250" i="1151"/>
  <c r="AK249" i="1151"/>
  <c r="AK248" i="1151" s="1"/>
  <c r="M249" i="1151"/>
  <c r="M248" i="1151"/>
  <c r="AM247" i="1151"/>
  <c r="AL247" i="1151"/>
  <c r="AK246" i="1151"/>
  <c r="AK245" i="1151" s="1"/>
  <c r="M246" i="1151"/>
  <c r="M245" i="1151"/>
  <c r="AM244" i="1151"/>
  <c r="AL244" i="1151"/>
  <c r="AK243" i="1151"/>
  <c r="AK242" i="1151" s="1"/>
  <c r="M243" i="1151"/>
  <c r="M242" i="1151"/>
  <c r="AM241" i="1151"/>
  <c r="AL241" i="1151"/>
  <c r="AK240" i="1151"/>
  <c r="AK239" i="1151" s="1"/>
  <c r="M240" i="1151"/>
  <c r="M239" i="1151"/>
  <c r="AM238" i="1151"/>
  <c r="AL238" i="1151"/>
  <c r="AK237" i="1151"/>
  <c r="AK236" i="1151" s="1"/>
  <c r="M237" i="1151"/>
  <c r="M236" i="1151"/>
  <c r="AM235" i="1151"/>
  <c r="AL235" i="1151"/>
  <c r="AK234" i="1151"/>
  <c r="AK233" i="1151" s="1"/>
  <c r="M234" i="1151"/>
  <c r="M233" i="1151"/>
  <c r="AM232" i="1151"/>
  <c r="AL232" i="1151"/>
  <c r="AK231" i="1151"/>
  <c r="AK230" i="1151" s="1"/>
  <c r="M231" i="1151"/>
  <c r="M230" i="1151"/>
  <c r="AM229" i="1151"/>
  <c r="AL229" i="1151"/>
  <c r="AK228" i="1151"/>
  <c r="M228" i="1151"/>
  <c r="AK227" i="1151"/>
  <c r="M227" i="1151"/>
  <c r="AM226" i="1151"/>
  <c r="AL226" i="1151"/>
  <c r="AK225" i="1151"/>
  <c r="AK224" i="1151" s="1"/>
  <c r="M225" i="1151"/>
  <c r="M224" i="1151"/>
  <c r="AM223" i="1151"/>
  <c r="AL223" i="1151"/>
  <c r="AK222" i="1151"/>
  <c r="AK221" i="1151" s="1"/>
  <c r="M222" i="1151"/>
  <c r="M221" i="1151"/>
  <c r="AM220" i="1151"/>
  <c r="AL220" i="1151"/>
  <c r="AK219" i="1151"/>
  <c r="AK218" i="1151" s="1"/>
  <c r="M219" i="1151"/>
  <c r="M218" i="1151"/>
  <c r="AM217" i="1151"/>
  <c r="AL217" i="1151"/>
  <c r="AK216" i="1151"/>
  <c r="AK215" i="1151" s="1"/>
  <c r="M216" i="1151"/>
  <c r="M215" i="1151"/>
  <c r="AM214" i="1151"/>
  <c r="AL214" i="1151"/>
  <c r="AK213" i="1151"/>
  <c r="AK212" i="1151" s="1"/>
  <c r="M213" i="1151"/>
  <c r="M212" i="1151"/>
  <c r="AM211" i="1151"/>
  <c r="AL211" i="1151"/>
  <c r="AK210" i="1151"/>
  <c r="AK209" i="1151" s="1"/>
  <c r="M210" i="1151"/>
  <c r="M209" i="1151"/>
  <c r="AM208" i="1151"/>
  <c r="AL208" i="1151"/>
  <c r="AK207" i="1151"/>
  <c r="AK206" i="1151" s="1"/>
  <c r="M207" i="1151"/>
  <c r="M206" i="1151"/>
  <c r="AM205" i="1151"/>
  <c r="AL205" i="1151"/>
  <c r="AK204" i="1151"/>
  <c r="AK203" i="1151" s="1"/>
  <c r="M204" i="1151"/>
  <c r="M203" i="1151"/>
  <c r="AM202" i="1151"/>
  <c r="AL202" i="1151"/>
  <c r="AK201" i="1151"/>
  <c r="AK200" i="1151" s="1"/>
  <c r="M201" i="1151"/>
  <c r="M200" i="1151"/>
  <c r="AM199" i="1151"/>
  <c r="AL199" i="1151"/>
  <c r="AK198" i="1151"/>
  <c r="AK197" i="1151" s="1"/>
  <c r="M198" i="1151"/>
  <c r="M197" i="1151"/>
  <c r="AM196" i="1151"/>
  <c r="AL196" i="1151"/>
  <c r="AK195" i="1151"/>
  <c r="AK194" i="1151" s="1"/>
  <c r="M195" i="1151"/>
  <c r="M194" i="1151"/>
  <c r="AM193" i="1151"/>
  <c r="AL193" i="1151"/>
  <c r="AK192" i="1151"/>
  <c r="AK191" i="1151" s="1"/>
  <c r="M192" i="1151"/>
  <c r="M191" i="1151"/>
  <c r="AM190" i="1151"/>
  <c r="AL190" i="1151"/>
  <c r="AK189" i="1151"/>
  <c r="AK188" i="1151" s="1"/>
  <c r="M189" i="1151"/>
  <c r="M188" i="1151"/>
  <c r="AM187" i="1151"/>
  <c r="AL187" i="1151"/>
  <c r="AK186" i="1151"/>
  <c r="AK185" i="1151" s="1"/>
  <c r="M186" i="1151"/>
  <c r="M185" i="1151"/>
  <c r="AM184" i="1151"/>
  <c r="AL184" i="1151"/>
  <c r="AK183" i="1151"/>
  <c r="AK182" i="1151" s="1"/>
  <c r="M183" i="1151"/>
  <c r="M182" i="1151"/>
  <c r="AM181" i="1151"/>
  <c r="AL181" i="1151"/>
  <c r="AK180" i="1151"/>
  <c r="AK179" i="1151" s="1"/>
  <c r="M180" i="1151"/>
  <c r="M179" i="1151"/>
  <c r="AM178" i="1151"/>
  <c r="AL178" i="1151"/>
  <c r="AK177" i="1151"/>
  <c r="AK176" i="1151" s="1"/>
  <c r="M177" i="1151"/>
  <c r="M176" i="1151"/>
  <c r="AM175" i="1151"/>
  <c r="AL175" i="1151"/>
  <c r="AK174" i="1151"/>
  <c r="AK173" i="1151" s="1"/>
  <c r="M174" i="1151"/>
  <c r="M173" i="1151"/>
  <c r="AM172" i="1151"/>
  <c r="AL172" i="1151"/>
  <c r="AK172" i="1151" s="1"/>
  <c r="AK171" i="1151"/>
  <c r="AK170" i="1151" s="1"/>
  <c r="M171" i="1151"/>
  <c r="M170" i="1151"/>
  <c r="AM169" i="1151"/>
  <c r="AL169" i="1151"/>
  <c r="AK168" i="1151"/>
  <c r="AK167" i="1151" s="1"/>
  <c r="M168" i="1151"/>
  <c r="M167" i="1151"/>
  <c r="AM166" i="1151"/>
  <c r="AL166" i="1151"/>
  <c r="AK165" i="1151"/>
  <c r="AK164" i="1151" s="1"/>
  <c r="M165" i="1151"/>
  <c r="M164" i="1151"/>
  <c r="AM163" i="1151"/>
  <c r="AL163" i="1151"/>
  <c r="AK163" i="1151" s="1"/>
  <c r="AK162" i="1151"/>
  <c r="AK161" i="1151" s="1"/>
  <c r="M162" i="1151"/>
  <c r="M161" i="1151"/>
  <c r="AM160" i="1151"/>
  <c r="AL160" i="1151"/>
  <c r="AK159" i="1151"/>
  <c r="AK158" i="1151" s="1"/>
  <c r="M159" i="1151"/>
  <c r="M158" i="1151"/>
  <c r="AM157" i="1151"/>
  <c r="AL157" i="1151"/>
  <c r="AK156" i="1151"/>
  <c r="AK155" i="1151" s="1"/>
  <c r="M156" i="1151"/>
  <c r="M155" i="1151"/>
  <c r="AM154" i="1151"/>
  <c r="AL154" i="1151"/>
  <c r="AK153" i="1151"/>
  <c r="AK152" i="1151" s="1"/>
  <c r="M153" i="1151"/>
  <c r="M152" i="1151"/>
  <c r="AM151" i="1151"/>
  <c r="AL151" i="1151"/>
  <c r="AK150" i="1151"/>
  <c r="AK149" i="1151" s="1"/>
  <c r="M150" i="1151"/>
  <c r="M149" i="1151"/>
  <c r="AM148" i="1151"/>
  <c r="AL148" i="1151"/>
  <c r="AK147" i="1151"/>
  <c r="AK146" i="1151" s="1"/>
  <c r="M147" i="1151"/>
  <c r="M146" i="1151"/>
  <c r="AM145" i="1151"/>
  <c r="AL145" i="1151"/>
  <c r="AK144" i="1151"/>
  <c r="AK143" i="1151" s="1"/>
  <c r="M144" i="1151"/>
  <c r="M143" i="1151"/>
  <c r="AM142" i="1151"/>
  <c r="AL142" i="1151"/>
  <c r="AK141" i="1151"/>
  <c r="AK140" i="1151" s="1"/>
  <c r="M141" i="1151"/>
  <c r="M140" i="1151"/>
  <c r="AM139" i="1151"/>
  <c r="AL139" i="1151"/>
  <c r="AK138" i="1151"/>
  <c r="AK137" i="1151" s="1"/>
  <c r="M138" i="1151"/>
  <c r="M137" i="1151"/>
  <c r="AM136" i="1151"/>
  <c r="AL136" i="1151"/>
  <c r="AK135" i="1151"/>
  <c r="AK134" i="1151" s="1"/>
  <c r="M135" i="1151"/>
  <c r="M134" i="1151"/>
  <c r="AM133" i="1151"/>
  <c r="AL133" i="1151"/>
  <c r="AK132" i="1151"/>
  <c r="AK131" i="1151" s="1"/>
  <c r="M132" i="1151"/>
  <c r="M131" i="1151"/>
  <c r="AM130" i="1151"/>
  <c r="AL130" i="1151"/>
  <c r="AK130" i="1151" s="1"/>
  <c r="AK129" i="1151"/>
  <c r="AK128" i="1151" s="1"/>
  <c r="M129" i="1151"/>
  <c r="M128" i="1151"/>
  <c r="AM127" i="1151"/>
  <c r="AL127" i="1151"/>
  <c r="AK126" i="1151"/>
  <c r="AK125" i="1151" s="1"/>
  <c r="M126" i="1151"/>
  <c r="M125" i="1151"/>
  <c r="AM124" i="1151"/>
  <c r="AL124" i="1151"/>
  <c r="AK123" i="1151"/>
  <c r="AK122" i="1151" s="1"/>
  <c r="M123" i="1151"/>
  <c r="M122" i="1151"/>
  <c r="AM121" i="1151"/>
  <c r="AL121" i="1151"/>
  <c r="AK120" i="1151"/>
  <c r="AK119" i="1151" s="1"/>
  <c r="M120" i="1151"/>
  <c r="M119" i="1151"/>
  <c r="AM118" i="1151"/>
  <c r="AL118" i="1151"/>
  <c r="AK117" i="1151"/>
  <c r="AK116" i="1151" s="1"/>
  <c r="M117" i="1151"/>
  <c r="M116" i="1151"/>
  <c r="AM115" i="1151"/>
  <c r="AL115" i="1151"/>
  <c r="AK114" i="1151"/>
  <c r="AK113" i="1151" s="1"/>
  <c r="M114" i="1151"/>
  <c r="M113" i="1151"/>
  <c r="AM112" i="1151"/>
  <c r="AL112" i="1151"/>
  <c r="AK111" i="1151"/>
  <c r="AK110" i="1151" s="1"/>
  <c r="M111" i="1151"/>
  <c r="M110" i="1151"/>
  <c r="AM109" i="1151"/>
  <c r="AL109" i="1151"/>
  <c r="AK108" i="1151"/>
  <c r="AK107" i="1151" s="1"/>
  <c r="M108" i="1151"/>
  <c r="M107" i="1151"/>
  <c r="AM106" i="1151"/>
  <c r="AL106" i="1151"/>
  <c r="AK105" i="1151"/>
  <c r="AK104" i="1151" s="1"/>
  <c r="M105" i="1151"/>
  <c r="M104" i="1151"/>
  <c r="AM103" i="1151"/>
  <c r="AL103" i="1151"/>
  <c r="AK102" i="1151"/>
  <c r="AK101" i="1151" s="1"/>
  <c r="M102" i="1151"/>
  <c r="M101" i="1151"/>
  <c r="AM100" i="1151"/>
  <c r="AL100" i="1151"/>
  <c r="AK99" i="1151"/>
  <c r="AK98" i="1151" s="1"/>
  <c r="M99" i="1151"/>
  <c r="M98" i="1151"/>
  <c r="AM97" i="1151"/>
  <c r="AL97" i="1151"/>
  <c r="AK96" i="1151"/>
  <c r="AK95" i="1151" s="1"/>
  <c r="M96" i="1151"/>
  <c r="M95" i="1151"/>
  <c r="AM94" i="1151"/>
  <c r="AL94" i="1151"/>
  <c r="AE92" i="1151"/>
  <c r="AK90" i="1151"/>
  <c r="AK89" i="1151"/>
  <c r="AK88" i="1151" s="1"/>
  <c r="M89" i="1151"/>
  <c r="M88" i="1151"/>
  <c r="AM87" i="1151"/>
  <c r="AL87" i="1151"/>
  <c r="AK86" i="1151"/>
  <c r="AK85" i="1151" s="1"/>
  <c r="M86" i="1151"/>
  <c r="M85" i="1151"/>
  <c r="AM84" i="1151"/>
  <c r="AL84" i="1151"/>
  <c r="AK83" i="1151"/>
  <c r="AK82" i="1151" s="1"/>
  <c r="M83" i="1151"/>
  <c r="M82" i="1151"/>
  <c r="AM81" i="1151"/>
  <c r="AL81" i="1151"/>
  <c r="AK80" i="1151"/>
  <c r="AK79" i="1151" s="1"/>
  <c r="M80" i="1151"/>
  <c r="M79" i="1151"/>
  <c r="AM78" i="1151"/>
  <c r="AL78" i="1151"/>
  <c r="AK77" i="1151"/>
  <c r="AK76" i="1151" s="1"/>
  <c r="M77" i="1151"/>
  <c r="M76" i="1151"/>
  <c r="AM75" i="1151"/>
  <c r="AL75" i="1151"/>
  <c r="AK74" i="1151"/>
  <c r="AK73" i="1151" s="1"/>
  <c r="M74" i="1151"/>
  <c r="M73" i="1151"/>
  <c r="AM72" i="1151"/>
  <c r="AL72" i="1151"/>
  <c r="AK71" i="1151"/>
  <c r="AK70" i="1151" s="1"/>
  <c r="M71" i="1151"/>
  <c r="M70" i="1151"/>
  <c r="AM69" i="1151"/>
  <c r="AL69" i="1151"/>
  <c r="AK68" i="1151"/>
  <c r="AK67" i="1151" s="1"/>
  <c r="M68" i="1151"/>
  <c r="M67" i="1151"/>
  <c r="AM66" i="1151"/>
  <c r="AL66" i="1151"/>
  <c r="AK66" i="1151" s="1"/>
  <c r="AK62" i="1151"/>
  <c r="AK61" i="1151"/>
  <c r="AK60" i="1151" s="1"/>
  <c r="M61" i="1151"/>
  <c r="M60" i="1151"/>
  <c r="AM59" i="1151"/>
  <c r="AL59" i="1151"/>
  <c r="AK58" i="1151"/>
  <c r="AK57" i="1151" s="1"/>
  <c r="M58" i="1151"/>
  <c r="M57" i="1151"/>
  <c r="AM56" i="1151"/>
  <c r="AL56" i="1151"/>
  <c r="AK55" i="1151"/>
  <c r="AK54" i="1151" s="1"/>
  <c r="M55" i="1151"/>
  <c r="M54" i="1151"/>
  <c r="AM53" i="1151"/>
  <c r="AL53" i="1151"/>
  <c r="AK52" i="1151"/>
  <c r="AK51" i="1151" s="1"/>
  <c r="M52" i="1151"/>
  <c r="M51" i="1151"/>
  <c r="AM50" i="1151"/>
  <c r="AL50" i="1151"/>
  <c r="AK49" i="1151"/>
  <c r="AK48" i="1151" s="1"/>
  <c r="M49" i="1151"/>
  <c r="M48" i="1151"/>
  <c r="AM47" i="1151"/>
  <c r="AL47" i="1151"/>
  <c r="AK46" i="1151"/>
  <c r="AK45" i="1151" s="1"/>
  <c r="M46" i="1151"/>
  <c r="M45" i="1151"/>
  <c r="AM44" i="1151"/>
  <c r="AL44" i="1151"/>
  <c r="AK43" i="1151"/>
  <c r="AK42" i="1151" s="1"/>
  <c r="M43" i="1151"/>
  <c r="M42" i="1151"/>
  <c r="AM41" i="1151"/>
  <c r="AL41" i="1151"/>
  <c r="AK40" i="1151"/>
  <c r="AK39" i="1151" s="1"/>
  <c r="M40" i="1151"/>
  <c r="M39" i="1151"/>
  <c r="AM38" i="1151"/>
  <c r="AL38" i="1151"/>
  <c r="AK37" i="1151"/>
  <c r="AK36" i="1151" s="1"/>
  <c r="M37" i="1151"/>
  <c r="M36" i="1151"/>
  <c r="AM35" i="1151"/>
  <c r="AL35" i="1151"/>
  <c r="AK34" i="1151"/>
  <c r="AK33" i="1151" s="1"/>
  <c r="M34" i="1151"/>
  <c r="M33" i="1151"/>
  <c r="AM32" i="1151"/>
  <c r="AL32" i="1151"/>
  <c r="AK31" i="1151"/>
  <c r="AK30" i="1151" s="1"/>
  <c r="M31" i="1151"/>
  <c r="M30" i="1151"/>
  <c r="AM29" i="1151"/>
  <c r="AL29" i="1151"/>
  <c r="AK29" i="1151" s="1"/>
  <c r="AE27" i="1151"/>
  <c r="N22" i="1151"/>
  <c r="AD17" i="1151"/>
  <c r="AD15" i="1151" s="1"/>
  <c r="AC17" i="1151"/>
  <c r="AC15" i="1151" s="1"/>
  <c r="AB17" i="1151"/>
  <c r="AB15" i="1151" s="1"/>
  <c r="N319" i="1150"/>
  <c r="N316" i="1150"/>
  <c r="N315" i="1150"/>
  <c r="AE306" i="1150"/>
  <c r="M306" i="1150"/>
  <c r="AE305" i="1150"/>
  <c r="M305" i="1150"/>
  <c r="AG302" i="1150"/>
  <c r="AF302" i="1150"/>
  <c r="M302" i="1150"/>
  <c r="M303" i="1150" s="1"/>
  <c r="AG299" i="1150"/>
  <c r="M299" i="1150"/>
  <c r="M301" i="1150" s="1"/>
  <c r="AG296" i="1150"/>
  <c r="AF296" i="1150"/>
  <c r="M296" i="1150"/>
  <c r="M298" i="1150" s="1"/>
  <c r="AG293" i="1150"/>
  <c r="M293" i="1150"/>
  <c r="M294" i="1150" s="1"/>
  <c r="M292" i="1150"/>
  <c r="M291" i="1150"/>
  <c r="N245" i="1150"/>
  <c r="AE241" i="1150"/>
  <c r="AG242" i="1150"/>
  <c r="AF242" i="1150"/>
  <c r="AE213" i="1150"/>
  <c r="AE212" i="1150"/>
  <c r="AE211" i="1150"/>
  <c r="AE210" i="1150"/>
  <c r="AG208" i="1150"/>
  <c r="AF208" i="1150"/>
  <c r="AE207" i="1150"/>
  <c r="AE201" i="1150"/>
  <c r="AE200" i="1150"/>
  <c r="AE199" i="1150"/>
  <c r="AE198" i="1150"/>
  <c r="AE197" i="1150"/>
  <c r="AE196" i="1150"/>
  <c r="AE195" i="1150"/>
  <c r="AE194" i="1150"/>
  <c r="AE193" i="1150"/>
  <c r="AE192" i="1150"/>
  <c r="AG191" i="1150"/>
  <c r="AF191" i="1150"/>
  <c r="AE190" i="1150"/>
  <c r="AE189" i="1150"/>
  <c r="AE188" i="1150"/>
  <c r="AE187" i="1150"/>
  <c r="AE186" i="1150"/>
  <c r="AE185" i="1150"/>
  <c r="AE184" i="1150"/>
  <c r="AG183" i="1150"/>
  <c r="AG182" i="1150" s="1"/>
  <c r="AF183" i="1150"/>
  <c r="AF182" i="1150" s="1"/>
  <c r="AE181" i="1150"/>
  <c r="AE180" i="1150"/>
  <c r="AE179" i="1150"/>
  <c r="AE178" i="1150"/>
  <c r="AE177" i="1150"/>
  <c r="AE176" i="1150"/>
  <c r="AE175" i="1150"/>
  <c r="AE174" i="1150"/>
  <c r="AE173" i="1150"/>
  <c r="AE172" i="1150"/>
  <c r="AE171" i="1150"/>
  <c r="AE170" i="1150"/>
  <c r="AE159" i="1150"/>
  <c r="AG158" i="1150"/>
  <c r="AF158" i="1150"/>
  <c r="AE157" i="1150"/>
  <c r="AE156" i="1150"/>
  <c r="AE155" i="1150"/>
  <c r="AE154" i="1150"/>
  <c r="AE153" i="1150"/>
  <c r="AE152" i="1150"/>
  <c r="AG151" i="1150"/>
  <c r="AG150" i="1150" s="1"/>
  <c r="AF151" i="1150"/>
  <c r="AE149" i="1150"/>
  <c r="AE138" i="1150"/>
  <c r="AG137" i="1150"/>
  <c r="AF137" i="1150"/>
  <c r="AF132" i="1150" s="1"/>
  <c r="AE136" i="1150"/>
  <c r="AE135" i="1150"/>
  <c r="AE134" i="1150"/>
  <c r="AE133" i="1150"/>
  <c r="AE131" i="1150"/>
  <c r="AE130" i="1150"/>
  <c r="AE129" i="1150"/>
  <c r="AE128" i="1150"/>
  <c r="AG127" i="1150"/>
  <c r="AF127" i="1150"/>
  <c r="AE126" i="1150"/>
  <c r="O126" i="1150"/>
  <c r="N126" i="1150"/>
  <c r="M126" i="1150"/>
  <c r="AE125" i="1150"/>
  <c r="AE124" i="1150"/>
  <c r="N124" i="1150"/>
  <c r="M124" i="1150"/>
  <c r="AE123" i="1150"/>
  <c r="AG122" i="1150"/>
  <c r="AF122" i="1150"/>
  <c r="AE121" i="1150"/>
  <c r="AE120" i="1150"/>
  <c r="AE119" i="1150"/>
  <c r="AE108" i="1150"/>
  <c r="AG107" i="1150"/>
  <c r="AF107" i="1150"/>
  <c r="AE106" i="1150"/>
  <c r="AE98" i="1150"/>
  <c r="AE97" i="1150" s="1"/>
  <c r="AG96" i="1150"/>
  <c r="AF96" i="1150"/>
  <c r="AE91" i="1150"/>
  <c r="AE90" i="1150"/>
  <c r="AE89" i="1150"/>
  <c r="AG88" i="1150"/>
  <c r="AF88" i="1150"/>
  <c r="AG87" i="1150"/>
  <c r="AF87" i="1150"/>
  <c r="AG86" i="1150"/>
  <c r="AF86" i="1150"/>
  <c r="AG85" i="1150"/>
  <c r="AF85" i="1150"/>
  <c r="AG84" i="1150"/>
  <c r="AF84" i="1150"/>
  <c r="AG82" i="1150"/>
  <c r="AF82" i="1150"/>
  <c r="AG81" i="1150"/>
  <c r="AF81" i="1150"/>
  <c r="AG80" i="1150"/>
  <c r="AF80" i="1150"/>
  <c r="AG79" i="1150"/>
  <c r="AF79" i="1150"/>
  <c r="AG78" i="1150"/>
  <c r="AF78" i="1150"/>
  <c r="AG76" i="1150"/>
  <c r="AF76" i="1150"/>
  <c r="AG75" i="1150"/>
  <c r="AF75" i="1150"/>
  <c r="AG74" i="1150"/>
  <c r="AF74" i="1150"/>
  <c r="AG73" i="1150"/>
  <c r="AF73" i="1150"/>
  <c r="AF71" i="1150" s="1"/>
  <c r="AG72" i="1150"/>
  <c r="AF72" i="1150"/>
  <c r="AE49" i="1150"/>
  <c r="AE70" i="1150" s="1"/>
  <c r="AE48" i="1150"/>
  <c r="AE69" i="1150" s="1"/>
  <c r="AE47" i="1150"/>
  <c r="AE68" i="1150" s="1"/>
  <c r="AE46" i="1150"/>
  <c r="AE67" i="1150" s="1"/>
  <c r="AE45" i="1150"/>
  <c r="AE66" i="1150"/>
  <c r="AG44" i="1150"/>
  <c r="AG65" i="1150" s="1"/>
  <c r="AF44" i="1150"/>
  <c r="AF65" i="1150" s="1"/>
  <c r="AE43" i="1150"/>
  <c r="AE64" i="1150" s="1"/>
  <c r="AE42" i="1150"/>
  <c r="AE63" i="1150" s="1"/>
  <c r="AE41" i="1150"/>
  <c r="AE62" i="1150" s="1"/>
  <c r="AE40" i="1150"/>
  <c r="AE61" i="1150" s="1"/>
  <c r="AE39" i="1150"/>
  <c r="AG38" i="1150"/>
  <c r="AG59" i="1150" s="1"/>
  <c r="AF38" i="1150"/>
  <c r="AF59" i="1150" s="1"/>
  <c r="AE36" i="1150"/>
  <c r="AE56" i="1150" s="1"/>
  <c r="AE35" i="1150"/>
  <c r="AE55" i="1150" s="1"/>
  <c r="AE34" i="1150"/>
  <c r="AE54" i="1150" s="1"/>
  <c r="AE33" i="1150"/>
  <c r="AE53" i="1150" s="1"/>
  <c r="AE32" i="1150"/>
  <c r="AG31" i="1150"/>
  <c r="AG57" i="1150" s="1"/>
  <c r="AF31" i="1150"/>
  <c r="AF57" i="1150" s="1"/>
  <c r="AE27" i="1150"/>
  <c r="AE26" i="1150"/>
  <c r="AG24" i="1150"/>
  <c r="N22" i="1150"/>
  <c r="AD17" i="1150"/>
  <c r="AD15" i="1150" s="1"/>
  <c r="AC17" i="1150"/>
  <c r="AC15" i="1150" s="1"/>
  <c r="AB17" i="1150"/>
  <c r="AB15" i="1150" s="1"/>
  <c r="AK346" i="1149"/>
  <c r="AK343" i="1149"/>
  <c r="AK342" i="1149"/>
  <c r="AK341" i="1149" s="1"/>
  <c r="M342" i="1149"/>
  <c r="M341" i="1149"/>
  <c r="AM340" i="1149"/>
  <c r="AL340" i="1149"/>
  <c r="AK339" i="1149"/>
  <c r="AK338" i="1149" s="1"/>
  <c r="M339" i="1149"/>
  <c r="M338" i="1149"/>
  <c r="AM337" i="1149"/>
  <c r="AL337" i="1149"/>
  <c r="AK337" i="1149" s="1"/>
  <c r="AK336" i="1149"/>
  <c r="AK335" i="1149" s="1"/>
  <c r="M336" i="1149"/>
  <c r="M335" i="1149"/>
  <c r="AM334" i="1149"/>
  <c r="AL334" i="1149"/>
  <c r="AK333" i="1149"/>
  <c r="AK332" i="1149" s="1"/>
  <c r="M333" i="1149"/>
  <c r="M332" i="1149"/>
  <c r="AM331" i="1149"/>
  <c r="AK331" i="1149" s="1"/>
  <c r="AL331" i="1149"/>
  <c r="AK330" i="1149"/>
  <c r="AK329" i="1149" s="1"/>
  <c r="M330" i="1149"/>
  <c r="M329" i="1149"/>
  <c r="AM328" i="1149"/>
  <c r="AL328" i="1149"/>
  <c r="AK327" i="1149"/>
  <c r="AK326" i="1149" s="1"/>
  <c r="M327" i="1149"/>
  <c r="M326" i="1149"/>
  <c r="AM325" i="1149"/>
  <c r="AL325" i="1149"/>
  <c r="AK324" i="1149"/>
  <c r="AK323" i="1149" s="1"/>
  <c r="M324" i="1149"/>
  <c r="M323" i="1149"/>
  <c r="AM322" i="1149"/>
  <c r="AL322" i="1149"/>
  <c r="AK321" i="1149"/>
  <c r="AK320" i="1149" s="1"/>
  <c r="M321" i="1149"/>
  <c r="M320" i="1149"/>
  <c r="AM319" i="1149"/>
  <c r="AK319" i="1149" s="1"/>
  <c r="AL319" i="1149"/>
  <c r="AK318" i="1149"/>
  <c r="AK317" i="1149" s="1"/>
  <c r="M318" i="1149"/>
  <c r="M317" i="1149"/>
  <c r="AM316" i="1149"/>
  <c r="AL316" i="1149"/>
  <c r="AK315" i="1149"/>
  <c r="AK314" i="1149" s="1"/>
  <c r="M315" i="1149"/>
  <c r="M314" i="1149"/>
  <c r="AM313" i="1149"/>
  <c r="AL313" i="1149"/>
  <c r="AK312" i="1149"/>
  <c r="AK311" i="1149" s="1"/>
  <c r="M312" i="1149"/>
  <c r="M311" i="1149"/>
  <c r="AM310" i="1149"/>
  <c r="AL310" i="1149"/>
  <c r="AK309" i="1149"/>
  <c r="AK308" i="1149" s="1"/>
  <c r="M309" i="1149"/>
  <c r="M308" i="1149"/>
  <c r="AM307" i="1149"/>
  <c r="AL307" i="1149"/>
  <c r="AK306" i="1149"/>
  <c r="AK305" i="1149" s="1"/>
  <c r="M306" i="1149"/>
  <c r="M305" i="1149"/>
  <c r="AM304" i="1149"/>
  <c r="AL304" i="1149"/>
  <c r="AK303" i="1149"/>
  <c r="AK302" i="1149" s="1"/>
  <c r="M303" i="1149"/>
  <c r="M302" i="1149"/>
  <c r="AM301" i="1149"/>
  <c r="AL301" i="1149"/>
  <c r="AK300" i="1149"/>
  <c r="AK299" i="1149" s="1"/>
  <c r="M300" i="1149"/>
  <c r="M299" i="1149"/>
  <c r="AM298" i="1149"/>
  <c r="AL298" i="1149"/>
  <c r="AK297" i="1149"/>
  <c r="AK296" i="1149" s="1"/>
  <c r="M297" i="1149"/>
  <c r="M296" i="1149"/>
  <c r="AM295" i="1149"/>
  <c r="AL295" i="1149"/>
  <c r="AK294" i="1149"/>
  <c r="AK293" i="1149" s="1"/>
  <c r="M294" i="1149"/>
  <c r="M293" i="1149"/>
  <c r="AM292" i="1149"/>
  <c r="AL292" i="1149"/>
  <c r="AK291" i="1149"/>
  <c r="AK290" i="1149" s="1"/>
  <c r="M291" i="1149"/>
  <c r="M290" i="1149"/>
  <c r="AM289" i="1149"/>
  <c r="AL289" i="1149"/>
  <c r="AK288" i="1149"/>
  <c r="AK287" i="1149" s="1"/>
  <c r="M288" i="1149"/>
  <c r="M287" i="1149"/>
  <c r="AM286" i="1149"/>
  <c r="AL286" i="1149"/>
  <c r="AK286" i="1149" s="1"/>
  <c r="AK285" i="1149"/>
  <c r="AK284" i="1149" s="1"/>
  <c r="M285" i="1149"/>
  <c r="M284" i="1149"/>
  <c r="AM283" i="1149"/>
  <c r="AK283" i="1149" s="1"/>
  <c r="AL283" i="1149"/>
  <c r="AK282" i="1149"/>
  <c r="AK281" i="1149" s="1"/>
  <c r="M282" i="1149"/>
  <c r="M281" i="1149"/>
  <c r="AM280" i="1149"/>
  <c r="AL280" i="1149"/>
  <c r="AK279" i="1149"/>
  <c r="AK278" i="1149" s="1"/>
  <c r="M279" i="1149"/>
  <c r="M278" i="1149"/>
  <c r="AM277" i="1149"/>
  <c r="AL277" i="1149"/>
  <c r="AK276" i="1149"/>
  <c r="AK275" i="1149" s="1"/>
  <c r="M276" i="1149"/>
  <c r="M275" i="1149"/>
  <c r="AM274" i="1149"/>
  <c r="AL274" i="1149"/>
  <c r="AK273" i="1149"/>
  <c r="AK272" i="1149" s="1"/>
  <c r="M273" i="1149"/>
  <c r="M272" i="1149"/>
  <c r="AM271" i="1149"/>
  <c r="AK271" i="1149" s="1"/>
  <c r="AL271" i="1149"/>
  <c r="AK270" i="1149"/>
  <c r="AK269" i="1149" s="1"/>
  <c r="M270" i="1149"/>
  <c r="M269" i="1149"/>
  <c r="AM268" i="1149"/>
  <c r="AL268" i="1149"/>
  <c r="AK267" i="1149"/>
  <c r="AK266" i="1149" s="1"/>
  <c r="M267" i="1149"/>
  <c r="M266" i="1149"/>
  <c r="AM265" i="1149"/>
  <c r="AL265" i="1149"/>
  <c r="AK264" i="1149"/>
  <c r="AK263" i="1149" s="1"/>
  <c r="M264" i="1149"/>
  <c r="M263" i="1149"/>
  <c r="AM262" i="1149"/>
  <c r="AL262" i="1149"/>
  <c r="AK261" i="1149"/>
  <c r="AK260" i="1149" s="1"/>
  <c r="M261" i="1149"/>
  <c r="M260" i="1149"/>
  <c r="AM259" i="1149"/>
  <c r="AK259" i="1149" s="1"/>
  <c r="AL259" i="1149"/>
  <c r="AK258" i="1149"/>
  <c r="AK257" i="1149" s="1"/>
  <c r="M258" i="1149"/>
  <c r="M257" i="1149"/>
  <c r="AM256" i="1149"/>
  <c r="AL256" i="1149"/>
  <c r="AK255" i="1149"/>
  <c r="AK254" i="1149" s="1"/>
  <c r="M255" i="1149"/>
  <c r="M254" i="1149"/>
  <c r="AM253" i="1149"/>
  <c r="AL253" i="1149"/>
  <c r="AK252" i="1149"/>
  <c r="AK251" i="1149" s="1"/>
  <c r="M252" i="1149"/>
  <c r="M251" i="1149"/>
  <c r="AM250" i="1149"/>
  <c r="AL250" i="1149"/>
  <c r="AK249" i="1149"/>
  <c r="AK248" i="1149" s="1"/>
  <c r="M249" i="1149"/>
  <c r="M248" i="1149"/>
  <c r="AM247" i="1149"/>
  <c r="AL247" i="1149"/>
  <c r="AK246" i="1149"/>
  <c r="AK245" i="1149" s="1"/>
  <c r="M246" i="1149"/>
  <c r="M245" i="1149"/>
  <c r="AM244" i="1149"/>
  <c r="AL244" i="1149"/>
  <c r="AK243" i="1149"/>
  <c r="AK242" i="1149" s="1"/>
  <c r="M243" i="1149"/>
  <c r="M242" i="1149"/>
  <c r="AM241" i="1149"/>
  <c r="AL241" i="1149"/>
  <c r="AK240" i="1149"/>
  <c r="AK239" i="1149" s="1"/>
  <c r="M240" i="1149"/>
  <c r="M239" i="1149"/>
  <c r="AM238" i="1149"/>
  <c r="AL238" i="1149"/>
  <c r="AK237" i="1149"/>
  <c r="AK236" i="1149" s="1"/>
  <c r="M237" i="1149"/>
  <c r="M236" i="1149"/>
  <c r="AM235" i="1149"/>
  <c r="AL235" i="1149"/>
  <c r="AK234" i="1149"/>
  <c r="AK233" i="1149" s="1"/>
  <c r="M234" i="1149"/>
  <c r="M233" i="1149"/>
  <c r="AM232" i="1149"/>
  <c r="AL232" i="1149"/>
  <c r="AK231" i="1149"/>
  <c r="AK230" i="1149" s="1"/>
  <c r="M231" i="1149"/>
  <c r="M230" i="1149"/>
  <c r="AM229" i="1149"/>
  <c r="AL229" i="1149"/>
  <c r="AK228" i="1149"/>
  <c r="AK227" i="1149" s="1"/>
  <c r="M228" i="1149"/>
  <c r="M227" i="1149"/>
  <c r="AM226" i="1149"/>
  <c r="AL226" i="1149"/>
  <c r="AK225" i="1149"/>
  <c r="AK224" i="1149" s="1"/>
  <c r="M225" i="1149"/>
  <c r="M224" i="1149"/>
  <c r="AM223" i="1149"/>
  <c r="AL223" i="1149"/>
  <c r="AK222" i="1149"/>
  <c r="AK221" i="1149" s="1"/>
  <c r="M222" i="1149"/>
  <c r="M221" i="1149"/>
  <c r="AM220" i="1149"/>
  <c r="AL220" i="1149"/>
  <c r="AK219" i="1149"/>
  <c r="AK218" i="1149" s="1"/>
  <c r="M219" i="1149"/>
  <c r="M218" i="1149"/>
  <c r="AM217" i="1149"/>
  <c r="AL217" i="1149"/>
  <c r="AK216" i="1149"/>
  <c r="AK215" i="1149" s="1"/>
  <c r="M216" i="1149"/>
  <c r="M215" i="1149"/>
  <c r="AM214" i="1149"/>
  <c r="AL214" i="1149"/>
  <c r="AK213" i="1149"/>
  <c r="AK212" i="1149" s="1"/>
  <c r="M213" i="1149"/>
  <c r="M212" i="1149"/>
  <c r="AM211" i="1149"/>
  <c r="AL211" i="1149"/>
  <c r="AK210" i="1149"/>
  <c r="AK209" i="1149" s="1"/>
  <c r="M210" i="1149"/>
  <c r="M209" i="1149"/>
  <c r="AM208" i="1149"/>
  <c r="AL208" i="1149"/>
  <c r="AK208" i="1149" s="1"/>
  <c r="AK207" i="1149"/>
  <c r="AK206" i="1149" s="1"/>
  <c r="M207" i="1149"/>
  <c r="M206" i="1149"/>
  <c r="AM205" i="1149"/>
  <c r="AL205" i="1149"/>
  <c r="AK204" i="1149"/>
  <c r="AK203" i="1149" s="1"/>
  <c r="M204" i="1149"/>
  <c r="M203" i="1149"/>
  <c r="AM202" i="1149"/>
  <c r="AL202" i="1149"/>
  <c r="AK201" i="1149"/>
  <c r="AK200" i="1149" s="1"/>
  <c r="M201" i="1149"/>
  <c r="M200" i="1149"/>
  <c r="AM199" i="1149"/>
  <c r="AL199" i="1149"/>
  <c r="AK198" i="1149"/>
  <c r="AK197" i="1149" s="1"/>
  <c r="M198" i="1149"/>
  <c r="M197" i="1149"/>
  <c r="AM196" i="1149"/>
  <c r="AL196" i="1149"/>
  <c r="AK195" i="1149"/>
  <c r="AK194" i="1149" s="1"/>
  <c r="M195" i="1149"/>
  <c r="M194" i="1149"/>
  <c r="AM193" i="1149"/>
  <c r="AL193" i="1149"/>
  <c r="AK192" i="1149"/>
  <c r="AK191" i="1149" s="1"/>
  <c r="M192" i="1149"/>
  <c r="M191" i="1149"/>
  <c r="AM190" i="1149"/>
  <c r="AL190" i="1149"/>
  <c r="AK189" i="1149"/>
  <c r="AK188" i="1149" s="1"/>
  <c r="M189" i="1149"/>
  <c r="M188" i="1149"/>
  <c r="AM187" i="1149"/>
  <c r="AL187" i="1149"/>
  <c r="AK186" i="1149"/>
  <c r="AK185" i="1149" s="1"/>
  <c r="M186" i="1149"/>
  <c r="M185" i="1149"/>
  <c r="AM184" i="1149"/>
  <c r="AL184" i="1149"/>
  <c r="AK183" i="1149"/>
  <c r="AK182" i="1149" s="1"/>
  <c r="M183" i="1149"/>
  <c r="M182" i="1149"/>
  <c r="AM181" i="1149"/>
  <c r="AL181" i="1149"/>
  <c r="AK181" i="1149" s="1"/>
  <c r="AK180" i="1149"/>
  <c r="AK179" i="1149" s="1"/>
  <c r="M180" i="1149"/>
  <c r="M179" i="1149"/>
  <c r="AM178" i="1149"/>
  <c r="AL178" i="1149"/>
  <c r="AK177" i="1149"/>
  <c r="AK176" i="1149" s="1"/>
  <c r="M177" i="1149"/>
  <c r="M176" i="1149"/>
  <c r="AM175" i="1149"/>
  <c r="AL175" i="1149"/>
  <c r="AK174" i="1149"/>
  <c r="AK173" i="1149" s="1"/>
  <c r="M174" i="1149"/>
  <c r="M173" i="1149"/>
  <c r="AM172" i="1149"/>
  <c r="AL172" i="1149"/>
  <c r="AK171" i="1149"/>
  <c r="AK170" i="1149" s="1"/>
  <c r="M171" i="1149"/>
  <c r="M170" i="1149"/>
  <c r="AM169" i="1149"/>
  <c r="AL169" i="1149"/>
  <c r="AK169" i="1149" s="1"/>
  <c r="AK168" i="1149"/>
  <c r="AK167" i="1149" s="1"/>
  <c r="M168" i="1149"/>
  <c r="M167" i="1149"/>
  <c r="AM166" i="1149"/>
  <c r="AL166" i="1149"/>
  <c r="AK165" i="1149"/>
  <c r="AK164" i="1149" s="1"/>
  <c r="M165" i="1149"/>
  <c r="M164" i="1149"/>
  <c r="AM163" i="1149"/>
  <c r="AL163" i="1149"/>
  <c r="AK162" i="1149"/>
  <c r="AK161" i="1149" s="1"/>
  <c r="M162" i="1149"/>
  <c r="M161" i="1149"/>
  <c r="AM160" i="1149"/>
  <c r="AL160" i="1149"/>
  <c r="AK159" i="1149"/>
  <c r="AK158" i="1149" s="1"/>
  <c r="M159" i="1149"/>
  <c r="M158" i="1149"/>
  <c r="AM157" i="1149"/>
  <c r="AL157" i="1149"/>
  <c r="AK156" i="1149"/>
  <c r="AK155" i="1149" s="1"/>
  <c r="M156" i="1149"/>
  <c r="M155" i="1149"/>
  <c r="AM154" i="1149"/>
  <c r="AL154" i="1149"/>
  <c r="AK153" i="1149"/>
  <c r="AK152" i="1149" s="1"/>
  <c r="M153" i="1149"/>
  <c r="M152" i="1149"/>
  <c r="AM151" i="1149"/>
  <c r="AL151" i="1149"/>
  <c r="AK150" i="1149"/>
  <c r="AK149" i="1149" s="1"/>
  <c r="M150" i="1149"/>
  <c r="M149" i="1149"/>
  <c r="AM148" i="1149"/>
  <c r="AL148" i="1149"/>
  <c r="AK147" i="1149"/>
  <c r="AK146" i="1149" s="1"/>
  <c r="M147" i="1149"/>
  <c r="M146" i="1149"/>
  <c r="AM145" i="1149"/>
  <c r="AL145" i="1149"/>
  <c r="AK144" i="1149"/>
  <c r="AK143" i="1149" s="1"/>
  <c r="M144" i="1149"/>
  <c r="M143" i="1149"/>
  <c r="AM142" i="1149"/>
  <c r="AL142" i="1149"/>
  <c r="AK141" i="1149"/>
  <c r="AK140" i="1149" s="1"/>
  <c r="M141" i="1149"/>
  <c r="M140" i="1149"/>
  <c r="AM139" i="1149"/>
  <c r="AL139" i="1149"/>
  <c r="AK138" i="1149"/>
  <c r="AK137" i="1149" s="1"/>
  <c r="M138" i="1149"/>
  <c r="M137" i="1149"/>
  <c r="AM136" i="1149"/>
  <c r="AL136" i="1149"/>
  <c r="AK135" i="1149"/>
  <c r="AK134" i="1149" s="1"/>
  <c r="M135" i="1149"/>
  <c r="M134" i="1149"/>
  <c r="AM133" i="1149"/>
  <c r="AL133" i="1149"/>
  <c r="AK132" i="1149"/>
  <c r="AK131" i="1149" s="1"/>
  <c r="M132" i="1149"/>
  <c r="M131" i="1149"/>
  <c r="AM130" i="1149"/>
  <c r="AL130" i="1149"/>
  <c r="AK129" i="1149"/>
  <c r="AK128" i="1149" s="1"/>
  <c r="M129" i="1149"/>
  <c r="M128" i="1149"/>
  <c r="AM127" i="1149"/>
  <c r="AL127" i="1149"/>
  <c r="AK126" i="1149"/>
  <c r="AK125" i="1149" s="1"/>
  <c r="M126" i="1149"/>
  <c r="M125" i="1149"/>
  <c r="AM124" i="1149"/>
  <c r="AL124" i="1149"/>
  <c r="AK123" i="1149"/>
  <c r="AK122" i="1149" s="1"/>
  <c r="M123" i="1149"/>
  <c r="M122" i="1149"/>
  <c r="AM121" i="1149"/>
  <c r="AL121" i="1149"/>
  <c r="AK120" i="1149"/>
  <c r="AK119" i="1149" s="1"/>
  <c r="M120" i="1149"/>
  <c r="M119" i="1149"/>
  <c r="AM118" i="1149"/>
  <c r="AL118" i="1149"/>
  <c r="AK117" i="1149"/>
  <c r="AK116" i="1149" s="1"/>
  <c r="M117" i="1149"/>
  <c r="M116" i="1149"/>
  <c r="AM115" i="1149"/>
  <c r="AL115" i="1149"/>
  <c r="AK114" i="1149"/>
  <c r="AK113" i="1149" s="1"/>
  <c r="M114" i="1149"/>
  <c r="M113" i="1149"/>
  <c r="AM112" i="1149"/>
  <c r="AL112" i="1149"/>
  <c r="AK111" i="1149"/>
  <c r="AK110" i="1149" s="1"/>
  <c r="M111" i="1149"/>
  <c r="M110" i="1149"/>
  <c r="AM109" i="1149"/>
  <c r="AL109" i="1149"/>
  <c r="AK108" i="1149"/>
  <c r="AK107" i="1149" s="1"/>
  <c r="M108" i="1149"/>
  <c r="M107" i="1149"/>
  <c r="AM106" i="1149"/>
  <c r="AL106" i="1149"/>
  <c r="AK105" i="1149"/>
  <c r="AK104" i="1149" s="1"/>
  <c r="M105" i="1149"/>
  <c r="M104" i="1149"/>
  <c r="AM103" i="1149"/>
  <c r="AL103" i="1149"/>
  <c r="AK102" i="1149"/>
  <c r="AK101" i="1149" s="1"/>
  <c r="M102" i="1149"/>
  <c r="M101" i="1149"/>
  <c r="AM100" i="1149"/>
  <c r="AL100" i="1149"/>
  <c r="AK99" i="1149"/>
  <c r="AK98" i="1149" s="1"/>
  <c r="M99" i="1149"/>
  <c r="M98" i="1149"/>
  <c r="AM97" i="1149"/>
  <c r="AL97" i="1149"/>
  <c r="AK96" i="1149"/>
  <c r="AK95" i="1149" s="1"/>
  <c r="M96" i="1149"/>
  <c r="M95" i="1149"/>
  <c r="AM94" i="1149"/>
  <c r="AL94" i="1149"/>
  <c r="AK90" i="1149"/>
  <c r="AK89" i="1149"/>
  <c r="AK88" i="1149" s="1"/>
  <c r="M89" i="1149"/>
  <c r="M88" i="1149"/>
  <c r="AM87" i="1149"/>
  <c r="AL87" i="1149"/>
  <c r="AK86" i="1149"/>
  <c r="AK85" i="1149" s="1"/>
  <c r="M86" i="1149"/>
  <c r="M85" i="1149"/>
  <c r="AM84" i="1149"/>
  <c r="AL84" i="1149"/>
  <c r="AK84" i="1149" s="1"/>
  <c r="AK83" i="1149"/>
  <c r="AK82" i="1149" s="1"/>
  <c r="M83" i="1149"/>
  <c r="M82" i="1149"/>
  <c r="AM81" i="1149"/>
  <c r="AL81" i="1149"/>
  <c r="AK80" i="1149"/>
  <c r="AK79" i="1149" s="1"/>
  <c r="M80" i="1149"/>
  <c r="M79" i="1149"/>
  <c r="AM78" i="1149"/>
  <c r="AL78" i="1149"/>
  <c r="AK77" i="1149"/>
  <c r="AK76" i="1149" s="1"/>
  <c r="M77" i="1149"/>
  <c r="M76" i="1149"/>
  <c r="AM75" i="1149"/>
  <c r="AL75" i="1149"/>
  <c r="AK74" i="1149"/>
  <c r="AK73" i="1149" s="1"/>
  <c r="M74" i="1149"/>
  <c r="M73" i="1149"/>
  <c r="AM72" i="1149"/>
  <c r="AL72" i="1149"/>
  <c r="AK71" i="1149"/>
  <c r="AK70" i="1149" s="1"/>
  <c r="M71" i="1149"/>
  <c r="M70" i="1149"/>
  <c r="AM69" i="1149"/>
  <c r="AL69" i="1149"/>
  <c r="AK68" i="1149"/>
  <c r="AK67" i="1149" s="1"/>
  <c r="M68" i="1149"/>
  <c r="M67" i="1149"/>
  <c r="AM66" i="1149"/>
  <c r="AL66" i="1149"/>
  <c r="AK62" i="1149"/>
  <c r="AK61" i="1149"/>
  <c r="AK60" i="1149" s="1"/>
  <c r="M61" i="1149"/>
  <c r="M60" i="1149"/>
  <c r="AM59" i="1149"/>
  <c r="AL59" i="1149"/>
  <c r="AK58" i="1149"/>
  <c r="AK57" i="1149" s="1"/>
  <c r="M58" i="1149"/>
  <c r="M57" i="1149"/>
  <c r="AM56" i="1149"/>
  <c r="AL56" i="1149"/>
  <c r="AK55" i="1149"/>
  <c r="AK54" i="1149" s="1"/>
  <c r="M55" i="1149"/>
  <c r="M54" i="1149"/>
  <c r="AM53" i="1149"/>
  <c r="AL53" i="1149"/>
  <c r="AK52" i="1149"/>
  <c r="AK51" i="1149" s="1"/>
  <c r="M52" i="1149"/>
  <c r="M51" i="1149"/>
  <c r="AM50" i="1149"/>
  <c r="AL50" i="1149"/>
  <c r="AK49" i="1149"/>
  <c r="AK48" i="1149" s="1"/>
  <c r="M49" i="1149"/>
  <c r="M48" i="1149"/>
  <c r="AM47" i="1149"/>
  <c r="AL47" i="1149"/>
  <c r="AK46" i="1149"/>
  <c r="AK45" i="1149" s="1"/>
  <c r="M46" i="1149"/>
  <c r="M45" i="1149"/>
  <c r="AM44" i="1149"/>
  <c r="AL44" i="1149"/>
  <c r="AK43" i="1149"/>
  <c r="AK42" i="1149" s="1"/>
  <c r="M43" i="1149"/>
  <c r="M42" i="1149"/>
  <c r="AM41" i="1149"/>
  <c r="AL41" i="1149"/>
  <c r="AK40" i="1149"/>
  <c r="AK39" i="1149" s="1"/>
  <c r="M40" i="1149"/>
  <c r="M39" i="1149"/>
  <c r="AM38" i="1149"/>
  <c r="AL38" i="1149"/>
  <c r="AK37" i="1149"/>
  <c r="AK36" i="1149" s="1"/>
  <c r="M37" i="1149"/>
  <c r="M36" i="1149"/>
  <c r="AM35" i="1149"/>
  <c r="AL35" i="1149"/>
  <c r="AK34" i="1149"/>
  <c r="AK33" i="1149" s="1"/>
  <c r="M34" i="1149"/>
  <c r="M33" i="1149"/>
  <c r="AM32" i="1149"/>
  <c r="AL32" i="1149"/>
  <c r="AK31" i="1149"/>
  <c r="AK30" i="1149" s="1"/>
  <c r="M31" i="1149"/>
  <c r="M30" i="1149"/>
  <c r="AM29" i="1149"/>
  <c r="AL29" i="1149"/>
  <c r="N22" i="1149"/>
  <c r="AD17" i="1149"/>
  <c r="AD15" i="1149" s="1"/>
  <c r="AC17" i="1149"/>
  <c r="AC15" i="1149" s="1"/>
  <c r="AB17" i="1149"/>
  <c r="AB15" i="1149" s="1"/>
  <c r="N324" i="1148"/>
  <c r="N319" i="1148"/>
  <c r="N316" i="1148"/>
  <c r="N315" i="1148"/>
  <c r="AE306" i="1148"/>
  <c r="M306" i="1148"/>
  <c r="AE305" i="1148"/>
  <c r="M305" i="1148"/>
  <c r="M302" i="1148"/>
  <c r="M304" i="1148" s="1"/>
  <c r="AF299" i="1148"/>
  <c r="M299" i="1148"/>
  <c r="M300" i="1148" s="1"/>
  <c r="AE298" i="1148"/>
  <c r="AE297" i="1148" s="1"/>
  <c r="AG296" i="1148"/>
  <c r="M296" i="1148"/>
  <c r="M297" i="1148" s="1"/>
  <c r="M293" i="1148"/>
  <c r="M292" i="1148"/>
  <c r="M291" i="1148"/>
  <c r="N245" i="1148"/>
  <c r="AG242" i="1148"/>
  <c r="AF245" i="1148"/>
  <c r="AE213" i="1148"/>
  <c r="AE212" i="1148"/>
  <c r="AE211" i="1148"/>
  <c r="AE210" i="1148"/>
  <c r="AG208" i="1148"/>
  <c r="AF208" i="1148"/>
  <c r="AE207" i="1148"/>
  <c r="AE201" i="1148"/>
  <c r="AE200" i="1148"/>
  <c r="AE199" i="1148"/>
  <c r="AE198" i="1148"/>
  <c r="AE197" i="1148"/>
  <c r="AE196" i="1148"/>
  <c r="AE195" i="1148"/>
  <c r="AE194" i="1148"/>
  <c r="AE193" i="1148"/>
  <c r="AE192" i="1148"/>
  <c r="AG191" i="1148"/>
  <c r="AF191" i="1148"/>
  <c r="AE190" i="1148"/>
  <c r="AE189" i="1148"/>
  <c r="AE188" i="1148"/>
  <c r="AE187" i="1148"/>
  <c r="AE186" i="1148"/>
  <c r="AE185" i="1148"/>
  <c r="AE184" i="1148"/>
  <c r="AG183" i="1148"/>
  <c r="AG182" i="1148" s="1"/>
  <c r="AF183" i="1148"/>
  <c r="AF182" i="1148" s="1"/>
  <c r="AE181" i="1148"/>
  <c r="AE180" i="1148"/>
  <c r="AE179" i="1148"/>
  <c r="AE178" i="1148"/>
  <c r="AE177" i="1148"/>
  <c r="AE176" i="1148"/>
  <c r="AE175" i="1148"/>
  <c r="AE174" i="1148"/>
  <c r="AE173" i="1148"/>
  <c r="AE172" i="1148"/>
  <c r="AE171" i="1148"/>
  <c r="AE170" i="1148"/>
  <c r="AE159" i="1148"/>
  <c r="AG158" i="1148"/>
  <c r="AF158" i="1148"/>
  <c r="AE157" i="1148"/>
  <c r="AE156" i="1148"/>
  <c r="AE155" i="1148"/>
  <c r="AE154" i="1148"/>
  <c r="AE153" i="1148"/>
  <c r="AE152" i="1148"/>
  <c r="AG151" i="1148"/>
  <c r="AF151" i="1148"/>
  <c r="AF150" i="1148" s="1"/>
  <c r="AE149" i="1148"/>
  <c r="AE138" i="1148"/>
  <c r="AG137" i="1148"/>
  <c r="AG132" i="1148" s="1"/>
  <c r="AF137" i="1148"/>
  <c r="AE136" i="1148"/>
  <c r="AE135" i="1148"/>
  <c r="AE134" i="1148"/>
  <c r="AE133" i="1148"/>
  <c r="AE131" i="1148"/>
  <c r="AE130" i="1148"/>
  <c r="AE129" i="1148"/>
  <c r="AE128" i="1148"/>
  <c r="AG127" i="1148"/>
  <c r="AF127" i="1148"/>
  <c r="O126" i="1148"/>
  <c r="N126" i="1148"/>
  <c r="M126" i="1148"/>
  <c r="AE125" i="1148"/>
  <c r="AE124" i="1148"/>
  <c r="N124" i="1148"/>
  <c r="M124" i="1148"/>
  <c r="AE123" i="1148"/>
  <c r="AG122" i="1148"/>
  <c r="AF122" i="1148"/>
  <c r="AE121" i="1148"/>
  <c r="AE120" i="1148"/>
  <c r="AE119" i="1148"/>
  <c r="AE108" i="1148"/>
  <c r="AG107" i="1148"/>
  <c r="AF107" i="1148"/>
  <c r="AE106" i="1148"/>
  <c r="AE98" i="1148"/>
  <c r="AE97" i="1148" s="1"/>
  <c r="AG96" i="1148"/>
  <c r="AF96" i="1148"/>
  <c r="AE91" i="1148"/>
  <c r="AE90" i="1148"/>
  <c r="AE89" i="1148"/>
  <c r="AG88" i="1148"/>
  <c r="AF88" i="1148"/>
  <c r="AG87" i="1148"/>
  <c r="AF87" i="1148"/>
  <c r="AG86" i="1148"/>
  <c r="AF86" i="1148"/>
  <c r="AG85" i="1148"/>
  <c r="AF85" i="1148"/>
  <c r="AG84" i="1148"/>
  <c r="AF84" i="1148"/>
  <c r="AG82" i="1148"/>
  <c r="AF82" i="1148"/>
  <c r="AG81" i="1148"/>
  <c r="AF81" i="1148"/>
  <c r="AG80" i="1148"/>
  <c r="AF80" i="1148"/>
  <c r="AG79" i="1148"/>
  <c r="AF79" i="1148"/>
  <c r="AG78" i="1148"/>
  <c r="AF78" i="1148"/>
  <c r="AG76" i="1148"/>
  <c r="AF76" i="1148"/>
  <c r="AG75" i="1148"/>
  <c r="AF75" i="1148"/>
  <c r="AG74" i="1148"/>
  <c r="AF74" i="1148"/>
  <c r="AG73" i="1148"/>
  <c r="AF73" i="1148"/>
  <c r="AG72" i="1148"/>
  <c r="AF72" i="1148"/>
  <c r="AE49" i="1148"/>
  <c r="AE70" i="1148" s="1"/>
  <c r="AE48" i="1148"/>
  <c r="AE69" i="1148" s="1"/>
  <c r="AE47" i="1148"/>
  <c r="AE68" i="1148" s="1"/>
  <c r="AE46" i="1148"/>
  <c r="AE45" i="1148"/>
  <c r="AG44" i="1148"/>
  <c r="AG65" i="1148" s="1"/>
  <c r="AF44" i="1148"/>
  <c r="AF65" i="1148" s="1"/>
  <c r="AE43" i="1148"/>
  <c r="AE64" i="1148" s="1"/>
  <c r="AE42" i="1148"/>
  <c r="AE63" i="1148" s="1"/>
  <c r="AE41" i="1148"/>
  <c r="AE62" i="1148" s="1"/>
  <c r="AE40" i="1148"/>
  <c r="AE39" i="1148"/>
  <c r="AG38" i="1148"/>
  <c r="AG59" i="1148" s="1"/>
  <c r="AF38" i="1148"/>
  <c r="AF59" i="1148" s="1"/>
  <c r="AE36" i="1148"/>
  <c r="AE35" i="1148"/>
  <c r="AE55" i="1148" s="1"/>
  <c r="AE34" i="1148"/>
  <c r="AE54" i="1148" s="1"/>
  <c r="AE33" i="1148"/>
  <c r="AE53" i="1148" s="1"/>
  <c r="AE32" i="1148"/>
  <c r="AE52" i="1148" s="1"/>
  <c r="AG31" i="1148"/>
  <c r="AG57" i="1148" s="1"/>
  <c r="AF31" i="1148"/>
  <c r="AF57" i="1148" s="1"/>
  <c r="AE27" i="1148"/>
  <c r="AE26" i="1148"/>
  <c r="AG24" i="1148"/>
  <c r="N22" i="1148"/>
  <c r="AD17" i="1148"/>
  <c r="AD15" i="1148" s="1"/>
  <c r="AC17" i="1148"/>
  <c r="AC15" i="1148" s="1"/>
  <c r="AB17" i="1148"/>
  <c r="AB15" i="1148" s="1"/>
  <c r="BF50" i="1037"/>
  <c r="AQ50" i="1037"/>
  <c r="BG50" i="1037" s="1"/>
  <c r="AK50" i="1037"/>
  <c r="X46" i="1037"/>
  <c r="R46" i="1037"/>
  <c r="AQ46" i="1037" s="1"/>
  <c r="Q46" i="1037"/>
  <c r="X42" i="1037"/>
  <c r="R42" i="1037"/>
  <c r="AQ42" i="1037" s="1"/>
  <c r="Q42" i="1037"/>
  <c r="X38" i="1037"/>
  <c r="R38" i="1037"/>
  <c r="AQ38" i="1037" s="1"/>
  <c r="Q38" i="1037"/>
  <c r="X34" i="1037"/>
  <c r="R34" i="1037"/>
  <c r="Q34" i="1037"/>
  <c r="EB27" i="1037"/>
  <c r="DZ27" i="1037"/>
  <c r="DX27" i="1037"/>
  <c r="DT27" i="1037"/>
  <c r="DS27" i="1037"/>
  <c r="DU27" i="1037" s="1"/>
  <c r="DA27" i="1037"/>
  <c r="CW27" i="1037"/>
  <c r="CS27" i="1037"/>
  <c r="CQ27" i="1037" s="1"/>
  <c r="CL27" i="1037"/>
  <c r="R23" i="1037"/>
  <c r="Q23" i="1037"/>
  <c r="DE14" i="1139"/>
  <c r="DD14" i="1139"/>
  <c r="CG14" i="1139"/>
  <c r="CF14" i="1139"/>
  <c r="AK35" i="1151"/>
  <c r="AF24" i="1150"/>
  <c r="AE75" i="1150"/>
  <c r="AF299" i="1150"/>
  <c r="AE301" i="1150"/>
  <c r="AE300" i="1150" s="1"/>
  <c r="AE87" i="1150"/>
  <c r="AE191" i="1150"/>
  <c r="AG292" i="1150"/>
  <c r="AE298" i="1150"/>
  <c r="AE297" i="1150" s="1"/>
  <c r="AF245" i="1150"/>
  <c r="AF293" i="1150"/>
  <c r="AF292" i="1150"/>
  <c r="AE304" i="1150"/>
  <c r="AE303" i="1150" s="1"/>
  <c r="AK247" i="1149"/>
  <c r="AK307" i="1149"/>
  <c r="AE73" i="1148"/>
  <c r="AG245" i="1148"/>
  <c r="AF296" i="1148"/>
  <c r="AF302" i="1148"/>
  <c r="AE60" i="1148"/>
  <c r="AE66" i="1148"/>
  <c r="AF292" i="1148"/>
  <c r="AG293" i="1148"/>
  <c r="M303" i="1148"/>
  <c r="AG432" i="967"/>
  <c r="AF432" i="967"/>
  <c r="AG429" i="967"/>
  <c r="AG427" i="967" s="1"/>
  <c r="AF429" i="967"/>
  <c r="AF427" i="967" s="1"/>
  <c r="AG426" i="967"/>
  <c r="AG424" i="967" s="1"/>
  <c r="AF426" i="967"/>
  <c r="AF424" i="967" s="1"/>
  <c r="AG423" i="967"/>
  <c r="AF423" i="967"/>
  <c r="O19" i="1129"/>
  <c r="AN286" i="1045"/>
  <c r="AN266" i="1045"/>
  <c r="AN286" i="1005"/>
  <c r="AN266" i="1005"/>
  <c r="AN414" i="1138"/>
  <c r="AN394" i="1138"/>
  <c r="AQ4" i="1144"/>
  <c r="G4" i="1144"/>
  <c r="CI4" i="1144"/>
  <c r="AF12" i="1144" s="1"/>
  <c r="BP12" i="1109"/>
  <c r="AE434" i="967"/>
  <c r="AE433" i="967"/>
  <c r="AG430" i="967"/>
  <c r="AG373" i="967"/>
  <c r="AF373" i="967"/>
  <c r="AG371" i="967"/>
  <c r="AF371" i="967"/>
  <c r="AG370" i="967"/>
  <c r="AG372" i="967" s="1"/>
  <c r="AF370" i="967"/>
  <c r="AF372" i="967" s="1"/>
  <c r="AE341" i="967"/>
  <c r="AE340" i="967"/>
  <c r="AE339" i="967"/>
  <c r="AE338" i="967"/>
  <c r="AG336" i="967"/>
  <c r="AF336" i="967"/>
  <c r="AE335" i="967"/>
  <c r="AE329" i="967"/>
  <c r="AE328" i="967"/>
  <c r="AE327" i="967"/>
  <c r="AE326" i="967"/>
  <c r="AE325" i="967"/>
  <c r="AG324" i="967"/>
  <c r="AF324" i="967"/>
  <c r="AE323" i="967"/>
  <c r="AE322" i="967"/>
  <c r="AE321" i="967"/>
  <c r="AE320" i="967"/>
  <c r="AE319" i="967"/>
  <c r="AE318" i="967"/>
  <c r="AG317" i="967"/>
  <c r="AG313" i="967" s="1"/>
  <c r="AF317" i="967"/>
  <c r="AE316" i="967"/>
  <c r="AE315" i="967"/>
  <c r="AE314" i="967"/>
  <c r="AE312" i="967"/>
  <c r="AE311" i="967"/>
  <c r="AE310" i="967"/>
  <c r="AG309" i="967"/>
  <c r="AE309" i="967" s="1"/>
  <c r="AF309" i="967"/>
  <c r="AE308" i="967"/>
  <c r="AE307" i="967"/>
  <c r="AE306" i="967"/>
  <c r="AG305" i="967"/>
  <c r="AF305" i="967"/>
  <c r="AE304" i="967"/>
  <c r="AE303" i="967"/>
  <c r="AE302" i="967"/>
  <c r="AG301" i="967"/>
  <c r="AF301" i="967"/>
  <c r="AE301" i="967" s="1"/>
  <c r="AE300" i="967"/>
  <c r="AE299" i="967"/>
  <c r="AE298" i="967"/>
  <c r="AE297" i="967"/>
  <c r="AE296" i="967"/>
  <c r="AE295" i="967"/>
  <c r="AE294" i="967"/>
  <c r="AG293" i="967"/>
  <c r="AF293" i="967"/>
  <c r="AE291" i="967"/>
  <c r="AE290" i="967"/>
  <c r="AE289" i="967"/>
  <c r="AE288" i="967"/>
  <c r="AE287" i="967"/>
  <c r="AE286" i="967"/>
  <c r="AE285" i="967"/>
  <c r="AE284" i="967"/>
  <c r="AE283" i="967"/>
  <c r="AE282" i="967"/>
  <c r="AE281" i="967"/>
  <c r="AE280" i="967"/>
  <c r="AG279" i="967"/>
  <c r="AF279" i="967"/>
  <c r="AE278" i="967"/>
  <c r="AE277" i="967"/>
  <c r="AE276" i="967"/>
  <c r="AE275" i="967"/>
  <c r="AG274" i="967"/>
  <c r="AE274" i="967" s="1"/>
  <c r="AF274" i="967"/>
  <c r="AE273" i="967"/>
  <c r="AE272" i="967"/>
  <c r="AE271" i="967"/>
  <c r="AE270" i="967"/>
  <c r="AE269" i="967"/>
  <c r="AE268" i="967"/>
  <c r="AE267" i="967"/>
  <c r="AE266" i="967"/>
  <c r="AG265" i="967"/>
  <c r="AF265" i="967"/>
  <c r="AE263" i="967"/>
  <c r="AE262" i="967"/>
  <c r="AE261" i="967"/>
  <c r="AE260" i="967" s="1"/>
  <c r="AG259" i="967"/>
  <c r="AF259" i="967"/>
  <c r="AE258" i="967"/>
  <c r="AE257" i="967" s="1"/>
  <c r="AG256" i="967"/>
  <c r="AF256" i="967"/>
  <c r="AG254" i="967"/>
  <c r="AF254" i="967"/>
  <c r="AG253" i="967"/>
  <c r="AF253" i="967"/>
  <c r="AG252" i="967"/>
  <c r="AE252" i="967" s="1"/>
  <c r="AF252" i="967"/>
  <c r="AG251" i="967"/>
  <c r="AF251" i="967"/>
  <c r="AG250" i="967"/>
  <c r="AG248" i="967" s="1"/>
  <c r="AF250" i="967"/>
  <c r="AG245" i="967"/>
  <c r="AF245" i="967"/>
  <c r="AE244" i="967"/>
  <c r="AG241" i="967"/>
  <c r="AF241" i="967"/>
  <c r="AE240" i="967"/>
  <c r="AG237" i="967"/>
  <c r="AF237" i="967"/>
  <c r="AE236" i="967"/>
  <c r="AG230" i="967"/>
  <c r="AF230" i="967"/>
  <c r="AE229" i="967"/>
  <c r="AG223" i="967"/>
  <c r="AF223" i="967"/>
  <c r="AE222" i="967"/>
  <c r="AG219" i="967"/>
  <c r="AG220" i="967" s="1"/>
  <c r="AF219" i="967"/>
  <c r="AF220" i="967" s="1"/>
  <c r="AG218" i="967"/>
  <c r="AG217" i="967"/>
  <c r="AF218" i="967"/>
  <c r="AF217" i="967" s="1"/>
  <c r="AG216" i="967"/>
  <c r="AF216" i="967"/>
  <c r="AE215" i="967"/>
  <c r="AE214" i="967" s="1"/>
  <c r="AG213" i="967"/>
  <c r="AF213" i="967"/>
  <c r="AE212" i="967"/>
  <c r="AE211" i="967" s="1"/>
  <c r="AG210" i="967"/>
  <c r="AE210" i="967" s="1"/>
  <c r="AF210" i="967"/>
  <c r="AE209" i="967"/>
  <c r="AE208" i="967" s="1"/>
  <c r="AG207" i="967"/>
  <c r="AF207" i="967"/>
  <c r="AE206" i="967"/>
  <c r="AE205" i="967" s="1"/>
  <c r="AG204" i="967"/>
  <c r="AF204" i="967"/>
  <c r="AE203" i="967"/>
  <c r="AE202" i="967" s="1"/>
  <c r="AG201" i="967"/>
  <c r="AF201" i="967"/>
  <c r="AE200" i="967"/>
  <c r="AE199" i="967" s="1"/>
  <c r="AG198" i="967"/>
  <c r="AF198" i="967"/>
  <c r="AE197" i="967"/>
  <c r="AE196" i="967" s="1"/>
  <c r="AG195" i="967"/>
  <c r="AF195" i="967"/>
  <c r="AE194" i="967"/>
  <c r="AE193" i="967" s="1"/>
  <c r="AG192" i="967"/>
  <c r="AF192" i="967"/>
  <c r="AE192" i="967" s="1"/>
  <c r="AG191" i="967"/>
  <c r="AF191" i="967"/>
  <c r="AG190" i="967"/>
  <c r="AF190" i="967"/>
  <c r="AE190" i="967" s="1"/>
  <c r="AE188" i="967"/>
  <c r="AE187" i="967"/>
  <c r="AE186" i="967"/>
  <c r="AG185" i="967"/>
  <c r="AF185" i="967"/>
  <c r="AG183" i="967"/>
  <c r="AF183" i="967"/>
  <c r="AE182" i="967"/>
  <c r="AE183" i="967" s="1"/>
  <c r="AE181" i="967"/>
  <c r="AG179" i="967"/>
  <c r="AF179" i="967"/>
  <c r="AE178" i="967"/>
  <c r="AE179" i="967" s="1"/>
  <c r="AE177" i="967"/>
  <c r="AG175" i="967"/>
  <c r="AF175" i="967"/>
  <c r="AE174" i="967"/>
  <c r="AE175" i="967" s="1"/>
  <c r="AE173" i="967"/>
  <c r="AE172" i="967" s="1"/>
  <c r="AG172" i="967"/>
  <c r="AF172" i="967"/>
  <c r="AE170" i="967"/>
  <c r="AE169" i="967"/>
  <c r="AG168" i="967"/>
  <c r="AF168" i="967"/>
  <c r="AG167" i="967"/>
  <c r="AF167" i="967"/>
  <c r="AE166" i="967"/>
  <c r="AE167" i="967" s="1"/>
  <c r="AE165" i="967"/>
  <c r="AG163" i="967"/>
  <c r="AF163" i="967"/>
  <c r="AE162" i="967"/>
  <c r="AE163" i="967" s="1"/>
  <c r="AE161" i="967"/>
  <c r="AG159" i="967"/>
  <c r="AF159" i="967"/>
  <c r="AE158" i="967"/>
  <c r="AE159" i="967" s="1"/>
  <c r="AE157" i="967"/>
  <c r="AG156" i="967"/>
  <c r="AF156" i="967"/>
  <c r="AE153" i="967"/>
  <c r="AE152" i="967" s="1"/>
  <c r="AG151" i="967"/>
  <c r="AF151" i="967"/>
  <c r="AE150" i="967"/>
  <c r="AE149" i="967" s="1"/>
  <c r="AG148" i="967"/>
  <c r="AF148" i="967"/>
  <c r="AE147" i="967"/>
  <c r="AE146" i="967" s="1"/>
  <c r="AG145" i="967"/>
  <c r="AF145" i="967"/>
  <c r="AE144" i="967"/>
  <c r="AE143" i="967" s="1"/>
  <c r="AG142" i="967"/>
  <c r="AF142" i="967"/>
  <c r="AE142" i="967" s="1"/>
  <c r="AE141" i="967"/>
  <c r="AE140" i="967" s="1"/>
  <c r="AG139" i="967"/>
  <c r="AF139" i="967"/>
  <c r="AF130" i="967"/>
  <c r="AF133" i="967"/>
  <c r="AF136" i="967"/>
  <c r="AE138" i="967"/>
  <c r="AE137" i="967" s="1"/>
  <c r="AG136" i="967"/>
  <c r="AE135" i="967"/>
  <c r="AE134" i="967" s="1"/>
  <c r="AG133" i="967"/>
  <c r="AE132" i="967"/>
  <c r="AE131" i="967" s="1"/>
  <c r="AG130" i="967"/>
  <c r="AG129" i="967"/>
  <c r="AF129" i="967"/>
  <c r="AG128" i="967"/>
  <c r="AF128" i="967"/>
  <c r="AE126" i="967"/>
  <c r="AE125" i="967"/>
  <c r="AE123" i="967"/>
  <c r="AE124" i="967"/>
  <c r="AG122" i="967"/>
  <c r="AF122" i="967"/>
  <c r="AG120" i="967"/>
  <c r="AF120" i="967"/>
  <c r="AE119" i="967"/>
  <c r="AE120" i="967" s="1"/>
  <c r="AE118" i="967"/>
  <c r="AG116" i="967"/>
  <c r="AF116" i="967"/>
  <c r="AE115" i="967"/>
  <c r="AE116" i="967" s="1"/>
  <c r="AE114" i="967"/>
  <c r="AG112" i="967"/>
  <c r="AF112" i="967"/>
  <c r="AE111" i="967"/>
  <c r="AE112" i="967" s="1"/>
  <c r="AE110" i="967"/>
  <c r="AE109" i="967" s="1"/>
  <c r="AG109" i="967"/>
  <c r="AG93" i="967"/>
  <c r="AG92" i="967" s="1"/>
  <c r="AF109" i="967"/>
  <c r="AE107" i="967"/>
  <c r="AE106" i="967"/>
  <c r="AG105" i="967"/>
  <c r="AF105" i="967"/>
  <c r="AG104" i="967"/>
  <c r="AF104" i="967"/>
  <c r="AE103" i="967"/>
  <c r="AE104" i="967" s="1"/>
  <c r="AE102" i="967"/>
  <c r="AG100" i="967"/>
  <c r="AF100" i="967"/>
  <c r="AE99" i="967"/>
  <c r="AE100" i="967" s="1"/>
  <c r="AE98" i="967"/>
  <c r="AG96" i="967"/>
  <c r="AF96" i="967"/>
  <c r="AE95" i="967"/>
  <c r="AE96" i="967" s="1"/>
  <c r="AE94" i="967"/>
  <c r="AF93" i="967"/>
  <c r="AP284" i="1045"/>
  <c r="AP283" i="1045"/>
  <c r="AP282" i="1045"/>
  <c r="AP281" i="1045"/>
  <c r="AP280" i="1045"/>
  <c r="AP279" i="1045"/>
  <c r="AR278" i="1045"/>
  <c r="AQ278" i="1045"/>
  <c r="AP277" i="1045"/>
  <c r="AP276" i="1045"/>
  <c r="AP275" i="1045"/>
  <c r="AR274" i="1045"/>
  <c r="AQ274" i="1045"/>
  <c r="AP273" i="1045"/>
  <c r="AP272" i="1045"/>
  <c r="AR271" i="1045"/>
  <c r="AQ271" i="1045"/>
  <c r="AP270" i="1045"/>
  <c r="AP264" i="1045"/>
  <c r="AP263" i="1045"/>
  <c r="AP262" i="1045"/>
  <c r="AP261" i="1045"/>
  <c r="AP260" i="1045"/>
  <c r="AP259" i="1045"/>
  <c r="AR258" i="1045"/>
  <c r="AQ258" i="1045"/>
  <c r="AP257" i="1045"/>
  <c r="AP256" i="1045"/>
  <c r="AP255" i="1045"/>
  <c r="AR254" i="1045"/>
  <c r="AQ254" i="1045"/>
  <c r="AP253" i="1045"/>
  <c r="AP252" i="1045"/>
  <c r="AR251" i="1045"/>
  <c r="AR249" i="1045" s="1"/>
  <c r="AQ251" i="1045"/>
  <c r="AP250" i="1045"/>
  <c r="AP284" i="1005"/>
  <c r="AP283" i="1005"/>
  <c r="AP282" i="1005"/>
  <c r="AP281" i="1005"/>
  <c r="AP280" i="1005"/>
  <c r="AP279" i="1005"/>
  <c r="AR278" i="1005"/>
  <c r="AQ278" i="1005"/>
  <c r="AP277" i="1005"/>
  <c r="AP276" i="1005"/>
  <c r="AP275" i="1005"/>
  <c r="AR274" i="1005"/>
  <c r="AQ274" i="1005"/>
  <c r="AP273" i="1005"/>
  <c r="AP272" i="1005"/>
  <c r="AR271" i="1005"/>
  <c r="AQ271" i="1005"/>
  <c r="AP270" i="1005"/>
  <c r="AP264" i="1005"/>
  <c r="AP263" i="1005"/>
  <c r="AP262" i="1005"/>
  <c r="AP261" i="1005"/>
  <c r="AP260" i="1005"/>
  <c r="AP259" i="1005"/>
  <c r="AR258" i="1005"/>
  <c r="AQ258" i="1005"/>
  <c r="AP257" i="1005"/>
  <c r="AP256" i="1005"/>
  <c r="AP255" i="1005"/>
  <c r="AR254" i="1005"/>
  <c r="AQ254" i="1005"/>
  <c r="AP253" i="1005"/>
  <c r="AP252" i="1005"/>
  <c r="AR251" i="1005"/>
  <c r="AR249" i="1005" s="1"/>
  <c r="AQ251" i="1005"/>
  <c r="AP250" i="1005"/>
  <c r="AP412" i="1138"/>
  <c r="AP411" i="1138"/>
  <c r="AP410" i="1138"/>
  <c r="AP409" i="1138"/>
  <c r="AP408" i="1138"/>
  <c r="AP407" i="1138"/>
  <c r="AR406" i="1138"/>
  <c r="AQ406" i="1138"/>
  <c r="AP405" i="1138"/>
  <c r="AP404" i="1138"/>
  <c r="AP403" i="1138"/>
  <c r="AR402" i="1138"/>
  <c r="AQ402" i="1138"/>
  <c r="AP401" i="1138"/>
  <c r="AP400" i="1138"/>
  <c r="AR399" i="1138"/>
  <c r="AQ399" i="1138"/>
  <c r="AP398" i="1138"/>
  <c r="AP392" i="1138"/>
  <c r="AP391" i="1138"/>
  <c r="AP390" i="1138"/>
  <c r="AP389" i="1138"/>
  <c r="AP388" i="1138"/>
  <c r="AP387" i="1138"/>
  <c r="AR386" i="1138"/>
  <c r="AQ386" i="1138"/>
  <c r="AP385" i="1138"/>
  <c r="AP384" i="1138"/>
  <c r="AP383" i="1138"/>
  <c r="AR382" i="1138"/>
  <c r="AR379" i="1138"/>
  <c r="AQ382" i="1138"/>
  <c r="AP381" i="1138"/>
  <c r="AP380" i="1138"/>
  <c r="AQ379" i="1138"/>
  <c r="AP379" i="1138" s="1"/>
  <c r="AP378" i="1138"/>
  <c r="AH12" i="1139"/>
  <c r="BM12" i="1139"/>
  <c r="DM13" i="1139"/>
  <c r="DN13" i="1139"/>
  <c r="G4" i="1139"/>
  <c r="CK12" i="1139"/>
  <c r="AU12" i="1139"/>
  <c r="BA12" i="1139"/>
  <c r="BG12" i="1139"/>
  <c r="AR321" i="1124"/>
  <c r="AR320" i="1124" s="1"/>
  <c r="AQ321" i="1124"/>
  <c r="AQ320" i="1124" s="1"/>
  <c r="AP321" i="1124"/>
  <c r="AP320" i="1124" s="1"/>
  <c r="AM321" i="1124"/>
  <c r="AM320" i="1124"/>
  <c r="AR319" i="1124"/>
  <c r="AQ319" i="1124"/>
  <c r="AP319" i="1124"/>
  <c r="AR261" i="1124"/>
  <c r="AR260" i="1124" s="1"/>
  <c r="AQ261" i="1124"/>
  <c r="AQ260" i="1124" s="1"/>
  <c r="AP261" i="1124"/>
  <c r="AP260" i="1124" s="1"/>
  <c r="AM261" i="1124"/>
  <c r="AM260" i="1124"/>
  <c r="AR259" i="1124"/>
  <c r="AQ259" i="1124"/>
  <c r="AP259" i="1124"/>
  <c r="AR237" i="1124"/>
  <c r="AR236" i="1124" s="1"/>
  <c r="AQ237" i="1124"/>
  <c r="AQ236" i="1124" s="1"/>
  <c r="AP237" i="1124"/>
  <c r="AP236" i="1124" s="1"/>
  <c r="AM237" i="1124"/>
  <c r="AM236" i="1124"/>
  <c r="AR235" i="1124"/>
  <c r="AQ235" i="1124"/>
  <c r="AP235" i="1124"/>
  <c r="AR89" i="1124"/>
  <c r="AR88" i="1124" s="1"/>
  <c r="AQ89" i="1124"/>
  <c r="AQ88" i="1124" s="1"/>
  <c r="AP89" i="1124"/>
  <c r="AP88" i="1124" s="1"/>
  <c r="AM89" i="1124"/>
  <c r="AM88" i="1124"/>
  <c r="AR87" i="1124"/>
  <c r="AQ87" i="1124"/>
  <c r="AP87" i="1124"/>
  <c r="AR86" i="1124"/>
  <c r="AR85" i="1124" s="1"/>
  <c r="AQ86" i="1124"/>
  <c r="AQ85" i="1124" s="1"/>
  <c r="AP86" i="1124"/>
  <c r="AP85" i="1124" s="1"/>
  <c r="AM86" i="1124"/>
  <c r="AM85" i="1124"/>
  <c r="AR84" i="1124"/>
  <c r="AQ84" i="1124"/>
  <c r="AP84" i="1124"/>
  <c r="AR83" i="1124"/>
  <c r="AR82" i="1124" s="1"/>
  <c r="AQ83" i="1124"/>
  <c r="AQ82" i="1124" s="1"/>
  <c r="AP83" i="1124"/>
  <c r="AP82" i="1124" s="1"/>
  <c r="AM83" i="1124"/>
  <c r="AM82" i="1124"/>
  <c r="AR81" i="1124"/>
  <c r="AQ81" i="1124"/>
  <c r="AP81" i="1124"/>
  <c r="AR80" i="1124"/>
  <c r="AR79" i="1124"/>
  <c r="AQ80" i="1124"/>
  <c r="AQ79" i="1124" s="1"/>
  <c r="AP80" i="1124"/>
  <c r="AP79" i="1124" s="1"/>
  <c r="AM80" i="1124"/>
  <c r="AM79" i="1124"/>
  <c r="AR78" i="1124"/>
  <c r="AQ78" i="1124"/>
  <c r="AP78" i="1124"/>
  <c r="AR77" i="1124"/>
  <c r="AR76" i="1124" s="1"/>
  <c r="AQ77" i="1124"/>
  <c r="AP77" i="1124"/>
  <c r="AP76" i="1124" s="1"/>
  <c r="AM77" i="1124"/>
  <c r="AQ76" i="1124"/>
  <c r="AM76" i="1124"/>
  <c r="AR75" i="1124"/>
  <c r="AQ75" i="1124"/>
  <c r="AP75" i="1124"/>
  <c r="AR74" i="1124"/>
  <c r="AR73" i="1124" s="1"/>
  <c r="AQ74" i="1124"/>
  <c r="AQ73" i="1124" s="1"/>
  <c r="AP74" i="1124"/>
  <c r="AP73" i="1124" s="1"/>
  <c r="AM74" i="1124"/>
  <c r="AM73" i="1124"/>
  <c r="AR72" i="1124"/>
  <c r="AQ72" i="1124"/>
  <c r="AP72" i="1124"/>
  <c r="AR58" i="1124"/>
  <c r="AR57" i="1124" s="1"/>
  <c r="AQ58" i="1124"/>
  <c r="AQ57" i="1124" s="1"/>
  <c r="AP58" i="1124"/>
  <c r="AP57" i="1124" s="1"/>
  <c r="AM58" i="1124"/>
  <c r="AM57" i="1124"/>
  <c r="AR56" i="1124"/>
  <c r="AQ56" i="1124"/>
  <c r="AP56" i="1124"/>
  <c r="AR55" i="1124"/>
  <c r="AR54" i="1124" s="1"/>
  <c r="AQ55" i="1124"/>
  <c r="AQ54" i="1124" s="1"/>
  <c r="AP55" i="1124"/>
  <c r="AP54" i="1124" s="1"/>
  <c r="AM55" i="1124"/>
  <c r="AM54" i="1124"/>
  <c r="AR53" i="1124"/>
  <c r="AQ53" i="1124"/>
  <c r="AP53" i="1124"/>
  <c r="AR52" i="1124"/>
  <c r="AR51" i="1124" s="1"/>
  <c r="AQ52" i="1124"/>
  <c r="AQ51" i="1124" s="1"/>
  <c r="AP52" i="1124"/>
  <c r="AP51" i="1124" s="1"/>
  <c r="AM52" i="1124"/>
  <c r="AM51" i="1124"/>
  <c r="AR50" i="1124"/>
  <c r="AQ50" i="1124"/>
  <c r="AP50" i="1124"/>
  <c r="AR46" i="1124"/>
  <c r="AR45" i="1124"/>
  <c r="AQ46" i="1124"/>
  <c r="AQ45" i="1124" s="1"/>
  <c r="AP46" i="1124"/>
  <c r="AP45" i="1124" s="1"/>
  <c r="AM46" i="1124"/>
  <c r="AM45" i="1124"/>
  <c r="AR44" i="1124"/>
  <c r="AQ44" i="1124"/>
  <c r="AP44" i="1124"/>
  <c r="AR43" i="1124"/>
  <c r="AR42" i="1124" s="1"/>
  <c r="AQ43" i="1124"/>
  <c r="AQ42" i="1124" s="1"/>
  <c r="AP43" i="1124"/>
  <c r="AP42" i="1124" s="1"/>
  <c r="AM43" i="1124"/>
  <c r="AM42" i="1124"/>
  <c r="AR41" i="1124"/>
  <c r="AQ41" i="1124"/>
  <c r="AP41" i="1124"/>
  <c r="AR40" i="1124"/>
  <c r="AR39" i="1124"/>
  <c r="AQ40" i="1124"/>
  <c r="AQ39" i="1124" s="1"/>
  <c r="AP40" i="1124"/>
  <c r="AP39" i="1124" s="1"/>
  <c r="AM40" i="1124"/>
  <c r="AM39" i="1124"/>
  <c r="AR38" i="1124"/>
  <c r="AQ38" i="1124"/>
  <c r="AP38" i="1124"/>
  <c r="AR321" i="1121"/>
  <c r="AR320" i="1121" s="1"/>
  <c r="AQ321" i="1121"/>
  <c r="AQ320" i="1121" s="1"/>
  <c r="AP321" i="1121"/>
  <c r="AP320" i="1121" s="1"/>
  <c r="AM321" i="1121"/>
  <c r="AM320" i="1121"/>
  <c r="AR319" i="1121"/>
  <c r="AQ319" i="1121"/>
  <c r="AP319" i="1121"/>
  <c r="AR237" i="1121"/>
  <c r="AR236" i="1121" s="1"/>
  <c r="AQ237" i="1121"/>
  <c r="AQ236" i="1121" s="1"/>
  <c r="AP237" i="1121"/>
  <c r="AP236" i="1121" s="1"/>
  <c r="AM237" i="1121"/>
  <c r="AM236" i="1121"/>
  <c r="AR235" i="1121"/>
  <c r="AQ235" i="1121"/>
  <c r="AP235" i="1121"/>
  <c r="AR261" i="1121"/>
  <c r="AR260" i="1121" s="1"/>
  <c r="AQ261" i="1121"/>
  <c r="AQ260" i="1121" s="1"/>
  <c r="AP261" i="1121"/>
  <c r="AP260" i="1121" s="1"/>
  <c r="AM261" i="1121"/>
  <c r="AM260" i="1121"/>
  <c r="AR259" i="1121"/>
  <c r="AQ259" i="1121"/>
  <c r="AP259" i="1121"/>
  <c r="AR89" i="1121"/>
  <c r="AR88" i="1121" s="1"/>
  <c r="AQ89" i="1121"/>
  <c r="AQ88" i="1121" s="1"/>
  <c r="AP89" i="1121"/>
  <c r="AP88" i="1121" s="1"/>
  <c r="AM89" i="1121"/>
  <c r="AM88" i="1121"/>
  <c r="AR87" i="1121"/>
  <c r="AQ87" i="1121"/>
  <c r="AP87" i="1121"/>
  <c r="AR86" i="1121"/>
  <c r="AR85" i="1121" s="1"/>
  <c r="AQ86" i="1121"/>
  <c r="AQ85" i="1121" s="1"/>
  <c r="AP86" i="1121"/>
  <c r="AP85" i="1121" s="1"/>
  <c r="AM86" i="1121"/>
  <c r="AM85" i="1121"/>
  <c r="AR84" i="1121"/>
  <c r="AQ84" i="1121"/>
  <c r="AP84" i="1121"/>
  <c r="AR83" i="1121"/>
  <c r="AR82" i="1121" s="1"/>
  <c r="AQ83" i="1121"/>
  <c r="AQ82" i="1121" s="1"/>
  <c r="AP83" i="1121"/>
  <c r="AP82" i="1121" s="1"/>
  <c r="AM83" i="1121"/>
  <c r="AM82" i="1121"/>
  <c r="AR81" i="1121"/>
  <c r="AQ81" i="1121"/>
  <c r="AP81" i="1121"/>
  <c r="AR80" i="1121"/>
  <c r="AR79" i="1121" s="1"/>
  <c r="AQ80" i="1121"/>
  <c r="AQ79" i="1121" s="1"/>
  <c r="AP80" i="1121"/>
  <c r="AP79" i="1121" s="1"/>
  <c r="AM80" i="1121"/>
  <c r="AM79" i="1121"/>
  <c r="AR78" i="1121"/>
  <c r="AQ78" i="1121"/>
  <c r="AP78" i="1121"/>
  <c r="AR77" i="1121"/>
  <c r="AR76" i="1121"/>
  <c r="AQ77" i="1121"/>
  <c r="AQ76" i="1121" s="1"/>
  <c r="AP77" i="1121"/>
  <c r="AP76" i="1121" s="1"/>
  <c r="AM77" i="1121"/>
  <c r="AM76" i="1121"/>
  <c r="AR75" i="1121"/>
  <c r="AQ75" i="1121"/>
  <c r="AP75" i="1121"/>
  <c r="AR74" i="1121"/>
  <c r="AR73" i="1121" s="1"/>
  <c r="AQ74" i="1121"/>
  <c r="AQ73" i="1121" s="1"/>
  <c r="AP74" i="1121"/>
  <c r="AP73" i="1121" s="1"/>
  <c r="AM74" i="1121"/>
  <c r="AM73" i="1121"/>
  <c r="AR72" i="1121"/>
  <c r="AQ72" i="1121"/>
  <c r="AP72" i="1121"/>
  <c r="AR58" i="1121"/>
  <c r="AR57" i="1121" s="1"/>
  <c r="AQ58" i="1121"/>
  <c r="AQ57" i="1121" s="1"/>
  <c r="AP58" i="1121"/>
  <c r="AP57" i="1121" s="1"/>
  <c r="AM58" i="1121"/>
  <c r="AM57" i="1121"/>
  <c r="AR56" i="1121"/>
  <c r="AQ56" i="1121"/>
  <c r="AP56" i="1121"/>
  <c r="AR55" i="1121"/>
  <c r="AR54" i="1121" s="1"/>
  <c r="AQ55" i="1121"/>
  <c r="AQ54" i="1121" s="1"/>
  <c r="AP55" i="1121"/>
  <c r="AP54" i="1121" s="1"/>
  <c r="AM55" i="1121"/>
  <c r="AM54" i="1121"/>
  <c r="AR53" i="1121"/>
  <c r="AQ53" i="1121"/>
  <c r="AP53" i="1121"/>
  <c r="AR52" i="1121"/>
  <c r="AR51" i="1121" s="1"/>
  <c r="AQ52" i="1121"/>
  <c r="AQ51" i="1121" s="1"/>
  <c r="AP52" i="1121"/>
  <c r="AP51" i="1121" s="1"/>
  <c r="AM52" i="1121"/>
  <c r="AM51" i="1121"/>
  <c r="AR50" i="1121"/>
  <c r="AQ50" i="1121"/>
  <c r="AP50" i="1121"/>
  <c r="AR46" i="1121"/>
  <c r="AR45" i="1121" s="1"/>
  <c r="AQ46" i="1121"/>
  <c r="AQ45" i="1121" s="1"/>
  <c r="AP46" i="1121"/>
  <c r="AP45" i="1121" s="1"/>
  <c r="AM46" i="1121"/>
  <c r="AM45" i="1121"/>
  <c r="AR44" i="1121"/>
  <c r="AQ44" i="1121"/>
  <c r="AP44" i="1121"/>
  <c r="AR43" i="1121"/>
  <c r="AR42" i="1121"/>
  <c r="AQ43" i="1121"/>
  <c r="AQ42" i="1121" s="1"/>
  <c r="AP43" i="1121"/>
  <c r="AP42" i="1121" s="1"/>
  <c r="AM43" i="1121"/>
  <c r="AM42" i="1121"/>
  <c r="AR41" i="1121"/>
  <c r="AQ41" i="1121"/>
  <c r="AP41" i="1121"/>
  <c r="AR40" i="1121"/>
  <c r="AR39" i="1121" s="1"/>
  <c r="AQ40" i="1121"/>
  <c r="AQ39" i="1121" s="1"/>
  <c r="AP40" i="1121"/>
  <c r="AP39" i="1121" s="1"/>
  <c r="AM40" i="1121"/>
  <c r="AM39" i="1121"/>
  <c r="AR38" i="1121"/>
  <c r="AQ38" i="1121"/>
  <c r="AP38" i="1121"/>
  <c r="AN446" i="1138"/>
  <c r="AN443" i="1138"/>
  <c r="AR434" i="1138"/>
  <c r="AQ434" i="1138"/>
  <c r="AP434" i="1138"/>
  <c r="AM434" i="1138"/>
  <c r="AR433" i="1138"/>
  <c r="AQ433" i="1138"/>
  <c r="AP433" i="1138"/>
  <c r="AM433" i="1138"/>
  <c r="AR432" i="1138"/>
  <c r="AQ432" i="1138"/>
  <c r="AP432" i="1138"/>
  <c r="AR430" i="1138"/>
  <c r="AQ430" i="1138"/>
  <c r="AP430" i="1138"/>
  <c r="AM430" i="1138"/>
  <c r="AM432" i="1138" s="1"/>
  <c r="AR429" i="1138"/>
  <c r="AR428" i="1138" s="1"/>
  <c r="AQ429" i="1138"/>
  <c r="AQ428" i="1138" s="1"/>
  <c r="AP429" i="1138"/>
  <c r="AP428" i="1138" s="1"/>
  <c r="AR427" i="1138"/>
  <c r="AQ427" i="1138"/>
  <c r="AP427" i="1138"/>
  <c r="AM427" i="1138"/>
  <c r="AM429" i="1138" s="1"/>
  <c r="AR426" i="1138"/>
  <c r="AQ426" i="1138"/>
  <c r="AP426" i="1138"/>
  <c r="AR424" i="1138"/>
  <c r="AQ424" i="1138"/>
  <c r="AP424" i="1138"/>
  <c r="AM424" i="1138"/>
  <c r="AM426" i="1138" s="1"/>
  <c r="AR423" i="1138"/>
  <c r="AR422" i="1138" s="1"/>
  <c r="AQ423" i="1138"/>
  <c r="AQ422" i="1138" s="1"/>
  <c r="AP423" i="1138"/>
  <c r="AP422" i="1138" s="1"/>
  <c r="AR421" i="1138"/>
  <c r="AQ421" i="1138"/>
  <c r="AP421" i="1138"/>
  <c r="AM421" i="1138"/>
  <c r="AM423" i="1138" s="1"/>
  <c r="AR420" i="1138"/>
  <c r="AQ420" i="1138"/>
  <c r="AP420" i="1138"/>
  <c r="AM420" i="1138"/>
  <c r="AR419" i="1138"/>
  <c r="AQ419" i="1138"/>
  <c r="AP419" i="1138"/>
  <c r="AM419" i="1138"/>
  <c r="AR373" i="1138"/>
  <c r="AQ373" i="1138"/>
  <c r="AP373" i="1138"/>
  <c r="AR371" i="1138"/>
  <c r="AQ371" i="1138"/>
  <c r="AP371" i="1138"/>
  <c r="AR370" i="1138"/>
  <c r="AQ370" i="1138"/>
  <c r="AP370" i="1138"/>
  <c r="AR341" i="1138"/>
  <c r="AQ341" i="1138"/>
  <c r="AP341" i="1138"/>
  <c r="AR340" i="1138"/>
  <c r="AQ340" i="1138"/>
  <c r="AP340" i="1138"/>
  <c r="AR339" i="1138"/>
  <c r="AQ339" i="1138"/>
  <c r="AP339" i="1138"/>
  <c r="AR338" i="1138"/>
  <c r="AQ338" i="1138"/>
  <c r="AP338" i="1138"/>
  <c r="AR336" i="1138"/>
  <c r="AQ336" i="1138"/>
  <c r="AP336" i="1138"/>
  <c r="AR335" i="1138"/>
  <c r="AQ335" i="1138"/>
  <c r="AP335" i="1138"/>
  <c r="AR329" i="1138"/>
  <c r="AQ329" i="1138"/>
  <c r="AP329" i="1138"/>
  <c r="AR328" i="1138"/>
  <c r="AQ328" i="1138"/>
  <c r="AP328" i="1138"/>
  <c r="AR327" i="1138"/>
  <c r="AQ327" i="1138"/>
  <c r="AP327" i="1138"/>
  <c r="AR326" i="1138"/>
  <c r="AQ326" i="1138"/>
  <c r="AP326" i="1138"/>
  <c r="AM326" i="1138"/>
  <c r="AR325" i="1138"/>
  <c r="AQ325" i="1138"/>
  <c r="AP325" i="1138"/>
  <c r="AM325" i="1138"/>
  <c r="AR324" i="1138"/>
  <c r="AQ324" i="1138"/>
  <c r="AP324" i="1138"/>
  <c r="AR323" i="1138"/>
  <c r="AQ323" i="1138"/>
  <c r="AP323" i="1138"/>
  <c r="AR322" i="1138"/>
  <c r="AQ322" i="1138"/>
  <c r="AP322" i="1138"/>
  <c r="AR321" i="1138"/>
  <c r="AQ321" i="1138"/>
  <c r="AP321" i="1138"/>
  <c r="AR320" i="1138"/>
  <c r="AQ320" i="1138"/>
  <c r="AP320" i="1138"/>
  <c r="AR319" i="1138"/>
  <c r="AQ319" i="1138"/>
  <c r="AP319" i="1138"/>
  <c r="AR318" i="1138"/>
  <c r="AQ318" i="1138"/>
  <c r="AP318" i="1138"/>
  <c r="AR317" i="1138"/>
  <c r="AQ317" i="1138"/>
  <c r="AP317" i="1138"/>
  <c r="AM317" i="1138"/>
  <c r="AM322" i="1138" s="1"/>
  <c r="AR316" i="1138"/>
  <c r="AQ316" i="1138"/>
  <c r="AP316" i="1138"/>
  <c r="AM316" i="1138"/>
  <c r="AR315" i="1138"/>
  <c r="AQ315" i="1138"/>
  <c r="AP315" i="1138"/>
  <c r="AM315" i="1138"/>
  <c r="AR314" i="1138"/>
  <c r="AQ314" i="1138"/>
  <c r="AP314" i="1138"/>
  <c r="AM314" i="1138"/>
  <c r="AR313" i="1138"/>
  <c r="AQ313" i="1138"/>
  <c r="AP313" i="1138"/>
  <c r="AR312" i="1138"/>
  <c r="AQ312" i="1138"/>
  <c r="AP312" i="1138"/>
  <c r="AM312" i="1138"/>
  <c r="AR311" i="1138"/>
  <c r="AQ311" i="1138"/>
  <c r="AP311" i="1138"/>
  <c r="AM311" i="1138"/>
  <c r="AR310" i="1138"/>
  <c r="AQ310" i="1138"/>
  <c r="AP310" i="1138"/>
  <c r="AM310" i="1138"/>
  <c r="AR309" i="1138"/>
  <c r="AQ309" i="1138"/>
  <c r="AP309" i="1138"/>
  <c r="AR308" i="1138"/>
  <c r="AQ308" i="1138"/>
  <c r="AP308" i="1138"/>
  <c r="AR307" i="1138"/>
  <c r="AQ307" i="1138"/>
  <c r="AP307" i="1138"/>
  <c r="AM307" i="1138"/>
  <c r="AR306" i="1138"/>
  <c r="AQ306" i="1138"/>
  <c r="AP306" i="1138"/>
  <c r="AM306" i="1138"/>
  <c r="AR305" i="1138"/>
  <c r="AQ305" i="1138"/>
  <c r="AP305" i="1138"/>
  <c r="AR304" i="1138"/>
  <c r="AQ304" i="1138"/>
  <c r="AP304" i="1138"/>
  <c r="AR303" i="1138"/>
  <c r="AQ303" i="1138"/>
  <c r="AP303" i="1138"/>
  <c r="AM303" i="1138"/>
  <c r="AR302" i="1138"/>
  <c r="AQ302" i="1138"/>
  <c r="AP302" i="1138"/>
  <c r="AM302" i="1138"/>
  <c r="AR301" i="1138"/>
  <c r="AQ301" i="1138"/>
  <c r="AP301" i="1138"/>
  <c r="AR300" i="1138"/>
  <c r="AQ300" i="1138"/>
  <c r="AP300" i="1138"/>
  <c r="AR299" i="1138"/>
  <c r="AQ299" i="1138"/>
  <c r="AP299" i="1138"/>
  <c r="AR298" i="1138"/>
  <c r="AQ298" i="1138"/>
  <c r="AP298" i="1138"/>
  <c r="AR297" i="1138"/>
  <c r="AQ297" i="1138"/>
  <c r="AP297" i="1138"/>
  <c r="AR296" i="1138"/>
  <c r="AQ296" i="1138"/>
  <c r="AP296" i="1138"/>
  <c r="AR295" i="1138"/>
  <c r="AQ295" i="1138"/>
  <c r="AP295" i="1138"/>
  <c r="AR294" i="1138"/>
  <c r="AQ294" i="1138"/>
  <c r="AP294" i="1138"/>
  <c r="AR293" i="1138"/>
  <c r="AQ293" i="1138"/>
  <c r="AP293" i="1138"/>
  <c r="AR291" i="1138"/>
  <c r="AQ291" i="1138"/>
  <c r="AP291" i="1138"/>
  <c r="AM291" i="1138"/>
  <c r="AR290" i="1138"/>
  <c r="AQ290" i="1138"/>
  <c r="AP290" i="1138"/>
  <c r="AM290" i="1138"/>
  <c r="AR289" i="1138"/>
  <c r="AQ289" i="1138"/>
  <c r="AP289" i="1138"/>
  <c r="AM289" i="1138"/>
  <c r="AR288" i="1138"/>
  <c r="AQ288" i="1138"/>
  <c r="AP288" i="1138"/>
  <c r="AM288" i="1138"/>
  <c r="AR287" i="1138"/>
  <c r="AQ287" i="1138"/>
  <c r="AP287" i="1138"/>
  <c r="AM287" i="1138"/>
  <c r="AR286" i="1138"/>
  <c r="AQ286" i="1138"/>
  <c r="AP286" i="1138"/>
  <c r="AM286" i="1138"/>
  <c r="AR285" i="1138"/>
  <c r="AQ285" i="1138"/>
  <c r="AP285" i="1138"/>
  <c r="AM285" i="1138"/>
  <c r="AR284" i="1138"/>
  <c r="AQ284" i="1138"/>
  <c r="AP284" i="1138"/>
  <c r="AM284" i="1138"/>
  <c r="AR283" i="1138"/>
  <c r="AQ283" i="1138"/>
  <c r="AP283" i="1138"/>
  <c r="AM283" i="1138"/>
  <c r="AR282" i="1138"/>
  <c r="AQ282" i="1138"/>
  <c r="AP282" i="1138"/>
  <c r="AM282" i="1138"/>
  <c r="AR281" i="1138"/>
  <c r="AQ281" i="1138"/>
  <c r="AP281" i="1138"/>
  <c r="AM281" i="1138"/>
  <c r="AR280" i="1138"/>
  <c r="AQ280" i="1138"/>
  <c r="AP280" i="1138"/>
  <c r="AM280" i="1138"/>
  <c r="AR279" i="1138"/>
  <c r="AQ279" i="1138"/>
  <c r="AP279" i="1138"/>
  <c r="AR278" i="1138"/>
  <c r="AQ278" i="1138"/>
  <c r="AP278" i="1138"/>
  <c r="AM278" i="1138"/>
  <c r="AR277" i="1138"/>
  <c r="AQ277" i="1138"/>
  <c r="AP277" i="1138"/>
  <c r="AM277" i="1138"/>
  <c r="AR276" i="1138"/>
  <c r="AQ276" i="1138"/>
  <c r="AP276" i="1138"/>
  <c r="AM276" i="1138"/>
  <c r="AR275" i="1138"/>
  <c r="AQ275" i="1138"/>
  <c r="AP275" i="1138"/>
  <c r="AM275" i="1138"/>
  <c r="AR274" i="1138"/>
  <c r="AQ274" i="1138"/>
  <c r="AP274" i="1138"/>
  <c r="AR273" i="1138"/>
  <c r="AQ273" i="1138"/>
  <c r="AP273" i="1138"/>
  <c r="AR272" i="1138"/>
  <c r="AQ272" i="1138"/>
  <c r="AP272" i="1138"/>
  <c r="AM272" i="1138"/>
  <c r="AR271" i="1138"/>
  <c r="AQ271" i="1138"/>
  <c r="AP271" i="1138"/>
  <c r="AM271" i="1138"/>
  <c r="AR270" i="1138"/>
  <c r="AQ270" i="1138"/>
  <c r="AP270" i="1138"/>
  <c r="AM270" i="1138"/>
  <c r="AR269" i="1138"/>
  <c r="AQ269" i="1138"/>
  <c r="AP269" i="1138"/>
  <c r="AM269" i="1138"/>
  <c r="AR268" i="1138"/>
  <c r="AQ268" i="1138"/>
  <c r="AP268" i="1138"/>
  <c r="AM268" i="1138"/>
  <c r="AR267" i="1138"/>
  <c r="AQ267" i="1138"/>
  <c r="AP267" i="1138"/>
  <c r="AM267" i="1138"/>
  <c r="AR266" i="1138"/>
  <c r="AQ266" i="1138"/>
  <c r="AP266" i="1138"/>
  <c r="AM266" i="1138"/>
  <c r="AR265" i="1138"/>
  <c r="AQ265" i="1138"/>
  <c r="AP265" i="1138"/>
  <c r="AR263" i="1138"/>
  <c r="AQ263" i="1138"/>
  <c r="AP263" i="1138"/>
  <c r="AR262" i="1138"/>
  <c r="AQ262" i="1138"/>
  <c r="AP262" i="1138"/>
  <c r="AR261" i="1138"/>
  <c r="AQ261" i="1138"/>
  <c r="AP261" i="1138"/>
  <c r="AR259" i="1138"/>
  <c r="AQ259" i="1138"/>
  <c r="AP259" i="1138"/>
  <c r="AR258" i="1138"/>
  <c r="AQ258" i="1138"/>
  <c r="AP258" i="1138"/>
  <c r="AR256" i="1138"/>
  <c r="AQ256" i="1138"/>
  <c r="AP256" i="1138"/>
  <c r="AR254" i="1138"/>
  <c r="AQ254" i="1138"/>
  <c r="AP254" i="1138"/>
  <c r="AR253" i="1138"/>
  <c r="AQ253" i="1138"/>
  <c r="AP253" i="1138"/>
  <c r="AR252" i="1138"/>
  <c r="AQ252" i="1138"/>
  <c r="AP252" i="1138"/>
  <c r="AR251" i="1138"/>
  <c r="AQ251" i="1138"/>
  <c r="AP251" i="1138"/>
  <c r="AR250" i="1138"/>
  <c r="AQ250" i="1138"/>
  <c r="AP250" i="1138"/>
  <c r="AR248" i="1138"/>
  <c r="AQ248" i="1138"/>
  <c r="AP248" i="1138"/>
  <c r="AR247" i="1138"/>
  <c r="AQ247" i="1138"/>
  <c r="AN247" i="1138"/>
  <c r="AM247" i="1138"/>
  <c r="AR246" i="1138"/>
  <c r="AR245" i="1138" s="1"/>
  <c r="AQ246" i="1138"/>
  <c r="AQ245" i="1138" s="1"/>
  <c r="AR244" i="1138"/>
  <c r="AQ244" i="1138"/>
  <c r="AP244" i="1138"/>
  <c r="AR243" i="1138"/>
  <c r="AQ243" i="1138"/>
  <c r="AN243" i="1138"/>
  <c r="AM243" i="1138"/>
  <c r="AR242" i="1138"/>
  <c r="AR241" i="1138" s="1"/>
  <c r="AQ242" i="1138"/>
  <c r="AQ241" i="1138" s="1"/>
  <c r="AR240" i="1138"/>
  <c r="AQ240" i="1138"/>
  <c r="AP240" i="1138"/>
  <c r="AR239" i="1138"/>
  <c r="AQ239" i="1138"/>
  <c r="AN239" i="1138"/>
  <c r="AM239" i="1138"/>
  <c r="AR238" i="1138"/>
  <c r="AR237" i="1138" s="1"/>
  <c r="AQ238" i="1138"/>
  <c r="AQ237" i="1138" s="1"/>
  <c r="AR236" i="1138"/>
  <c r="AQ236" i="1138"/>
  <c r="AP236" i="1138"/>
  <c r="AR232" i="1138"/>
  <c r="AQ232" i="1138"/>
  <c r="AN232" i="1138"/>
  <c r="AM232" i="1138"/>
  <c r="AR231" i="1138"/>
  <c r="AR230" i="1138" s="1"/>
  <c r="AQ231" i="1138"/>
  <c r="AQ230" i="1138" s="1"/>
  <c r="AR229" i="1138"/>
  <c r="AQ229" i="1138"/>
  <c r="AP229" i="1138"/>
  <c r="AR225" i="1138"/>
  <c r="AQ225" i="1138"/>
  <c r="AN225" i="1138"/>
  <c r="AM225" i="1138"/>
  <c r="AR224" i="1138"/>
  <c r="AR223" i="1138" s="1"/>
  <c r="AQ224" i="1138"/>
  <c r="AQ223" i="1138" s="1"/>
  <c r="AR222" i="1138"/>
  <c r="AQ222" i="1138"/>
  <c r="AP222" i="1138"/>
  <c r="AM220" i="1138"/>
  <c r="AR219" i="1138"/>
  <c r="AR220" i="1138" s="1"/>
  <c r="AQ219" i="1138"/>
  <c r="AQ220" i="1138" s="1"/>
  <c r="AM219" i="1138"/>
  <c r="AR218" i="1138"/>
  <c r="AR217" i="1138" s="1"/>
  <c r="AQ218" i="1138"/>
  <c r="AQ217" i="1138" s="1"/>
  <c r="AR216" i="1138"/>
  <c r="AQ216" i="1138"/>
  <c r="AP216" i="1138"/>
  <c r="AR215" i="1138"/>
  <c r="AR214" i="1138" s="1"/>
  <c r="AQ215" i="1138"/>
  <c r="AQ214" i="1138" s="1"/>
  <c r="AP215" i="1138"/>
  <c r="AP214" i="1138" s="1"/>
  <c r="AR213" i="1138"/>
  <c r="AQ213" i="1138"/>
  <c r="AP213" i="1138"/>
  <c r="AR212" i="1138"/>
  <c r="AR211" i="1138" s="1"/>
  <c r="AQ212" i="1138"/>
  <c r="AQ211" i="1138" s="1"/>
  <c r="AP212" i="1138"/>
  <c r="AP211" i="1138" s="1"/>
  <c r="AR210" i="1138"/>
  <c r="AQ210" i="1138"/>
  <c r="AP210" i="1138"/>
  <c r="AR209" i="1138"/>
  <c r="AR208" i="1138" s="1"/>
  <c r="AQ209" i="1138"/>
  <c r="AQ208" i="1138" s="1"/>
  <c r="AP209" i="1138"/>
  <c r="AP208" i="1138" s="1"/>
  <c r="AR207" i="1138"/>
  <c r="AQ207" i="1138"/>
  <c r="AP207" i="1138"/>
  <c r="AR206" i="1138"/>
  <c r="AR205" i="1138" s="1"/>
  <c r="AQ206" i="1138"/>
  <c r="AQ205" i="1138" s="1"/>
  <c r="AP206" i="1138"/>
  <c r="AP205" i="1138" s="1"/>
  <c r="AR204" i="1138"/>
  <c r="AQ204" i="1138"/>
  <c r="AP204" i="1138"/>
  <c r="AR203" i="1138"/>
  <c r="AR202" i="1138" s="1"/>
  <c r="AQ203" i="1138"/>
  <c r="AQ202" i="1138" s="1"/>
  <c r="AP203" i="1138"/>
  <c r="AP202" i="1138" s="1"/>
  <c r="AR201" i="1138"/>
  <c r="AQ201" i="1138"/>
  <c r="AP201" i="1138"/>
  <c r="AR200" i="1138"/>
  <c r="AR199" i="1138" s="1"/>
  <c r="AQ200" i="1138"/>
  <c r="AQ199" i="1138" s="1"/>
  <c r="AP200" i="1138"/>
  <c r="AP199" i="1138" s="1"/>
  <c r="AR198" i="1138"/>
  <c r="AQ198" i="1138"/>
  <c r="AP198" i="1138"/>
  <c r="AR197" i="1138"/>
  <c r="AR196" i="1138" s="1"/>
  <c r="AQ197" i="1138"/>
  <c r="AQ196" i="1138" s="1"/>
  <c r="AP197" i="1138"/>
  <c r="AP196" i="1138" s="1"/>
  <c r="AR195" i="1138"/>
  <c r="AQ195" i="1138"/>
  <c r="AP195" i="1138"/>
  <c r="AR194" i="1138"/>
  <c r="AR193" i="1138" s="1"/>
  <c r="AQ194" i="1138"/>
  <c r="AQ193" i="1138" s="1"/>
  <c r="AP194" i="1138"/>
  <c r="AP193" i="1138" s="1"/>
  <c r="AR192" i="1138"/>
  <c r="AQ192" i="1138"/>
  <c r="AP192" i="1138"/>
  <c r="AR191" i="1138"/>
  <c r="AQ191" i="1138"/>
  <c r="AP191" i="1138"/>
  <c r="AR190" i="1138"/>
  <c r="AQ190" i="1138"/>
  <c r="AP190" i="1138"/>
  <c r="AR189" i="1138"/>
  <c r="AQ189" i="1138"/>
  <c r="AP189" i="1138"/>
  <c r="AR188" i="1138"/>
  <c r="AQ188" i="1138"/>
  <c r="AP188" i="1138"/>
  <c r="AM188" i="1138"/>
  <c r="AR187" i="1138"/>
  <c r="AQ187" i="1138"/>
  <c r="AP187" i="1138"/>
  <c r="AM187" i="1138"/>
  <c r="AR186" i="1138"/>
  <c r="AQ186" i="1138"/>
  <c r="AP186" i="1138"/>
  <c r="AM186" i="1138"/>
  <c r="AR185" i="1138"/>
  <c r="AQ185" i="1138"/>
  <c r="AP185" i="1138"/>
  <c r="AM185" i="1138"/>
  <c r="AM183" i="1138"/>
  <c r="AR182" i="1138"/>
  <c r="AR183" i="1138" s="1"/>
  <c r="AQ182" i="1138"/>
  <c r="AQ183" i="1138" s="1"/>
  <c r="AP182" i="1138"/>
  <c r="AP183" i="1138" s="1"/>
  <c r="AM182" i="1138"/>
  <c r="AR181" i="1138"/>
  <c r="AQ181" i="1138"/>
  <c r="AP181" i="1138"/>
  <c r="AM181" i="1138"/>
  <c r="AM179" i="1138"/>
  <c r="AR178" i="1138"/>
  <c r="AR179" i="1138" s="1"/>
  <c r="AQ178" i="1138"/>
  <c r="AQ179" i="1138" s="1"/>
  <c r="AP178" i="1138"/>
  <c r="AP179" i="1138" s="1"/>
  <c r="AM178" i="1138"/>
  <c r="AR177" i="1138"/>
  <c r="AQ177" i="1138"/>
  <c r="AP177" i="1138"/>
  <c r="AM177" i="1138"/>
  <c r="AM175" i="1138"/>
  <c r="AR174" i="1138"/>
  <c r="AR175" i="1138" s="1"/>
  <c r="AQ174" i="1138"/>
  <c r="AQ175" i="1138" s="1"/>
  <c r="AP174" i="1138"/>
  <c r="AP175" i="1138" s="1"/>
  <c r="AM174" i="1138"/>
  <c r="AR173" i="1138"/>
  <c r="AQ173" i="1138"/>
  <c r="AP173" i="1138"/>
  <c r="AM173" i="1138"/>
  <c r="AR172" i="1138"/>
  <c r="AQ172" i="1138"/>
  <c r="AP172" i="1138"/>
  <c r="AM172" i="1138"/>
  <c r="AM171" i="1138"/>
  <c r="AR170" i="1138"/>
  <c r="AQ170" i="1138"/>
  <c r="AP170" i="1138"/>
  <c r="AM170" i="1138"/>
  <c r="AR169" i="1138"/>
  <c r="AQ169" i="1138"/>
  <c r="AP169" i="1138"/>
  <c r="AM169" i="1138"/>
  <c r="AR168" i="1138"/>
  <c r="AQ168" i="1138"/>
  <c r="AP168" i="1138"/>
  <c r="AM168" i="1138"/>
  <c r="AM167" i="1138"/>
  <c r="AR166" i="1138"/>
  <c r="AR167" i="1138" s="1"/>
  <c r="AQ166" i="1138"/>
  <c r="AQ167" i="1138" s="1"/>
  <c r="AP166" i="1138"/>
  <c r="AP167" i="1138" s="1"/>
  <c r="AM166" i="1138"/>
  <c r="AR165" i="1138"/>
  <c r="AQ165" i="1138"/>
  <c r="AP165" i="1138"/>
  <c r="AM165" i="1138"/>
  <c r="AM163" i="1138"/>
  <c r="AR162" i="1138"/>
  <c r="AR163" i="1138" s="1"/>
  <c r="AQ162" i="1138"/>
  <c r="AQ163" i="1138" s="1"/>
  <c r="AP162" i="1138"/>
  <c r="AP163" i="1138" s="1"/>
  <c r="AM162" i="1138"/>
  <c r="AR161" i="1138"/>
  <c r="AQ161" i="1138"/>
  <c r="AP161" i="1138"/>
  <c r="AM161" i="1138"/>
  <c r="AM159" i="1138"/>
  <c r="AR158" i="1138"/>
  <c r="AR159" i="1138" s="1"/>
  <c r="AQ158" i="1138"/>
  <c r="AQ159" i="1138" s="1"/>
  <c r="AP158" i="1138"/>
  <c r="AP159" i="1138" s="1"/>
  <c r="AM158" i="1138"/>
  <c r="AR157" i="1138"/>
  <c r="AQ157" i="1138"/>
  <c r="AP157" i="1138"/>
  <c r="AM157" i="1138"/>
  <c r="AR156" i="1138"/>
  <c r="AQ156" i="1138"/>
  <c r="AP156" i="1138"/>
  <c r="AM156" i="1138"/>
  <c r="AR155" i="1138"/>
  <c r="AQ155" i="1138"/>
  <c r="AP155" i="1138"/>
  <c r="AR154" i="1138"/>
  <c r="AQ154" i="1138"/>
  <c r="AP154" i="1138"/>
  <c r="AR153" i="1138"/>
  <c r="AR152" i="1138" s="1"/>
  <c r="AQ153" i="1138"/>
  <c r="AQ152" i="1138" s="1"/>
  <c r="AP153" i="1138"/>
  <c r="AP152" i="1138" s="1"/>
  <c r="AR151" i="1138"/>
  <c r="AQ151" i="1138"/>
  <c r="AP151" i="1138"/>
  <c r="AR150" i="1138"/>
  <c r="AR149" i="1138" s="1"/>
  <c r="AQ150" i="1138"/>
  <c r="AQ149" i="1138" s="1"/>
  <c r="AP150" i="1138"/>
  <c r="AP149" i="1138" s="1"/>
  <c r="AR148" i="1138"/>
  <c r="AQ148" i="1138"/>
  <c r="AP148" i="1138"/>
  <c r="AR147" i="1138"/>
  <c r="AR146" i="1138" s="1"/>
  <c r="AQ147" i="1138"/>
  <c r="AQ146" i="1138" s="1"/>
  <c r="AP147" i="1138"/>
  <c r="AP146" i="1138" s="1"/>
  <c r="AR145" i="1138"/>
  <c r="AQ145" i="1138"/>
  <c r="AP145" i="1138"/>
  <c r="AR144" i="1138"/>
  <c r="AR143" i="1138" s="1"/>
  <c r="AQ144" i="1138"/>
  <c r="AQ143" i="1138" s="1"/>
  <c r="AP144" i="1138"/>
  <c r="AP143" i="1138" s="1"/>
  <c r="AR142" i="1138"/>
  <c r="AQ142" i="1138"/>
  <c r="AP142" i="1138"/>
  <c r="AR141" i="1138"/>
  <c r="AR140" i="1138" s="1"/>
  <c r="AQ141" i="1138"/>
  <c r="AQ140" i="1138" s="1"/>
  <c r="AP141" i="1138"/>
  <c r="AP140" i="1138" s="1"/>
  <c r="AR139" i="1138"/>
  <c r="AQ139" i="1138"/>
  <c r="AP139" i="1138"/>
  <c r="AR138" i="1138"/>
  <c r="AQ138" i="1138"/>
  <c r="AP138" i="1138"/>
  <c r="AR136" i="1138"/>
  <c r="AQ136" i="1138"/>
  <c r="AP136" i="1138"/>
  <c r="AR135" i="1138"/>
  <c r="AR134" i="1138" s="1"/>
  <c r="AQ135" i="1138"/>
  <c r="AQ134" i="1138" s="1"/>
  <c r="AP135" i="1138"/>
  <c r="AP134" i="1138" s="1"/>
  <c r="AR133" i="1138"/>
  <c r="AQ133" i="1138"/>
  <c r="AP133" i="1138"/>
  <c r="AR132" i="1138"/>
  <c r="AR131" i="1138" s="1"/>
  <c r="AQ132" i="1138"/>
  <c r="AQ131" i="1138" s="1"/>
  <c r="AP132" i="1138"/>
  <c r="AP131" i="1138" s="1"/>
  <c r="AR130" i="1138"/>
  <c r="AQ130" i="1138"/>
  <c r="AP130" i="1138"/>
  <c r="AR129" i="1138"/>
  <c r="AQ129" i="1138"/>
  <c r="AP129" i="1138"/>
  <c r="AR128" i="1138"/>
  <c r="AQ128" i="1138"/>
  <c r="AP128" i="1138"/>
  <c r="AR127" i="1138"/>
  <c r="AQ127" i="1138"/>
  <c r="AP127" i="1138"/>
  <c r="AR126" i="1138"/>
  <c r="AQ126" i="1138"/>
  <c r="AP126" i="1138"/>
  <c r="AR125" i="1138"/>
  <c r="AQ125" i="1138"/>
  <c r="AP125" i="1138"/>
  <c r="AM125" i="1138"/>
  <c r="AR124" i="1138"/>
  <c r="AQ124" i="1138"/>
  <c r="AP124" i="1138"/>
  <c r="AM124" i="1138"/>
  <c r="AR123" i="1138"/>
  <c r="AQ123" i="1138"/>
  <c r="AP123" i="1138"/>
  <c r="AM123" i="1138"/>
  <c r="AR122" i="1138"/>
  <c r="AQ122" i="1138"/>
  <c r="AP122" i="1138"/>
  <c r="AM122" i="1138"/>
  <c r="AM120" i="1138"/>
  <c r="AR119" i="1138"/>
  <c r="AR120" i="1138" s="1"/>
  <c r="AQ119" i="1138"/>
  <c r="AQ120" i="1138" s="1"/>
  <c r="AP119" i="1138"/>
  <c r="AP120" i="1138" s="1"/>
  <c r="AM119" i="1138"/>
  <c r="AR118" i="1138"/>
  <c r="AQ118" i="1138"/>
  <c r="AP118" i="1138"/>
  <c r="AM118" i="1138"/>
  <c r="AM116" i="1138"/>
  <c r="AR115" i="1138"/>
  <c r="AR116" i="1138" s="1"/>
  <c r="AQ115" i="1138"/>
  <c r="AQ116" i="1138" s="1"/>
  <c r="AP115" i="1138"/>
  <c r="AP116" i="1138" s="1"/>
  <c r="AM115" i="1138"/>
  <c r="AR114" i="1138"/>
  <c r="AQ114" i="1138"/>
  <c r="AP114" i="1138"/>
  <c r="AM114" i="1138"/>
  <c r="AM112" i="1138"/>
  <c r="AR111" i="1138"/>
  <c r="AR112" i="1138" s="1"/>
  <c r="AQ111" i="1138"/>
  <c r="AQ112" i="1138" s="1"/>
  <c r="AP111" i="1138"/>
  <c r="AP112" i="1138" s="1"/>
  <c r="AM111" i="1138"/>
  <c r="AR110" i="1138"/>
  <c r="AQ110" i="1138"/>
  <c r="AP110" i="1138"/>
  <c r="AM110" i="1138"/>
  <c r="AR109" i="1138"/>
  <c r="AQ109" i="1138"/>
  <c r="AP109" i="1138"/>
  <c r="AM109" i="1138"/>
  <c r="AM108" i="1138"/>
  <c r="AR107" i="1138"/>
  <c r="AQ107" i="1138"/>
  <c r="AP107" i="1138"/>
  <c r="AM107" i="1138"/>
  <c r="AR106" i="1138"/>
  <c r="AQ106" i="1138"/>
  <c r="AP106" i="1138"/>
  <c r="AM106" i="1138"/>
  <c r="AR105" i="1138"/>
  <c r="AQ105" i="1138"/>
  <c r="AP105" i="1138"/>
  <c r="AM105" i="1138"/>
  <c r="AM104" i="1138"/>
  <c r="AR103" i="1138"/>
  <c r="AR104" i="1138" s="1"/>
  <c r="AQ103" i="1138"/>
  <c r="AQ104" i="1138" s="1"/>
  <c r="AP103" i="1138"/>
  <c r="AP104" i="1138" s="1"/>
  <c r="AM103" i="1138"/>
  <c r="AR102" i="1138"/>
  <c r="AQ102" i="1138"/>
  <c r="AP102" i="1138"/>
  <c r="AM102" i="1138"/>
  <c r="AM100" i="1138"/>
  <c r="AR99" i="1138"/>
  <c r="AR100" i="1138" s="1"/>
  <c r="AQ99" i="1138"/>
  <c r="AQ100" i="1138" s="1"/>
  <c r="AP99" i="1138"/>
  <c r="AP100" i="1138" s="1"/>
  <c r="AM99" i="1138"/>
  <c r="AR98" i="1138"/>
  <c r="AQ98" i="1138"/>
  <c r="AP98" i="1138"/>
  <c r="AM98" i="1138"/>
  <c r="AM96" i="1138"/>
  <c r="AR95" i="1138"/>
  <c r="AR96" i="1138" s="1"/>
  <c r="AQ95" i="1138"/>
  <c r="AQ96" i="1138" s="1"/>
  <c r="AP95" i="1138"/>
  <c r="AP96" i="1138" s="1"/>
  <c r="AM95" i="1138"/>
  <c r="AR94" i="1138"/>
  <c r="AQ94" i="1138"/>
  <c r="AP94" i="1138"/>
  <c r="AM94" i="1138"/>
  <c r="AR93" i="1138"/>
  <c r="AQ93" i="1138"/>
  <c r="AP93" i="1138"/>
  <c r="AM93" i="1138"/>
  <c r="AR92" i="1138"/>
  <c r="AQ92" i="1138"/>
  <c r="AP92" i="1138"/>
  <c r="AR91" i="1138"/>
  <c r="AQ91" i="1138"/>
  <c r="AP91" i="1138"/>
  <c r="AR90" i="1138"/>
  <c r="AQ90" i="1138"/>
  <c r="AP90" i="1138"/>
  <c r="N446" i="967"/>
  <c r="N443" i="967"/>
  <c r="AN315" i="1005"/>
  <c r="AN316" i="1005"/>
  <c r="AN319" i="1005"/>
  <c r="AN324" i="1005"/>
  <c r="AN319" i="1045"/>
  <c r="AN316" i="1045"/>
  <c r="AN315" i="1045"/>
  <c r="M10" i="1037"/>
  <c r="J10" i="1037"/>
  <c r="M7" i="1037"/>
  <c r="J7" i="1037"/>
  <c r="M4" i="1037"/>
  <c r="J4" i="1037"/>
  <c r="BV12" i="936"/>
  <c r="E27" i="1129"/>
  <c r="F35" i="1129"/>
  <c r="E33" i="1129"/>
  <c r="M188" i="967"/>
  <c r="M187" i="967"/>
  <c r="M186" i="967"/>
  <c r="M185" i="967"/>
  <c r="M183" i="967"/>
  <c r="M182" i="967"/>
  <c r="M181" i="967"/>
  <c r="M179" i="967"/>
  <c r="M178" i="967"/>
  <c r="M177" i="967"/>
  <c r="M175" i="967"/>
  <c r="M174" i="967"/>
  <c r="M173" i="967"/>
  <c r="M172" i="967"/>
  <c r="M171" i="967"/>
  <c r="M170" i="967"/>
  <c r="M169" i="967"/>
  <c r="M168" i="967"/>
  <c r="M167" i="967"/>
  <c r="M166" i="967"/>
  <c r="M165" i="967"/>
  <c r="M163" i="967"/>
  <c r="M162" i="967"/>
  <c r="M161" i="967"/>
  <c r="M159" i="967"/>
  <c r="M158" i="967"/>
  <c r="M157" i="967"/>
  <c r="M156" i="967"/>
  <c r="M125" i="967"/>
  <c r="M124" i="967"/>
  <c r="M123" i="967"/>
  <c r="M122" i="967"/>
  <c r="M120" i="967"/>
  <c r="M119" i="967"/>
  <c r="M118" i="967"/>
  <c r="M116" i="967"/>
  <c r="M115" i="967"/>
  <c r="M114" i="967"/>
  <c r="M112" i="967"/>
  <c r="M111" i="967"/>
  <c r="M110" i="967"/>
  <c r="M109" i="967"/>
  <c r="M108" i="967"/>
  <c r="M107" i="967"/>
  <c r="M106" i="967"/>
  <c r="M105" i="967"/>
  <c r="M104" i="967"/>
  <c r="M103" i="967"/>
  <c r="M102" i="967"/>
  <c r="M100" i="967"/>
  <c r="M99" i="967"/>
  <c r="M98" i="967"/>
  <c r="M96" i="967"/>
  <c r="M95" i="967"/>
  <c r="M94" i="967"/>
  <c r="M93" i="967"/>
  <c r="AD57" i="1106"/>
  <c r="Z57" i="1106"/>
  <c r="AD126" i="1106"/>
  <c r="Z126" i="1106"/>
  <c r="AN245" i="1045"/>
  <c r="AR126" i="1045"/>
  <c r="AQ126" i="1045"/>
  <c r="AP126" i="1045"/>
  <c r="AO126" i="1045"/>
  <c r="AN126" i="1045"/>
  <c r="AM126" i="1045"/>
  <c r="AN124" i="1045"/>
  <c r="AM124" i="1045"/>
  <c r="F127" i="1043"/>
  <c r="F126" i="1043"/>
  <c r="F127" i="1042"/>
  <c r="F126" i="1042"/>
  <c r="AN245" i="1005"/>
  <c r="AR126" i="1005"/>
  <c r="AQ126" i="1005"/>
  <c r="AP126" i="1005"/>
  <c r="AO126" i="1005"/>
  <c r="AN126" i="1005"/>
  <c r="AM126" i="1005"/>
  <c r="AN124" i="1005"/>
  <c r="AM124" i="1005"/>
  <c r="F127" i="1002"/>
  <c r="F126" i="1002"/>
  <c r="F127" i="1001"/>
  <c r="F126" i="1001"/>
  <c r="F127" i="939"/>
  <c r="F126" i="939"/>
  <c r="F127" i="1106"/>
  <c r="F126" i="1106"/>
  <c r="BM13" i="1109"/>
  <c r="BL13" i="1109"/>
  <c r="BK13" i="1109"/>
  <c r="BJ13" i="1109"/>
  <c r="BI13" i="1109"/>
  <c r="BH13" i="1109"/>
  <c r="AG13" i="1109"/>
  <c r="AF13" i="1109"/>
  <c r="AE13" i="1109"/>
  <c r="BL12" i="1109"/>
  <c r="BJ12" i="1109"/>
  <c r="BH12" i="1109"/>
  <c r="W12" i="1109"/>
  <c r="U12" i="1109"/>
  <c r="S12" i="1109"/>
  <c r="E24" i="1129"/>
  <c r="E23" i="1129"/>
  <c r="E21" i="1129"/>
  <c r="J20" i="1129"/>
  <c r="E20" i="1129"/>
  <c r="M434" i="967"/>
  <c r="AM306" i="1045"/>
  <c r="AM306" i="1005"/>
  <c r="AR306" i="1045"/>
  <c r="AQ306" i="1045"/>
  <c r="AP306" i="1045"/>
  <c r="AR306" i="1005"/>
  <c r="AQ306" i="1005"/>
  <c r="AP306" i="1005"/>
  <c r="AP87" i="1045"/>
  <c r="AP47" i="1124"/>
  <c r="AP84" i="1045"/>
  <c r="AR71" i="1045"/>
  <c r="AP27" i="1124"/>
  <c r="AP191" i="1005"/>
  <c r="AP151" i="1005"/>
  <c r="AR132" i="1005"/>
  <c r="AP137" i="1005"/>
  <c r="AP96" i="1005"/>
  <c r="AP87" i="1005"/>
  <c r="AP86" i="1005"/>
  <c r="AP85" i="1005"/>
  <c r="AP82" i="1005"/>
  <c r="AP81" i="1005"/>
  <c r="AP79" i="1005"/>
  <c r="AP75" i="1005"/>
  <c r="AP74" i="1005"/>
  <c r="AP73" i="1005"/>
  <c r="AP29" i="1121"/>
  <c r="AP210" i="1005"/>
  <c r="AP127" i="1005"/>
  <c r="AP88" i="1005"/>
  <c r="AR83" i="1005"/>
  <c r="AP84" i="1005"/>
  <c r="AP80" i="1005"/>
  <c r="AP76" i="1005"/>
  <c r="AP92" i="1121"/>
  <c r="AQ27" i="1121"/>
  <c r="AP337" i="1121"/>
  <c r="J57" i="939"/>
  <c r="J59" i="939" s="1"/>
  <c r="J57" i="1106"/>
  <c r="J59" i="1106" s="1"/>
  <c r="AD17" i="967"/>
  <c r="AD15" i="967" s="1"/>
  <c r="AC17" i="967"/>
  <c r="AC15" i="967" s="1"/>
  <c r="AB17" i="967"/>
  <c r="AB15" i="967" s="1"/>
  <c r="M433" i="967"/>
  <c r="M430" i="967"/>
  <c r="M431" i="967" s="1"/>
  <c r="M427" i="967"/>
  <c r="M428" i="967" s="1"/>
  <c r="M424" i="967"/>
  <c r="M421" i="967"/>
  <c r="M423" i="967"/>
  <c r="M420" i="967"/>
  <c r="M419" i="967"/>
  <c r="M326" i="967"/>
  <c r="M325" i="967"/>
  <c r="M317" i="967"/>
  <c r="M321" i="967" s="1"/>
  <c r="M316" i="967"/>
  <c r="M315" i="967"/>
  <c r="M314" i="967"/>
  <c r="M312" i="967"/>
  <c r="M311" i="967"/>
  <c r="M310" i="967"/>
  <c r="M307" i="967"/>
  <c r="M306" i="967"/>
  <c r="M303" i="967"/>
  <c r="M302" i="967"/>
  <c r="M291" i="967"/>
  <c r="M290" i="967"/>
  <c r="M289" i="967"/>
  <c r="M288" i="967"/>
  <c r="M287" i="967"/>
  <c r="M286" i="967"/>
  <c r="M285" i="967"/>
  <c r="M284" i="967"/>
  <c r="M283" i="967"/>
  <c r="M282" i="967"/>
  <c r="M281" i="967"/>
  <c r="M280" i="967"/>
  <c r="M278" i="967"/>
  <c r="M277" i="967"/>
  <c r="M276" i="967"/>
  <c r="M275" i="967"/>
  <c r="M272" i="967"/>
  <c r="M271" i="967"/>
  <c r="M270" i="967"/>
  <c r="M269" i="967"/>
  <c r="M268" i="967"/>
  <c r="M267" i="967"/>
  <c r="M266" i="967"/>
  <c r="N247" i="967"/>
  <c r="M247" i="967"/>
  <c r="N243" i="967"/>
  <c r="M243" i="967"/>
  <c r="N239" i="967"/>
  <c r="M239" i="967"/>
  <c r="N232" i="967"/>
  <c r="M232" i="967"/>
  <c r="N225" i="967"/>
  <c r="M225" i="967"/>
  <c r="M220" i="967"/>
  <c r="M219" i="967"/>
  <c r="AR305" i="1045"/>
  <c r="AQ305" i="1045"/>
  <c r="AP305" i="1045"/>
  <c r="AM305" i="1045"/>
  <c r="AP213" i="1045"/>
  <c r="AR213" i="1045"/>
  <c r="AQ213" i="1045"/>
  <c r="AP212" i="1045"/>
  <c r="AR212" i="1045"/>
  <c r="AQ212" i="1045"/>
  <c r="AP211" i="1045"/>
  <c r="AR211" i="1045"/>
  <c r="AQ211" i="1045"/>
  <c r="AP210" i="1045"/>
  <c r="AR210" i="1045"/>
  <c r="AQ210" i="1045"/>
  <c r="AR208" i="1045"/>
  <c r="AR207" i="1045"/>
  <c r="AQ207" i="1045"/>
  <c r="AP207" i="1045"/>
  <c r="AR201" i="1045"/>
  <c r="AQ201" i="1045"/>
  <c r="AP201" i="1045"/>
  <c r="AR200" i="1045"/>
  <c r="AQ200" i="1045"/>
  <c r="AP200" i="1045"/>
  <c r="AR199" i="1045"/>
  <c r="AQ199" i="1045"/>
  <c r="AP199" i="1045"/>
  <c r="AR198" i="1045"/>
  <c r="AQ198" i="1045"/>
  <c r="AP198" i="1045"/>
  <c r="AR197" i="1045"/>
  <c r="AQ197" i="1045"/>
  <c r="AP197" i="1045"/>
  <c r="AR196" i="1045"/>
  <c r="AQ196" i="1045"/>
  <c r="AP196" i="1045"/>
  <c r="AR195" i="1045"/>
  <c r="AQ195" i="1045"/>
  <c r="AP195" i="1045"/>
  <c r="AR194" i="1045"/>
  <c r="AQ194" i="1045"/>
  <c r="AP194" i="1045"/>
  <c r="AR193" i="1045"/>
  <c r="AQ193" i="1045"/>
  <c r="AP193" i="1045"/>
  <c r="AR192" i="1045"/>
  <c r="AQ192" i="1045"/>
  <c r="AP192" i="1045"/>
  <c r="AQ191" i="1045"/>
  <c r="AR191" i="1045"/>
  <c r="AR190" i="1045"/>
  <c r="AQ190" i="1045"/>
  <c r="AP190" i="1045"/>
  <c r="AR189" i="1045"/>
  <c r="AQ189" i="1045"/>
  <c r="AP189" i="1045"/>
  <c r="AR188" i="1045"/>
  <c r="AQ188" i="1045"/>
  <c r="AP188" i="1045"/>
  <c r="AR187" i="1045"/>
  <c r="AQ187" i="1045"/>
  <c r="AP187" i="1045"/>
  <c r="AR186" i="1045"/>
  <c r="AQ186" i="1045"/>
  <c r="AP186" i="1045"/>
  <c r="AR185" i="1045"/>
  <c r="AQ185" i="1045"/>
  <c r="AP185" i="1045"/>
  <c r="AR184" i="1045"/>
  <c r="AQ184" i="1045"/>
  <c r="AP184" i="1045"/>
  <c r="AR183" i="1045"/>
  <c r="AR182" i="1045"/>
  <c r="AP181" i="1045"/>
  <c r="AR181" i="1045"/>
  <c r="AQ181" i="1045"/>
  <c r="AP180" i="1045"/>
  <c r="AR180" i="1045"/>
  <c r="AQ180" i="1045"/>
  <c r="AP179" i="1045"/>
  <c r="AR179" i="1045"/>
  <c r="AQ179" i="1045"/>
  <c r="AP178" i="1045"/>
  <c r="AR178" i="1045"/>
  <c r="AQ178" i="1045"/>
  <c r="AP177" i="1045"/>
  <c r="AR177" i="1045"/>
  <c r="AQ177" i="1045"/>
  <c r="AP176" i="1045"/>
  <c r="AR176" i="1045"/>
  <c r="AQ176" i="1045"/>
  <c r="AP175" i="1045"/>
  <c r="AR175" i="1045"/>
  <c r="AQ175" i="1045"/>
  <c r="AP174" i="1045"/>
  <c r="AR174" i="1045"/>
  <c r="AQ174" i="1045"/>
  <c r="AP173" i="1045"/>
  <c r="AR173" i="1045"/>
  <c r="AQ173" i="1045"/>
  <c r="AP172" i="1045"/>
  <c r="AR172" i="1045"/>
  <c r="AQ172" i="1045"/>
  <c r="AP171" i="1045"/>
  <c r="AR171" i="1045"/>
  <c r="AQ171" i="1045"/>
  <c r="AP170" i="1045"/>
  <c r="AR170" i="1045"/>
  <c r="AQ170" i="1045"/>
  <c r="AR163" i="1045"/>
  <c r="AQ163" i="1045"/>
  <c r="AP163" i="1045"/>
  <c r="AR162" i="1045"/>
  <c r="AQ162" i="1045"/>
  <c r="AP162" i="1045"/>
  <c r="AR160" i="1045"/>
  <c r="AR161" i="1045" s="1"/>
  <c r="AQ160" i="1045"/>
  <c r="AQ161" i="1045" s="1"/>
  <c r="AP160" i="1045"/>
  <c r="AP161" i="1045" s="1"/>
  <c r="AP159" i="1045"/>
  <c r="AR159" i="1045"/>
  <c r="AQ159" i="1045"/>
  <c r="AR158" i="1045"/>
  <c r="AQ158" i="1045"/>
  <c r="AP157" i="1045"/>
  <c r="AR157" i="1045"/>
  <c r="AQ157" i="1045"/>
  <c r="AP156" i="1045"/>
  <c r="AR156" i="1045"/>
  <c r="AQ156" i="1045"/>
  <c r="AP155" i="1045"/>
  <c r="AR155" i="1045"/>
  <c r="AQ155" i="1045"/>
  <c r="AP154" i="1045"/>
  <c r="AR154" i="1045"/>
  <c r="AQ154" i="1045"/>
  <c r="AP153" i="1045"/>
  <c r="AR153" i="1045"/>
  <c r="AQ153" i="1045"/>
  <c r="AP152" i="1045"/>
  <c r="AR152" i="1045"/>
  <c r="AQ152" i="1045"/>
  <c r="AR151" i="1045"/>
  <c r="AQ151" i="1045"/>
  <c r="AP149" i="1045"/>
  <c r="AR149" i="1045"/>
  <c r="AQ149" i="1045"/>
  <c r="AR142" i="1045"/>
  <c r="AQ142" i="1045"/>
  <c r="AP142" i="1045"/>
  <c r="AR141" i="1045"/>
  <c r="AQ141" i="1045"/>
  <c r="AP141" i="1045"/>
  <c r="AR139" i="1045"/>
  <c r="AR140" i="1045" s="1"/>
  <c r="AQ139" i="1045"/>
  <c r="AQ140" i="1045" s="1"/>
  <c r="AP139" i="1045"/>
  <c r="AP140" i="1045" s="1"/>
  <c r="AP138" i="1045"/>
  <c r="AR138" i="1045"/>
  <c r="AQ138" i="1045"/>
  <c r="AR137" i="1045"/>
  <c r="AR136" i="1045"/>
  <c r="AQ136" i="1045"/>
  <c r="AP136" i="1045"/>
  <c r="AR135" i="1045"/>
  <c r="AQ135" i="1045"/>
  <c r="AP135" i="1045"/>
  <c r="AR134" i="1045"/>
  <c r="AQ134" i="1045"/>
  <c r="AP134" i="1045"/>
  <c r="AR133" i="1045"/>
  <c r="AQ133" i="1045"/>
  <c r="AP133" i="1045"/>
  <c r="AR131" i="1045"/>
  <c r="AQ131" i="1045"/>
  <c r="AP131" i="1045"/>
  <c r="AR130" i="1045"/>
  <c r="AQ130" i="1045"/>
  <c r="AP130" i="1045"/>
  <c r="AR129" i="1045"/>
  <c r="AQ129" i="1045"/>
  <c r="AP129" i="1045"/>
  <c r="AR128" i="1045"/>
  <c r="AQ128" i="1045"/>
  <c r="AP128" i="1045"/>
  <c r="AR127" i="1045"/>
  <c r="AP125" i="1045"/>
  <c r="AR125" i="1045"/>
  <c r="AQ125" i="1045"/>
  <c r="AP124" i="1045"/>
  <c r="AR124" i="1045"/>
  <c r="AQ124" i="1045"/>
  <c r="AP123" i="1045"/>
  <c r="AR123" i="1045"/>
  <c r="AQ123" i="1045"/>
  <c r="AR122" i="1045"/>
  <c r="AQ122" i="1045"/>
  <c r="AP121" i="1045"/>
  <c r="AR121" i="1045"/>
  <c r="AQ121" i="1045"/>
  <c r="AP120" i="1045"/>
  <c r="AR120" i="1045"/>
  <c r="AQ120" i="1045"/>
  <c r="AP119" i="1045"/>
  <c r="AR119" i="1045"/>
  <c r="AQ119" i="1045"/>
  <c r="AR112" i="1045"/>
  <c r="AQ112" i="1045"/>
  <c r="AP112" i="1045"/>
  <c r="AR111" i="1045"/>
  <c r="AQ111" i="1045"/>
  <c r="AP111" i="1045"/>
  <c r="AR109" i="1045"/>
  <c r="AQ109" i="1045"/>
  <c r="AQ110" i="1045" s="1"/>
  <c r="AP109" i="1045"/>
  <c r="AP108" i="1045"/>
  <c r="AR108" i="1045"/>
  <c r="AQ108" i="1045"/>
  <c r="AR107" i="1045"/>
  <c r="AQ107" i="1045"/>
  <c r="AP106" i="1045"/>
  <c r="AR106" i="1045"/>
  <c r="AQ106" i="1045"/>
  <c r="AP98" i="1045"/>
  <c r="AP97" i="1045" s="1"/>
  <c r="AR98" i="1045"/>
  <c r="AR97" i="1045" s="1"/>
  <c r="AQ98" i="1045"/>
  <c r="AQ97" i="1045" s="1"/>
  <c r="AR96" i="1045"/>
  <c r="AQ96" i="1045"/>
  <c r="AP91" i="1045"/>
  <c r="AR91" i="1045"/>
  <c r="AQ91" i="1045"/>
  <c r="AP90" i="1045"/>
  <c r="AR90" i="1045"/>
  <c r="AQ90" i="1045"/>
  <c r="AP89" i="1045"/>
  <c r="AR89" i="1045"/>
  <c r="AQ89" i="1045"/>
  <c r="AR88" i="1045"/>
  <c r="AQ88" i="1045"/>
  <c r="AR87" i="1045"/>
  <c r="AQ87" i="1045"/>
  <c r="AR86" i="1045"/>
  <c r="AQ86" i="1045"/>
  <c r="AR85" i="1045"/>
  <c r="AQ85" i="1045"/>
  <c r="AR84" i="1045"/>
  <c r="AR82" i="1045"/>
  <c r="AQ82" i="1045"/>
  <c r="AR81" i="1045"/>
  <c r="AQ81" i="1045"/>
  <c r="AR80" i="1045"/>
  <c r="AP80" i="1045"/>
  <c r="AQ80" i="1045"/>
  <c r="AR79" i="1045"/>
  <c r="AQ77" i="1045"/>
  <c r="AQ79" i="1045"/>
  <c r="AR78" i="1045"/>
  <c r="AQ78" i="1045"/>
  <c r="AR76" i="1045"/>
  <c r="AP76" i="1045"/>
  <c r="AQ76" i="1045"/>
  <c r="AR75" i="1045"/>
  <c r="AQ75" i="1045"/>
  <c r="AR74" i="1045"/>
  <c r="AQ74" i="1045"/>
  <c r="AR73" i="1045"/>
  <c r="AQ73" i="1045"/>
  <c r="AR72" i="1045"/>
  <c r="AQ72" i="1045"/>
  <c r="AR49" i="1045"/>
  <c r="AR70" i="1045" s="1"/>
  <c r="AQ49" i="1045"/>
  <c r="AQ70" i="1045" s="1"/>
  <c r="AR48" i="1045"/>
  <c r="AR69" i="1045" s="1"/>
  <c r="AQ48" i="1045"/>
  <c r="AQ69" i="1045" s="1"/>
  <c r="AR47" i="1045"/>
  <c r="AR68" i="1045" s="1"/>
  <c r="AQ47" i="1045"/>
  <c r="AQ68" i="1045" s="1"/>
  <c r="AR46" i="1045"/>
  <c r="AR67" i="1045" s="1"/>
  <c r="AQ46" i="1045"/>
  <c r="AQ67" i="1045" s="1"/>
  <c r="AR45" i="1045"/>
  <c r="AR66" i="1045" s="1"/>
  <c r="AQ45" i="1045"/>
  <c r="AQ66" i="1045" s="1"/>
  <c r="AP43" i="1045"/>
  <c r="AP64" i="1045" s="1"/>
  <c r="AR43" i="1045"/>
  <c r="AR64" i="1045" s="1"/>
  <c r="AQ43" i="1045"/>
  <c r="AQ64" i="1045" s="1"/>
  <c r="AP42" i="1045"/>
  <c r="AP63" i="1045" s="1"/>
  <c r="AR42" i="1045"/>
  <c r="AR63" i="1045" s="1"/>
  <c r="AQ42" i="1045"/>
  <c r="AQ63" i="1045" s="1"/>
  <c r="AP41" i="1045"/>
  <c r="AP62" i="1045" s="1"/>
  <c r="AR41" i="1045"/>
  <c r="AR62" i="1045" s="1"/>
  <c r="AQ41" i="1045"/>
  <c r="AQ62" i="1045" s="1"/>
  <c r="AP40" i="1045"/>
  <c r="AP61" i="1045" s="1"/>
  <c r="AR40" i="1045"/>
  <c r="AR61" i="1045" s="1"/>
  <c r="AQ40" i="1045"/>
  <c r="AQ61" i="1045" s="1"/>
  <c r="AP39" i="1045"/>
  <c r="AP60" i="1045" s="1"/>
  <c r="AR39" i="1045"/>
  <c r="AR60" i="1045" s="1"/>
  <c r="AQ39" i="1045"/>
  <c r="AQ60" i="1045" s="1"/>
  <c r="AR38" i="1045"/>
  <c r="AR59" i="1045" s="1"/>
  <c r="AR36" i="1045"/>
  <c r="AR56" i="1045" s="1"/>
  <c r="AQ36" i="1045"/>
  <c r="AQ56" i="1045" s="1"/>
  <c r="AR35" i="1045"/>
  <c r="AR55" i="1045" s="1"/>
  <c r="AQ35" i="1045"/>
  <c r="AQ55" i="1045" s="1"/>
  <c r="AR34" i="1045"/>
  <c r="AR54" i="1045" s="1"/>
  <c r="AQ34" i="1045"/>
  <c r="AQ54" i="1045" s="1"/>
  <c r="AR33" i="1045"/>
  <c r="AR53" i="1045" s="1"/>
  <c r="AQ33" i="1045"/>
  <c r="AQ53" i="1045" s="1"/>
  <c r="AR32" i="1045"/>
  <c r="AR52" i="1045" s="1"/>
  <c r="AQ32" i="1045"/>
  <c r="AQ52" i="1045" s="1"/>
  <c r="AP27" i="1045"/>
  <c r="AR27" i="1045"/>
  <c r="AQ27" i="1045"/>
  <c r="AP26" i="1045"/>
  <c r="AR26" i="1045"/>
  <c r="AQ26" i="1045"/>
  <c r="AP305" i="1005"/>
  <c r="AR305" i="1005"/>
  <c r="AQ305" i="1005"/>
  <c r="AM305" i="1005"/>
  <c r="AP213" i="1005"/>
  <c r="AR213" i="1005"/>
  <c r="AQ213" i="1005"/>
  <c r="AP212" i="1005"/>
  <c r="AR212" i="1005"/>
  <c r="AQ212" i="1005"/>
  <c r="AP211" i="1005"/>
  <c r="AR211" i="1005"/>
  <c r="AQ211" i="1005"/>
  <c r="AR210" i="1005"/>
  <c r="AQ210" i="1005"/>
  <c r="AR208" i="1005"/>
  <c r="AQ208" i="1005"/>
  <c r="AR207" i="1005"/>
  <c r="AQ207" i="1005"/>
  <c r="AP207" i="1005"/>
  <c r="AR92" i="1124"/>
  <c r="X14" i="1037"/>
  <c r="W14" i="1037"/>
  <c r="V14" i="1037"/>
  <c r="U14" i="1037"/>
  <c r="T14" i="1037"/>
  <c r="S14" i="1037"/>
  <c r="R14" i="1037"/>
  <c r="Q14" i="1037"/>
  <c r="W43" i="1042"/>
  <c r="W42" i="1042"/>
  <c r="W41" i="1042"/>
  <c r="W40" i="1042"/>
  <c r="W39" i="1042"/>
  <c r="W38" i="1042"/>
  <c r="W37" i="1042"/>
  <c r="W36" i="1042"/>
  <c r="W35" i="1042"/>
  <c r="W34" i="1042"/>
  <c r="W33" i="1042"/>
  <c r="W32" i="1042"/>
  <c r="Y31" i="1042"/>
  <c r="Y29" i="1042" s="1"/>
  <c r="X31" i="1042"/>
  <c r="X29" i="1042" s="1"/>
  <c r="F119" i="1043"/>
  <c r="F119" i="1042"/>
  <c r="AC43" i="1001"/>
  <c r="AC42" i="1001"/>
  <c r="AC41" i="1001"/>
  <c r="AC40" i="1001"/>
  <c r="AC39" i="1001"/>
  <c r="AC38" i="1001"/>
  <c r="AC37" i="1001"/>
  <c r="AC36" i="1001"/>
  <c r="AC35" i="1001"/>
  <c r="AC34" i="1001"/>
  <c r="AC33" i="1001"/>
  <c r="AC32" i="1001"/>
  <c r="F119" i="1002"/>
  <c r="F119" i="1001"/>
  <c r="AT59" i="1106"/>
  <c r="AT57" i="1106" s="1"/>
  <c r="U59" i="1106"/>
  <c r="U57" i="1106" s="1"/>
  <c r="Q59" i="939"/>
  <c r="Q57" i="939" s="1"/>
  <c r="F118" i="939"/>
  <c r="F119" i="1106"/>
  <c r="CI12" i="936"/>
  <c r="G4" i="1109"/>
  <c r="G4" i="936"/>
  <c r="AM342" i="1124"/>
  <c r="AM341" i="1124"/>
  <c r="AM339" i="1124"/>
  <c r="AM338" i="1124"/>
  <c r="AM336" i="1124"/>
  <c r="AM335" i="1124"/>
  <c r="AM333" i="1124"/>
  <c r="AM332" i="1124"/>
  <c r="AM330" i="1124"/>
  <c r="AM329" i="1124"/>
  <c r="AM327" i="1124"/>
  <c r="AM326" i="1124"/>
  <c r="AM324" i="1124"/>
  <c r="AM323" i="1124"/>
  <c r="AM318" i="1124"/>
  <c r="AM317" i="1124"/>
  <c r="AM315" i="1124"/>
  <c r="AM314" i="1124"/>
  <c r="AM312" i="1124"/>
  <c r="AM311" i="1124"/>
  <c r="AM309" i="1124"/>
  <c r="AM308" i="1124"/>
  <c r="AM306" i="1124"/>
  <c r="AM305" i="1124"/>
  <c r="AM303" i="1124"/>
  <c r="AM302" i="1124"/>
  <c r="AM300" i="1124"/>
  <c r="AM299" i="1124"/>
  <c r="AM297" i="1124"/>
  <c r="AM296" i="1124"/>
  <c r="AM294" i="1124"/>
  <c r="AM293" i="1124"/>
  <c r="AM291" i="1124"/>
  <c r="AM290" i="1124"/>
  <c r="AM288" i="1124"/>
  <c r="AM287" i="1124"/>
  <c r="AM285" i="1124"/>
  <c r="AM284" i="1124"/>
  <c r="AM282" i="1124"/>
  <c r="AM281" i="1124"/>
  <c r="AM279" i="1124"/>
  <c r="AM278" i="1124"/>
  <c r="AM276" i="1124"/>
  <c r="AM275" i="1124"/>
  <c r="AM273" i="1124"/>
  <c r="AM272" i="1124"/>
  <c r="AM270" i="1124"/>
  <c r="AM269" i="1124"/>
  <c r="AM267" i="1124"/>
  <c r="AM266" i="1124"/>
  <c r="AM264" i="1124"/>
  <c r="AM263" i="1124"/>
  <c r="AM258" i="1124"/>
  <c r="AM257" i="1124"/>
  <c r="AM255" i="1124"/>
  <c r="AM254" i="1124"/>
  <c r="AM252" i="1124"/>
  <c r="AM251" i="1124"/>
  <c r="AM249" i="1124"/>
  <c r="AM248" i="1124"/>
  <c r="AM246" i="1124"/>
  <c r="AM245" i="1124"/>
  <c r="AM243" i="1124"/>
  <c r="AM242" i="1124"/>
  <c r="AM240" i="1124"/>
  <c r="AM239" i="1124"/>
  <c r="AM234" i="1124"/>
  <c r="AM233" i="1124"/>
  <c r="AM231" i="1124"/>
  <c r="AM230" i="1124"/>
  <c r="AM228" i="1124"/>
  <c r="AM227" i="1124"/>
  <c r="AM225" i="1124"/>
  <c r="AM224" i="1124"/>
  <c r="AM222" i="1124"/>
  <c r="AM221" i="1124"/>
  <c r="AM219" i="1124"/>
  <c r="AM218" i="1124"/>
  <c r="AM216" i="1124"/>
  <c r="AM215" i="1124"/>
  <c r="AM213" i="1124"/>
  <c r="AM212" i="1124"/>
  <c r="AM210" i="1124"/>
  <c r="AM209" i="1124"/>
  <c r="AM207" i="1124"/>
  <c r="AM206" i="1124"/>
  <c r="AM204" i="1124"/>
  <c r="AM203" i="1124"/>
  <c r="AM201" i="1124"/>
  <c r="AM200" i="1124"/>
  <c r="AM198" i="1124"/>
  <c r="AM197" i="1124"/>
  <c r="AM195" i="1124"/>
  <c r="AM194" i="1124"/>
  <c r="AM192" i="1124"/>
  <c r="AM191" i="1124"/>
  <c r="AM189" i="1124"/>
  <c r="AM188" i="1124"/>
  <c r="AM186" i="1124"/>
  <c r="AM185" i="1124"/>
  <c r="AM183" i="1124"/>
  <c r="AM182" i="1124"/>
  <c r="AM180" i="1124"/>
  <c r="AM179" i="1124"/>
  <c r="AM177" i="1124"/>
  <c r="AM176" i="1124"/>
  <c r="AM174" i="1124"/>
  <c r="AM173" i="1124"/>
  <c r="AM171" i="1124"/>
  <c r="AM170" i="1124"/>
  <c r="AM168" i="1124"/>
  <c r="AM167" i="1124"/>
  <c r="AM165" i="1124"/>
  <c r="AM164" i="1124"/>
  <c r="AM162" i="1124"/>
  <c r="AM161" i="1124"/>
  <c r="AM159" i="1124"/>
  <c r="AM158" i="1124"/>
  <c r="AM156" i="1124"/>
  <c r="AM155" i="1124"/>
  <c r="AM153" i="1124"/>
  <c r="AM152" i="1124"/>
  <c r="AM150" i="1124"/>
  <c r="AM149" i="1124"/>
  <c r="AM147" i="1124"/>
  <c r="AM146" i="1124"/>
  <c r="AM144" i="1124"/>
  <c r="AM143" i="1124"/>
  <c r="AM141" i="1124"/>
  <c r="AM140" i="1124"/>
  <c r="AM138" i="1124"/>
  <c r="AM137" i="1124"/>
  <c r="AM135" i="1124"/>
  <c r="AM134" i="1124"/>
  <c r="AM132" i="1124"/>
  <c r="AM131" i="1124"/>
  <c r="AM129" i="1124"/>
  <c r="AM128" i="1124"/>
  <c r="AM126" i="1124"/>
  <c r="AM125" i="1124"/>
  <c r="AM123" i="1124"/>
  <c r="AM122" i="1124"/>
  <c r="AM120" i="1124"/>
  <c r="AM119" i="1124"/>
  <c r="AM117" i="1124"/>
  <c r="AM116" i="1124"/>
  <c r="AM114" i="1124"/>
  <c r="AM113" i="1124"/>
  <c r="AM111" i="1124"/>
  <c r="AM110" i="1124"/>
  <c r="AM108" i="1124"/>
  <c r="AM107" i="1124"/>
  <c r="AM105" i="1124"/>
  <c r="AM104" i="1124"/>
  <c r="AM102" i="1124"/>
  <c r="AM101" i="1124"/>
  <c r="AM99" i="1124"/>
  <c r="AM98" i="1124"/>
  <c r="AM96" i="1124"/>
  <c r="AM95" i="1124"/>
  <c r="AM71" i="1124"/>
  <c r="AM70" i="1124"/>
  <c r="AM68" i="1124"/>
  <c r="AM67" i="1124"/>
  <c r="AM61" i="1124"/>
  <c r="AM60" i="1124"/>
  <c r="AM49" i="1124"/>
  <c r="AM48" i="1124"/>
  <c r="AM37" i="1124"/>
  <c r="AM36" i="1124"/>
  <c r="AM34" i="1124"/>
  <c r="AM33" i="1124"/>
  <c r="AM31" i="1124"/>
  <c r="AM30" i="1124"/>
  <c r="AM341" i="1121"/>
  <c r="AM338" i="1121"/>
  <c r="AM335" i="1121"/>
  <c r="AM332" i="1121"/>
  <c r="AM329" i="1121"/>
  <c r="AM326" i="1121"/>
  <c r="AM323" i="1121"/>
  <c r="AM317" i="1121"/>
  <c r="AM314" i="1121"/>
  <c r="AM311" i="1121"/>
  <c r="AM308" i="1121"/>
  <c r="AM305" i="1121"/>
  <c r="AM302" i="1121"/>
  <c r="AM299" i="1121"/>
  <c r="AM296" i="1121"/>
  <c r="AM293" i="1121"/>
  <c r="AM290" i="1121"/>
  <c r="AM287" i="1121"/>
  <c r="AM284" i="1121"/>
  <c r="AM281" i="1121"/>
  <c r="AM278" i="1121"/>
  <c r="AM275" i="1121"/>
  <c r="AM272" i="1121"/>
  <c r="AM269" i="1121"/>
  <c r="AM266" i="1121"/>
  <c r="AM263" i="1121"/>
  <c r="AM257" i="1121"/>
  <c r="AM254" i="1121"/>
  <c r="AM251" i="1121"/>
  <c r="AM248" i="1121"/>
  <c r="AM245" i="1121"/>
  <c r="AM242" i="1121"/>
  <c r="AM239" i="1121"/>
  <c r="AM233" i="1121"/>
  <c r="AM230" i="1121"/>
  <c r="AM227" i="1121"/>
  <c r="AM224" i="1121"/>
  <c r="AM221" i="1121"/>
  <c r="AM218" i="1121"/>
  <c r="AM215" i="1121"/>
  <c r="AM212" i="1121"/>
  <c r="AM209" i="1121"/>
  <c r="AM206" i="1121"/>
  <c r="AM203" i="1121"/>
  <c r="AM200" i="1121"/>
  <c r="AM197" i="1121"/>
  <c r="AM194" i="1121"/>
  <c r="AM191" i="1121"/>
  <c r="AM188" i="1121"/>
  <c r="AM185" i="1121"/>
  <c r="AM182" i="1121"/>
  <c r="AM179" i="1121"/>
  <c r="AM176" i="1121"/>
  <c r="AM173" i="1121"/>
  <c r="AM170" i="1121"/>
  <c r="AM167" i="1121"/>
  <c r="AM164" i="1121"/>
  <c r="AM161" i="1121"/>
  <c r="AM158" i="1121"/>
  <c r="AM155" i="1121"/>
  <c r="AM152" i="1121"/>
  <c r="AM149" i="1121"/>
  <c r="AM146" i="1121"/>
  <c r="AM143" i="1121"/>
  <c r="AM140" i="1121"/>
  <c r="AM137" i="1121"/>
  <c r="AM134" i="1121"/>
  <c r="AM131" i="1121"/>
  <c r="AM128" i="1121"/>
  <c r="AM125" i="1121"/>
  <c r="AM122" i="1121"/>
  <c r="AM119" i="1121"/>
  <c r="AM116" i="1121"/>
  <c r="AM113" i="1121"/>
  <c r="AM110" i="1121"/>
  <c r="AM107" i="1121"/>
  <c r="AM104" i="1121"/>
  <c r="AM101" i="1121"/>
  <c r="AM98" i="1121"/>
  <c r="AM95" i="1121"/>
  <c r="AM70" i="1121"/>
  <c r="AM67" i="1121"/>
  <c r="AM60" i="1121"/>
  <c r="AM48" i="1121"/>
  <c r="AM36" i="1121"/>
  <c r="AM33" i="1121"/>
  <c r="AM30" i="1121"/>
  <c r="AM342" i="1121"/>
  <c r="AM339" i="1121"/>
  <c r="AM336" i="1121"/>
  <c r="AM333" i="1121"/>
  <c r="AM330" i="1121"/>
  <c r="AM327" i="1121"/>
  <c r="AM324" i="1121"/>
  <c r="AM318" i="1121"/>
  <c r="AM315" i="1121"/>
  <c r="AM312" i="1121"/>
  <c r="AM309" i="1121"/>
  <c r="AM306" i="1121"/>
  <c r="AM303" i="1121"/>
  <c r="AM300" i="1121"/>
  <c r="AM297" i="1121"/>
  <c r="AM294" i="1121"/>
  <c r="AM291" i="1121"/>
  <c r="AM288" i="1121"/>
  <c r="AM285" i="1121"/>
  <c r="AM282" i="1121"/>
  <c r="AM279" i="1121"/>
  <c r="AM276" i="1121"/>
  <c r="AM273" i="1121"/>
  <c r="AM270" i="1121"/>
  <c r="AM267" i="1121"/>
  <c r="AM264" i="1121"/>
  <c r="AM258" i="1121"/>
  <c r="AM255" i="1121"/>
  <c r="AM252" i="1121"/>
  <c r="AM249" i="1121"/>
  <c r="AM246" i="1121"/>
  <c r="AM243" i="1121"/>
  <c r="AM240" i="1121"/>
  <c r="AM234" i="1121"/>
  <c r="AM231" i="1121"/>
  <c r="AM228" i="1121"/>
  <c r="AM225" i="1121"/>
  <c r="AM222" i="1121"/>
  <c r="AM219" i="1121"/>
  <c r="AM216" i="1121"/>
  <c r="AM213" i="1121"/>
  <c r="AM210" i="1121"/>
  <c r="AM207" i="1121"/>
  <c r="AM204" i="1121"/>
  <c r="AM201" i="1121"/>
  <c r="AM198" i="1121"/>
  <c r="AM195" i="1121"/>
  <c r="AM192" i="1121"/>
  <c r="AM189" i="1121"/>
  <c r="AM186" i="1121"/>
  <c r="AM183" i="1121"/>
  <c r="AM180" i="1121"/>
  <c r="AM177" i="1121"/>
  <c r="AM174" i="1121"/>
  <c r="AM171" i="1121"/>
  <c r="AM168" i="1121"/>
  <c r="AM165" i="1121"/>
  <c r="AM162" i="1121"/>
  <c r="AM159" i="1121"/>
  <c r="AM156" i="1121"/>
  <c r="AM153" i="1121"/>
  <c r="AM150" i="1121"/>
  <c r="AM147" i="1121"/>
  <c r="AM144" i="1121"/>
  <c r="AM141" i="1121"/>
  <c r="AM138" i="1121"/>
  <c r="AM135" i="1121"/>
  <c r="AM132" i="1121"/>
  <c r="AM129" i="1121"/>
  <c r="AM126" i="1121"/>
  <c r="AM123" i="1121"/>
  <c r="AM120" i="1121"/>
  <c r="AM117" i="1121"/>
  <c r="AM114" i="1121"/>
  <c r="AM111" i="1121"/>
  <c r="AM108" i="1121"/>
  <c r="AM105" i="1121"/>
  <c r="AM102" i="1121"/>
  <c r="AM99" i="1121"/>
  <c r="AM96" i="1121"/>
  <c r="AM71" i="1121"/>
  <c r="AM68" i="1121"/>
  <c r="AM61" i="1121"/>
  <c r="AM49" i="1121"/>
  <c r="AM37" i="1121"/>
  <c r="AM34" i="1121"/>
  <c r="AM31" i="1121"/>
  <c r="AM302" i="1045"/>
  <c r="AM303" i="1045" s="1"/>
  <c r="AM299" i="1045"/>
  <c r="AM296" i="1045"/>
  <c r="AM298" i="1045" s="1"/>
  <c r="AM293" i="1045"/>
  <c r="AM295" i="1045" s="1"/>
  <c r="AM292" i="1045"/>
  <c r="AM291" i="1045"/>
  <c r="AM302" i="1005"/>
  <c r="AM304" i="1005" s="1"/>
  <c r="AM299" i="1005"/>
  <c r="AM301" i="1005" s="1"/>
  <c r="AM296" i="1005"/>
  <c r="AM297" i="1005" s="1"/>
  <c r="AM293" i="1005"/>
  <c r="AM294" i="1005" s="1"/>
  <c r="AM292" i="1005"/>
  <c r="AM291" i="1005"/>
  <c r="N31" i="1001"/>
  <c r="N29" i="1001" s="1"/>
  <c r="AA31" i="1001"/>
  <c r="AA29" i="1001" s="1"/>
  <c r="P29" i="1001"/>
  <c r="O29" i="1001"/>
  <c r="AA29" i="1042"/>
  <c r="Z29" i="1042"/>
  <c r="T43" i="1042"/>
  <c r="T42" i="1042"/>
  <c r="T41" i="1042"/>
  <c r="T40" i="1042"/>
  <c r="T39" i="1042"/>
  <c r="T38" i="1042"/>
  <c r="T37" i="1042"/>
  <c r="T36" i="1042"/>
  <c r="T35" i="1042"/>
  <c r="T34" i="1042"/>
  <c r="T31" i="1042" s="1"/>
  <c r="T29" i="1042" s="1"/>
  <c r="T33" i="1042"/>
  <c r="T32" i="1042"/>
  <c r="Q43" i="1042"/>
  <c r="Q42" i="1042"/>
  <c r="Q41" i="1042"/>
  <c r="Q40" i="1042"/>
  <c r="Q39" i="1042"/>
  <c r="Q38" i="1042"/>
  <c r="Q37" i="1042"/>
  <c r="Q36" i="1042"/>
  <c r="Q35" i="1042"/>
  <c r="Q34" i="1042"/>
  <c r="Q33" i="1042"/>
  <c r="Q32" i="1042"/>
  <c r="N33" i="1042"/>
  <c r="N34" i="1042"/>
  <c r="M34" i="1042" s="1"/>
  <c r="K34" i="1042" s="1"/>
  <c r="N35" i="1042"/>
  <c r="N36" i="1042"/>
  <c r="M36" i="1042" s="1"/>
  <c r="K36" i="1042" s="1"/>
  <c r="N37" i="1042"/>
  <c r="N38" i="1042"/>
  <c r="M38" i="1042" s="1"/>
  <c r="K38" i="1042" s="1"/>
  <c r="N39" i="1042"/>
  <c r="N40" i="1042"/>
  <c r="N41" i="1042"/>
  <c r="N42" i="1042"/>
  <c r="M42" i="1042" s="1"/>
  <c r="K42" i="1042" s="1"/>
  <c r="N43" i="1042"/>
  <c r="N32" i="1042"/>
  <c r="M32" i="1042" s="1"/>
  <c r="K32" i="1042" s="1"/>
  <c r="V31" i="1042"/>
  <c r="V29" i="1042"/>
  <c r="U31" i="1042"/>
  <c r="U29" i="1042" s="1"/>
  <c r="S31" i="1042"/>
  <c r="S29" i="1042" s="1"/>
  <c r="R31" i="1042"/>
  <c r="R29" i="1042" s="1"/>
  <c r="P31" i="1042"/>
  <c r="P29" i="1042"/>
  <c r="O31" i="1042"/>
  <c r="O29" i="1042" s="1"/>
  <c r="J29" i="1043"/>
  <c r="J31" i="1043" s="1"/>
  <c r="J29" i="1042"/>
  <c r="J31" i="1042" s="1"/>
  <c r="Z43" i="1043"/>
  <c r="Z42" i="1043"/>
  <c r="Z41" i="1043"/>
  <c r="Z40" i="1043"/>
  <c r="Z39" i="1043"/>
  <c r="Z38" i="1043"/>
  <c r="Z37" i="1043"/>
  <c r="Z36" i="1043"/>
  <c r="Z35" i="1043"/>
  <c r="Z34" i="1043"/>
  <c r="Z33" i="1043"/>
  <c r="Z32" i="1043"/>
  <c r="W43" i="1043"/>
  <c r="W42" i="1043"/>
  <c r="W41" i="1043"/>
  <c r="W40" i="1043"/>
  <c r="W39" i="1043"/>
  <c r="W38" i="1043"/>
  <c r="W37" i="1043"/>
  <c r="W36" i="1043"/>
  <c r="W35" i="1043"/>
  <c r="W34" i="1043"/>
  <c r="W33" i="1043"/>
  <c r="W32" i="1043"/>
  <c r="T43" i="1043"/>
  <c r="T42" i="1043"/>
  <c r="T41" i="1043"/>
  <c r="T40" i="1043"/>
  <c r="T39" i="1043"/>
  <c r="T38" i="1043"/>
  <c r="Q38" i="1043"/>
  <c r="T37" i="1043"/>
  <c r="T36" i="1043"/>
  <c r="T35" i="1043"/>
  <c r="T34" i="1043"/>
  <c r="Q34" i="1043"/>
  <c r="T33" i="1043"/>
  <c r="T32" i="1043"/>
  <c r="Q43" i="1043"/>
  <c r="Q42" i="1043"/>
  <c r="O42" i="1043" s="1"/>
  <c r="Q41" i="1043"/>
  <c r="Q40" i="1043"/>
  <c r="Q39" i="1043"/>
  <c r="Q37" i="1043"/>
  <c r="O37" i="1043" s="1"/>
  <c r="Q36" i="1043"/>
  <c r="Q35" i="1043"/>
  <c r="Q33" i="1043"/>
  <c r="Q32" i="1043"/>
  <c r="O32" i="1043" s="1"/>
  <c r="AA31" i="1043"/>
  <c r="AA29" i="1043" s="1"/>
  <c r="Y31" i="1043"/>
  <c r="Y29" i="1043" s="1"/>
  <c r="X31" i="1043"/>
  <c r="X29" i="1043" s="1"/>
  <c r="V31" i="1043"/>
  <c r="V29" i="1043" s="1"/>
  <c r="U31" i="1043"/>
  <c r="U29" i="1043" s="1"/>
  <c r="S31" i="1043"/>
  <c r="S29" i="1043" s="1"/>
  <c r="R31" i="1043"/>
  <c r="R29" i="1043" s="1"/>
  <c r="M29" i="1043"/>
  <c r="L29" i="1043"/>
  <c r="AA43" i="1002"/>
  <c r="AA42" i="1002"/>
  <c r="AA41" i="1002"/>
  <c r="AA40" i="1002"/>
  <c r="AA39" i="1002"/>
  <c r="AA38" i="1002"/>
  <c r="AA37" i="1002"/>
  <c r="AA36" i="1002"/>
  <c r="AA35" i="1002"/>
  <c r="AA34" i="1002"/>
  <c r="AA33" i="1002"/>
  <c r="AA32" i="1002"/>
  <c r="X43" i="1002"/>
  <c r="X42" i="1002"/>
  <c r="X41" i="1002"/>
  <c r="P41" i="1002" s="1"/>
  <c r="U41" i="1002"/>
  <c r="R41" i="1002"/>
  <c r="X40" i="1002"/>
  <c r="X39" i="1002"/>
  <c r="X38" i="1002"/>
  <c r="X37" i="1002"/>
  <c r="X36" i="1002"/>
  <c r="X35" i="1002"/>
  <c r="X34" i="1002"/>
  <c r="X33" i="1002"/>
  <c r="X32" i="1002"/>
  <c r="U43" i="1002"/>
  <c r="U42" i="1002"/>
  <c r="U40" i="1002"/>
  <c r="U39" i="1002"/>
  <c r="U38" i="1002"/>
  <c r="U37" i="1002"/>
  <c r="U36" i="1002"/>
  <c r="U35" i="1002"/>
  <c r="U34" i="1002"/>
  <c r="U33" i="1002"/>
  <c r="U32" i="1002"/>
  <c r="R32" i="1002"/>
  <c r="R33" i="1002"/>
  <c r="R34" i="1002"/>
  <c r="R35" i="1002"/>
  <c r="R36" i="1002"/>
  <c r="R37" i="1002"/>
  <c r="R38" i="1002"/>
  <c r="R39" i="1002"/>
  <c r="R40" i="1002"/>
  <c r="P40" i="1002" s="1"/>
  <c r="R42" i="1002"/>
  <c r="R43" i="1002"/>
  <c r="AC31" i="1002"/>
  <c r="AC29" i="1002" s="1"/>
  <c r="AB31" i="1002"/>
  <c r="AB29" i="1002" s="1"/>
  <c r="Z31" i="1002"/>
  <c r="Z29" i="1002" s="1"/>
  <c r="Y31" i="1002"/>
  <c r="Y29" i="1002" s="1"/>
  <c r="W31" i="1002"/>
  <c r="W29" i="1002" s="1"/>
  <c r="V31" i="1002"/>
  <c r="V29" i="1002" s="1"/>
  <c r="T31" i="1002"/>
  <c r="T29" i="1002" s="1"/>
  <c r="S31" i="1002"/>
  <c r="S29" i="1002" s="1"/>
  <c r="N29" i="1002"/>
  <c r="M29" i="1002"/>
  <c r="L29" i="1002"/>
  <c r="AM43" i="1001"/>
  <c r="AM42" i="1001"/>
  <c r="AM41" i="1001"/>
  <c r="AM40" i="1001"/>
  <c r="AM39" i="1001"/>
  <c r="AM38" i="1001"/>
  <c r="AM37" i="1001"/>
  <c r="AM36" i="1001"/>
  <c r="AM35" i="1001"/>
  <c r="AM34" i="1001"/>
  <c r="AM33" i="1001"/>
  <c r="AM32" i="1001"/>
  <c r="AJ43" i="1001"/>
  <c r="AJ42" i="1001"/>
  <c r="AJ41" i="1001"/>
  <c r="AJ40" i="1001"/>
  <c r="AJ39" i="1001"/>
  <c r="AJ38" i="1001"/>
  <c r="AJ37" i="1001"/>
  <c r="AJ36" i="1001"/>
  <c r="AJ35" i="1001"/>
  <c r="AJ34" i="1001"/>
  <c r="AJ33" i="1001"/>
  <c r="AJ32" i="1001"/>
  <c r="AG32" i="1001"/>
  <c r="AG33" i="1001"/>
  <c r="AG34" i="1001"/>
  <c r="AG35" i="1001"/>
  <c r="AG36" i="1001"/>
  <c r="AG37" i="1001"/>
  <c r="AG38" i="1001"/>
  <c r="AG39" i="1001"/>
  <c r="AG40" i="1001"/>
  <c r="AG41" i="1001"/>
  <c r="AG42" i="1001"/>
  <c r="AF42" i="1001" s="1"/>
  <c r="Y42" i="1001"/>
  <c r="AG43" i="1001"/>
  <c r="AF43" i="1001" s="1"/>
  <c r="AQ31" i="1001"/>
  <c r="AQ29" i="1001" s="1"/>
  <c r="AP31" i="1001"/>
  <c r="AP29" i="1001" s="1"/>
  <c r="AO31" i="1001"/>
  <c r="AO29" i="1001" s="1"/>
  <c r="AN31" i="1001"/>
  <c r="AN29" i="1001" s="1"/>
  <c r="AL31" i="1001"/>
  <c r="AL29" i="1001" s="1"/>
  <c r="AK31" i="1001"/>
  <c r="AK29" i="1001" s="1"/>
  <c r="AI31" i="1001"/>
  <c r="AI29" i="1001" s="1"/>
  <c r="AH31" i="1001"/>
  <c r="AH29" i="1001" s="1"/>
  <c r="AE31" i="1001"/>
  <c r="AE29" i="1001" s="1"/>
  <c r="AD31" i="1001"/>
  <c r="AD29" i="1001" s="1"/>
  <c r="V29" i="1001"/>
  <c r="U29" i="1001"/>
  <c r="T29" i="1001"/>
  <c r="M29" i="1001"/>
  <c r="L29" i="1001"/>
  <c r="Q2" i="968"/>
  <c r="AN22" i="1045"/>
  <c r="F1" i="1043"/>
  <c r="F4" i="1043" s="1"/>
  <c r="F29" i="1043"/>
  <c r="F39" i="1043" s="1"/>
  <c r="N29" i="1043"/>
  <c r="P31" i="1043"/>
  <c r="P29" i="1043" s="1"/>
  <c r="AB31" i="1043"/>
  <c r="AB29" i="1043" s="1"/>
  <c r="F1" i="1042"/>
  <c r="F7" i="1042" s="1"/>
  <c r="F29" i="1042"/>
  <c r="F37" i="1042" s="1"/>
  <c r="AB29" i="1042"/>
  <c r="AD29" i="1042"/>
  <c r="AE29" i="1042"/>
  <c r="AF29" i="1042"/>
  <c r="L31" i="1042"/>
  <c r="L29" i="1042" s="1"/>
  <c r="AC31" i="1042"/>
  <c r="AC29" i="1042" s="1"/>
  <c r="AN22" i="1005"/>
  <c r="F1" i="1002"/>
  <c r="F9" i="1002" s="1"/>
  <c r="F29" i="1002"/>
  <c r="J29" i="1002"/>
  <c r="BA29" i="1002" s="1"/>
  <c r="O29" i="1002"/>
  <c r="Q31" i="1002"/>
  <c r="Q29" i="1002" s="1"/>
  <c r="BA126" i="1002"/>
  <c r="BA127" i="1002"/>
  <c r="T127" i="1002" s="1"/>
  <c r="F1" i="1001"/>
  <c r="F7" i="1001" s="1"/>
  <c r="F29" i="1001"/>
  <c r="F32" i="1001" s="1"/>
  <c r="J29" i="1001"/>
  <c r="J31" i="1001" s="1"/>
  <c r="BA31" i="1001" s="1"/>
  <c r="Q29" i="1001"/>
  <c r="R29" i="1001"/>
  <c r="W29" i="1001"/>
  <c r="Z31" i="1001"/>
  <c r="Z29" i="1001" s="1"/>
  <c r="AB31" i="1001"/>
  <c r="AB29" i="1001" s="1"/>
  <c r="AR31" i="1001"/>
  <c r="AR29" i="1001" s="1"/>
  <c r="AS31" i="1001"/>
  <c r="AS29" i="1001" s="1"/>
  <c r="Y32" i="1001"/>
  <c r="Y33" i="1001"/>
  <c r="Y34" i="1001"/>
  <c r="Y35" i="1001"/>
  <c r="Y36" i="1001"/>
  <c r="Y37" i="1001"/>
  <c r="Y38" i="1001"/>
  <c r="Y39" i="1001"/>
  <c r="Y40" i="1001"/>
  <c r="Y41" i="1001"/>
  <c r="Y43" i="1001"/>
  <c r="BA126" i="1001"/>
  <c r="AL126" i="1001" s="1"/>
  <c r="BA127" i="1001"/>
  <c r="AL127" i="1001" s="1"/>
  <c r="F1" i="939"/>
  <c r="F15" i="939" s="1"/>
  <c r="BP3" i="939"/>
  <c r="CE3" i="939"/>
  <c r="BQ3" i="939"/>
  <c r="BR3" i="939"/>
  <c r="BS3" i="939"/>
  <c r="BT3" i="939"/>
  <c r="BU3" i="939"/>
  <c r="CJ3" i="939"/>
  <c r="BV3" i="939"/>
  <c r="BW3" i="939"/>
  <c r="BX3" i="939"/>
  <c r="BY3" i="939"/>
  <c r="CN3" i="939"/>
  <c r="CF3" i="939"/>
  <c r="CG3" i="939"/>
  <c r="CH3" i="939"/>
  <c r="CI3" i="939"/>
  <c r="CK3" i="939"/>
  <c r="CL3" i="939"/>
  <c r="CM3" i="939"/>
  <c r="F57" i="939"/>
  <c r="F66" i="939" s="1"/>
  <c r="L57" i="939"/>
  <c r="K57" i="939"/>
  <c r="O59" i="939"/>
  <c r="O57" i="939" s="1"/>
  <c r="P59" i="939"/>
  <c r="P57" i="939" s="1"/>
  <c r="R59" i="939"/>
  <c r="R57" i="939" s="1"/>
  <c r="S59" i="939"/>
  <c r="S57" i="939" s="1"/>
  <c r="T59" i="939"/>
  <c r="T57" i="939" s="1"/>
  <c r="BQ59" i="939"/>
  <c r="CF59" i="939"/>
  <c r="BR59" i="939"/>
  <c r="BS59" i="939"/>
  <c r="BV59" i="939"/>
  <c r="BW59" i="939"/>
  <c r="BX59" i="939"/>
  <c r="CM59" i="939"/>
  <c r="CG59" i="939"/>
  <c r="CH59" i="939"/>
  <c r="CK59" i="939"/>
  <c r="CL59" i="939"/>
  <c r="N60" i="939"/>
  <c r="M60" i="939" s="1"/>
  <c r="BQ60" i="939"/>
  <c r="BR60" i="939"/>
  <c r="BS60" i="939"/>
  <c r="BV60" i="939"/>
  <c r="BW60" i="939"/>
  <c r="BX60" i="939"/>
  <c r="N61" i="939"/>
  <c r="N62" i="939"/>
  <c r="M62" i="939" s="1"/>
  <c r="N63" i="939"/>
  <c r="M63" i="939" s="1"/>
  <c r="N64" i="939"/>
  <c r="M64" i="939" s="1"/>
  <c r="N65" i="939"/>
  <c r="M65" i="939" s="1"/>
  <c r="N66" i="939"/>
  <c r="M66" i="939" s="1"/>
  <c r="BQ66" i="939"/>
  <c r="BR66" i="939"/>
  <c r="BS66" i="939"/>
  <c r="BV66" i="939"/>
  <c r="BW66" i="939"/>
  <c r="BX66" i="939"/>
  <c r="N67" i="939"/>
  <c r="M67" i="939" s="1"/>
  <c r="N68" i="939"/>
  <c r="N69" i="939"/>
  <c r="M69" i="939" s="1"/>
  <c r="N70" i="939"/>
  <c r="M70" i="939" s="1"/>
  <c r="N71" i="939"/>
  <c r="M71" i="939" s="1"/>
  <c r="F1" i="1106"/>
  <c r="F3" i="1106" s="1"/>
  <c r="C1" i="1106" s="1"/>
  <c r="F57" i="1106"/>
  <c r="J64" i="1106" s="1"/>
  <c r="L57" i="1106"/>
  <c r="AN57" i="1106"/>
  <c r="P59" i="1106"/>
  <c r="P57" i="1106" s="1"/>
  <c r="Q59" i="1106"/>
  <c r="Q57" i="1106" s="1"/>
  <c r="R59" i="1106"/>
  <c r="R57" i="1106" s="1"/>
  <c r="S59" i="1106"/>
  <c r="S57" i="1106" s="1"/>
  <c r="T59" i="1106"/>
  <c r="T57" i="1106" s="1"/>
  <c r="V59" i="1106"/>
  <c r="V57" i="1106" s="1"/>
  <c r="X57" i="1106"/>
  <c r="AF57" i="1106"/>
  <c r="AG57" i="1106"/>
  <c r="AH57" i="1106"/>
  <c r="AR59" i="1106"/>
  <c r="AR57" i="1106" s="1"/>
  <c r="AS59" i="1106"/>
  <c r="AS57" i="1106" s="1"/>
  <c r="AV59" i="1106"/>
  <c r="AV57" i="1106" s="1"/>
  <c r="AW59" i="1106"/>
  <c r="AW57" i="1106" s="1"/>
  <c r="AX59" i="1106"/>
  <c r="AX57" i="1106" s="1"/>
  <c r="BQ59" i="1106"/>
  <c r="BR59" i="1106"/>
  <c r="BS59" i="1106"/>
  <c r="BV59" i="1106"/>
  <c r="BW59" i="1106"/>
  <c r="BX59" i="1106"/>
  <c r="O60" i="1106"/>
  <c r="M60" i="1106" s="1"/>
  <c r="K60" i="1106" s="1"/>
  <c r="AQ60" i="1106"/>
  <c r="AU60" i="1106"/>
  <c r="BQ60" i="1106"/>
  <c r="BR60" i="1106"/>
  <c r="BS60" i="1106"/>
  <c r="BV60" i="1106"/>
  <c r="BW60" i="1106"/>
  <c r="BX60" i="1106"/>
  <c r="O61" i="1106"/>
  <c r="AQ61" i="1106"/>
  <c r="AU61" i="1106"/>
  <c r="O62" i="1106"/>
  <c r="M62" i="1106" s="1"/>
  <c r="K62" i="1106" s="1"/>
  <c r="AQ62" i="1106"/>
  <c r="AU62" i="1106"/>
  <c r="O63" i="1106"/>
  <c r="M63" i="1106" s="1"/>
  <c r="K63" i="1106" s="1"/>
  <c r="AQ63" i="1106"/>
  <c r="AU63" i="1106"/>
  <c r="O64" i="1106"/>
  <c r="M64" i="1106" s="1"/>
  <c r="K64" i="1106" s="1"/>
  <c r="AQ64" i="1106"/>
  <c r="AU64" i="1106"/>
  <c r="O65" i="1106"/>
  <c r="M65" i="1106" s="1"/>
  <c r="K65" i="1106" s="1"/>
  <c r="AQ65" i="1106"/>
  <c r="AU65" i="1106"/>
  <c r="O66" i="1106"/>
  <c r="M66" i="1106" s="1"/>
  <c r="K66" i="1106" s="1"/>
  <c r="AQ66" i="1106"/>
  <c r="AU66" i="1106"/>
  <c r="BQ66" i="1106"/>
  <c r="BR66" i="1106"/>
  <c r="BS66" i="1106"/>
  <c r="BV66" i="1106"/>
  <c r="BW66" i="1106"/>
  <c r="BX66" i="1106"/>
  <c r="O67" i="1106"/>
  <c r="M67" i="1106" s="1"/>
  <c r="K67" i="1106" s="1"/>
  <c r="AQ67" i="1106"/>
  <c r="AU67" i="1106"/>
  <c r="O68" i="1106"/>
  <c r="M68" i="1106" s="1"/>
  <c r="K68" i="1106" s="1"/>
  <c r="AQ68" i="1106"/>
  <c r="AU68" i="1106"/>
  <c r="O69" i="1106"/>
  <c r="M69" i="1106" s="1"/>
  <c r="K69" i="1106" s="1"/>
  <c r="AQ69" i="1106"/>
  <c r="AU69" i="1106"/>
  <c r="O70" i="1106"/>
  <c r="M70" i="1106" s="1"/>
  <c r="K70" i="1106" s="1"/>
  <c r="AQ70" i="1106"/>
  <c r="AU70" i="1106"/>
  <c r="O71" i="1106"/>
  <c r="M71" i="1106" s="1"/>
  <c r="K71" i="1106" s="1"/>
  <c r="AQ71" i="1106"/>
  <c r="AU71" i="1106"/>
  <c r="CE59" i="939"/>
  <c r="BU66" i="1106"/>
  <c r="AL57" i="1106"/>
  <c r="BP66" i="1106"/>
  <c r="CJ59" i="939"/>
  <c r="BU66" i="939"/>
  <c r="AJ57" i="1106"/>
  <c r="BP60" i="939"/>
  <c r="Y57" i="1106"/>
  <c r="W59" i="1106"/>
  <c r="W57" i="1106" s="1"/>
  <c r="BP59" i="939"/>
  <c r="Q8" i="968"/>
  <c r="BU60" i="939"/>
  <c r="BP59" i="1106"/>
  <c r="BP60" i="1106"/>
  <c r="BU59" i="939"/>
  <c r="BP66" i="939"/>
  <c r="AB57" i="1106"/>
  <c r="BU59" i="1106"/>
  <c r="AI59" i="1106"/>
  <c r="AI57" i="1106" s="1"/>
  <c r="AA59" i="1106"/>
  <c r="AA57" i="1106" s="1"/>
  <c r="BU60" i="1106"/>
  <c r="AE59" i="1106"/>
  <c r="AE57" i="1106" s="1"/>
  <c r="AK57" i="1106"/>
  <c r="AC57" i="1106"/>
  <c r="AP201" i="1005"/>
  <c r="AP130" i="1005"/>
  <c r="AP188" i="1005"/>
  <c r="AP199" i="1005"/>
  <c r="AP159" i="1005"/>
  <c r="AP135" i="1005"/>
  <c r="AP119" i="1005"/>
  <c r="AP190" i="1005"/>
  <c r="AP90" i="1005"/>
  <c r="AP340" i="1124"/>
  <c r="AP328" i="1124"/>
  <c r="AP313" i="1124"/>
  <c r="AP301" i="1124"/>
  <c r="AP289" i="1124"/>
  <c r="AP277" i="1124"/>
  <c r="AP265" i="1124"/>
  <c r="AP253" i="1124"/>
  <c r="AP241" i="1124"/>
  <c r="AP226" i="1124"/>
  <c r="AP214" i="1124"/>
  <c r="AP202" i="1124"/>
  <c r="AP190" i="1124"/>
  <c r="AQ47" i="1124"/>
  <c r="AQ66" i="1124"/>
  <c r="AQ94" i="1124"/>
  <c r="AQ121" i="1124"/>
  <c r="AR337" i="1124"/>
  <c r="AR325" i="1124"/>
  <c r="AR310" i="1124"/>
  <c r="AR298" i="1124"/>
  <c r="AR286" i="1124"/>
  <c r="AR274" i="1124"/>
  <c r="AR262" i="1124"/>
  <c r="AR339" i="1124"/>
  <c r="AR338" i="1124" s="1"/>
  <c r="AR333" i="1124"/>
  <c r="AR332" i="1124" s="1"/>
  <c r="AR327" i="1124"/>
  <c r="AR326" i="1124" s="1"/>
  <c r="AR318" i="1124"/>
  <c r="AR317" i="1124" s="1"/>
  <c r="AR312" i="1124"/>
  <c r="AR311" i="1124" s="1"/>
  <c r="AR306" i="1124"/>
  <c r="AR305" i="1124" s="1"/>
  <c r="AR300" i="1124"/>
  <c r="AR299" i="1124" s="1"/>
  <c r="AR294" i="1124"/>
  <c r="AR293" i="1124" s="1"/>
  <c r="AR288" i="1124"/>
  <c r="AR287" i="1124"/>
  <c r="AR282" i="1124"/>
  <c r="AR281" i="1124" s="1"/>
  <c r="AR276" i="1124"/>
  <c r="AR275" i="1124" s="1"/>
  <c r="AR270" i="1124"/>
  <c r="AR269" i="1124" s="1"/>
  <c r="AR264" i="1124"/>
  <c r="AR263" i="1124"/>
  <c r="AR256" i="1124"/>
  <c r="AR244" i="1124"/>
  <c r="AR229" i="1124"/>
  <c r="AR217" i="1124"/>
  <c r="AR205" i="1124"/>
  <c r="AR193" i="1124"/>
  <c r="AR252" i="1124"/>
  <c r="AR251" i="1124" s="1"/>
  <c r="AR246" i="1124"/>
  <c r="AR245" i="1124" s="1"/>
  <c r="AR240" i="1124"/>
  <c r="AR239" i="1124" s="1"/>
  <c r="AR231" i="1124"/>
  <c r="AR230" i="1124" s="1"/>
  <c r="AR225" i="1124"/>
  <c r="AR224" i="1124" s="1"/>
  <c r="AR219" i="1124"/>
  <c r="AR218" i="1124" s="1"/>
  <c r="AR213" i="1124"/>
  <c r="AR212" i="1124" s="1"/>
  <c r="AR207" i="1124"/>
  <c r="AR206" i="1124" s="1"/>
  <c r="AR201" i="1124"/>
  <c r="AR200" i="1124" s="1"/>
  <c r="AR195" i="1124"/>
  <c r="AR194" i="1124" s="1"/>
  <c r="AR189" i="1124"/>
  <c r="AR188" i="1124" s="1"/>
  <c r="AR181" i="1124"/>
  <c r="AR169" i="1124"/>
  <c r="AR157" i="1124"/>
  <c r="AR145" i="1124"/>
  <c r="AR133" i="1124"/>
  <c r="AQ68" i="1124"/>
  <c r="AQ67" i="1124"/>
  <c r="AP145" i="1124"/>
  <c r="AR171" i="1124"/>
  <c r="AR170" i="1124" s="1"/>
  <c r="AR177" i="1124"/>
  <c r="AR176" i="1124" s="1"/>
  <c r="AR183" i="1124"/>
  <c r="AR182" i="1124" s="1"/>
  <c r="AQ342" i="1124"/>
  <c r="AQ341" i="1124" s="1"/>
  <c r="AQ336" i="1124"/>
  <c r="AQ335" i="1124" s="1"/>
  <c r="AQ330" i="1124"/>
  <c r="AQ329" i="1124" s="1"/>
  <c r="AQ324" i="1124"/>
  <c r="AQ323" i="1124" s="1"/>
  <c r="AQ315" i="1124"/>
  <c r="AQ314" i="1124" s="1"/>
  <c r="AQ309" i="1124"/>
  <c r="AQ308" i="1124" s="1"/>
  <c r="AQ303" i="1124"/>
  <c r="AQ302" i="1124" s="1"/>
  <c r="AQ297" i="1124"/>
  <c r="AQ296" i="1124" s="1"/>
  <c r="AQ291" i="1124"/>
  <c r="AQ290" i="1124" s="1"/>
  <c r="AQ285" i="1124"/>
  <c r="AQ284" i="1124" s="1"/>
  <c r="AQ279" i="1124"/>
  <c r="AQ278" i="1124" s="1"/>
  <c r="AQ273" i="1124"/>
  <c r="AQ272" i="1124" s="1"/>
  <c r="AQ267" i="1124"/>
  <c r="AQ266" i="1124" s="1"/>
  <c r="AQ258" i="1124"/>
  <c r="AQ257" i="1124" s="1"/>
  <c r="AQ331" i="1124"/>
  <c r="AQ313" i="1124"/>
  <c r="AQ277" i="1124"/>
  <c r="AQ247" i="1124"/>
  <c r="AQ229" i="1124"/>
  <c r="AQ211" i="1124"/>
  <c r="AQ298" i="1124"/>
  <c r="AQ193" i="1124"/>
  <c r="AQ187" i="1124"/>
  <c r="AQ169" i="1124"/>
  <c r="AQ154" i="1124"/>
  <c r="AQ139" i="1124"/>
  <c r="AR35" i="1124"/>
  <c r="AP49" i="1124"/>
  <c r="AP48" i="1124" s="1"/>
  <c r="AP68" i="1124"/>
  <c r="AP67" i="1124" s="1"/>
  <c r="AP99" i="1124"/>
  <c r="AP98" i="1124" s="1"/>
  <c r="AR106" i="1124"/>
  <c r="AP111" i="1124"/>
  <c r="AP110" i="1124" s="1"/>
  <c r="AR118" i="1124"/>
  <c r="AP123" i="1124"/>
  <c r="AP122" i="1124" s="1"/>
  <c r="AR130" i="1124"/>
  <c r="AR144" i="1124"/>
  <c r="AR143" i="1124" s="1"/>
  <c r="AP163" i="1124"/>
  <c r="AQ283" i="1124"/>
  <c r="AR37" i="1124"/>
  <c r="AR36" i="1124" s="1"/>
  <c r="AP103" i="1124"/>
  <c r="AR123" i="1124"/>
  <c r="AR122" i="1124" s="1"/>
  <c r="AP169" i="1124"/>
  <c r="AR71" i="1124"/>
  <c r="AR70" i="1124" s="1"/>
  <c r="AP118" i="1124"/>
  <c r="AP136" i="1124"/>
  <c r="AR165" i="1124"/>
  <c r="AR164" i="1124" s="1"/>
  <c r="AP31" i="1124"/>
  <c r="AP30" i="1124" s="1"/>
  <c r="AP121" i="1124"/>
  <c r="AP175" i="1124"/>
  <c r="AP112" i="1124"/>
  <c r="AQ129" i="1124"/>
  <c r="AQ128" i="1124" s="1"/>
  <c r="AQ115" i="1124"/>
  <c r="AQ172" i="1124"/>
  <c r="AQ213" i="1124"/>
  <c r="AQ212" i="1124" s="1"/>
  <c r="AQ225" i="1124"/>
  <c r="AQ224" i="1124" s="1"/>
  <c r="AQ240" i="1124"/>
  <c r="AQ239" i="1124" s="1"/>
  <c r="AQ252" i="1124"/>
  <c r="AQ251" i="1124" s="1"/>
  <c r="AQ214" i="1124"/>
  <c r="AQ289" i="1124"/>
  <c r="AQ346" i="1124"/>
  <c r="AQ106" i="1124"/>
  <c r="AP339" i="1124"/>
  <c r="AP338" i="1124" s="1"/>
  <c r="AP333" i="1124"/>
  <c r="AP332" i="1124" s="1"/>
  <c r="AP327" i="1124"/>
  <c r="AP326" i="1124" s="1"/>
  <c r="AP318" i="1124"/>
  <c r="AP317" i="1124" s="1"/>
  <c r="AP312" i="1124"/>
  <c r="AP311" i="1124" s="1"/>
  <c r="AP306" i="1124"/>
  <c r="AP305" i="1124" s="1"/>
  <c r="AP300" i="1124"/>
  <c r="AP299" i="1124" s="1"/>
  <c r="AP294" i="1124"/>
  <c r="AP293" i="1124" s="1"/>
  <c r="AP288" i="1124"/>
  <c r="AP287" i="1124" s="1"/>
  <c r="AP282" i="1124"/>
  <c r="AP281" i="1124" s="1"/>
  <c r="AP276" i="1124"/>
  <c r="AP275" i="1124" s="1"/>
  <c r="AP270" i="1124"/>
  <c r="AP269" i="1124" s="1"/>
  <c r="AP264" i="1124"/>
  <c r="AP263" i="1124" s="1"/>
  <c r="AP343" i="1124"/>
  <c r="AP331" i="1124"/>
  <c r="AP316" i="1124"/>
  <c r="AP304" i="1124"/>
  <c r="AP292" i="1124"/>
  <c r="AP280" i="1124"/>
  <c r="AP268" i="1124"/>
  <c r="AP255" i="1124"/>
  <c r="AP254" i="1124" s="1"/>
  <c r="AP249" i="1124"/>
  <c r="AP248" i="1124" s="1"/>
  <c r="AP243" i="1124"/>
  <c r="AP242" i="1124" s="1"/>
  <c r="AP234" i="1124"/>
  <c r="AP233" i="1124" s="1"/>
  <c r="AP228" i="1124"/>
  <c r="AP227" i="1124" s="1"/>
  <c r="AP222" i="1124"/>
  <c r="AP221" i="1124" s="1"/>
  <c r="AP216" i="1124"/>
  <c r="AP215" i="1124" s="1"/>
  <c r="AP210" i="1124"/>
  <c r="AP209" i="1124" s="1"/>
  <c r="AP204" i="1124"/>
  <c r="AP203" i="1124" s="1"/>
  <c r="AP198" i="1124"/>
  <c r="AP197" i="1124" s="1"/>
  <c r="AP192" i="1124"/>
  <c r="AP191" i="1124" s="1"/>
  <c r="AP256" i="1124"/>
  <c r="AP244" i="1124"/>
  <c r="AP229" i="1124"/>
  <c r="AP217" i="1124"/>
  <c r="AP205" i="1124"/>
  <c r="AP193" i="1124"/>
  <c r="AP183" i="1124"/>
  <c r="AP182" i="1124" s="1"/>
  <c r="AP177" i="1124"/>
  <c r="AP176" i="1124" s="1"/>
  <c r="AP171" i="1124"/>
  <c r="AP170" i="1124" s="1"/>
  <c r="AP165" i="1124"/>
  <c r="AP164" i="1124" s="1"/>
  <c r="AP159" i="1124"/>
  <c r="AP158" i="1124" s="1"/>
  <c r="AP153" i="1124"/>
  <c r="AP152" i="1124" s="1"/>
  <c r="AP147" i="1124"/>
  <c r="AP146" i="1124" s="1"/>
  <c r="AP141" i="1124"/>
  <c r="AP140" i="1124" s="1"/>
  <c r="AP135" i="1124"/>
  <c r="AP134" i="1124" s="1"/>
  <c r="AQ118" i="1124"/>
  <c r="AR141" i="1124"/>
  <c r="AR140" i="1124" s="1"/>
  <c r="AR340" i="1124"/>
  <c r="AR328" i="1124"/>
  <c r="AR313" i="1124"/>
  <c r="AR301" i="1124"/>
  <c r="AR289" i="1124"/>
  <c r="AR277" i="1124"/>
  <c r="AR265" i="1124"/>
  <c r="AR247" i="1124"/>
  <c r="AR232" i="1124"/>
  <c r="AR220" i="1124"/>
  <c r="AR208" i="1124"/>
  <c r="AR196" i="1124"/>
  <c r="AR184" i="1124"/>
  <c r="AR172" i="1124"/>
  <c r="AR160" i="1124"/>
  <c r="AR148" i="1124"/>
  <c r="AR136" i="1124"/>
  <c r="AQ31" i="1124"/>
  <c r="AQ30" i="1124" s="1"/>
  <c r="AQ49" i="1124"/>
  <c r="AQ48" i="1124" s="1"/>
  <c r="AR64" i="1124"/>
  <c r="AQ99" i="1124"/>
  <c r="AQ98" i="1124" s="1"/>
  <c r="AQ108" i="1124"/>
  <c r="AQ107" i="1124" s="1"/>
  <c r="AQ117" i="1124"/>
  <c r="AQ116" i="1124" s="1"/>
  <c r="AQ123" i="1124"/>
  <c r="AQ122" i="1124" s="1"/>
  <c r="AR150" i="1124"/>
  <c r="AR149" i="1124" s="1"/>
  <c r="AR156" i="1124"/>
  <c r="AR155" i="1124" s="1"/>
  <c r="AQ334" i="1124"/>
  <c r="AQ316" i="1124"/>
  <c r="AQ301" i="1124"/>
  <c r="AQ250" i="1124"/>
  <c r="AQ232" i="1124"/>
  <c r="AQ217" i="1124"/>
  <c r="AQ268" i="1124"/>
  <c r="AQ255" i="1124"/>
  <c r="AQ254" i="1124" s="1"/>
  <c r="AQ243" i="1124"/>
  <c r="AQ242" i="1124" s="1"/>
  <c r="AQ228" i="1124"/>
  <c r="AQ227" i="1124" s="1"/>
  <c r="AQ216" i="1124"/>
  <c r="AQ215" i="1124" s="1"/>
  <c r="AQ201" i="1124"/>
  <c r="AQ200" i="1124" s="1"/>
  <c r="AQ205" i="1124"/>
  <c r="AQ186" i="1124"/>
  <c r="AQ185" i="1124" s="1"/>
  <c r="AQ180" i="1124"/>
  <c r="AQ179" i="1124" s="1"/>
  <c r="AQ174" i="1124"/>
  <c r="AQ173" i="1124" s="1"/>
  <c r="AQ168" i="1124"/>
  <c r="AQ167" i="1124" s="1"/>
  <c r="AQ162" i="1124"/>
  <c r="AQ161" i="1124" s="1"/>
  <c r="AQ156" i="1124"/>
  <c r="AQ155" i="1124" s="1"/>
  <c r="AQ150" i="1124"/>
  <c r="AQ149" i="1124"/>
  <c r="AQ144" i="1124"/>
  <c r="AQ143" i="1124" s="1"/>
  <c r="AQ138" i="1124"/>
  <c r="AQ137" i="1124" s="1"/>
  <c r="AQ132" i="1124"/>
  <c r="AQ131" i="1124" s="1"/>
  <c r="AQ175" i="1124"/>
  <c r="AQ157" i="1124"/>
  <c r="AQ142" i="1124"/>
  <c r="AR47" i="1124"/>
  <c r="AP61" i="1124"/>
  <c r="AP60" i="1124" s="1"/>
  <c r="AR66" i="1124"/>
  <c r="AP71" i="1124"/>
  <c r="AP70" i="1124" s="1"/>
  <c r="AR94" i="1124"/>
  <c r="AR97" i="1124"/>
  <c r="AP102" i="1124"/>
  <c r="AP101" i="1124" s="1"/>
  <c r="AR109" i="1124"/>
  <c r="AP114" i="1124"/>
  <c r="AP113" i="1124" s="1"/>
  <c r="AR121" i="1124"/>
  <c r="AP126" i="1124"/>
  <c r="AP125" i="1124" s="1"/>
  <c r="AP142" i="1124"/>
  <c r="AQ208" i="1124"/>
  <c r="AR68" i="1124"/>
  <c r="AR67" i="1124" s="1"/>
  <c r="AP115" i="1124"/>
  <c r="AP148" i="1124"/>
  <c r="AP29" i="1124"/>
  <c r="AP62" i="1124"/>
  <c r="AR102" i="1124"/>
  <c r="AR101" i="1124" s="1"/>
  <c r="AP130" i="1124"/>
  <c r="AP157" i="1124"/>
  <c r="AR61" i="1124"/>
  <c r="AR60" i="1124" s="1"/>
  <c r="AR105" i="1124"/>
  <c r="AR104" i="1124" s="1"/>
  <c r="AP154" i="1124"/>
  <c r="AR34" i="1124"/>
  <c r="AR33" i="1124" s="1"/>
  <c r="AR96" i="1124"/>
  <c r="AR95" i="1124" s="1"/>
  <c r="AP172" i="1124"/>
  <c r="AP184" i="1124"/>
  <c r="AQ103" i="1124"/>
  <c r="AQ160" i="1124"/>
  <c r="AQ204" i="1124"/>
  <c r="AQ203" i="1124" s="1"/>
  <c r="AQ202" i="1124"/>
  <c r="AQ280" i="1124"/>
  <c r="AQ253" i="1124"/>
  <c r="AQ337" i="1124"/>
  <c r="AQ114" i="1124"/>
  <c r="AQ113" i="1124" s="1"/>
  <c r="AQ109" i="1124"/>
  <c r="AP334" i="1124"/>
  <c r="AP322" i="1124"/>
  <c r="AP307" i="1124"/>
  <c r="AP295" i="1124"/>
  <c r="AP283" i="1124"/>
  <c r="AP271" i="1124"/>
  <c r="AP346" i="1124"/>
  <c r="AP247" i="1124"/>
  <c r="AP232" i="1124"/>
  <c r="AP220" i="1124"/>
  <c r="AP208" i="1124"/>
  <c r="AP196" i="1124"/>
  <c r="AQ62" i="1124"/>
  <c r="AQ90" i="1124"/>
  <c r="AQ100" i="1124"/>
  <c r="AP139" i="1124"/>
  <c r="AR343" i="1124"/>
  <c r="AR331" i="1124"/>
  <c r="AR316" i="1124"/>
  <c r="AR304" i="1124"/>
  <c r="AR292" i="1124"/>
  <c r="AR280" i="1124"/>
  <c r="AR268" i="1124"/>
  <c r="AR342" i="1124"/>
  <c r="AR341" i="1124" s="1"/>
  <c r="AR336" i="1124"/>
  <c r="AR335" i="1124" s="1"/>
  <c r="AR330" i="1124"/>
  <c r="AR329" i="1124" s="1"/>
  <c r="AR324" i="1124"/>
  <c r="AR323" i="1124" s="1"/>
  <c r="AR315" i="1124"/>
  <c r="AR314" i="1124" s="1"/>
  <c r="AR309" i="1124"/>
  <c r="AR308" i="1124" s="1"/>
  <c r="AR303" i="1124"/>
  <c r="AR302" i="1124" s="1"/>
  <c r="AR297" i="1124"/>
  <c r="AR296" i="1124" s="1"/>
  <c r="AR291" i="1124"/>
  <c r="AR290" i="1124" s="1"/>
  <c r="AR285" i="1124"/>
  <c r="AR284" i="1124" s="1"/>
  <c r="AR279" i="1124"/>
  <c r="AR278" i="1124" s="1"/>
  <c r="AR273" i="1124"/>
  <c r="AR272" i="1124" s="1"/>
  <c r="AR267" i="1124"/>
  <c r="AR266" i="1124" s="1"/>
  <c r="AR258" i="1124"/>
  <c r="AR257" i="1124" s="1"/>
  <c r="AR250" i="1124"/>
  <c r="AR238" i="1124"/>
  <c r="AR223" i="1124"/>
  <c r="AR211" i="1124"/>
  <c r="AR199" i="1124"/>
  <c r="AR255" i="1124"/>
  <c r="AR254" i="1124" s="1"/>
  <c r="AR249" i="1124"/>
  <c r="AR248" i="1124" s="1"/>
  <c r="AR243" i="1124"/>
  <c r="AR242" i="1124" s="1"/>
  <c r="AR234" i="1124"/>
  <c r="AR233" i="1124" s="1"/>
  <c r="AR228" i="1124"/>
  <c r="AR227" i="1124" s="1"/>
  <c r="AR222" i="1124"/>
  <c r="AR221" i="1124" s="1"/>
  <c r="AR216" i="1124"/>
  <c r="AR215" i="1124" s="1"/>
  <c r="AR210" i="1124"/>
  <c r="AR209" i="1124" s="1"/>
  <c r="AR204" i="1124"/>
  <c r="AR203" i="1124" s="1"/>
  <c r="AR198" i="1124"/>
  <c r="AR197" i="1124" s="1"/>
  <c r="AR192" i="1124"/>
  <c r="AR191" i="1124" s="1"/>
  <c r="AR187" i="1124"/>
  <c r="AR175" i="1124"/>
  <c r="AR163" i="1124"/>
  <c r="AR151" i="1124"/>
  <c r="AR139" i="1124"/>
  <c r="AQ71" i="1124"/>
  <c r="AQ70" i="1124" s="1"/>
  <c r="AR135" i="1124"/>
  <c r="AR134" i="1124" s="1"/>
  <c r="AR168" i="1124"/>
  <c r="AR167" i="1124" s="1"/>
  <c r="AR174" i="1124"/>
  <c r="AR173" i="1124" s="1"/>
  <c r="AR180" i="1124"/>
  <c r="AR179" i="1124"/>
  <c r="AR186" i="1124"/>
  <c r="AR185" i="1124" s="1"/>
  <c r="AQ339" i="1124"/>
  <c r="AQ338" i="1124" s="1"/>
  <c r="AQ333" i="1124"/>
  <c r="AQ332" i="1124" s="1"/>
  <c r="AQ327" i="1124"/>
  <c r="AQ326" i="1124" s="1"/>
  <c r="AQ318" i="1124"/>
  <c r="AQ317" i="1124" s="1"/>
  <c r="AQ312" i="1124"/>
  <c r="AQ311" i="1124" s="1"/>
  <c r="AQ306" i="1124"/>
  <c r="AQ305" i="1124" s="1"/>
  <c r="AQ300" i="1124"/>
  <c r="AQ299" i="1124"/>
  <c r="AQ294" i="1124"/>
  <c r="AQ293" i="1124" s="1"/>
  <c r="AQ288" i="1124"/>
  <c r="AQ287" i="1124" s="1"/>
  <c r="AQ282" i="1124"/>
  <c r="AQ281" i="1124" s="1"/>
  <c r="AQ276" i="1124"/>
  <c r="AQ275" i="1124" s="1"/>
  <c r="AQ270" i="1124"/>
  <c r="AQ269" i="1124" s="1"/>
  <c r="AQ264" i="1124"/>
  <c r="AQ263" i="1124" s="1"/>
  <c r="AQ340" i="1124"/>
  <c r="AQ322" i="1124"/>
  <c r="AQ304" i="1124"/>
  <c r="AQ256" i="1124"/>
  <c r="AQ238" i="1124"/>
  <c r="AQ220" i="1124"/>
  <c r="AQ292" i="1124"/>
  <c r="AQ262" i="1124"/>
  <c r="AQ271" i="1124"/>
  <c r="AQ198" i="1124"/>
  <c r="AQ197" i="1124" s="1"/>
  <c r="AQ178" i="1124"/>
  <c r="AQ163" i="1124"/>
  <c r="AQ145" i="1124"/>
  <c r="AP34" i="1124"/>
  <c r="AP33" i="1124" s="1"/>
  <c r="AR59" i="1124"/>
  <c r="AQ64" i="1124"/>
  <c r="AR69" i="1124"/>
  <c r="AQ92" i="1124"/>
  <c r="AR100" i="1124"/>
  <c r="AP105" i="1124"/>
  <c r="AP104" i="1124" s="1"/>
  <c r="AR112" i="1124"/>
  <c r="AP117" i="1124"/>
  <c r="AP116" i="1124"/>
  <c r="AR124" i="1124"/>
  <c r="AP129" i="1124"/>
  <c r="AP128" i="1124" s="1"/>
  <c r="AR159" i="1124"/>
  <c r="AR158" i="1124" s="1"/>
  <c r="AR31" i="1124"/>
  <c r="AR30" i="1124" s="1"/>
  <c r="AP59" i="1124"/>
  <c r="AR99" i="1124"/>
  <c r="AR98" i="1124" s="1"/>
  <c r="AP127" i="1124"/>
  <c r="AQ195" i="1124"/>
  <c r="AQ194" i="1124" s="1"/>
  <c r="AP94" i="1124"/>
  <c r="AR114" i="1124"/>
  <c r="AR113" i="1124" s="1"/>
  <c r="AP178" i="1124"/>
  <c r="AP35" i="1124"/>
  <c r="AP97" i="1124"/>
  <c r="AR117" i="1124"/>
  <c r="AR116" i="1124" s="1"/>
  <c r="AP69" i="1124"/>
  <c r="AR108" i="1124"/>
  <c r="AR107" i="1124" s="1"/>
  <c r="AP151" i="1124"/>
  <c r="AQ35" i="1124"/>
  <c r="AQ34" i="1124"/>
  <c r="AQ33" i="1124" s="1"/>
  <c r="AQ148" i="1124"/>
  <c r="AQ199" i="1124"/>
  <c r="AQ219" i="1124"/>
  <c r="AQ218" i="1124" s="1"/>
  <c r="AQ231" i="1124"/>
  <c r="AQ230" i="1124" s="1"/>
  <c r="AQ246" i="1124"/>
  <c r="AQ245" i="1124" s="1"/>
  <c r="AQ274" i="1124"/>
  <c r="AQ241" i="1124"/>
  <c r="AQ325" i="1124"/>
  <c r="AQ112" i="1124"/>
  <c r="AQ29" i="1124"/>
  <c r="AR120" i="1124"/>
  <c r="AR119" i="1124" s="1"/>
  <c r="AP342" i="1124"/>
  <c r="AP341" i="1124" s="1"/>
  <c r="AP336" i="1124"/>
  <c r="AP335" i="1124" s="1"/>
  <c r="AP330" i="1124"/>
  <c r="AP329" i="1124" s="1"/>
  <c r="AP324" i="1124"/>
  <c r="AP323" i="1124" s="1"/>
  <c r="AP315" i="1124"/>
  <c r="AP314" i="1124" s="1"/>
  <c r="AP309" i="1124"/>
  <c r="AP308" i="1124" s="1"/>
  <c r="AP303" i="1124"/>
  <c r="AP302" i="1124" s="1"/>
  <c r="AP297" i="1124"/>
  <c r="AP296" i="1124" s="1"/>
  <c r="AP291" i="1124"/>
  <c r="AP290" i="1124" s="1"/>
  <c r="AP285" i="1124"/>
  <c r="AP284" i="1124" s="1"/>
  <c r="AP279" i="1124"/>
  <c r="AP278" i="1124" s="1"/>
  <c r="AP273" i="1124"/>
  <c r="AP272" i="1124" s="1"/>
  <c r="AP267" i="1124"/>
  <c r="AP266" i="1124" s="1"/>
  <c r="AP258" i="1124"/>
  <c r="AP257" i="1124" s="1"/>
  <c r="AP337" i="1124"/>
  <c r="AP325" i="1124"/>
  <c r="AP310" i="1124"/>
  <c r="AP298" i="1124"/>
  <c r="AP286" i="1124"/>
  <c r="AP274" i="1124"/>
  <c r="AP262" i="1124"/>
  <c r="AP252" i="1124"/>
  <c r="AP251" i="1124" s="1"/>
  <c r="AP246" i="1124"/>
  <c r="AP245" i="1124" s="1"/>
  <c r="AP240" i="1124"/>
  <c r="AP239" i="1124" s="1"/>
  <c r="AP231" i="1124"/>
  <c r="AP230" i="1124" s="1"/>
  <c r="AP225" i="1124"/>
  <c r="AP224" i="1124" s="1"/>
  <c r="AP219" i="1124"/>
  <c r="AP218" i="1124" s="1"/>
  <c r="AP213" i="1124"/>
  <c r="AP212" i="1124" s="1"/>
  <c r="AP207" i="1124"/>
  <c r="AP206" i="1124" s="1"/>
  <c r="AP201" i="1124"/>
  <c r="AP200" i="1124" s="1"/>
  <c r="AP195" i="1124"/>
  <c r="AP194" i="1124" s="1"/>
  <c r="AP189" i="1124"/>
  <c r="AP188" i="1124" s="1"/>
  <c r="AP250" i="1124"/>
  <c r="AP238" i="1124"/>
  <c r="AP223" i="1124"/>
  <c r="AP211" i="1124"/>
  <c r="AP199" i="1124"/>
  <c r="AP186" i="1124"/>
  <c r="AP185" i="1124" s="1"/>
  <c r="AP180" i="1124"/>
  <c r="AP179" i="1124" s="1"/>
  <c r="AP174" i="1124"/>
  <c r="AP173" i="1124" s="1"/>
  <c r="AP168" i="1124"/>
  <c r="AP167" i="1124" s="1"/>
  <c r="AP162" i="1124"/>
  <c r="AP161" i="1124" s="1"/>
  <c r="AP156" i="1124"/>
  <c r="AP155" i="1124" s="1"/>
  <c r="AP150" i="1124"/>
  <c r="AP149" i="1124" s="1"/>
  <c r="AP144" i="1124"/>
  <c r="AP143" i="1124" s="1"/>
  <c r="AP138" i="1124"/>
  <c r="AP137" i="1124" s="1"/>
  <c r="AP132" i="1124"/>
  <c r="AP131" i="1124" s="1"/>
  <c r="AQ59" i="1124"/>
  <c r="AQ69" i="1124"/>
  <c r="AQ97" i="1124"/>
  <c r="AQ124" i="1124"/>
  <c r="AP166" i="1124"/>
  <c r="AR334" i="1124"/>
  <c r="AR322" i="1124"/>
  <c r="AR307" i="1124"/>
  <c r="AR295" i="1124"/>
  <c r="AR283" i="1124"/>
  <c r="AR271" i="1124"/>
  <c r="AR346" i="1124"/>
  <c r="AR253" i="1124"/>
  <c r="AR241" i="1124"/>
  <c r="AR226" i="1124"/>
  <c r="AR214" i="1124"/>
  <c r="AR202" i="1124"/>
  <c r="AR190" i="1124"/>
  <c r="AR178" i="1124"/>
  <c r="AR166" i="1124"/>
  <c r="AR154" i="1124"/>
  <c r="AR142" i="1124"/>
  <c r="AQ37" i="1124"/>
  <c r="AQ36" i="1124" s="1"/>
  <c r="AQ61" i="1124"/>
  <c r="AQ60" i="1124" s="1"/>
  <c r="AQ96" i="1124"/>
  <c r="AQ95" i="1124" s="1"/>
  <c r="AQ105" i="1124"/>
  <c r="AQ104" i="1124" s="1"/>
  <c r="AQ111" i="1124"/>
  <c r="AQ110" i="1124" s="1"/>
  <c r="AQ120" i="1124"/>
  <c r="AQ119" i="1124" s="1"/>
  <c r="AP133" i="1124"/>
  <c r="AR147" i="1124"/>
  <c r="AR146" i="1124" s="1"/>
  <c r="AR153" i="1124"/>
  <c r="AR152" i="1124" s="1"/>
  <c r="AP160" i="1124"/>
  <c r="AQ328" i="1124"/>
  <c r="AQ307" i="1124"/>
  <c r="AQ265" i="1124"/>
  <c r="AQ244" i="1124"/>
  <c r="AQ223" i="1124"/>
  <c r="AQ343" i="1124"/>
  <c r="AQ286" i="1124"/>
  <c r="AQ249" i="1124"/>
  <c r="AQ248" i="1124" s="1"/>
  <c r="AQ234" i="1124"/>
  <c r="AQ233" i="1124" s="1"/>
  <c r="AQ222" i="1124"/>
  <c r="AQ221" i="1124" s="1"/>
  <c r="AQ210" i="1124"/>
  <c r="AQ209" i="1124" s="1"/>
  <c r="AQ190" i="1124"/>
  <c r="AQ192" i="1124"/>
  <c r="AQ191" i="1124" s="1"/>
  <c r="AQ183" i="1124"/>
  <c r="AQ182" i="1124" s="1"/>
  <c r="AQ177" i="1124"/>
  <c r="AQ176" i="1124" s="1"/>
  <c r="AQ171" i="1124"/>
  <c r="AQ170" i="1124" s="1"/>
  <c r="AQ165" i="1124"/>
  <c r="AQ164" i="1124" s="1"/>
  <c r="AQ159" i="1124"/>
  <c r="AQ158" i="1124" s="1"/>
  <c r="AQ153" i="1124"/>
  <c r="AQ152" i="1124" s="1"/>
  <c r="AQ147" i="1124"/>
  <c r="AQ146" i="1124" s="1"/>
  <c r="AQ141" i="1124"/>
  <c r="AQ140" i="1124" s="1"/>
  <c r="AQ135" i="1124"/>
  <c r="AQ134" i="1124" s="1"/>
  <c r="AQ295" i="1124"/>
  <c r="AQ181" i="1124"/>
  <c r="AQ166" i="1124"/>
  <c r="AQ151" i="1124"/>
  <c r="AQ133" i="1124"/>
  <c r="AP37" i="1124"/>
  <c r="AP36" i="1124" s="1"/>
  <c r="AR62" i="1124"/>
  <c r="AR90" i="1124"/>
  <c r="AP96" i="1124"/>
  <c r="AP95" i="1124" s="1"/>
  <c r="AR103" i="1124"/>
  <c r="AP108" i="1124"/>
  <c r="AP107" i="1124" s="1"/>
  <c r="AR115" i="1124"/>
  <c r="AP120" i="1124"/>
  <c r="AP119" i="1124" s="1"/>
  <c r="AR127" i="1124"/>
  <c r="AR132" i="1124"/>
  <c r="AR131" i="1124" s="1"/>
  <c r="AQ207" i="1124"/>
  <c r="AQ206" i="1124" s="1"/>
  <c r="AR29" i="1124"/>
  <c r="AP90" i="1124"/>
  <c r="AR111" i="1124"/>
  <c r="AR110" i="1124" s="1"/>
  <c r="AP181" i="1124"/>
  <c r="AR162" i="1124"/>
  <c r="AR161" i="1124" s="1"/>
  <c r="AR49" i="1124"/>
  <c r="AR48" i="1124" s="1"/>
  <c r="AP106" i="1124"/>
  <c r="AR126" i="1124"/>
  <c r="AR125" i="1124" s="1"/>
  <c r="AR138" i="1124"/>
  <c r="AR137" i="1124" s="1"/>
  <c r="AP66" i="1124"/>
  <c r="AP109" i="1124"/>
  <c r="AR129" i="1124"/>
  <c r="AR128" i="1124" s="1"/>
  <c r="AP187" i="1124"/>
  <c r="AP100" i="1124"/>
  <c r="AP124" i="1124"/>
  <c r="AQ196" i="1124"/>
  <c r="AQ127" i="1124"/>
  <c r="AQ136" i="1124"/>
  <c r="AQ184" i="1124"/>
  <c r="AQ189" i="1124"/>
  <c r="AQ188" i="1124" s="1"/>
  <c r="AQ226" i="1124"/>
  <c r="AQ310" i="1124"/>
  <c r="AQ126" i="1124"/>
  <c r="AQ125" i="1124" s="1"/>
  <c r="AQ102" i="1124"/>
  <c r="AQ101" i="1124"/>
  <c r="AQ130" i="1124"/>
  <c r="AQ32" i="1124"/>
  <c r="AP148" i="1121"/>
  <c r="AP262" i="1121"/>
  <c r="AP151" i="1121"/>
  <c r="AP327" i="1121"/>
  <c r="AP326" i="1121" s="1"/>
  <c r="AP123" i="1121"/>
  <c r="AP122" i="1121" s="1"/>
  <c r="AP153" i="1121"/>
  <c r="AP152" i="1121" s="1"/>
  <c r="AP120" i="1121"/>
  <c r="AP119" i="1121" s="1"/>
  <c r="AR139" i="1121"/>
  <c r="AP144" i="1121"/>
  <c r="AP143" i="1121"/>
  <c r="AP159" i="1121"/>
  <c r="AP158" i="1121" s="1"/>
  <c r="AP183" i="1121"/>
  <c r="AP182" i="1121" s="1"/>
  <c r="AP96" i="1121"/>
  <c r="AP95" i="1121" s="1"/>
  <c r="AQ199" i="1121"/>
  <c r="AQ307" i="1121"/>
  <c r="AQ330" i="1121"/>
  <c r="AQ329" i="1121" s="1"/>
  <c r="AQ318" i="1121"/>
  <c r="AQ317" i="1121" s="1"/>
  <c r="AR171" i="1121"/>
  <c r="AR170" i="1121" s="1"/>
  <c r="AQ130" i="1121"/>
  <c r="AR162" i="1121"/>
  <c r="AR161" i="1121" s="1"/>
  <c r="AR225" i="1121"/>
  <c r="AR224" i="1121" s="1"/>
  <c r="AR211" i="1121"/>
  <c r="AR241" i="1121"/>
  <c r="AR330" i="1121"/>
  <c r="AR329" i="1121" s="1"/>
  <c r="AR309" i="1121"/>
  <c r="AR308" i="1121" s="1"/>
  <c r="AR289" i="1121"/>
  <c r="AR346" i="1121"/>
  <c r="AR135" i="1121"/>
  <c r="AR134" i="1121" s="1"/>
  <c r="AR94" i="1121"/>
  <c r="AQ35" i="1121"/>
  <c r="AQ59" i="1121"/>
  <c r="AP223" i="1121"/>
  <c r="AQ103" i="1121"/>
  <c r="AR229" i="1121"/>
  <c r="AP109" i="1121"/>
  <c r="AP300" i="1121"/>
  <c r="AP299" i="1121" s="1"/>
  <c r="AP241" i="1121"/>
  <c r="AQ64" i="1121"/>
  <c r="AR127" i="1121"/>
  <c r="AR99" i="1121"/>
  <c r="AR98" i="1121" s="1"/>
  <c r="AP294" i="1121"/>
  <c r="AP293" i="1121" s="1"/>
  <c r="AQ157" i="1121"/>
  <c r="AQ114" i="1121"/>
  <c r="AQ113" i="1121" s="1"/>
  <c r="AQ207" i="1121"/>
  <c r="AQ206" i="1121" s="1"/>
  <c r="AQ234" i="1121"/>
  <c r="AQ233" i="1121" s="1"/>
  <c r="AQ232" i="1121"/>
  <c r="AQ270" i="1121"/>
  <c r="AQ269" i="1121" s="1"/>
  <c r="AQ328" i="1121"/>
  <c r="AQ327" i="1121"/>
  <c r="AQ326" i="1121" s="1"/>
  <c r="AR157" i="1121"/>
  <c r="AQ106" i="1121"/>
  <c r="AR222" i="1121"/>
  <c r="AR221" i="1121" s="1"/>
  <c r="AR240" i="1121"/>
  <c r="AR239" i="1121" s="1"/>
  <c r="AR223" i="1121"/>
  <c r="AR262" i="1121"/>
  <c r="AR288" i="1121"/>
  <c r="AR287" i="1121" s="1"/>
  <c r="AR342" i="1121"/>
  <c r="AR341" i="1121" s="1"/>
  <c r="AR324" i="1121"/>
  <c r="AR323" i="1121" s="1"/>
  <c r="AR118" i="1121"/>
  <c r="AR71" i="1121"/>
  <c r="AR70" i="1121" s="1"/>
  <c r="AR35" i="1121"/>
  <c r="AQ97" i="1121"/>
  <c r="AQ126" i="1121"/>
  <c r="AQ125" i="1121" s="1"/>
  <c r="AQ252" i="1121"/>
  <c r="AQ251" i="1121" s="1"/>
  <c r="AP336" i="1121"/>
  <c r="AP335" i="1121" s="1"/>
  <c r="AP334" i="1121"/>
  <c r="AP322" i="1121"/>
  <c r="AP243" i="1121"/>
  <c r="AP242" i="1121" s="1"/>
  <c r="AP127" i="1121"/>
  <c r="AP276" i="1121"/>
  <c r="AP275" i="1121" s="1"/>
  <c r="AP205" i="1121"/>
  <c r="AP163" i="1121"/>
  <c r="AP99" i="1121"/>
  <c r="AP98" i="1121" s="1"/>
  <c r="AP220" i="1121"/>
  <c r="AP168" i="1121"/>
  <c r="AP167" i="1121" s="1"/>
  <c r="AQ148" i="1121"/>
  <c r="AP258" i="1121"/>
  <c r="AP257" i="1121" s="1"/>
  <c r="AP291" i="1121"/>
  <c r="AP290" i="1121" s="1"/>
  <c r="AQ168" i="1121"/>
  <c r="AQ167" i="1121" s="1"/>
  <c r="AQ121" i="1121"/>
  <c r="AQ219" i="1121"/>
  <c r="AQ218" i="1121" s="1"/>
  <c r="AQ198" i="1121"/>
  <c r="AQ197" i="1121" s="1"/>
  <c r="AQ225" i="1121"/>
  <c r="AQ224" i="1121" s="1"/>
  <c r="AQ223" i="1121"/>
  <c r="AQ313" i="1121"/>
  <c r="AQ297" i="1121"/>
  <c r="AQ296" i="1121" s="1"/>
  <c r="AQ309" i="1121"/>
  <c r="AQ308" i="1121" s="1"/>
  <c r="AQ162" i="1121"/>
  <c r="AQ161" i="1121" s="1"/>
  <c r="AR126" i="1121"/>
  <c r="AR125" i="1121" s="1"/>
  <c r="AQ94" i="1121"/>
  <c r="AR172" i="1121"/>
  <c r="AR187" i="1121"/>
  <c r="AR214" i="1121"/>
  <c r="AR297" i="1121"/>
  <c r="AR296" i="1121" s="1"/>
  <c r="AR306" i="1121"/>
  <c r="AR305" i="1121" s="1"/>
  <c r="AR279" i="1121"/>
  <c r="AR278" i="1121" s="1"/>
  <c r="AR310" i="1121"/>
  <c r="AR147" i="1121"/>
  <c r="AR146" i="1121" s="1"/>
  <c r="AQ120" i="1121"/>
  <c r="AQ119" i="1121" s="1"/>
  <c r="AQ34" i="1121"/>
  <c r="AQ33" i="1121"/>
  <c r="AP171" i="1121"/>
  <c r="AP170" i="1121" s="1"/>
  <c r="AQ145" i="1121"/>
  <c r="AQ172" i="1121"/>
  <c r="AP303" i="1121"/>
  <c r="AP302" i="1121" s="1"/>
  <c r="AP343" i="1121"/>
  <c r="AP106" i="1121"/>
  <c r="AP333" i="1121"/>
  <c r="AP332" i="1121" s="1"/>
  <c r="AP199" i="1121"/>
  <c r="AP328" i="1121"/>
  <c r="AP187" i="1121"/>
  <c r="AP309" i="1121"/>
  <c r="AP308" i="1121" s="1"/>
  <c r="AP253" i="1121"/>
  <c r="AP126" i="1121"/>
  <c r="AP125" i="1121" s="1"/>
  <c r="AR151" i="1121"/>
  <c r="AQ117" i="1121"/>
  <c r="AQ116" i="1121" s="1"/>
  <c r="AP181" i="1121"/>
  <c r="AR124" i="1121"/>
  <c r="AR92" i="1121"/>
  <c r="AQ181" i="1121"/>
  <c r="AQ189" i="1121"/>
  <c r="AQ188" i="1121" s="1"/>
  <c r="AQ187" i="1121"/>
  <c r="AQ265" i="1121"/>
  <c r="AQ258" i="1121"/>
  <c r="AQ257" i="1121" s="1"/>
  <c r="AQ325" i="1121"/>
  <c r="AQ342" i="1121"/>
  <c r="AQ341" i="1121" s="1"/>
  <c r="AQ96" i="1121"/>
  <c r="AQ95" i="1121" s="1"/>
  <c r="AR267" i="1121"/>
  <c r="AR266" i="1121" s="1"/>
  <c r="AR250" i="1121"/>
  <c r="AR178" i="1121"/>
  <c r="AR280" i="1121"/>
  <c r="AR327" i="1121"/>
  <c r="AR326" i="1121" s="1"/>
  <c r="AR277" i="1121"/>
  <c r="AP129" i="1121"/>
  <c r="AP128" i="1121" s="1"/>
  <c r="AP34" i="1121"/>
  <c r="AP33" i="1121" s="1"/>
  <c r="AQ31" i="1121"/>
  <c r="AQ30" i="1121" s="1"/>
  <c r="AQ71" i="1121"/>
  <c r="AQ70" i="1121" s="1"/>
  <c r="AP174" i="1121"/>
  <c r="AP173" i="1121" s="1"/>
  <c r="AP273" i="1121"/>
  <c r="AP272" i="1121" s="1"/>
  <c r="AQ124" i="1121"/>
  <c r="AP37" i="1121"/>
  <c r="AP36" i="1121" s="1"/>
  <c r="AP49" i="1121"/>
  <c r="AP48" i="1121" s="1"/>
  <c r="AR132" i="1121"/>
  <c r="AR131" i="1121" s="1"/>
  <c r="AP186" i="1121"/>
  <c r="AP185" i="1121" s="1"/>
  <c r="AP202" i="1121"/>
  <c r="AP204" i="1121"/>
  <c r="AP203" i="1121" s="1"/>
  <c r="AP192" i="1121"/>
  <c r="AP191" i="1121" s="1"/>
  <c r="AQ138" i="1121"/>
  <c r="AQ137" i="1121" s="1"/>
  <c r="AQ201" i="1121"/>
  <c r="AQ200" i="1121" s="1"/>
  <c r="AQ277" i="1121"/>
  <c r="AQ292" i="1121"/>
  <c r="AQ312" i="1121"/>
  <c r="AQ311" i="1121" s="1"/>
  <c r="AQ298" i="1121"/>
  <c r="AR138" i="1121"/>
  <c r="AR137" i="1121" s="1"/>
  <c r="AR103" i="1121"/>
  <c r="AR196" i="1121"/>
  <c r="AR192" i="1121"/>
  <c r="AR191" i="1121" s="1"/>
  <c r="AR219" i="1121"/>
  <c r="AR218" i="1121" s="1"/>
  <c r="AR292" i="1121"/>
  <c r="AR303" i="1121"/>
  <c r="AR302" i="1121" s="1"/>
  <c r="AR270" i="1121"/>
  <c r="AR269" i="1121" s="1"/>
  <c r="AR328" i="1121"/>
  <c r="AQ144" i="1121"/>
  <c r="AQ143" i="1121" s="1"/>
  <c r="AQ108" i="1121"/>
  <c r="AQ107" i="1121" s="1"/>
  <c r="AR90" i="1121"/>
  <c r="AP68" i="1121"/>
  <c r="AP67" i="1121" s="1"/>
  <c r="AQ133" i="1121"/>
  <c r="AQ220" i="1121"/>
  <c r="AP268" i="1121"/>
  <c r="AP100" i="1121"/>
  <c r="AP279" i="1121"/>
  <c r="AP278" i="1121"/>
  <c r="AP138" i="1121"/>
  <c r="AP137" i="1121" s="1"/>
  <c r="AQ141" i="1121"/>
  <c r="AQ140" i="1121" s="1"/>
  <c r="AQ105" i="1121"/>
  <c r="AQ104" i="1121" s="1"/>
  <c r="AP247" i="1121"/>
  <c r="AP59" i="1121"/>
  <c r="AP118" i="1121"/>
  <c r="AQ178" i="1121"/>
  <c r="AQ205" i="1121"/>
  <c r="AQ213" i="1121"/>
  <c r="AQ212" i="1121" s="1"/>
  <c r="AQ243" i="1121"/>
  <c r="AQ242" i="1121" s="1"/>
  <c r="AQ316" i="1121"/>
  <c r="AQ283" i="1121"/>
  <c r="AQ336" i="1121"/>
  <c r="AQ335" i="1121" s="1"/>
  <c r="AQ111" i="1121"/>
  <c r="AQ110" i="1121" s="1"/>
  <c r="AR193" i="1121"/>
  <c r="AR208" i="1121"/>
  <c r="AR204" i="1121"/>
  <c r="AR203" i="1121" s="1"/>
  <c r="AR231" i="1121"/>
  <c r="AR230" i="1121" s="1"/>
  <c r="AR256" i="1121"/>
  <c r="AR331" i="1121"/>
  <c r="AR313" i="1121"/>
  <c r="AR130" i="1121"/>
  <c r="AR59" i="1121"/>
  <c r="AQ69" i="1121"/>
  <c r="AQ150" i="1121"/>
  <c r="AQ149" i="1121" s="1"/>
  <c r="AQ244" i="1121"/>
  <c r="AP264" i="1121"/>
  <c r="AP263" i="1121" s="1"/>
  <c r="AP301" i="1121"/>
  <c r="AP132" i="1121"/>
  <c r="AP131" i="1121" s="1"/>
  <c r="AP246" i="1121"/>
  <c r="AP245" i="1121" s="1"/>
  <c r="AP112" i="1121"/>
  <c r="AP315" i="1121"/>
  <c r="AP314" i="1121" s="1"/>
  <c r="AP213" i="1121"/>
  <c r="AP212" i="1121" s="1"/>
  <c r="AP228" i="1121"/>
  <c r="AP227" i="1121" s="1"/>
  <c r="AP124" i="1121"/>
  <c r="AP304" i="1121"/>
  <c r="AP211" i="1121"/>
  <c r="AR156" i="1121"/>
  <c r="AR155" i="1121" s="1"/>
  <c r="AR115" i="1121"/>
  <c r="AP232" i="1121"/>
  <c r="AP325" i="1121"/>
  <c r="AR129" i="1121"/>
  <c r="AR128" i="1121" s="1"/>
  <c r="AQ190" i="1121"/>
  <c r="AQ276" i="1121"/>
  <c r="AQ275" i="1121" s="1"/>
  <c r="AQ196" i="1121"/>
  <c r="AQ204" i="1121"/>
  <c r="AQ203" i="1121" s="1"/>
  <c r="AQ301" i="1121"/>
  <c r="AQ268" i="1121"/>
  <c r="AQ303" i="1121"/>
  <c r="AQ302" i="1121" s="1"/>
  <c r="AQ274" i="1121"/>
  <c r="AQ135" i="1121"/>
  <c r="AQ134" i="1121" s="1"/>
  <c r="AP102" i="1121"/>
  <c r="AP101" i="1121" s="1"/>
  <c r="AR234" i="1121"/>
  <c r="AR233" i="1121" s="1"/>
  <c r="AR168" i="1121"/>
  <c r="AR167" i="1121" s="1"/>
  <c r="AR195" i="1121"/>
  <c r="AR194" i="1121" s="1"/>
  <c r="AR268" i="1121"/>
  <c r="AR300" i="1121"/>
  <c r="AR299" i="1121" s="1"/>
  <c r="AR334" i="1121"/>
  <c r="AR294" i="1121"/>
  <c r="AR293" i="1121" s="1"/>
  <c r="AQ156" i="1121"/>
  <c r="AQ155" i="1121" s="1"/>
  <c r="AQ127" i="1121"/>
  <c r="AR66" i="1121"/>
  <c r="AR32" i="1121"/>
  <c r="AQ90" i="1121"/>
  <c r="AP310" i="1121"/>
  <c r="AQ174" i="1121"/>
  <c r="AQ173" i="1121" s="1"/>
  <c r="AP71" i="1121"/>
  <c r="AP70" i="1121" s="1"/>
  <c r="AP330" i="1121"/>
  <c r="AP329" i="1121" s="1"/>
  <c r="AP244" i="1121"/>
  <c r="AP160" i="1121"/>
  <c r="AP214" i="1121"/>
  <c r="AP130" i="1121"/>
  <c r="AP331" i="1121"/>
  <c r="AP238" i="1121"/>
  <c r="AR160" i="1121"/>
  <c r="AP121" i="1121"/>
  <c r="AQ92" i="1121"/>
  <c r="AP277" i="1121"/>
  <c r="AR136" i="1121"/>
  <c r="AQ100" i="1121"/>
  <c r="AQ231" i="1121"/>
  <c r="AQ230" i="1121" s="1"/>
  <c r="AQ160" i="1121"/>
  <c r="AQ253" i="1121"/>
  <c r="AQ271" i="1121"/>
  <c r="AQ333" i="1121"/>
  <c r="AQ332" i="1121" s="1"/>
  <c r="AQ288" i="1121"/>
  <c r="AQ287" i="1121" s="1"/>
  <c r="AQ331" i="1121"/>
  <c r="AR114" i="1121"/>
  <c r="AR113" i="1121" s="1"/>
  <c r="AR217" i="1121"/>
  <c r="AR232" i="1121"/>
  <c r="AR228" i="1121"/>
  <c r="AR227" i="1121" s="1"/>
  <c r="AR258" i="1121"/>
  <c r="AR257" i="1121" s="1"/>
  <c r="AR283" i="1121"/>
  <c r="AR255" i="1121"/>
  <c r="AR254" i="1121" s="1"/>
  <c r="AR142" i="1121"/>
  <c r="AQ47" i="1121"/>
  <c r="AP90" i="1121"/>
  <c r="AP66" i="1121"/>
  <c r="AP240" i="1121"/>
  <c r="AP239" i="1121" s="1"/>
  <c r="AQ153" i="1121"/>
  <c r="AQ152" i="1121" s="1"/>
  <c r="AP231" i="1121"/>
  <c r="AP230" i="1121" s="1"/>
  <c r="AP157" i="1121"/>
  <c r="AP94" i="1121"/>
  <c r="AP210" i="1121"/>
  <c r="AP209" i="1121" s="1"/>
  <c r="AP286" i="1121"/>
  <c r="AP172" i="1121"/>
  <c r="AP177" i="1121"/>
  <c r="AP176" i="1121" s="1"/>
  <c r="AP154" i="1121"/>
  <c r="AQ222" i="1121"/>
  <c r="AQ221" i="1121" s="1"/>
  <c r="AQ255" i="1121"/>
  <c r="AQ254" i="1121" s="1"/>
  <c r="AQ273" i="1121"/>
  <c r="AQ272" i="1121" s="1"/>
  <c r="AQ306" i="1121"/>
  <c r="AQ305" i="1121" s="1"/>
  <c r="AQ279" i="1121"/>
  <c r="AQ278" i="1121" s="1"/>
  <c r="AQ147" i="1121"/>
  <c r="AQ146" i="1121" s="1"/>
  <c r="AR109" i="1121"/>
  <c r="AR210" i="1121"/>
  <c r="AR209" i="1121" s="1"/>
  <c r="AR163" i="1121"/>
  <c r="AR190" i="1121"/>
  <c r="AR273" i="1121"/>
  <c r="AR272" i="1121" s="1"/>
  <c r="AR295" i="1121"/>
  <c r="AR339" i="1121"/>
  <c r="AR338" i="1121" s="1"/>
  <c r="AR316" i="1121"/>
  <c r="AQ151" i="1121"/>
  <c r="AQ115" i="1121"/>
  <c r="AR68" i="1121"/>
  <c r="AR67" i="1121" s="1"/>
  <c r="AR31" i="1121"/>
  <c r="AR30" i="1121" s="1"/>
  <c r="AQ163" i="1121"/>
  <c r="AQ169" i="1121"/>
  <c r="AQ193" i="1121"/>
  <c r="AP285" i="1121"/>
  <c r="AP284" i="1121" s="1"/>
  <c r="AP255" i="1121"/>
  <c r="AP254" i="1121" s="1"/>
  <c r="AP289" i="1121"/>
  <c r="AP103" i="1121"/>
  <c r="AP145" i="1121"/>
  <c r="AQ112" i="1121"/>
  <c r="AP198" i="1121"/>
  <c r="AP197" i="1121" s="1"/>
  <c r="AP295" i="1121"/>
  <c r="AP135" i="1121"/>
  <c r="AP134" i="1121" s="1"/>
  <c r="AQ159" i="1121"/>
  <c r="AQ158" i="1121" s="1"/>
  <c r="AQ186" i="1121"/>
  <c r="AQ185" i="1121" s="1"/>
  <c r="AQ184" i="1121"/>
  <c r="AQ211" i="1121"/>
  <c r="AQ304" i="1121"/>
  <c r="AQ285" i="1121"/>
  <c r="AQ284" i="1121" s="1"/>
  <c r="AQ291" i="1121"/>
  <c r="AQ290" i="1121" s="1"/>
  <c r="AP115" i="1121"/>
  <c r="AR174" i="1121"/>
  <c r="AR173" i="1121" s="1"/>
  <c r="AR189" i="1121"/>
  <c r="AR188" i="1121" s="1"/>
  <c r="AR175" i="1121"/>
  <c r="AR202" i="1121"/>
  <c r="AR285" i="1121"/>
  <c r="AR284" i="1121" s="1"/>
  <c r="AR286" i="1121"/>
  <c r="AR301" i="1121"/>
  <c r="AR154" i="1121"/>
  <c r="AR96" i="1121"/>
  <c r="AR95" i="1121" s="1"/>
  <c r="AQ32" i="1121"/>
  <c r="AQ62" i="1121"/>
  <c r="AP292" i="1121"/>
  <c r="AQ264" i="1121"/>
  <c r="AQ263" i="1121" s="1"/>
  <c r="AP139" i="1121"/>
  <c r="AP136" i="1121"/>
  <c r="AP141" i="1121"/>
  <c r="AP140" i="1121" s="1"/>
  <c r="AP217" i="1121"/>
  <c r="AP32" i="1121"/>
  <c r="AP111" i="1121"/>
  <c r="AP110" i="1121" s="1"/>
  <c r="AP252" i="1121"/>
  <c r="AP251" i="1121" s="1"/>
  <c r="AP190" i="1121"/>
  <c r="AP31" i="1121"/>
  <c r="AP30" i="1121"/>
  <c r="AP142" i="1121"/>
  <c r="AP169" i="1121"/>
  <c r="AQ129" i="1121"/>
  <c r="AQ128" i="1121" s="1"/>
  <c r="AP250" i="1121"/>
  <c r="AP271" i="1121"/>
  <c r="AR141" i="1121"/>
  <c r="AR140" i="1121" s="1"/>
  <c r="AQ171" i="1121"/>
  <c r="AQ170" i="1121" s="1"/>
  <c r="AQ249" i="1121"/>
  <c r="AQ248" i="1121" s="1"/>
  <c r="AQ177" i="1121"/>
  <c r="AQ176" i="1121" s="1"/>
  <c r="AQ175" i="1121"/>
  <c r="AQ282" i="1121"/>
  <c r="AQ281" i="1121" s="1"/>
  <c r="AQ340" i="1121"/>
  <c r="AQ295" i="1121"/>
  <c r="AQ339" i="1121"/>
  <c r="AQ338" i="1121" s="1"/>
  <c r="AQ142" i="1121"/>
  <c r="AP108" i="1121"/>
  <c r="AP107" i="1121" s="1"/>
  <c r="AR205" i="1121"/>
  <c r="AR220" i="1121"/>
  <c r="AR238" i="1121"/>
  <c r="AR246" i="1121"/>
  <c r="AR245" i="1121" s="1"/>
  <c r="AR271" i="1121"/>
  <c r="AR318" i="1121"/>
  <c r="AR317" i="1121" s="1"/>
  <c r="AR265" i="1121"/>
  <c r="AR49" i="1121"/>
  <c r="AR48" i="1121" s="1"/>
  <c r="AQ132" i="1121"/>
  <c r="AQ131" i="1121" s="1"/>
  <c r="AR37" i="1121"/>
  <c r="AR36" i="1121" s="1"/>
  <c r="AQ68" i="1121"/>
  <c r="AQ67" i="1121" s="1"/>
  <c r="AP249" i="1121"/>
  <c r="AP248" i="1121" s="1"/>
  <c r="AQ195" i="1121"/>
  <c r="AQ194" i="1121" s="1"/>
  <c r="AQ228" i="1121"/>
  <c r="AQ227" i="1121" s="1"/>
  <c r="AP201" i="1121"/>
  <c r="AP200" i="1121" s="1"/>
  <c r="AP288" i="1121"/>
  <c r="AP287" i="1121" s="1"/>
  <c r="AP225" i="1121"/>
  <c r="AP224" i="1121" s="1"/>
  <c r="AP97" i="1121"/>
  <c r="AP229" i="1121"/>
  <c r="AP105" i="1121"/>
  <c r="AP104" i="1121" s="1"/>
  <c r="AP316" i="1121"/>
  <c r="AP219" i="1121"/>
  <c r="AP218" i="1121" s="1"/>
  <c r="AQ136" i="1121"/>
  <c r="AR102" i="1121"/>
  <c r="AR101" i="1121" s="1"/>
  <c r="AP208" i="1121"/>
  <c r="AR148" i="1121"/>
  <c r="AQ109" i="1121"/>
  <c r="AQ202" i="1121"/>
  <c r="AQ229" i="1121"/>
  <c r="AQ240" i="1121"/>
  <c r="AQ239" i="1121" s="1"/>
  <c r="AQ238" i="1121"/>
  <c r="AQ310" i="1121"/>
  <c r="AQ337" i="1121"/>
  <c r="AQ286" i="1121"/>
  <c r="AR121" i="1121"/>
  <c r="AR198" i="1121"/>
  <c r="AR197" i="1121" s="1"/>
  <c r="AR213" i="1121"/>
  <c r="AR212" i="1121" s="1"/>
  <c r="AR199" i="1121"/>
  <c r="AR226" i="1121"/>
  <c r="AR264" i="1121"/>
  <c r="AR263" i="1121" s="1"/>
  <c r="AR336" i="1121"/>
  <c r="AR335" i="1121" s="1"/>
  <c r="AR322" i="1121"/>
  <c r="AQ99" i="1121"/>
  <c r="AQ98" i="1121" s="1"/>
  <c r="AR69" i="1121"/>
  <c r="AR29" i="1121"/>
  <c r="AP306" i="1121"/>
  <c r="AP305" i="1121" s="1"/>
  <c r="AP178" i="1121"/>
  <c r="AP184" i="1121"/>
  <c r="AP298" i="1121"/>
  <c r="AP265" i="1121"/>
  <c r="AP216" i="1121"/>
  <c r="AP215" i="1121" s="1"/>
  <c r="AP280" i="1121"/>
  <c r="AP117" i="1121"/>
  <c r="AP116" i="1121" s="1"/>
  <c r="AP346" i="1121"/>
  <c r="AP283" i="1121"/>
  <c r="AP274" i="1121"/>
  <c r="AQ246" i="1121"/>
  <c r="AQ245" i="1121" s="1"/>
  <c r="AQ256" i="1121"/>
  <c r="AQ322" i="1121"/>
  <c r="AQ300" i="1121"/>
  <c r="AQ299" i="1121" s="1"/>
  <c r="AQ334" i="1121"/>
  <c r="AQ154" i="1121"/>
  <c r="AQ123" i="1121"/>
  <c r="AQ122" i="1121" s="1"/>
  <c r="AR181" i="1121"/>
  <c r="AR247" i="1121"/>
  <c r="AR243" i="1121"/>
  <c r="AR242" i="1121" s="1"/>
  <c r="AR274" i="1121"/>
  <c r="AR276" i="1121"/>
  <c r="AR275" i="1121" s="1"/>
  <c r="AR315" i="1121"/>
  <c r="AR314" i="1121" s="1"/>
  <c r="AR304" i="1121"/>
  <c r="AR165" i="1121"/>
  <c r="AR164" i="1121" s="1"/>
  <c r="AR123" i="1121"/>
  <c r="AR122" i="1121" s="1"/>
  <c r="AR61" i="1121"/>
  <c r="AR60" i="1121" s="1"/>
  <c r="AR47" i="1121"/>
  <c r="AQ66" i="1121"/>
  <c r="AP342" i="1121"/>
  <c r="AP341" i="1121" s="1"/>
  <c r="AQ214" i="1121"/>
  <c r="AP339" i="1121"/>
  <c r="AP338" i="1121" s="1"/>
  <c r="AP166" i="1121"/>
  <c r="AP297" i="1121"/>
  <c r="AP296" i="1121" s="1"/>
  <c r="AP195" i="1121"/>
  <c r="AP194" i="1121" s="1"/>
  <c r="AR159" i="1121"/>
  <c r="AR158" i="1121" s="1"/>
  <c r="AR120" i="1121"/>
  <c r="AR119" i="1121" s="1"/>
  <c r="AP180" i="1121"/>
  <c r="AP179" i="1121" s="1"/>
  <c r="AP340" i="1121"/>
  <c r="AP147" i="1121"/>
  <c r="AP146" i="1121" s="1"/>
  <c r="AR105" i="1121"/>
  <c r="AR104" i="1121" s="1"/>
  <c r="AQ226" i="1121"/>
  <c r="AQ165" i="1121"/>
  <c r="AQ164" i="1121" s="1"/>
  <c r="AQ192" i="1121"/>
  <c r="AQ191" i="1121" s="1"/>
  <c r="AQ289" i="1121"/>
  <c r="AQ346" i="1121"/>
  <c r="AQ262" i="1121"/>
  <c r="AR133" i="1121"/>
  <c r="AR100" i="1121"/>
  <c r="AR244" i="1121"/>
  <c r="AR252" i="1121"/>
  <c r="AR251" i="1121" s="1"/>
  <c r="AR183" i="1121"/>
  <c r="AR182" i="1121" s="1"/>
  <c r="AR253" i="1121"/>
  <c r="AR325" i="1121"/>
  <c r="AR282" i="1121"/>
  <c r="AR281" i="1121" s="1"/>
  <c r="AR340" i="1121"/>
  <c r="AQ102" i="1121"/>
  <c r="AQ101" i="1121" s="1"/>
  <c r="AQ37" i="1121"/>
  <c r="AQ36" i="1121" s="1"/>
  <c r="AQ49" i="1121"/>
  <c r="AQ48" i="1121" s="1"/>
  <c r="AP189" i="1121"/>
  <c r="AP188" i="1121" s="1"/>
  <c r="AQ166" i="1121"/>
  <c r="AR177" i="1121"/>
  <c r="AR176" i="1121" s="1"/>
  <c r="AP226" i="1121"/>
  <c r="AP267" i="1121"/>
  <c r="AP266" i="1121" s="1"/>
  <c r="AP175" i="1121"/>
  <c r="AP156" i="1121"/>
  <c r="AP155" i="1121"/>
  <c r="AP313" i="1121"/>
  <c r="AP162" i="1121"/>
  <c r="AP161" i="1121" s="1"/>
  <c r="AP62" i="1121"/>
  <c r="AP165" i="1121"/>
  <c r="AP164" i="1121" s="1"/>
  <c r="AP234" i="1121"/>
  <c r="AP233" i="1121" s="1"/>
  <c r="AP133" i="1121"/>
  <c r="AP207" i="1121"/>
  <c r="AP206" i="1121" s="1"/>
  <c r="AP324" i="1121"/>
  <c r="AP323" i="1121" s="1"/>
  <c r="AR153" i="1121"/>
  <c r="AR152" i="1121" s="1"/>
  <c r="AR97" i="1121"/>
  <c r="AQ241" i="1121"/>
  <c r="AQ217" i="1121"/>
  <c r="AQ247" i="1121"/>
  <c r="AQ250" i="1121"/>
  <c r="AQ324" i="1121"/>
  <c r="AQ323" i="1121"/>
  <c r="AQ343" i="1121"/>
  <c r="AQ315" i="1121"/>
  <c r="AQ314" i="1121" s="1"/>
  <c r="AR150" i="1121"/>
  <c r="AR149" i="1121" s="1"/>
  <c r="AQ118" i="1121"/>
  <c r="AR186" i="1121"/>
  <c r="AR185" i="1121" s="1"/>
  <c r="AR201" i="1121"/>
  <c r="AR200" i="1121" s="1"/>
  <c r="AR216" i="1121"/>
  <c r="AR215" i="1121" s="1"/>
  <c r="AR249" i="1121"/>
  <c r="AR248" i="1121"/>
  <c r="AR343" i="1121"/>
  <c r="AR312" i="1121"/>
  <c r="AR311" i="1121" s="1"/>
  <c r="AR298" i="1121"/>
  <c r="AR333" i="1121"/>
  <c r="AR332" i="1121" s="1"/>
  <c r="AQ139" i="1121"/>
  <c r="AR111" i="1121"/>
  <c r="AR110" i="1121" s="1"/>
  <c r="AQ29" i="1121"/>
  <c r="AQ61" i="1121"/>
  <c r="AQ60" i="1121" s="1"/>
  <c r="AR166" i="1121"/>
  <c r="AR112" i="1121"/>
  <c r="AQ180" i="1121"/>
  <c r="AQ179" i="1121" s="1"/>
  <c r="AP307" i="1121"/>
  <c r="AP196" i="1121"/>
  <c r="AP318" i="1121"/>
  <c r="AP317" i="1121" s="1"/>
  <c r="AP270" i="1121"/>
  <c r="AP269" i="1121" s="1"/>
  <c r="AP61" i="1121"/>
  <c r="AP60" i="1121" s="1"/>
  <c r="AP282" i="1121"/>
  <c r="AP281" i="1121" s="1"/>
  <c r="AP114" i="1121"/>
  <c r="AP113" i="1121" s="1"/>
  <c r="AP256" i="1121"/>
  <c r="AP193" i="1121"/>
  <c r="AP150" i="1121"/>
  <c r="AP149" i="1121" s="1"/>
  <c r="AR144" i="1121"/>
  <c r="AR143" i="1121" s="1"/>
  <c r="AR108" i="1121"/>
  <c r="AR107" i="1121" s="1"/>
  <c r="AP222" i="1121"/>
  <c r="AP221" i="1121" s="1"/>
  <c r="AP312" i="1121"/>
  <c r="AP311" i="1121" s="1"/>
  <c r="AR117" i="1121"/>
  <c r="AR116" i="1121" s="1"/>
  <c r="AQ183" i="1121"/>
  <c r="AQ182" i="1121" s="1"/>
  <c r="AQ210" i="1121"/>
  <c r="AQ209" i="1121" s="1"/>
  <c r="AQ208" i="1121"/>
  <c r="AQ216" i="1121"/>
  <c r="AQ215" i="1121" s="1"/>
  <c r="AQ294" i="1121"/>
  <c r="AQ293" i="1121" s="1"/>
  <c r="AQ280" i="1121"/>
  <c r="AQ267" i="1121"/>
  <c r="AQ266" i="1121" s="1"/>
  <c r="AR145" i="1121"/>
  <c r="AR169" i="1121"/>
  <c r="AR184" i="1121"/>
  <c r="AR180" i="1121"/>
  <c r="AR179" i="1121" s="1"/>
  <c r="AR207" i="1121"/>
  <c r="AR206" i="1121" s="1"/>
  <c r="AR337" i="1121"/>
  <c r="AR291" i="1121"/>
  <c r="AR290" i="1121" s="1"/>
  <c r="AR307" i="1121"/>
  <c r="AR106" i="1121"/>
  <c r="AR62" i="1121"/>
  <c r="AR34" i="1121"/>
  <c r="AR33" i="1121" s="1"/>
  <c r="AR27" i="1005"/>
  <c r="AR199" i="1005"/>
  <c r="AR107" i="1005"/>
  <c r="AR187" i="1005"/>
  <c r="AP33" i="1005"/>
  <c r="AP53" i="1005" s="1"/>
  <c r="AQ35" i="1005"/>
  <c r="AQ55" i="1005" s="1"/>
  <c r="AQ154" i="1005"/>
  <c r="AQ43" i="1005"/>
  <c r="AQ64" i="1005" s="1"/>
  <c r="AQ199" i="1005"/>
  <c r="AP112" i="1005"/>
  <c r="AR119" i="1005"/>
  <c r="AR189" i="1005"/>
  <c r="AR190" i="1005"/>
  <c r="AQ109" i="1005"/>
  <c r="AQ110" i="1005" s="1"/>
  <c r="AQ36" i="1005"/>
  <c r="AQ56" i="1005" s="1"/>
  <c r="AR26" i="1005"/>
  <c r="AR142" i="1005"/>
  <c r="AR41" i="1005"/>
  <c r="AR62" i="1005" s="1"/>
  <c r="AP187" i="1005"/>
  <c r="AQ122" i="1005"/>
  <c r="AQ73" i="1005"/>
  <c r="AQ90" i="1005"/>
  <c r="AQ82" i="1005"/>
  <c r="AQ142" i="1005"/>
  <c r="AQ124" i="1005"/>
  <c r="AQ87" i="1005"/>
  <c r="AQ45" i="1005"/>
  <c r="AQ66" i="1005" s="1"/>
  <c r="AQ191" i="1005"/>
  <c r="AQ26" i="1005"/>
  <c r="AQ179" i="1005"/>
  <c r="AQ41" i="1005"/>
  <c r="AQ62" i="1005" s="1"/>
  <c r="AQ84" i="1005"/>
  <c r="AP109" i="1005"/>
  <c r="AP110" i="1005" s="1"/>
  <c r="AP155" i="1005"/>
  <c r="AP163" i="1005"/>
  <c r="AP46" i="1005"/>
  <c r="AP67" i="1005" s="1"/>
  <c r="AQ184" i="1005"/>
  <c r="AR184" i="1005"/>
  <c r="AR91" i="1005"/>
  <c r="AR39" i="1005"/>
  <c r="AR60" i="1005" s="1"/>
  <c r="AR49" i="1005"/>
  <c r="AR70" i="1005" s="1"/>
  <c r="AR194" i="1005"/>
  <c r="AR160" i="1005"/>
  <c r="AR161" i="1005" s="1"/>
  <c r="AR155" i="1005"/>
  <c r="AR46" i="1005"/>
  <c r="AR67" i="1005" s="1"/>
  <c r="AR141" i="1005"/>
  <c r="AR32" i="1005"/>
  <c r="AR52" i="1005" s="1"/>
  <c r="AQ136" i="1005"/>
  <c r="AQ195" i="1005"/>
  <c r="AQ75" i="1005"/>
  <c r="AQ188" i="1005"/>
  <c r="AQ194" i="1005"/>
  <c r="AQ74" i="1005"/>
  <c r="AQ159" i="1005"/>
  <c r="AQ201" i="1005"/>
  <c r="AQ49" i="1005"/>
  <c r="AQ70" i="1005" s="1"/>
  <c r="AQ33" i="1005"/>
  <c r="AQ53" i="1005" s="1"/>
  <c r="AQ108" i="1005"/>
  <c r="AQ48" i="1005"/>
  <c r="AQ69" i="1005" s="1"/>
  <c r="AR81" i="1005"/>
  <c r="AR127" i="1005"/>
  <c r="AR177" i="1005"/>
  <c r="AR40" i="1005"/>
  <c r="AR61" i="1005" s="1"/>
  <c r="AR152" i="1005"/>
  <c r="AR138" i="1005"/>
  <c r="AR137" i="1005"/>
  <c r="AR172" i="1005"/>
  <c r="AR90" i="1005"/>
  <c r="AR180" i="1005"/>
  <c r="AR135" i="1005"/>
  <c r="AR200" i="1005"/>
  <c r="AR87" i="1005"/>
  <c r="AR85" i="1005"/>
  <c r="AR34" i="1005"/>
  <c r="AR54" i="1005" s="1"/>
  <c r="AR139" i="1005"/>
  <c r="AR140" i="1005" s="1"/>
  <c r="AP98" i="1005"/>
  <c r="AP97" i="1005" s="1"/>
  <c r="AP34" i="1005"/>
  <c r="AP54" i="1005" s="1"/>
  <c r="AP40" i="1005"/>
  <c r="AP61" i="1005" s="1"/>
  <c r="AP245" i="1005"/>
  <c r="AP172" i="1005"/>
  <c r="AP141" i="1005"/>
  <c r="AP42" i="1005"/>
  <c r="AP63" i="1005" s="1"/>
  <c r="AQ156" i="1005"/>
  <c r="AQ135" i="1005"/>
  <c r="AQ47" i="1005"/>
  <c r="AQ68" i="1005" s="1"/>
  <c r="AQ34" i="1005"/>
  <c r="AQ54" i="1005" s="1"/>
  <c r="AQ197" i="1005"/>
  <c r="AQ76" i="1005"/>
  <c r="AQ107" i="1005"/>
  <c r="AQ200" i="1005"/>
  <c r="AQ112" i="1005"/>
  <c r="AQ111" i="1005"/>
  <c r="AQ88" i="1005"/>
  <c r="AQ153" i="1005"/>
  <c r="AP39" i="1005"/>
  <c r="AP60" i="1005" s="1"/>
  <c r="AQ186" i="1005"/>
  <c r="AR120" i="1005"/>
  <c r="AP45" i="1005"/>
  <c r="AP66" i="1005" s="1"/>
  <c r="AR78" i="1005"/>
  <c r="AR86" i="1005"/>
  <c r="AR33" i="1005"/>
  <c r="AR53" i="1005" s="1"/>
  <c r="AR179" i="1005"/>
  <c r="AR36" i="1005"/>
  <c r="AR56" i="1005" s="1"/>
  <c r="AR125" i="1005"/>
  <c r="AR43" i="1005"/>
  <c r="AR64" i="1005" s="1"/>
  <c r="AR157" i="1005"/>
  <c r="AR45" i="1005"/>
  <c r="AR66" i="1005" s="1"/>
  <c r="AQ139" i="1005"/>
  <c r="AQ140" i="1005" s="1"/>
  <c r="AQ174" i="1005"/>
  <c r="AQ125" i="1005"/>
  <c r="AQ86" i="1005"/>
  <c r="AQ46" i="1005"/>
  <c r="AQ67" i="1005" s="1"/>
  <c r="AQ42" i="1005"/>
  <c r="AQ63" i="1005" s="1"/>
  <c r="AQ81" i="1005"/>
  <c r="AQ152" i="1005"/>
  <c r="AQ40" i="1005"/>
  <c r="AQ61" i="1005" s="1"/>
  <c r="AR84" i="1005"/>
  <c r="AQ131" i="1005"/>
  <c r="AR122" i="1005"/>
  <c r="AR76" i="1005"/>
  <c r="AR198" i="1005"/>
  <c r="AR149" i="1005"/>
  <c r="AR73" i="1005"/>
  <c r="AR195" i="1005"/>
  <c r="AR133" i="1005"/>
  <c r="AR48" i="1005"/>
  <c r="AR69" i="1005" s="1"/>
  <c r="AR162" i="1005"/>
  <c r="AR82" i="1005"/>
  <c r="AR129" i="1005"/>
  <c r="AR188" i="1005"/>
  <c r="AR130" i="1005"/>
  <c r="AR171" i="1005"/>
  <c r="AQ157" i="1005"/>
  <c r="AR88" i="1005"/>
  <c r="AR123" i="1005"/>
  <c r="AR42" i="1005"/>
  <c r="AR63" i="1005" s="1"/>
  <c r="AR75" i="1005"/>
  <c r="AR131" i="1005"/>
  <c r="AP131" i="1005"/>
  <c r="AP48" i="1005"/>
  <c r="AP69" i="1005" s="1"/>
  <c r="AP160" i="1005"/>
  <c r="AP161" i="1005" s="1"/>
  <c r="AP139" i="1005"/>
  <c r="AP140" i="1005" s="1"/>
  <c r="AP43" i="1005"/>
  <c r="AP64" i="1005" s="1"/>
  <c r="AQ89" i="1005"/>
  <c r="AQ119" i="1005"/>
  <c r="AQ178" i="1005"/>
  <c r="AQ32" i="1005"/>
  <c r="AQ52" i="1005" s="1"/>
  <c r="AQ79" i="1005"/>
  <c r="AQ187" i="1005"/>
  <c r="AQ181" i="1005"/>
  <c r="AQ128" i="1005"/>
  <c r="AQ133" i="1005"/>
  <c r="AQ106" i="1005"/>
  <c r="AQ96" i="1005"/>
  <c r="AQ175" i="1005"/>
  <c r="AQ189" i="1005"/>
  <c r="AQ172" i="1005"/>
  <c r="AQ72" i="1005"/>
  <c r="AP32" i="1005"/>
  <c r="AP52" i="1005" s="1"/>
  <c r="AP162" i="1005"/>
  <c r="AQ185" i="1005"/>
  <c r="AR186" i="1005"/>
  <c r="AR196" i="1005"/>
  <c r="AP36" i="1005"/>
  <c r="AP56" i="1005" s="1"/>
  <c r="AR112" i="1005"/>
  <c r="AR192" i="1005"/>
  <c r="AR89" i="1005"/>
  <c r="AR106" i="1005"/>
  <c r="AR191" i="1005"/>
  <c r="AR108" i="1005"/>
  <c r="AR175" i="1005"/>
  <c r="AR47" i="1005"/>
  <c r="AR68" i="1005" s="1"/>
  <c r="AR173" i="1005"/>
  <c r="AR201" i="1005"/>
  <c r="AQ39" i="1005"/>
  <c r="AQ60" i="1005" s="1"/>
  <c r="AQ193" i="1005"/>
  <c r="AQ158" i="1005"/>
  <c r="AQ192" i="1005"/>
  <c r="AQ163" i="1005"/>
  <c r="AQ31" i="1005"/>
  <c r="AQ57" i="1005" s="1"/>
  <c r="AQ183" i="1005"/>
  <c r="AQ123" i="1005"/>
  <c r="AQ129" i="1005"/>
  <c r="AP41" i="1005"/>
  <c r="AP62" i="1005" s="1"/>
  <c r="AP47" i="1005"/>
  <c r="AP68" i="1005" s="1"/>
  <c r="AQ149" i="1005"/>
  <c r="AP245" i="1045"/>
  <c r="AP142" i="1005"/>
  <c r="AR121" i="1005"/>
  <c r="AR79" i="1005"/>
  <c r="AQ190" i="1005"/>
  <c r="AQ91" i="1005"/>
  <c r="AQ138" i="1005"/>
  <c r="AQ173" i="1005"/>
  <c r="AR193" i="1005"/>
  <c r="AR185" i="1005"/>
  <c r="AP149" i="1005"/>
  <c r="AQ162" i="1005"/>
  <c r="AQ141" i="1005"/>
  <c r="AQ171" i="1005"/>
  <c r="AQ198" i="1005"/>
  <c r="AR72" i="1005"/>
  <c r="AR111" i="1005"/>
  <c r="AR134" i="1005"/>
  <c r="AQ177" i="1005"/>
  <c r="AR197" i="1005"/>
  <c r="AR176" i="1005"/>
  <c r="AR38" i="1005"/>
  <c r="AR59" i="1005" s="1"/>
  <c r="AP174" i="1005"/>
  <c r="AR183" i="1005"/>
  <c r="AR136" i="1005"/>
  <c r="AR35" i="1005"/>
  <c r="AR55" i="1005" s="1"/>
  <c r="AQ130" i="1005"/>
  <c r="AQ121" i="1005"/>
  <c r="AQ196" i="1005"/>
  <c r="AQ160" i="1005"/>
  <c r="AQ161" i="1005" s="1"/>
  <c r="AR178" i="1005"/>
  <c r="AR158" i="1005"/>
  <c r="AR31" i="1005"/>
  <c r="AR57" i="1005" s="1"/>
  <c r="AR153" i="1005"/>
  <c r="AQ176" i="1005"/>
  <c r="AQ120" i="1005"/>
  <c r="AQ127" i="1005"/>
  <c r="AP49" i="1005"/>
  <c r="AP70" i="1005" s="1"/>
  <c r="AR109" i="1005"/>
  <c r="AR110" i="1005" s="1"/>
  <c r="AR96" i="1005"/>
  <c r="AR154" i="1005"/>
  <c r="AR181" i="1005"/>
  <c r="AQ78" i="1005"/>
  <c r="AQ170" i="1005"/>
  <c r="AP35" i="1005"/>
  <c r="AP55" i="1005" s="1"/>
  <c r="AR151" i="1005"/>
  <c r="AQ98" i="1005"/>
  <c r="AQ97" i="1005" s="1"/>
  <c r="AR98" i="1005"/>
  <c r="AR97" i="1005" s="1"/>
  <c r="AR44" i="1005"/>
  <c r="AR65" i="1005" s="1"/>
  <c r="AR159" i="1005"/>
  <c r="AR74" i="1005"/>
  <c r="AQ80" i="1005"/>
  <c r="AQ134" i="1005"/>
  <c r="AR124" i="1005"/>
  <c r="AR163" i="1005"/>
  <c r="AR174" i="1005"/>
  <c r="AP111" i="1005"/>
  <c r="AQ155" i="1005"/>
  <c r="AQ85" i="1005"/>
  <c r="AQ151" i="1005"/>
  <c r="AQ137" i="1005"/>
  <c r="AQ27" i="1005"/>
  <c r="AQ180" i="1005"/>
  <c r="AR80" i="1005"/>
  <c r="AR170" i="1005"/>
  <c r="AR128" i="1005"/>
  <c r="AR156" i="1005"/>
  <c r="AP129" i="1005"/>
  <c r="AP154" i="1005"/>
  <c r="AP178" i="1005"/>
  <c r="AP192" i="1005"/>
  <c r="AP89" i="1005"/>
  <c r="AP125" i="1005"/>
  <c r="AP173" i="1005"/>
  <c r="AP185" i="1005"/>
  <c r="AP27" i="1005"/>
  <c r="AP134" i="1005"/>
  <c r="AP176" i="1005"/>
  <c r="AP194" i="1005"/>
  <c r="AP26" i="1005"/>
  <c r="AP91" i="1005"/>
  <c r="AP133" i="1005"/>
  <c r="AP171" i="1005"/>
  <c r="AP120" i="1005"/>
  <c r="AP138" i="1005"/>
  <c r="AP170" i="1005"/>
  <c r="AP186" i="1005"/>
  <c r="AP200" i="1005"/>
  <c r="AP108" i="1005"/>
  <c r="AP157" i="1005"/>
  <c r="AP181" i="1005"/>
  <c r="AP195" i="1005"/>
  <c r="AP124" i="1005"/>
  <c r="AP156" i="1005"/>
  <c r="AP184" i="1005"/>
  <c r="AP123" i="1005"/>
  <c r="AP179" i="1005"/>
  <c r="AP197" i="1005"/>
  <c r="AP136" i="1005"/>
  <c r="AP196" i="1005"/>
  <c r="AP106" i="1005"/>
  <c r="AP128" i="1005"/>
  <c r="AP153" i="1005"/>
  <c r="AP177" i="1005"/>
  <c r="AP189" i="1005"/>
  <c r="AP152" i="1005"/>
  <c r="AP180" i="1005"/>
  <c r="AP198" i="1005"/>
  <c r="AP121" i="1005"/>
  <c r="AP175" i="1005"/>
  <c r="AP193" i="1005"/>
  <c r="AR150" i="1005"/>
  <c r="AQ44" i="1005"/>
  <c r="AQ65" i="1005" s="1"/>
  <c r="AQ38" i="1005"/>
  <c r="AQ59" i="1005" s="1"/>
  <c r="AQ132" i="1005"/>
  <c r="M319" i="967"/>
  <c r="M422" i="967"/>
  <c r="M429" i="967"/>
  <c r="M322" i="967"/>
  <c r="M432" i="967"/>
  <c r="AQ44" i="1045"/>
  <c r="AQ65" i="1045" s="1"/>
  <c r="AQ84" i="1045"/>
  <c r="AR83" i="1045"/>
  <c r="AP127" i="1045"/>
  <c r="AR150" i="1045"/>
  <c r="AP183" i="1045"/>
  <c r="AQ132" i="1045"/>
  <c r="AQ150" i="1045"/>
  <c r="AR31" i="1045"/>
  <c r="AR57" i="1045" s="1"/>
  <c r="AP32" i="1045"/>
  <c r="AP52" i="1045" s="1"/>
  <c r="AP33" i="1045"/>
  <c r="AP53" i="1045" s="1"/>
  <c r="AP34" i="1045"/>
  <c r="AP54" i="1045" s="1"/>
  <c r="AP35" i="1045"/>
  <c r="AP55" i="1045" s="1"/>
  <c r="AP36" i="1045"/>
  <c r="AP56" i="1045" s="1"/>
  <c r="AR44" i="1045"/>
  <c r="AR65" i="1045" s="1"/>
  <c r="AP45" i="1045"/>
  <c r="AP66" i="1045" s="1"/>
  <c r="AP46" i="1045"/>
  <c r="AP67" i="1045" s="1"/>
  <c r="AP47" i="1045"/>
  <c r="AP68" i="1045" s="1"/>
  <c r="AP48" i="1045"/>
  <c r="AP69" i="1045" s="1"/>
  <c r="AP49" i="1045"/>
  <c r="AP70" i="1045" s="1"/>
  <c r="AQ127" i="1045"/>
  <c r="AQ137" i="1045"/>
  <c r="AQ183" i="1045"/>
  <c r="AP88" i="1045"/>
  <c r="AQ27" i="1124"/>
  <c r="F11" i="1001"/>
  <c r="F10" i="1001"/>
  <c r="F12" i="1001"/>
  <c r="F9" i="1001"/>
  <c r="AQ31" i="1045"/>
  <c r="AQ57" i="1045" s="1"/>
  <c r="AQ38" i="1045"/>
  <c r="AQ59" i="1045" s="1"/>
  <c r="M318" i="967"/>
  <c r="M320" i="967"/>
  <c r="F69" i="1106"/>
  <c r="F13" i="1001"/>
  <c r="F4" i="1001"/>
  <c r="AR64" i="1121"/>
  <c r="AP47" i="1121"/>
  <c r="AQ150" i="1005"/>
  <c r="J39" i="1001"/>
  <c r="J42" i="1043"/>
  <c r="F31" i="1042"/>
  <c r="I31" i="1042" s="1"/>
  <c r="I29" i="1042" s="1"/>
  <c r="J34" i="1002"/>
  <c r="J36" i="1002"/>
  <c r="J42" i="1042"/>
  <c r="F3" i="1042"/>
  <c r="C1" i="1042" s="1"/>
  <c r="J33" i="1042"/>
  <c r="F6" i="1042"/>
  <c r="F8" i="1042"/>
  <c r="J43" i="1042"/>
  <c r="J35" i="1043"/>
  <c r="J32" i="1043"/>
  <c r="F38" i="1001"/>
  <c r="AP27" i="1121"/>
  <c r="AR27" i="1121"/>
  <c r="AQ126" i="1106"/>
  <c r="L126" i="1106"/>
  <c r="Q126" i="1106"/>
  <c r="AH126" i="1106"/>
  <c r="AW126" i="1106"/>
  <c r="S126" i="1106"/>
  <c r="AB126" i="1106"/>
  <c r="AK126" i="1106"/>
  <c r="V126" i="1106"/>
  <c r="M126" i="1106"/>
  <c r="U126" i="1106"/>
  <c r="AC126" i="1106"/>
  <c r="AN126" i="1106"/>
  <c r="AV126" i="1106"/>
  <c r="AT126" i="1106"/>
  <c r="P126" i="1106"/>
  <c r="AA126" i="1106"/>
  <c r="AX126" i="1106"/>
  <c r="AU126" i="1106"/>
  <c r="AO126" i="1106"/>
  <c r="AG126" i="1106"/>
  <c r="AI126" i="1106"/>
  <c r="AE126" i="1106"/>
  <c r="AR126" i="1106"/>
  <c r="AL126" i="1106"/>
  <c r="X126" i="1106"/>
  <c r="AM126" i="1106"/>
  <c r="O126" i="1106"/>
  <c r="Y126" i="1106"/>
  <c r="R126" i="1106"/>
  <c r="W126" i="1106"/>
  <c r="AS126" i="1106"/>
  <c r="AJ126" i="1106"/>
  <c r="T126" i="1106"/>
  <c r="AF126" i="1106"/>
  <c r="O126" i="939"/>
  <c r="N126" i="939"/>
  <c r="S126" i="939"/>
  <c r="L126" i="939"/>
  <c r="K126" i="939"/>
  <c r="Q126" i="939"/>
  <c r="T126" i="939"/>
  <c r="R126" i="939"/>
  <c r="P126" i="939"/>
  <c r="M126" i="939"/>
  <c r="K126" i="1106"/>
  <c r="AP72" i="1005"/>
  <c r="AR25" i="1121"/>
  <c r="AP69" i="1121"/>
  <c r="AQ208" i="1045"/>
  <c r="AP81" i="1045"/>
  <c r="AP96" i="1045"/>
  <c r="AP191" i="1045"/>
  <c r="AP73" i="1045"/>
  <c r="AP75" i="1045"/>
  <c r="AP79" i="1045"/>
  <c r="AP85" i="1045"/>
  <c r="AR132" i="1045"/>
  <c r="AP151" i="1045"/>
  <c r="AP158" i="1045"/>
  <c r="AP92" i="1124"/>
  <c r="AP82" i="1045"/>
  <c r="AP137" i="1045"/>
  <c r="AQ71" i="1045"/>
  <c r="AP74" i="1045"/>
  <c r="AP78" i="1045"/>
  <c r="AP86" i="1045"/>
  <c r="AP122" i="1045"/>
  <c r="AP132" i="1045"/>
  <c r="AP150" i="1045"/>
  <c r="AP208" i="1045"/>
  <c r="AR110" i="1045"/>
  <c r="AP110" i="1045"/>
  <c r="AP107" i="1045"/>
  <c r="AP72" i="1045"/>
  <c r="AP31" i="1045"/>
  <c r="AP57" i="1045" s="1"/>
  <c r="AR27" i="1124"/>
  <c r="AR32" i="1124"/>
  <c r="AP32" i="1124"/>
  <c r="AQ182" i="1045"/>
  <c r="AP182" i="1045"/>
  <c r="AQ25" i="1124"/>
  <c r="AP77" i="1045"/>
  <c r="AR77" i="1045"/>
  <c r="AP64" i="1124"/>
  <c r="F15" i="1001"/>
  <c r="F5" i="1001"/>
  <c r="F3" i="1001"/>
  <c r="C1" i="1001" s="1"/>
  <c r="F14" i="1001"/>
  <c r="BA29" i="1001"/>
  <c r="F41" i="1002"/>
  <c r="F6" i="1001"/>
  <c r="F8" i="1001"/>
  <c r="F36" i="1002"/>
  <c r="F34" i="1002"/>
  <c r="AQ182" i="1005"/>
  <c r="AP132" i="1005"/>
  <c r="AP25" i="1121"/>
  <c r="AQ25" i="1121"/>
  <c r="AR77" i="1005"/>
  <c r="AP64" i="1121"/>
  <c r="AP122" i="1005"/>
  <c r="AP158" i="1005"/>
  <c r="AP150" i="1005"/>
  <c r="AR25" i="1005"/>
  <c r="AP35" i="1121"/>
  <c r="AP208" i="1005"/>
  <c r="AP183" i="1005"/>
  <c r="AR182" i="1005"/>
  <c r="AP182" i="1005"/>
  <c r="AP107" i="1005"/>
  <c r="AP78" i="1005"/>
  <c r="AP38" i="1005"/>
  <c r="AP59" i="1005" s="1"/>
  <c r="AR71" i="1005"/>
  <c r="AP71" i="1045"/>
  <c r="AP38" i="1045"/>
  <c r="AP59" i="1045" s="1"/>
  <c r="AP44" i="1045"/>
  <c r="AP65" i="1045" s="1"/>
  <c r="AP25" i="1124"/>
  <c r="AP25" i="1045"/>
  <c r="AR25" i="1124"/>
  <c r="AA126" i="1043"/>
  <c r="W126" i="1043"/>
  <c r="S126" i="1043"/>
  <c r="N126" i="1043"/>
  <c r="X126" i="1043"/>
  <c r="T126" i="1043"/>
  <c r="AB126" i="1043"/>
  <c r="Y126" i="1043"/>
  <c r="U126" i="1043"/>
  <c r="Q126" i="1043"/>
  <c r="M126" i="1043"/>
  <c r="P126" i="1043"/>
  <c r="Z126" i="1043"/>
  <c r="V126" i="1043"/>
  <c r="R126" i="1043"/>
  <c r="L126" i="1043"/>
  <c r="O126" i="1043"/>
  <c r="AR28" i="1045"/>
  <c r="AR29" i="1045"/>
  <c r="AP83" i="1045"/>
  <c r="AQ83" i="1045"/>
  <c r="AQ25" i="1045"/>
  <c r="AP31" i="1005"/>
  <c r="AP57" i="1005" s="1"/>
  <c r="AI127" i="1001"/>
  <c r="AE127" i="1001"/>
  <c r="O127" i="1001"/>
  <c r="R127" i="1001"/>
  <c r="AM126" i="1001"/>
  <c r="Z126" i="1001"/>
  <c r="AF127" i="1001"/>
  <c r="X127" i="1001"/>
  <c r="AJ127" i="1001"/>
  <c r="AN127" i="1001"/>
  <c r="AA127" i="1001"/>
  <c r="AM127" i="1001"/>
  <c r="P126" i="1001"/>
  <c r="P127" i="1001"/>
  <c r="N126" i="1001"/>
  <c r="AB126" i="1001"/>
  <c r="T127" i="1001"/>
  <c r="M127" i="1001"/>
  <c r="AP127" i="1001"/>
  <c r="L127" i="1001"/>
  <c r="S127" i="1001"/>
  <c r="Z127" i="1001"/>
  <c r="AG126" i="1001"/>
  <c r="X126" i="1001"/>
  <c r="Y126" i="1001"/>
  <c r="N127" i="1001"/>
  <c r="O126" i="1001"/>
  <c r="W126" i="1001"/>
  <c r="V126" i="1001"/>
  <c r="AH127" i="1001"/>
  <c r="T126" i="1001"/>
  <c r="W127" i="1001"/>
  <c r="Y127" i="1001"/>
  <c r="Q127" i="1001"/>
  <c r="AO127" i="1001"/>
  <c r="AK127" i="1001"/>
  <c r="AI126" i="1001"/>
  <c r="AQ25" i="1005"/>
  <c r="AP44" i="1005"/>
  <c r="AP65" i="1005" s="1"/>
  <c r="AQ71" i="1005"/>
  <c r="AP83" i="1005"/>
  <c r="AQ83" i="1005"/>
  <c r="AP25" i="1005"/>
  <c r="AR24" i="1005"/>
  <c r="AP77" i="1005"/>
  <c r="AQ77" i="1005"/>
  <c r="AR29" i="1005"/>
  <c r="AP71" i="1005"/>
  <c r="K126" i="1043"/>
  <c r="AR25" i="1045"/>
  <c r="AR24" i="1045"/>
  <c r="AQ29" i="1045"/>
  <c r="AP29" i="1045"/>
  <c r="AQ24" i="1045"/>
  <c r="K126" i="1042"/>
  <c r="AP24" i="1005"/>
  <c r="AQ24" i="1005"/>
  <c r="AQ29" i="1005"/>
  <c r="AP28" i="1005"/>
  <c r="AP29" i="1005"/>
  <c r="AR28" i="1005"/>
  <c r="AQ23" i="1045"/>
  <c r="AP24" i="1045"/>
  <c r="AP28" i="1045"/>
  <c r="AQ28" i="1045"/>
  <c r="AA126" i="1042"/>
  <c r="O126" i="1042"/>
  <c r="S126" i="1042"/>
  <c r="AC126" i="1042"/>
  <c r="X126" i="1042"/>
  <c r="R126" i="1042"/>
  <c r="V126" i="1042"/>
  <c r="L126" i="1042"/>
  <c r="AB126" i="1042"/>
  <c r="AF126" i="1042"/>
  <c r="Y126" i="1042"/>
  <c r="U126" i="1042"/>
  <c r="W126" i="1042"/>
  <c r="AE126" i="1042"/>
  <c r="Z126" i="1042"/>
  <c r="P126" i="1042"/>
  <c r="T126" i="1042"/>
  <c r="AD126" i="1042"/>
  <c r="Q126" i="1042"/>
  <c r="AR241" i="1045"/>
  <c r="AR243" i="1045"/>
  <c r="M126" i="1042"/>
  <c r="N126" i="1042"/>
  <c r="AR23" i="1045"/>
  <c r="R127" i="1002"/>
  <c r="X126" i="1002"/>
  <c r="AR243" i="1005"/>
  <c r="W127" i="1002"/>
  <c r="P127" i="1002"/>
  <c r="K127" i="1002"/>
  <c r="AQ28" i="1005"/>
  <c r="AR23" i="1005"/>
  <c r="AR203" i="1045"/>
  <c r="AR247" i="1045" s="1"/>
  <c r="AQ304" i="1045"/>
  <c r="AQ303" i="1045" s="1"/>
  <c r="AQ243" i="1045"/>
  <c r="AP243" i="1045"/>
  <c r="AQ298" i="1045"/>
  <c r="AQ297" i="1045" s="1"/>
  <c r="AR296" i="1045"/>
  <c r="AR298" i="1045"/>
  <c r="AR297" i="1045" s="1"/>
  <c r="AQ301" i="1045"/>
  <c r="AQ300" i="1045" s="1"/>
  <c r="AR301" i="1045"/>
  <c r="AR300" i="1045" s="1"/>
  <c r="AR299" i="1045"/>
  <c r="AQ295" i="1045"/>
  <c r="AQ294" i="1045" s="1"/>
  <c r="AQ203" i="1045"/>
  <c r="AQ247" i="1045" s="1"/>
  <c r="AP241" i="1045"/>
  <c r="AQ241" i="1045"/>
  <c r="AR295" i="1045"/>
  <c r="AR294" i="1045" s="1"/>
  <c r="AR292" i="1045"/>
  <c r="AR302" i="1045"/>
  <c r="AR304" i="1045"/>
  <c r="AR303" i="1045" s="1"/>
  <c r="AR245" i="1045"/>
  <c r="AR240" i="1045"/>
  <c r="AR242" i="1045" s="1"/>
  <c r="AP23" i="1045"/>
  <c r="AQ245" i="1045"/>
  <c r="AQ240" i="1045"/>
  <c r="AQ242" i="1045" s="1"/>
  <c r="L126" i="1001"/>
  <c r="AQ301" i="1005"/>
  <c r="AQ300" i="1005" s="1"/>
  <c r="AQ304" i="1005"/>
  <c r="AQ303" i="1005" s="1"/>
  <c r="AQ241" i="1005"/>
  <c r="AQ298" i="1005"/>
  <c r="AQ297" i="1005" s="1"/>
  <c r="AR304" i="1005"/>
  <c r="AR303" i="1005" s="1"/>
  <c r="AR302" i="1005"/>
  <c r="AQ295" i="1005"/>
  <c r="AQ294" i="1005" s="1"/>
  <c r="AP243" i="1005"/>
  <c r="AQ243" i="1005"/>
  <c r="AR295" i="1005"/>
  <c r="AR294" i="1005" s="1"/>
  <c r="AR240" i="1005"/>
  <c r="AR242" i="1005" s="1"/>
  <c r="AQ240" i="1005"/>
  <c r="AQ242" i="1005" s="1"/>
  <c r="AR299" i="1005"/>
  <c r="AR301" i="1005"/>
  <c r="AR300" i="1005" s="1"/>
  <c r="AR298" i="1005"/>
  <c r="AR297" i="1005" s="1"/>
  <c r="AR296" i="1005"/>
  <c r="AR241" i="1005"/>
  <c r="AQ23" i="1005"/>
  <c r="AR203" i="1005"/>
  <c r="AR247" i="1005" s="1"/>
  <c r="AP23" i="1005"/>
  <c r="AQ205" i="1045"/>
  <c r="AR205" i="1045"/>
  <c r="AR222" i="1045"/>
  <c r="AR293" i="1045"/>
  <c r="AQ293" i="1045"/>
  <c r="AP293" i="1045"/>
  <c r="AP301" i="1045"/>
  <c r="AP300" i="1045" s="1"/>
  <c r="AP304" i="1045"/>
  <c r="AP303" i="1045" s="1"/>
  <c r="AP240" i="1045"/>
  <c r="AP242" i="1045" s="1"/>
  <c r="AP205" i="1045"/>
  <c r="AQ222" i="1045"/>
  <c r="AP292" i="1045"/>
  <c r="AQ292" i="1045"/>
  <c r="AP299" i="1045"/>
  <c r="AQ299" i="1045"/>
  <c r="AP302" i="1045"/>
  <c r="AQ302" i="1045"/>
  <c r="AP203" i="1045"/>
  <c r="AP247" i="1045" s="1"/>
  <c r="AP298" i="1045"/>
  <c r="AP297" i="1045" s="1"/>
  <c r="AP295" i="1045"/>
  <c r="AP294" i="1045" s="1"/>
  <c r="AQ296" i="1045"/>
  <c r="AP296" i="1045"/>
  <c r="AQ245" i="1005"/>
  <c r="AR292" i="1005"/>
  <c r="AP301" i="1005"/>
  <c r="AP300" i="1005"/>
  <c r="AP241" i="1005"/>
  <c r="AP292" i="1005"/>
  <c r="AQ292" i="1005"/>
  <c r="AP304" i="1005"/>
  <c r="AP303" i="1005" s="1"/>
  <c r="AR245" i="1005"/>
  <c r="AP240" i="1005"/>
  <c r="AP242" i="1005" s="1"/>
  <c r="AQ293" i="1005"/>
  <c r="AP293" i="1005"/>
  <c r="AQ296" i="1005"/>
  <c r="AP296" i="1005"/>
  <c r="AP302" i="1005"/>
  <c r="AQ302" i="1005"/>
  <c r="AQ299" i="1005"/>
  <c r="AP299" i="1005"/>
  <c r="AR293" i="1005"/>
  <c r="AR291" i="1005"/>
  <c r="AP295" i="1005"/>
  <c r="AP294" i="1005" s="1"/>
  <c r="AP298" i="1005"/>
  <c r="AP297" i="1005" s="1"/>
  <c r="AQ222" i="1005"/>
  <c r="AQ203" i="1005"/>
  <c r="AQ247" i="1005" s="1"/>
  <c r="AR222" i="1005"/>
  <c r="AP203" i="1005"/>
  <c r="AP247" i="1005" s="1"/>
  <c r="AR205" i="1005"/>
  <c r="AP222" i="1045"/>
  <c r="AQ290" i="1045"/>
  <c r="AQ291" i="1045"/>
  <c r="AR290" i="1045"/>
  <c r="AR291" i="1045"/>
  <c r="AR290" i="1005"/>
  <c r="AQ291" i="1005"/>
  <c r="AP222" i="1005"/>
  <c r="AQ205" i="1005"/>
  <c r="AP290" i="1005"/>
  <c r="AP205" i="1005"/>
  <c r="AP290" i="1045"/>
  <c r="AP291" i="1045"/>
  <c r="AP291" i="1005"/>
  <c r="AQ290" i="1005"/>
  <c r="F13" i="1042"/>
  <c r="F5" i="1042"/>
  <c r="F6" i="1002"/>
  <c r="F9" i="1042"/>
  <c r="O39" i="1043"/>
  <c r="AM304" i="1045"/>
  <c r="F38" i="1002"/>
  <c r="F33" i="1002"/>
  <c r="AM297" i="1045"/>
  <c r="AM303" i="1005"/>
  <c r="AR126" i="1001"/>
  <c r="M126" i="1001"/>
  <c r="AO126" i="1001"/>
  <c r="AN126" i="1001"/>
  <c r="AK126" i="1001"/>
  <c r="AJ126" i="1001"/>
  <c r="Q126" i="1001"/>
  <c r="S126" i="1001"/>
  <c r="AP126" i="1001"/>
  <c r="AF126" i="1001"/>
  <c r="AQ126" i="1001"/>
  <c r="AH126" i="1001"/>
  <c r="AC126" i="1001"/>
  <c r="AA126" i="1001"/>
  <c r="AS126" i="1001"/>
  <c r="AE126" i="1001"/>
  <c r="R126" i="1001"/>
  <c r="U126" i="1001"/>
  <c r="F32" i="1042"/>
  <c r="F40" i="1042"/>
  <c r="J38" i="1042"/>
  <c r="AF35" i="1001"/>
  <c r="X35" i="1001" s="1"/>
  <c r="AF38" i="1001"/>
  <c r="F36" i="1043"/>
  <c r="M37" i="1042"/>
  <c r="K37" i="1042" s="1"/>
  <c r="F39" i="1002"/>
  <c r="F38" i="1043"/>
  <c r="F12" i="1106"/>
  <c r="AM300" i="1045"/>
  <c r="AM301" i="1045"/>
  <c r="AM295" i="1005"/>
  <c r="J68" i="1106"/>
  <c r="F14" i="939"/>
  <c r="AD127" i="1001"/>
  <c r="AQ127" i="1001"/>
  <c r="U127" i="1001"/>
  <c r="AC127" i="1001"/>
  <c r="AB127" i="1001"/>
  <c r="AG127" i="1001"/>
  <c r="V127" i="1001"/>
  <c r="F43" i="1002"/>
  <c r="F31" i="1002"/>
  <c r="I31" i="1002" s="1"/>
  <c r="I29" i="1002" s="1"/>
  <c r="F5" i="939"/>
  <c r="F65" i="939"/>
  <c r="J60" i="939"/>
  <c r="F68" i="939"/>
  <c r="CU66" i="939"/>
  <c r="J65" i="939"/>
  <c r="J61" i="939"/>
  <c r="J66" i="939"/>
  <c r="F64" i="939"/>
  <c r="F71" i="939"/>
  <c r="J63" i="939"/>
  <c r="F3" i="939"/>
  <c r="C1" i="939" s="1"/>
  <c r="F12" i="939"/>
  <c r="M61" i="939"/>
  <c r="M39" i="1042"/>
  <c r="K39" i="1042" s="1"/>
  <c r="J41" i="1043"/>
  <c r="AM298" i="1005"/>
  <c r="AM318" i="1138"/>
  <c r="AM319" i="1138"/>
  <c r="AM320" i="1138"/>
  <c r="AM321" i="1138"/>
  <c r="AM425" i="1138"/>
  <c r="AM428" i="1138"/>
  <c r="AM431" i="1138"/>
  <c r="Z126" i="1002"/>
  <c r="L126" i="1002"/>
  <c r="J65" i="1106"/>
  <c r="F11" i="939"/>
  <c r="J62" i="939"/>
  <c r="J32" i="1002"/>
  <c r="J40" i="1002"/>
  <c r="F42" i="1002"/>
  <c r="J39" i="1002"/>
  <c r="F32" i="1002"/>
  <c r="J43" i="1002"/>
  <c r="J42" i="1002"/>
  <c r="F40" i="1002"/>
  <c r="F10" i="1002"/>
  <c r="F5" i="1002"/>
  <c r="J31" i="1002"/>
  <c r="BA31" i="1002" s="1"/>
  <c r="J41" i="1002"/>
  <c r="F35" i="1002"/>
  <c r="J38" i="1002"/>
  <c r="J33" i="1002"/>
  <c r="F37" i="1002"/>
  <c r="J37" i="1002"/>
  <c r="J35" i="1002"/>
  <c r="U31" i="1002"/>
  <c r="U29" i="1002" s="1"/>
  <c r="F9" i="1043"/>
  <c r="F6" i="1043"/>
  <c r="F10" i="1106"/>
  <c r="F7" i="1106"/>
  <c r="CW60" i="939"/>
  <c r="F33" i="1042"/>
  <c r="M68" i="939"/>
  <c r="M61" i="1106"/>
  <c r="K61" i="1106" s="1"/>
  <c r="CU10" i="939"/>
  <c r="F5" i="1043"/>
  <c r="F11" i="1043"/>
  <c r="F13" i="1043"/>
  <c r="F10" i="1043"/>
  <c r="H31" i="1002"/>
  <c r="H29" i="1002" s="1"/>
  <c r="F4" i="1106"/>
  <c r="AE370" i="967"/>
  <c r="AE372" i="967" s="1"/>
  <c r="AF248" i="967"/>
  <c r="AF313" i="967"/>
  <c r="AE313" i="967" s="1"/>
  <c r="AQ249" i="1045"/>
  <c r="AQ269" i="1045"/>
  <c r="O35" i="1043"/>
  <c r="AP274" i="1045"/>
  <c r="AR269" i="1045"/>
  <c r="AG421" i="967"/>
  <c r="AP254" i="1005"/>
  <c r="AP274" i="1005"/>
  <c r="AR269" i="1005"/>
  <c r="AE195" i="967"/>
  <c r="AF430" i="967"/>
  <c r="AQ397" i="1138"/>
  <c r="AP406" i="1138"/>
  <c r="AE93" i="967"/>
  <c r="AE317" i="967"/>
  <c r="Q20" i="968"/>
  <c r="AR397" i="1138"/>
  <c r="AG127" i="967"/>
  <c r="AP271" i="1005"/>
  <c r="AF420" i="967"/>
  <c r="AQ12" i="1144"/>
  <c r="AE139" i="967"/>
  <c r="P33" i="1002"/>
  <c r="AD126" i="1001"/>
  <c r="C29" i="1002"/>
  <c r="BA35" i="1002" s="1"/>
  <c r="AB126" i="1002"/>
  <c r="Y126" i="1002"/>
  <c r="P126" i="1002"/>
  <c r="M126" i="1002"/>
  <c r="R126" i="1002"/>
  <c r="U126" i="1002"/>
  <c r="Q126" i="1002"/>
  <c r="AA126" i="1002"/>
  <c r="T126" i="1002"/>
  <c r="V126" i="1002"/>
  <c r="O126" i="1002"/>
  <c r="AC126" i="1002"/>
  <c r="N126" i="1002"/>
  <c r="W126" i="1002"/>
  <c r="K126" i="1002"/>
  <c r="M426" i="967"/>
  <c r="M425" i="967"/>
  <c r="AE430" i="967"/>
  <c r="S126" i="1002"/>
  <c r="H31" i="1042"/>
  <c r="H29" i="1042" s="1"/>
  <c r="K126" i="1001"/>
  <c r="CU60" i="939"/>
  <c r="CW4" i="939"/>
  <c r="AE12" i="1144"/>
  <c r="Q16" i="968"/>
  <c r="DW27" i="1037"/>
  <c r="AR431" i="1138" l="1"/>
  <c r="AR425" i="1138"/>
  <c r="AR137" i="1138"/>
  <c r="AP137" i="1138"/>
  <c r="AQ137" i="1138"/>
  <c r="AQ431" i="1138"/>
  <c r="AP431" i="1138"/>
  <c r="AR372" i="1138"/>
  <c r="AP425" i="1138"/>
  <c r="AQ425" i="1138"/>
  <c r="AE426" i="967"/>
  <c r="AE425" i="967" s="1"/>
  <c r="AP372" i="1138"/>
  <c r="AQ372" i="1138"/>
  <c r="AG189" i="967"/>
  <c r="AK1121" i="1147"/>
  <c r="AM47" i="1147"/>
  <c r="AK483" i="1147"/>
  <c r="P43" i="1002"/>
  <c r="O36" i="1043"/>
  <c r="AQ249" i="1005"/>
  <c r="AE136" i="967"/>
  <c r="AE130" i="967"/>
  <c r="AK295" i="1149"/>
  <c r="AE80" i="1150"/>
  <c r="AE82" i="1150"/>
  <c r="AK298" i="1151"/>
  <c r="AK334" i="1151"/>
  <c r="AK51" i="1147"/>
  <c r="AK182" i="1147"/>
  <c r="AK390" i="1147"/>
  <c r="AC31" i="1001"/>
  <c r="AC29" i="1001" s="1"/>
  <c r="AE198" i="967"/>
  <c r="AK712" i="1147"/>
  <c r="AK701" i="1147" s="1"/>
  <c r="CT66" i="939"/>
  <c r="CV4" i="939"/>
  <c r="CX10" i="939"/>
  <c r="CW10" i="939"/>
  <c r="AP399" i="1138"/>
  <c r="AP402" i="1138"/>
  <c r="AE423" i="967"/>
  <c r="AE422" i="967" s="1"/>
  <c r="AE429" i="967"/>
  <c r="AE428" i="967" s="1"/>
  <c r="AG420" i="967"/>
  <c r="AQ377" i="1138"/>
  <c r="AE424" i="967"/>
  <c r="AP249" i="1005"/>
  <c r="B5" i="1091"/>
  <c r="AN357" i="1045"/>
  <c r="AN357" i="1005"/>
  <c r="AN485" i="1138"/>
  <c r="N351" i="1150"/>
  <c r="AN351" i="1045"/>
  <c r="AN351" i="1005"/>
  <c r="AN479" i="1138"/>
  <c r="N351" i="1148"/>
  <c r="N357" i="1150"/>
  <c r="N357" i="1148"/>
  <c r="N485" i="967"/>
  <c r="N479" i="967"/>
  <c r="AL857" i="1147"/>
  <c r="AK873" i="1147"/>
  <c r="AL91" i="1147"/>
  <c r="AK195" i="1147"/>
  <c r="AK91" i="1147" s="1"/>
  <c r="AK422" i="1147"/>
  <c r="AK142" i="1147"/>
  <c r="AK222" i="1147"/>
  <c r="AK118" i="1147" s="1"/>
  <c r="AK205" i="1147"/>
  <c r="AK101" i="1147" s="1"/>
  <c r="AL101" i="1147"/>
  <c r="Q15" i="968"/>
  <c r="O59" i="1106"/>
  <c r="O57" i="1106" s="1"/>
  <c r="Q12" i="968"/>
  <c r="AE250" i="967"/>
  <c r="F35" i="1043"/>
  <c r="BT59" i="939"/>
  <c r="AM422" i="1138"/>
  <c r="J37" i="1043"/>
  <c r="CI59" i="939"/>
  <c r="F37" i="1043"/>
  <c r="F43" i="1043"/>
  <c r="F40" i="1043"/>
  <c r="M127" i="1002"/>
  <c r="U127" i="1002"/>
  <c r="O127" i="1002"/>
  <c r="Y127" i="1002"/>
  <c r="X127" i="1002"/>
  <c r="F39" i="1001"/>
  <c r="J33" i="1043"/>
  <c r="J67" i="1106"/>
  <c r="J42" i="1001"/>
  <c r="CT60" i="939"/>
  <c r="R31" i="1002"/>
  <c r="R29" i="1002" s="1"/>
  <c r="AP258" i="1005"/>
  <c r="AE207" i="967"/>
  <c r="AK35" i="1149"/>
  <c r="AK47" i="1149"/>
  <c r="AK322" i="1149"/>
  <c r="AE38" i="1150"/>
  <c r="AE59" i="1150" s="1"/>
  <c r="AK331" i="1151"/>
  <c r="AK312" i="1147"/>
  <c r="AL103" i="1147"/>
  <c r="AK207" i="1147"/>
  <c r="AK103" i="1147" s="1"/>
  <c r="AL137" i="1147"/>
  <c r="AK241" i="1147"/>
  <c r="AK137" i="1147" s="1"/>
  <c r="AL475" i="1147"/>
  <c r="AK79" i="1147"/>
  <c r="AK1024" i="1147"/>
  <c r="AK45" i="1147"/>
  <c r="AK209" i="1147"/>
  <c r="AK105" i="1147" s="1"/>
  <c r="AL105" i="1147"/>
  <c r="AL1126" i="1147"/>
  <c r="AK1126" i="1147" s="1"/>
  <c r="AK1127" i="1147"/>
  <c r="AK1037" i="1147"/>
  <c r="AM193" i="1147"/>
  <c r="AM89" i="1147" s="1"/>
  <c r="AM90" i="1147"/>
  <c r="AK213" i="1147"/>
  <c r="AK109" i="1147" s="1"/>
  <c r="AL109" i="1147"/>
  <c r="Q19" i="968"/>
  <c r="BA36" i="1002"/>
  <c r="AP386" i="1138"/>
  <c r="Q11" i="968"/>
  <c r="J63" i="1106"/>
  <c r="CN59" i="939"/>
  <c r="AM294" i="1045"/>
  <c r="J69" i="1106"/>
  <c r="F41" i="1043"/>
  <c r="AM300" i="1005"/>
  <c r="F42" i="1043"/>
  <c r="F34" i="1043"/>
  <c r="F31" i="1043"/>
  <c r="N127" i="1002"/>
  <c r="L127" i="1002"/>
  <c r="S127" i="1002"/>
  <c r="Z127" i="1002"/>
  <c r="J40" i="1043"/>
  <c r="J43" i="1043"/>
  <c r="J34" i="1043"/>
  <c r="J32" i="1001"/>
  <c r="AO71" i="1106"/>
  <c r="AO66" i="1106"/>
  <c r="AO65" i="1106"/>
  <c r="AO60" i="1106"/>
  <c r="CV60" i="939"/>
  <c r="AF41" i="1001"/>
  <c r="X41" i="1001" s="1"/>
  <c r="AJ31" i="1001"/>
  <c r="AJ29" i="1001" s="1"/>
  <c r="AM31" i="1001"/>
  <c r="AM29" i="1001" s="1"/>
  <c r="O40" i="1043"/>
  <c r="Q31" i="1042"/>
  <c r="Q29" i="1042" s="1"/>
  <c r="W31" i="1042"/>
  <c r="W29" i="1042" s="1"/>
  <c r="AP382" i="1138"/>
  <c r="AP278" i="1045"/>
  <c r="AE129" i="967"/>
  <c r="AE253" i="967"/>
  <c r="AE432" i="967"/>
  <c r="AE431" i="967" s="1"/>
  <c r="AE296" i="1148"/>
  <c r="AE299" i="1150"/>
  <c r="M300" i="1150"/>
  <c r="AK127" i="1149"/>
  <c r="AK139" i="1149"/>
  <c r="AK151" i="1149"/>
  <c r="AK175" i="1149"/>
  <c r="AK187" i="1149"/>
  <c r="AK199" i="1149"/>
  <c r="AK292" i="1149"/>
  <c r="AE72" i="1150"/>
  <c r="AE76" i="1150"/>
  <c r="AE81" i="1150"/>
  <c r="AE86" i="1150"/>
  <c r="AE158" i="1150"/>
  <c r="AK100" i="1151"/>
  <c r="AK256" i="1151"/>
  <c r="AK268" i="1151"/>
  <c r="AL349" i="1147"/>
  <c r="AK349" i="1147" s="1"/>
  <c r="AM1013" i="1147"/>
  <c r="AL133" i="1147"/>
  <c r="AK237" i="1147"/>
  <c r="AK133" i="1147" s="1"/>
  <c r="AM60" i="1147"/>
  <c r="AL60" i="1147"/>
  <c r="AK496" i="1147"/>
  <c r="AL701" i="1147"/>
  <c r="AK1029" i="1147"/>
  <c r="AK1013" i="1147" s="1"/>
  <c r="AK444" i="1147"/>
  <c r="AK164" i="1147"/>
  <c r="AK230" i="1147"/>
  <c r="AK126" i="1147" s="1"/>
  <c r="AL47" i="1147"/>
  <c r="AK868" i="1147"/>
  <c r="AL108" i="1147"/>
  <c r="AK212" i="1147"/>
  <c r="AK108" i="1147" s="1"/>
  <c r="AK151" i="1147"/>
  <c r="AK431" i="1147"/>
  <c r="AK307" i="1147"/>
  <c r="AK227" i="1147"/>
  <c r="AK123" i="1147" s="1"/>
  <c r="AL123" i="1147"/>
  <c r="AF421" i="967"/>
  <c r="AE421" i="967" s="1"/>
  <c r="AP269" i="1045"/>
  <c r="AF189" i="967"/>
  <c r="J70" i="1106"/>
  <c r="J71" i="1106"/>
  <c r="F33" i="1043"/>
  <c r="X38" i="1001"/>
  <c r="F32" i="1043"/>
  <c r="AB127" i="1002"/>
  <c r="AA127" i="1002"/>
  <c r="Q127" i="1002"/>
  <c r="V127" i="1002"/>
  <c r="AC127" i="1002"/>
  <c r="J36" i="1043"/>
  <c r="J39" i="1043"/>
  <c r="J38" i="1043"/>
  <c r="J33" i="1001"/>
  <c r="F68" i="1106"/>
  <c r="CV66" i="939"/>
  <c r="CY4" i="939"/>
  <c r="AF40" i="1001"/>
  <c r="AF36" i="1001"/>
  <c r="X36" i="1001" s="1"/>
  <c r="AF32" i="1001"/>
  <c r="AF39" i="1001"/>
  <c r="X39" i="1001" s="1"/>
  <c r="P38" i="1002"/>
  <c r="P42" i="1002"/>
  <c r="P36" i="1002"/>
  <c r="O41" i="1043"/>
  <c r="AE148" i="967"/>
  <c r="AE151" i="967"/>
  <c r="AF155" i="967"/>
  <c r="CK27" i="1037"/>
  <c r="EA27" i="1037" s="1"/>
  <c r="AK44" i="1149"/>
  <c r="AK238" i="1149"/>
  <c r="AK47" i="1151"/>
  <c r="AK59" i="1151"/>
  <c r="AK81" i="1151"/>
  <c r="AK217" i="1151"/>
  <c r="AK238" i="1151"/>
  <c r="AK292" i="1151"/>
  <c r="AK337" i="1151"/>
  <c r="AL98" i="1147"/>
  <c r="AK202" i="1147"/>
  <c r="AK98" i="1147" s="1"/>
  <c r="AL474" i="1147"/>
  <c r="AK474" i="1147" s="1"/>
  <c r="AK38" i="1147" s="1"/>
  <c r="AL216" i="1147"/>
  <c r="AM857" i="1147"/>
  <c r="AL125" i="1147"/>
  <c r="AK229" i="1147"/>
  <c r="AK125" i="1147" s="1"/>
  <c r="AL102" i="1147"/>
  <c r="AK206" i="1147"/>
  <c r="AK102" i="1147" s="1"/>
  <c r="AK881" i="1147"/>
  <c r="AK1095" i="1147"/>
  <c r="AK87" i="1147" s="1"/>
  <c r="AL87" i="1147"/>
  <c r="AL1161" i="1147" s="1"/>
  <c r="AK1161" i="1147" s="1"/>
  <c r="AK240" i="1147"/>
  <c r="AK136" i="1147" s="1"/>
  <c r="AK46" i="1147"/>
  <c r="AK236" i="1147"/>
  <c r="AK132" i="1147" s="1"/>
  <c r="AL132" i="1147"/>
  <c r="AL1134" i="1147"/>
  <c r="AK1134" i="1147" s="1"/>
  <c r="AK1135" i="1147"/>
  <c r="AK423" i="1147"/>
  <c r="AK143" i="1147"/>
  <c r="AM1111" i="1147"/>
  <c r="AM1110" i="1147" s="1"/>
  <c r="Q31" i="1043"/>
  <c r="Q29" i="1043" s="1"/>
  <c r="T31" i="1043"/>
  <c r="T29" i="1043" s="1"/>
  <c r="O34" i="1043"/>
  <c r="O33" i="1043"/>
  <c r="O43" i="1043"/>
  <c r="O38" i="1043"/>
  <c r="W31" i="1043"/>
  <c r="W29" i="1043" s="1"/>
  <c r="Z31" i="1043"/>
  <c r="Z29" i="1043" s="1"/>
  <c r="M33" i="1042"/>
  <c r="K33" i="1042" s="1"/>
  <c r="M41" i="1042"/>
  <c r="K41" i="1042" s="1"/>
  <c r="N31" i="1042"/>
  <c r="N29" i="1042" s="1"/>
  <c r="M35" i="1042"/>
  <c r="K35" i="1042" s="1"/>
  <c r="M43" i="1042"/>
  <c r="K43" i="1042" s="1"/>
  <c r="BA42" i="1002"/>
  <c r="F11" i="1002"/>
  <c r="P34" i="1002"/>
  <c r="P35" i="1002"/>
  <c r="P39" i="1002"/>
  <c r="AA31" i="1002"/>
  <c r="AA29" i="1002" s="1"/>
  <c r="BA34" i="1002"/>
  <c r="BA32" i="1002"/>
  <c r="BA40" i="1002"/>
  <c r="F3" i="1002"/>
  <c r="C1" i="1002" s="1"/>
  <c r="F7" i="1002"/>
  <c r="F15" i="1002"/>
  <c r="P32" i="1002"/>
  <c r="X31" i="1002"/>
  <c r="X29" i="1002" s="1"/>
  <c r="P37" i="1002"/>
  <c r="F42" i="1001"/>
  <c r="F40" i="1001"/>
  <c r="F35" i="1001"/>
  <c r="J35" i="1001"/>
  <c r="AF34" i="1001"/>
  <c r="X34" i="1001" s="1"/>
  <c r="F43" i="1001"/>
  <c r="F36" i="1001"/>
  <c r="J40" i="1001"/>
  <c r="J41" i="1001"/>
  <c r="J38" i="1001"/>
  <c r="F31" i="1001"/>
  <c r="F33" i="1001"/>
  <c r="Y31" i="1001"/>
  <c r="Y29" i="1001" s="1"/>
  <c r="J34" i="1001"/>
  <c r="F41" i="1001"/>
  <c r="F34" i="1001"/>
  <c r="J36" i="1001"/>
  <c r="J37" i="1001"/>
  <c r="J43" i="1001"/>
  <c r="F37" i="1001"/>
  <c r="X43" i="1001"/>
  <c r="AF37" i="1001"/>
  <c r="X37" i="1001" s="1"/>
  <c r="F8" i="939"/>
  <c r="BT66" i="939"/>
  <c r="F4" i="939"/>
  <c r="CU4" i="939"/>
  <c r="CV10" i="939"/>
  <c r="CX4" i="939"/>
  <c r="BY60" i="939"/>
  <c r="BA12" i="1106"/>
  <c r="BA6" i="1106"/>
  <c r="BA13" i="1106"/>
  <c r="BA10" i="1106"/>
  <c r="BA11" i="1106"/>
  <c r="BA14" i="1106"/>
  <c r="BA5" i="1106"/>
  <c r="AQ59" i="1106"/>
  <c r="AQ57" i="1106" s="1"/>
  <c r="F15" i="1106"/>
  <c r="F13" i="1106"/>
  <c r="F5" i="1106"/>
  <c r="F8" i="1106"/>
  <c r="F6" i="1106"/>
  <c r="F14" i="1106"/>
  <c r="M59" i="1106"/>
  <c r="F9" i="1106"/>
  <c r="F11" i="1106"/>
  <c r="AO70" i="1106"/>
  <c r="AO69" i="1106"/>
  <c r="AO68" i="1106"/>
  <c r="AO64" i="1106"/>
  <c r="AO63" i="1106"/>
  <c r="AO62" i="1106"/>
  <c r="AO61" i="1106"/>
  <c r="F12" i="1043"/>
  <c r="F8" i="1043"/>
  <c r="F3" i="1043"/>
  <c r="C1" i="1043" s="1"/>
  <c r="BA12" i="1043" s="1"/>
  <c r="F7" i="1043"/>
  <c r="F14" i="1043"/>
  <c r="F15" i="1043"/>
  <c r="C29" i="1042"/>
  <c r="J40" i="1042"/>
  <c r="F42" i="1042"/>
  <c r="F39" i="1042"/>
  <c r="J36" i="1042"/>
  <c r="F36" i="1042"/>
  <c r="J37" i="1042"/>
  <c r="J39" i="1042"/>
  <c r="F43" i="1042"/>
  <c r="F14" i="1042"/>
  <c r="F41" i="1042"/>
  <c r="J41" i="1042"/>
  <c r="F15" i="1042"/>
  <c r="F38" i="1042"/>
  <c r="F34" i="1042"/>
  <c r="J32" i="1042"/>
  <c r="F11" i="1042"/>
  <c r="F12" i="1042"/>
  <c r="J35" i="1042"/>
  <c r="F4" i="1042"/>
  <c r="F10" i="1042"/>
  <c r="J34" i="1042"/>
  <c r="F35" i="1042"/>
  <c r="BA43" i="1002"/>
  <c r="BA41" i="1002"/>
  <c r="BA39" i="1002"/>
  <c r="BA37" i="1002"/>
  <c r="F12" i="1002"/>
  <c r="F4" i="1002"/>
  <c r="F14" i="1002"/>
  <c r="F13" i="1002"/>
  <c r="BA38" i="1002"/>
  <c r="BA33" i="1002"/>
  <c r="F8" i="1002"/>
  <c r="X32" i="1001"/>
  <c r="X40" i="1001"/>
  <c r="AG31" i="1001"/>
  <c r="AG29" i="1001" s="1"/>
  <c r="AF33" i="1001"/>
  <c r="X33" i="1001" s="1"/>
  <c r="N59" i="939"/>
  <c r="M59" i="939" s="1"/>
  <c r="M57" i="939" s="1"/>
  <c r="F10" i="939"/>
  <c r="BT60" i="939"/>
  <c r="F67" i="939"/>
  <c r="F62" i="939"/>
  <c r="J67" i="939"/>
  <c r="F59" i="939"/>
  <c r="F61" i="939"/>
  <c r="F70" i="939"/>
  <c r="F7" i="939"/>
  <c r="J68" i="939"/>
  <c r="CW66" i="939"/>
  <c r="CT4" i="939"/>
  <c r="J69" i="939"/>
  <c r="BY66" i="939"/>
  <c r="BY59" i="939"/>
  <c r="J64" i="939"/>
  <c r="F63" i="939"/>
  <c r="F6" i="939"/>
  <c r="F69" i="939"/>
  <c r="J71" i="939"/>
  <c r="J70" i="939"/>
  <c r="F60" i="939"/>
  <c r="F9" i="939"/>
  <c r="F13" i="939"/>
  <c r="CY10" i="939"/>
  <c r="BA8" i="1106"/>
  <c r="BA7" i="1106"/>
  <c r="BA4" i="1106"/>
  <c r="F60" i="1106"/>
  <c r="J66" i="1106"/>
  <c r="F71" i="1106"/>
  <c r="F62" i="1106"/>
  <c r="F67" i="1106"/>
  <c r="AO67" i="1106"/>
  <c r="AU59" i="1106"/>
  <c r="AU57" i="1106" s="1"/>
  <c r="F70" i="1106"/>
  <c r="J61" i="1106"/>
  <c r="F61" i="1106"/>
  <c r="BA15" i="1106"/>
  <c r="BA9" i="1106"/>
  <c r="F66" i="1106"/>
  <c r="F65" i="1106"/>
  <c r="F64" i="1106"/>
  <c r="J60" i="1106"/>
  <c r="F59" i="1106"/>
  <c r="J62" i="1106"/>
  <c r="F63" i="1106"/>
  <c r="AQ269" i="1005"/>
  <c r="AP269" i="1005" s="1"/>
  <c r="AP249" i="1045"/>
  <c r="AR377" i="1138"/>
  <c r="AP377" i="1138" s="1"/>
  <c r="AP251" i="1005"/>
  <c r="AP251" i="1045"/>
  <c r="AP254" i="1045"/>
  <c r="AP258" i="1045"/>
  <c r="AP397" i="1138"/>
  <c r="AE293" i="1150"/>
  <c r="AE25" i="1150"/>
  <c r="AF419" i="967"/>
  <c r="AE420" i="967"/>
  <c r="AE427" i="967"/>
  <c r="AP271" i="1045"/>
  <c r="AP278" i="1005"/>
  <c r="AL52" i="1147"/>
  <c r="AM472" i="1147"/>
  <c r="AM52" i="1147"/>
  <c r="AM36" i="1147" s="1"/>
  <c r="AL208" i="1147"/>
  <c r="AM421" i="1147"/>
  <c r="AM141" i="1147"/>
  <c r="AM297" i="1147"/>
  <c r="AL297" i="1147"/>
  <c r="AL141" i="1147"/>
  <c r="AL421" i="1147"/>
  <c r="AL473" i="1147"/>
  <c r="AL193" i="1147"/>
  <c r="AK193" i="1147" s="1"/>
  <c r="AL90" i="1147"/>
  <c r="AM216" i="1147"/>
  <c r="AL203" i="1147"/>
  <c r="AE292" i="1150"/>
  <c r="AK81" i="1149"/>
  <c r="AK235" i="1149"/>
  <c r="AE27" i="1149"/>
  <c r="AK72" i="1151"/>
  <c r="AK223" i="1151"/>
  <c r="AK232" i="1151"/>
  <c r="AK53" i="1151"/>
  <c r="AK187" i="1151"/>
  <c r="AK196" i="1151"/>
  <c r="AK247" i="1151"/>
  <c r="AK310" i="1151"/>
  <c r="AK115" i="1151"/>
  <c r="AK124" i="1151"/>
  <c r="AK145" i="1151"/>
  <c r="AK178" i="1151"/>
  <c r="AK199" i="1151"/>
  <c r="AE105" i="967"/>
  <c r="AE122" i="967"/>
  <c r="AE145" i="967"/>
  <c r="AG155" i="967"/>
  <c r="AG154" i="967" s="1"/>
  <c r="AE191" i="967"/>
  <c r="AE251" i="967"/>
  <c r="AE265" i="967"/>
  <c r="AE279" i="967"/>
  <c r="AG419" i="967"/>
  <c r="AE156" i="967"/>
  <c r="AE293" i="967"/>
  <c r="AE336" i="967"/>
  <c r="AE38" i="1148"/>
  <c r="AE59" i="1148" s="1"/>
  <c r="AE79" i="1148"/>
  <c r="AE127" i="1148"/>
  <c r="AE191" i="1148"/>
  <c r="AF242" i="1148"/>
  <c r="AK38" i="1149"/>
  <c r="AK87" i="1149"/>
  <c r="AK94" i="1149"/>
  <c r="AK196" i="1149"/>
  <c r="AK244" i="1149"/>
  <c r="AK256" i="1149"/>
  <c r="AE84" i="1150"/>
  <c r="AE96" i="1150"/>
  <c r="AE127" i="1150"/>
  <c r="AK44" i="1151"/>
  <c r="AK69" i="1151"/>
  <c r="AK78" i="1151"/>
  <c r="AK84" i="1151"/>
  <c r="AK103" i="1151"/>
  <c r="AK109" i="1151"/>
  <c r="AK112" i="1151"/>
  <c r="AK175" i="1151"/>
  <c r="AK184" i="1151"/>
  <c r="AK211" i="1151"/>
  <c r="AK220" i="1151"/>
  <c r="AK250" i="1151"/>
  <c r="AK259" i="1151"/>
  <c r="AK271" i="1151"/>
  <c r="AK280" i="1151"/>
  <c r="AK316" i="1151"/>
  <c r="AK325" i="1151"/>
  <c r="AE107" i="1148"/>
  <c r="AE208" i="1148"/>
  <c r="M298" i="1148"/>
  <c r="AK29" i="1149"/>
  <c r="AK78" i="1149"/>
  <c r="AE75" i="1148"/>
  <c r="AE80" i="1148"/>
  <c r="AE87" i="1148"/>
  <c r="AK72" i="1149"/>
  <c r="AK109" i="1149"/>
  <c r="AK130" i="1149"/>
  <c r="AK142" i="1149"/>
  <c r="AK154" i="1149"/>
  <c r="AK166" i="1149"/>
  <c r="AK178" i="1149"/>
  <c r="AK190" i="1149"/>
  <c r="AK280" i="1149"/>
  <c r="AK304" i="1149"/>
  <c r="AK313" i="1149"/>
  <c r="AG77" i="1150"/>
  <c r="AK38" i="1151"/>
  <c r="AK97" i="1151"/>
  <c r="AK118" i="1151"/>
  <c r="AK127" i="1151"/>
  <c r="AK136" i="1151"/>
  <c r="AK148" i="1151"/>
  <c r="AK169" i="1151"/>
  <c r="AK190" i="1151"/>
  <c r="AK205" i="1151"/>
  <c r="AK226" i="1151"/>
  <c r="AK235" i="1151"/>
  <c r="AK244" i="1151"/>
  <c r="AK265" i="1151"/>
  <c r="AK286" i="1151"/>
  <c r="AK304" i="1151"/>
  <c r="AK322" i="1151"/>
  <c r="AK340" i="1151"/>
  <c r="AK100" i="1149"/>
  <c r="AG25" i="1151"/>
  <c r="BA7" i="1042"/>
  <c r="BA8" i="1042"/>
  <c r="BA15" i="1042"/>
  <c r="BA11" i="1042"/>
  <c r="BA9" i="1042"/>
  <c r="BA5" i="1042"/>
  <c r="BA14" i="1042"/>
  <c r="BA4" i="1042"/>
  <c r="BA13" i="1042"/>
  <c r="BA10" i="1042"/>
  <c r="BA6" i="1042"/>
  <c r="BA12" i="1042"/>
  <c r="M57" i="1106"/>
  <c r="BA13" i="1043"/>
  <c r="BA5" i="1043"/>
  <c r="BA4" i="1043"/>
  <c r="BA12" i="939"/>
  <c r="BA9" i="939"/>
  <c r="BA6" i="939"/>
  <c r="BA11" i="939"/>
  <c r="BA14" i="939"/>
  <c r="BA5" i="939"/>
  <c r="BA8" i="939"/>
  <c r="BA7" i="939"/>
  <c r="BA15" i="939"/>
  <c r="BA4" i="939"/>
  <c r="BA10" i="939"/>
  <c r="BB3" i="939"/>
  <c r="BA13" i="939"/>
  <c r="N57" i="939"/>
  <c r="AE248" i="967"/>
  <c r="AE189" i="967"/>
  <c r="CY60" i="939"/>
  <c r="X42" i="1001"/>
  <c r="M40" i="1042"/>
  <c r="K40" i="1042" s="1"/>
  <c r="CT10" i="939"/>
  <c r="AG91" i="967"/>
  <c r="AF127" i="967"/>
  <c r="AE127" i="967" s="1"/>
  <c r="AF154" i="967"/>
  <c r="AE92" i="967"/>
  <c r="AE91" i="967" s="1"/>
  <c r="AE155" i="967"/>
  <c r="AK66" i="1149"/>
  <c r="AE128" i="967"/>
  <c r="AE168" i="967"/>
  <c r="AE185" i="967"/>
  <c r="AE201" i="967"/>
  <c r="AE204" i="967"/>
  <c r="AE213" i="967"/>
  <c r="AE216" i="967"/>
  <c r="AE254" i="967"/>
  <c r="AE324" i="967"/>
  <c r="AE373" i="967"/>
  <c r="AE76" i="1148"/>
  <c r="AF92" i="967"/>
  <c r="AF91" i="967" s="1"/>
  <c r="AE256" i="967"/>
  <c r="AE259" i="967"/>
  <c r="AE305" i="967"/>
  <c r="AE371" i="967"/>
  <c r="AE295" i="1148"/>
  <c r="AE294" i="1148" s="1"/>
  <c r="AF293" i="1148"/>
  <c r="AF291" i="1148" s="1"/>
  <c r="AE243" i="1148"/>
  <c r="AK69" i="1149"/>
  <c r="AK163" i="1149"/>
  <c r="AK232" i="1149"/>
  <c r="AK316" i="1149"/>
  <c r="AK106" i="1151"/>
  <c r="AK139" i="1151"/>
  <c r="AK157" i="1151"/>
  <c r="AK295" i="1151"/>
  <c r="AK328" i="1151"/>
  <c r="AG77" i="1148"/>
  <c r="AE85" i="1148"/>
  <c r="AE241" i="1148"/>
  <c r="AE301" i="1148"/>
  <c r="AE300" i="1148" s="1"/>
  <c r="AK50" i="1149"/>
  <c r="AK56" i="1149"/>
  <c r="AK59" i="1149"/>
  <c r="AE64" i="1149"/>
  <c r="AK103" i="1149"/>
  <c r="AK121" i="1149"/>
  <c r="AK133" i="1149"/>
  <c r="AK145" i="1149"/>
  <c r="AK157" i="1149"/>
  <c r="AK214" i="1149"/>
  <c r="AK217" i="1149"/>
  <c r="AK340" i="1149"/>
  <c r="AE107" i="1150"/>
  <c r="AE122" i="1150"/>
  <c r="AE208" i="1150"/>
  <c r="AF25" i="1151"/>
  <c r="AK32" i="1151"/>
  <c r="AK41" i="1151"/>
  <c r="AK87" i="1151"/>
  <c r="AK94" i="1151"/>
  <c r="AK121" i="1151"/>
  <c r="AK142" i="1151"/>
  <c r="AK151" i="1151"/>
  <c r="AK160" i="1151"/>
  <c r="AK166" i="1151"/>
  <c r="AK193" i="1151"/>
  <c r="AK208" i="1151"/>
  <c r="AK214" i="1151"/>
  <c r="AK241" i="1151"/>
  <c r="AK262" i="1151"/>
  <c r="AK289" i="1151"/>
  <c r="AE92" i="1149"/>
  <c r="AK97" i="1149"/>
  <c r="AK115" i="1149"/>
  <c r="AK124" i="1149"/>
  <c r="AK136" i="1149"/>
  <c r="AK148" i="1149"/>
  <c r="AK160" i="1149"/>
  <c r="AK211" i="1149"/>
  <c r="AE60" i="1150"/>
  <c r="AG83" i="1150"/>
  <c r="AE151" i="1150"/>
  <c r="M297" i="1150"/>
  <c r="AK50" i="1151"/>
  <c r="AK56" i="1151"/>
  <c r="AE64" i="1151"/>
  <c r="AK75" i="1151"/>
  <c r="AK133" i="1151"/>
  <c r="AK154" i="1151"/>
  <c r="AK181" i="1151"/>
  <c r="AK202" i="1151"/>
  <c r="AK229" i="1151"/>
  <c r="AK253" i="1151"/>
  <c r="AK277" i="1151"/>
  <c r="AK307" i="1151"/>
  <c r="AE154" i="967"/>
  <c r="AE133" i="967"/>
  <c r="AE86" i="1148"/>
  <c r="AE122" i="1148"/>
  <c r="AE240" i="1148"/>
  <c r="AE242" i="1148" s="1"/>
  <c r="M301" i="1148"/>
  <c r="AE88" i="1148"/>
  <c r="AE183" i="1148"/>
  <c r="AE61" i="1148"/>
  <c r="AE96" i="1148"/>
  <c r="AE158" i="1148"/>
  <c r="AE182" i="1148"/>
  <c r="AG299" i="1148"/>
  <c r="AE299" i="1148" s="1"/>
  <c r="AE31" i="1148"/>
  <c r="AE57" i="1148" s="1"/>
  <c r="AE56" i="1148"/>
  <c r="AE78" i="1148"/>
  <c r="AF77" i="1148"/>
  <c r="AE77" i="1148" s="1"/>
  <c r="AE81" i="1148"/>
  <c r="AF83" i="1148"/>
  <c r="AE304" i="1148"/>
  <c r="AE303" i="1148" s="1"/>
  <c r="AG292" i="1148"/>
  <c r="AE292" i="1148" s="1"/>
  <c r="AE84" i="1148"/>
  <c r="AG83" i="1148"/>
  <c r="AE137" i="1148"/>
  <c r="AF132" i="1148"/>
  <c r="AE132" i="1148" s="1"/>
  <c r="M294" i="1148"/>
  <c r="M295" i="1148"/>
  <c r="AE25" i="1148"/>
  <c r="AF24" i="1148"/>
  <c r="AE74" i="1148"/>
  <c r="AF71" i="1148"/>
  <c r="AE82" i="1148"/>
  <c r="AG302" i="1148"/>
  <c r="AE302" i="1148" s="1"/>
  <c r="AE44" i="1148"/>
  <c r="AE65" i="1148" s="1"/>
  <c r="AE67" i="1148"/>
  <c r="AE72" i="1148"/>
  <c r="AG71" i="1148"/>
  <c r="AE151" i="1148"/>
  <c r="AG150" i="1148"/>
  <c r="AE150" i="1148" s="1"/>
  <c r="AK41" i="1149"/>
  <c r="AK75" i="1149"/>
  <c r="AK202" i="1149"/>
  <c r="AK226" i="1149"/>
  <c r="AK253" i="1149"/>
  <c r="AK268" i="1149"/>
  <c r="AK277" i="1149"/>
  <c r="AK298" i="1149"/>
  <c r="AK310" i="1149"/>
  <c r="AF25" i="1149"/>
  <c r="AK172" i="1149"/>
  <c r="AK184" i="1149"/>
  <c r="AK220" i="1149"/>
  <c r="AK223" i="1149"/>
  <c r="AK265" i="1149"/>
  <c r="AK274" i="1149"/>
  <c r="AK301" i="1149"/>
  <c r="AK325" i="1149"/>
  <c r="AK334" i="1149"/>
  <c r="AG25" i="1149"/>
  <c r="AK32" i="1149"/>
  <c r="AK53" i="1149"/>
  <c r="AK106" i="1149"/>
  <c r="AK112" i="1149"/>
  <c r="AK118" i="1149"/>
  <c r="AK205" i="1149"/>
  <c r="AK250" i="1149"/>
  <c r="AK328" i="1149"/>
  <c r="AK193" i="1149"/>
  <c r="AK241" i="1149"/>
  <c r="AK262" i="1149"/>
  <c r="AK229" i="1149"/>
  <c r="AK289" i="1149"/>
  <c r="AE137" i="1150"/>
  <c r="M295" i="1150"/>
  <c r="AG291" i="1150"/>
  <c r="M304" i="1150"/>
  <c r="AE44" i="1150"/>
  <c r="AE65" i="1150" s="1"/>
  <c r="AE74" i="1150"/>
  <c r="AE79" i="1150"/>
  <c r="AE88" i="1150"/>
  <c r="AE24" i="1150"/>
  <c r="AE73" i="1150"/>
  <c r="AE85" i="1150"/>
  <c r="AF83" i="1150"/>
  <c r="AE83" i="1150" s="1"/>
  <c r="AE182" i="1150"/>
  <c r="AE31" i="1150"/>
  <c r="AE57" i="1150" s="1"/>
  <c r="AG245" i="1150"/>
  <c r="AE243" i="1150"/>
  <c r="AE296" i="1150"/>
  <c r="AF291" i="1150"/>
  <c r="AE302" i="1150"/>
  <c r="AG71" i="1150"/>
  <c r="AG29" i="1150" s="1"/>
  <c r="AG28" i="1150" s="1"/>
  <c r="AG23" i="1150" s="1"/>
  <c r="AG132" i="1150"/>
  <c r="AE132" i="1150" s="1"/>
  <c r="AE183" i="1150"/>
  <c r="AF77" i="1150"/>
  <c r="AE77" i="1150" s="1"/>
  <c r="AE52" i="1150"/>
  <c r="AE78" i="1150"/>
  <c r="AF150" i="1150"/>
  <c r="AE150" i="1150" s="1"/>
  <c r="AE240" i="1150"/>
  <c r="AE242" i="1150" s="1"/>
  <c r="AE295" i="1150"/>
  <c r="AE294" i="1150" s="1"/>
  <c r="AK60" i="1147" l="1"/>
  <c r="AK857" i="1147"/>
  <c r="AK52" i="1147"/>
  <c r="P31" i="1002"/>
  <c r="K31" i="1002" s="1"/>
  <c r="K29" i="1002" s="1"/>
  <c r="P29" i="1002"/>
  <c r="DV27" i="1037"/>
  <c r="BA8" i="1043"/>
  <c r="BA15" i="1043"/>
  <c r="BA11" i="1043"/>
  <c r="AG90" i="967"/>
  <c r="AG331" i="967" s="1"/>
  <c r="AG350" i="967" s="1"/>
  <c r="AK47" i="1147"/>
  <c r="AE90" i="967"/>
  <c r="DY27" i="1037"/>
  <c r="BA9" i="1043"/>
  <c r="BA10" i="1043"/>
  <c r="BA14" i="1043"/>
  <c r="AK89" i="1147"/>
  <c r="CX60" i="939"/>
  <c r="AL472" i="1147"/>
  <c r="AK473" i="1147"/>
  <c r="AK472" i="1147" s="1"/>
  <c r="AL39" i="1147"/>
  <c r="AL1113" i="1147" s="1"/>
  <c r="AK1113" i="1147" s="1"/>
  <c r="AK475" i="1147"/>
  <c r="AK39" i="1147" s="1"/>
  <c r="AK37" i="1147" s="1"/>
  <c r="BA7" i="1043"/>
  <c r="BA6" i="1043"/>
  <c r="AL99" i="1147"/>
  <c r="AK203" i="1147"/>
  <c r="AK99" i="1147" s="1"/>
  <c r="AL38" i="1147"/>
  <c r="AL104" i="1147"/>
  <c r="AK208" i="1147"/>
  <c r="AK104" i="1147" s="1"/>
  <c r="O31" i="1043"/>
  <c r="AL112" i="1147"/>
  <c r="AK216" i="1147"/>
  <c r="AK112" i="1147" s="1"/>
  <c r="AK421" i="1147"/>
  <c r="AK297" i="1147"/>
  <c r="AK141" i="1147"/>
  <c r="C29" i="1043"/>
  <c r="I31" i="1043"/>
  <c r="I29" i="1043" s="1"/>
  <c r="H31" i="1043"/>
  <c r="H29" i="1043" s="1"/>
  <c r="AE25" i="1151"/>
  <c r="AE25" i="1149"/>
  <c r="O29" i="1043"/>
  <c r="K31" i="1043"/>
  <c r="K29" i="1043" s="1"/>
  <c r="I31" i="1001"/>
  <c r="I29" i="1001" s="1"/>
  <c r="C29" i="1001"/>
  <c r="H31" i="1001"/>
  <c r="H29" i="1001" s="1"/>
  <c r="AO59" i="1106"/>
  <c r="AO57" i="1106" s="1"/>
  <c r="BA39" i="1042"/>
  <c r="BA33" i="1042"/>
  <c r="BA42" i="1042"/>
  <c r="BA35" i="1042"/>
  <c r="BA40" i="1042"/>
  <c r="BA43" i="1042"/>
  <c r="BA37" i="1042"/>
  <c r="BA38" i="1042"/>
  <c r="BA32" i="1042"/>
  <c r="BA36" i="1042"/>
  <c r="BA41" i="1042"/>
  <c r="BA34" i="1042"/>
  <c r="AF31" i="1001"/>
  <c r="CX66" i="939"/>
  <c r="CY66" i="939"/>
  <c r="C57" i="939"/>
  <c r="H59" i="939"/>
  <c r="H57" i="939" s="1"/>
  <c r="I59" i="939"/>
  <c r="I57" i="939" s="1"/>
  <c r="CE59" i="1106"/>
  <c r="C57" i="1106"/>
  <c r="H59" i="1106"/>
  <c r="H57" i="1106" s="1"/>
  <c r="I59" i="1106"/>
  <c r="I57" i="1106" s="1"/>
  <c r="AE419" i="967"/>
  <c r="AL1112" i="1147"/>
  <c r="AM112" i="1147"/>
  <c r="AM192" i="1147"/>
  <c r="AL192" i="1147"/>
  <c r="AL89" i="1147"/>
  <c r="AG203" i="1150"/>
  <c r="AG205" i="1150" s="1"/>
  <c r="AG290" i="1150" s="1"/>
  <c r="AG29" i="1148"/>
  <c r="AG28" i="1148" s="1"/>
  <c r="AG23" i="1148" s="1"/>
  <c r="AG203" i="1148" s="1"/>
  <c r="AG205" i="1148" s="1"/>
  <c r="AE293" i="1148"/>
  <c r="AF90" i="967"/>
  <c r="AF331" i="967" s="1"/>
  <c r="M31" i="1042"/>
  <c r="AG333" i="967"/>
  <c r="AG418" i="967" s="1"/>
  <c r="AE83" i="1148"/>
  <c r="AE71" i="1148"/>
  <c r="AF29" i="1148"/>
  <c r="AE24" i="1148"/>
  <c r="AG291" i="1148"/>
  <c r="AE291" i="1150"/>
  <c r="AE71" i="1150"/>
  <c r="AF29" i="1150"/>
  <c r="BA43" i="1043" l="1"/>
  <c r="BA35" i="1043"/>
  <c r="BA32" i="1043"/>
  <c r="BA34" i="1043"/>
  <c r="BA37" i="1043"/>
  <c r="BA41" i="1043"/>
  <c r="BA33" i="1043"/>
  <c r="BA40" i="1043"/>
  <c r="BA36" i="1043"/>
  <c r="BA39" i="1043"/>
  <c r="BA42" i="1043"/>
  <c r="BA38" i="1043"/>
  <c r="AK192" i="1147"/>
  <c r="AL37" i="1147"/>
  <c r="AL36" i="1147" s="1"/>
  <c r="AK36" i="1147"/>
  <c r="AG375" i="967"/>
  <c r="AL1111" i="1147"/>
  <c r="AL1110" i="1147" s="1"/>
  <c r="AK1112" i="1147"/>
  <c r="AK1111" i="1147" s="1"/>
  <c r="AK1110" i="1147" s="1"/>
  <c r="BA33" i="1001"/>
  <c r="BA32" i="1001"/>
  <c r="BA35" i="1001"/>
  <c r="BA43" i="1001"/>
  <c r="BA42" i="1001"/>
  <c r="BA40" i="1001"/>
  <c r="BA34" i="1001"/>
  <c r="BA37" i="1001"/>
  <c r="BA36" i="1001"/>
  <c r="BA38" i="1001"/>
  <c r="BA41" i="1001"/>
  <c r="BA39" i="1001"/>
  <c r="AM59" i="1106"/>
  <c r="X31" i="1001"/>
  <c r="AF29" i="1001"/>
  <c r="BA61" i="939"/>
  <c r="BB59" i="939"/>
  <c r="BA66" i="939"/>
  <c r="BA65" i="939"/>
  <c r="BA64" i="939"/>
  <c r="BA69" i="939"/>
  <c r="BA68" i="939"/>
  <c r="BA60" i="939"/>
  <c r="BA70" i="939"/>
  <c r="BA71" i="939"/>
  <c r="BA62" i="939"/>
  <c r="BA63" i="939"/>
  <c r="BA67" i="939"/>
  <c r="AM57" i="1106"/>
  <c r="K59" i="1106"/>
  <c r="K57" i="1106" s="1"/>
  <c r="BA68" i="1106"/>
  <c r="BA65" i="1106"/>
  <c r="BA71" i="1106"/>
  <c r="BA70" i="1106"/>
  <c r="BA61" i="1106"/>
  <c r="BA67" i="1106"/>
  <c r="BA64" i="1106"/>
  <c r="BA69" i="1106"/>
  <c r="BA63" i="1106"/>
  <c r="BA66" i="1106"/>
  <c r="BA62" i="1106"/>
  <c r="BA60" i="1106"/>
  <c r="AG222" i="1150"/>
  <c r="AG247" i="1150"/>
  <c r="AG222" i="1148"/>
  <c r="AG247" i="1148"/>
  <c r="AM293" i="1147"/>
  <c r="AM289" i="1147"/>
  <c r="AM283" i="1147"/>
  <c r="AM279" i="1147"/>
  <c r="AM275" i="1147"/>
  <c r="AM271" i="1147"/>
  <c r="AM267" i="1147"/>
  <c r="AM263" i="1147"/>
  <c r="AM259" i="1147"/>
  <c r="AM255" i="1147"/>
  <c r="AM251" i="1147"/>
  <c r="AM247" i="1147"/>
  <c r="AM290" i="1147"/>
  <c r="AM284" i="1147"/>
  <c r="AM280" i="1147"/>
  <c r="AM276" i="1147"/>
  <c r="AM272" i="1147"/>
  <c r="AM268" i="1147"/>
  <c r="AM264" i="1147"/>
  <c r="AM260" i="1147"/>
  <c r="AM256" i="1147"/>
  <c r="AM252" i="1147"/>
  <c r="AM248" i="1147"/>
  <c r="AM291" i="1147"/>
  <c r="AM285" i="1147"/>
  <c r="AM281" i="1147"/>
  <c r="AM277" i="1147"/>
  <c r="AM273" i="1147"/>
  <c r="AM269" i="1147"/>
  <c r="AM265" i="1147"/>
  <c r="AM261" i="1147"/>
  <c r="AM257" i="1147"/>
  <c r="AM253" i="1147"/>
  <c r="AM249" i="1147"/>
  <c r="AM245" i="1147"/>
  <c r="AM294" i="1147"/>
  <c r="AM292" i="1147"/>
  <c r="AM288" i="1147"/>
  <c r="AM282" i="1147"/>
  <c r="AM278" i="1147"/>
  <c r="AM274" i="1147"/>
  <c r="AM270" i="1147"/>
  <c r="AM266" i="1147"/>
  <c r="AM262" i="1147"/>
  <c r="AM258" i="1147"/>
  <c r="AM254" i="1147"/>
  <c r="AM250" i="1147"/>
  <c r="AM246" i="1147"/>
  <c r="AM88" i="1147"/>
  <c r="AL294" i="1147"/>
  <c r="AL292" i="1147"/>
  <c r="AL288" i="1147"/>
  <c r="AL282" i="1147"/>
  <c r="AL278" i="1147"/>
  <c r="AL274" i="1147"/>
  <c r="AL270" i="1147"/>
  <c r="AL266" i="1147"/>
  <c r="AL262" i="1147"/>
  <c r="AL258" i="1147"/>
  <c r="AL254" i="1147"/>
  <c r="AL250" i="1147"/>
  <c r="AL246" i="1147"/>
  <c r="AL88" i="1147"/>
  <c r="AL293" i="1147"/>
  <c r="AL289" i="1147"/>
  <c r="AL283" i="1147"/>
  <c r="AL279" i="1147"/>
  <c r="AL275" i="1147"/>
  <c r="AL271" i="1147"/>
  <c r="AL267" i="1147"/>
  <c r="AL263" i="1147"/>
  <c r="AL259" i="1147"/>
  <c r="AL255" i="1147"/>
  <c r="AL251" i="1147"/>
  <c r="AL247" i="1147"/>
  <c r="AL290" i="1147"/>
  <c r="AL284" i="1147"/>
  <c r="AL280" i="1147"/>
  <c r="AL276" i="1147"/>
  <c r="AL272" i="1147"/>
  <c r="AL268" i="1147"/>
  <c r="AL264" i="1147"/>
  <c r="AL260" i="1147"/>
  <c r="AL256" i="1147"/>
  <c r="AL252" i="1147"/>
  <c r="AL248" i="1147"/>
  <c r="AL291" i="1147"/>
  <c r="AL285" i="1147"/>
  <c r="AL281" i="1147"/>
  <c r="AL277" i="1147"/>
  <c r="AL273" i="1147"/>
  <c r="AL269" i="1147"/>
  <c r="AL265" i="1147"/>
  <c r="AL261" i="1147"/>
  <c r="AL257" i="1147"/>
  <c r="AL253" i="1147"/>
  <c r="AL249" i="1147"/>
  <c r="AL245" i="1147"/>
  <c r="K31" i="1042"/>
  <c r="M29" i="1042"/>
  <c r="AF333" i="967"/>
  <c r="AF418" i="967" s="1"/>
  <c r="AE418" i="967" s="1"/>
  <c r="AF350" i="967"/>
  <c r="AE350" i="967" s="1"/>
  <c r="AF375" i="967"/>
  <c r="AE331" i="967"/>
  <c r="AE375" i="967" s="1"/>
  <c r="AE291" i="1148"/>
  <c r="AG290" i="1148"/>
  <c r="AF28" i="1148"/>
  <c r="AE29" i="1148"/>
  <c r="AF28" i="1150"/>
  <c r="AE29" i="1150"/>
  <c r="AK294" i="1147" l="1"/>
  <c r="AK281" i="1147"/>
  <c r="AK265" i="1147"/>
  <c r="AK249" i="1147"/>
  <c r="AK282" i="1147"/>
  <c r="AK266" i="1147"/>
  <c r="AK250" i="1147"/>
  <c r="AK289" i="1147"/>
  <c r="AK271" i="1147"/>
  <c r="AK255" i="1147"/>
  <c r="AK284" i="1147"/>
  <c r="AK268" i="1147"/>
  <c r="AK252" i="1147"/>
  <c r="AK269" i="1147"/>
  <c r="AK253" i="1147"/>
  <c r="AK293" i="1147"/>
  <c r="AK290" i="1147"/>
  <c r="AK256" i="1147"/>
  <c r="AK277" i="1147"/>
  <c r="AK261" i="1147"/>
  <c r="AK245" i="1147"/>
  <c r="AK278" i="1147"/>
  <c r="AK262" i="1147"/>
  <c r="AK246" i="1147"/>
  <c r="AK283" i="1147"/>
  <c r="AK267" i="1147"/>
  <c r="AK251" i="1147"/>
  <c r="AK280" i="1147"/>
  <c r="AK264" i="1147"/>
  <c r="AK248" i="1147"/>
  <c r="AK285" i="1147"/>
  <c r="AK270" i="1147"/>
  <c r="AK275" i="1147"/>
  <c r="AK291" i="1147"/>
  <c r="AK273" i="1147"/>
  <c r="AK257" i="1147"/>
  <c r="AK292" i="1147"/>
  <c r="AK274" i="1147"/>
  <c r="AK258" i="1147"/>
  <c r="AK88" i="1147"/>
  <c r="AK279" i="1147"/>
  <c r="AK263" i="1147"/>
  <c r="AK247" i="1147"/>
  <c r="AK276" i="1147"/>
  <c r="AK260" i="1147"/>
  <c r="AK288" i="1147"/>
  <c r="AK254" i="1147"/>
  <c r="AK259" i="1147"/>
  <c r="AK272" i="1147"/>
  <c r="X29" i="1001"/>
  <c r="S31" i="1001"/>
  <c r="AM244" i="1147"/>
  <c r="AL244" i="1147"/>
  <c r="AE333" i="967"/>
  <c r="AV31" i="1042"/>
  <c r="K29" i="1042"/>
  <c r="AE28" i="1148"/>
  <c r="AF23" i="1148"/>
  <c r="AF23" i="1150"/>
  <c r="AE28" i="1150"/>
  <c r="AK244" i="1147" l="1"/>
  <c r="S29" i="1001"/>
  <c r="K31" i="1001"/>
  <c r="AE23" i="1148"/>
  <c r="AE203" i="1148" s="1"/>
  <c r="AE247" i="1148" s="1"/>
  <c r="AF203" i="1148"/>
  <c r="AF205" i="1148" s="1"/>
  <c r="AF203" i="1150"/>
  <c r="AF205" i="1150" s="1"/>
  <c r="AE23" i="1150"/>
  <c r="AE203" i="1150" s="1"/>
  <c r="AE247" i="1150" s="1"/>
  <c r="AV31" i="1001" l="1"/>
  <c r="K29" i="1001"/>
  <c r="AF247" i="1148"/>
  <c r="AF222" i="1148"/>
  <c r="AE222" i="1148" s="1"/>
  <c r="AF247" i="1150"/>
  <c r="AF222" i="1150"/>
  <c r="AE222" i="1150" s="1"/>
  <c r="AE205" i="1148" l="1"/>
  <c r="AF290" i="1148"/>
  <c r="AE290" i="1148" s="1"/>
  <c r="AE205" i="1150"/>
  <c r="AF290" i="1150"/>
  <c r="AE290" i="1150" s="1"/>
  <c r="AR405" i="948" l="1"/>
  <c r="AQ405" i="948"/>
  <c r="AT405" i="948"/>
  <c r="AP405" i="948" s="1"/>
  <c r="AV547" i="948"/>
  <c r="AV543" i="948" s="1"/>
  <c r="AR543" i="948" s="1"/>
  <c r="AR547" i="948"/>
  <c r="AV401" i="948"/>
  <c r="AR401" i="948" s="1"/>
  <c r="AU547" i="948"/>
  <c r="AU543" i="948" s="1"/>
  <c r="AU401" i="948"/>
  <c r="AQ401" i="948"/>
  <c r="AV555" i="948"/>
  <c r="AV551" i="948" s="1"/>
  <c r="AR551" i="948" s="1"/>
  <c r="AU555" i="948"/>
  <c r="AU551" i="948" s="1"/>
  <c r="AT401" i="948" l="1"/>
  <c r="AU350" i="948"/>
  <c r="AQ350" i="948" s="1"/>
  <c r="AU194" i="948"/>
  <c r="AQ194" i="948" s="1"/>
  <c r="AR531" i="948"/>
  <c r="AQ555" i="948"/>
  <c r="AQ539" i="948" s="1"/>
  <c r="AT350" i="948"/>
  <c r="AP401" i="948"/>
  <c r="AT551" i="948"/>
  <c r="AP551" i="948" s="1"/>
  <c r="AQ551" i="948"/>
  <c r="AT543" i="948"/>
  <c r="AP543" i="948" s="1"/>
  <c r="AQ543" i="948"/>
  <c r="AR555" i="948"/>
  <c r="AR539" i="948" s="1"/>
  <c r="AQ547" i="948"/>
  <c r="AQ531" i="948" s="1"/>
  <c r="AV350" i="948"/>
  <c r="AU474" i="948"/>
  <c r="AT547" i="948"/>
  <c r="AP547" i="948" s="1"/>
  <c r="AP531" i="948" s="1"/>
  <c r="AU349" i="948"/>
  <c r="AU193" i="948"/>
  <c r="AT555" i="948"/>
  <c r="AP555" i="948" s="1"/>
  <c r="AP539" i="948" s="1"/>
  <c r="AT531" i="948" l="1"/>
  <c r="AQ349" i="948"/>
  <c r="AU297" i="948"/>
  <c r="AU473" i="948"/>
  <c r="AU421" i="948" s="1"/>
  <c r="AU38" i="948"/>
  <c r="AQ474" i="948"/>
  <c r="AQ422" i="948" s="1"/>
  <c r="AQ193" i="948"/>
  <c r="AU192" i="948"/>
  <c r="AR350" i="948"/>
  <c r="AV349" i="948"/>
  <c r="AV194" i="948"/>
  <c r="AV474" i="948"/>
  <c r="AP350" i="948"/>
  <c r="AU90" i="948" l="1"/>
  <c r="AU142" i="948"/>
  <c r="AV473" i="948"/>
  <c r="AR474" i="948"/>
  <c r="AV38" i="948"/>
  <c r="AV142" i="948" s="1"/>
  <c r="AR194" i="948"/>
  <c r="AV90" i="948"/>
  <c r="AV193" i="948"/>
  <c r="AV297" i="948" s="1"/>
  <c r="AT194" i="948"/>
  <c r="AU37" i="948"/>
  <c r="AU1112" i="948"/>
  <c r="AQ38" i="948"/>
  <c r="AR349" i="948"/>
  <c r="AV421" i="948"/>
  <c r="AU245" i="948"/>
  <c r="AU244" i="948" s="1"/>
  <c r="AQ192" i="948"/>
  <c r="AU246" i="948"/>
  <c r="AQ473" i="948"/>
  <c r="AQ421" i="948" s="1"/>
  <c r="AU472" i="948"/>
  <c r="AQ472" i="948" s="1"/>
  <c r="AT473" i="948"/>
  <c r="AR422" i="948"/>
  <c r="AT474" i="948"/>
  <c r="AT422" i="948" s="1"/>
  <c r="AT349" i="948"/>
  <c r="AU141" i="948" l="1"/>
  <c r="AU89" i="948"/>
  <c r="AQ142" i="948"/>
  <c r="AQ90" i="948"/>
  <c r="AU36" i="948"/>
  <c r="AQ37" i="948"/>
  <c r="AP194" i="948"/>
  <c r="AV1112" i="948"/>
  <c r="AT1112" i="948" s="1"/>
  <c r="AV37" i="948"/>
  <c r="AV141" i="948" s="1"/>
  <c r="AR38" i="948"/>
  <c r="AR142" i="948" s="1"/>
  <c r="AP474" i="948"/>
  <c r="AP422" i="948" s="1"/>
  <c r="AT38" i="948"/>
  <c r="AT142" i="948" s="1"/>
  <c r="AR193" i="948"/>
  <c r="AV192" i="948"/>
  <c r="AV89" i="948"/>
  <c r="AT193" i="948"/>
  <c r="AT297" i="948" s="1"/>
  <c r="AT421" i="948"/>
  <c r="AP349" i="948"/>
  <c r="AP473" i="948"/>
  <c r="AT472" i="948"/>
  <c r="AP472" i="948" s="1"/>
  <c r="AQ266" i="948"/>
  <c r="AQ274" i="948"/>
  <c r="AQ285" i="948"/>
  <c r="AQ258" i="948"/>
  <c r="AQ289" i="948"/>
  <c r="AQ268" i="948"/>
  <c r="AQ263" i="948"/>
  <c r="AQ282" i="948"/>
  <c r="AQ276" i="948"/>
  <c r="AQ279" i="948"/>
  <c r="AQ264" i="948"/>
  <c r="AQ284" i="948"/>
  <c r="AQ255" i="948"/>
  <c r="AQ292" i="948"/>
  <c r="AQ265" i="948"/>
  <c r="AQ273" i="948"/>
  <c r="AQ278" i="948"/>
  <c r="AQ262" i="948"/>
  <c r="AQ247" i="948"/>
  <c r="AQ260" i="948"/>
  <c r="AQ250" i="948"/>
  <c r="AQ270" i="948"/>
  <c r="AQ248" i="948"/>
  <c r="AQ254" i="948"/>
  <c r="AQ245" i="948"/>
  <c r="AQ267" i="948"/>
  <c r="AQ280" i="948"/>
  <c r="AQ249" i="948"/>
  <c r="AQ259" i="948"/>
  <c r="AQ256" i="948"/>
  <c r="AQ246" i="948"/>
  <c r="AQ275" i="948"/>
  <c r="AQ269" i="948"/>
  <c r="AQ291" i="948"/>
  <c r="AQ288" i="948"/>
  <c r="AQ277" i="948"/>
  <c r="AQ290" i="948"/>
  <c r="AQ283" i="948"/>
  <c r="AQ252" i="948"/>
  <c r="AQ294" i="948"/>
  <c r="AQ271" i="948"/>
  <c r="AQ253" i="948"/>
  <c r="AQ281" i="948"/>
  <c r="AQ293" i="948"/>
  <c r="AQ257" i="948"/>
  <c r="AQ251" i="948"/>
  <c r="AQ272" i="948"/>
  <c r="AQ261" i="948"/>
  <c r="AQ1112" i="948"/>
  <c r="AU1111" i="948"/>
  <c r="AV472" i="948"/>
  <c r="AR472" i="948" s="1"/>
  <c r="AR473" i="948"/>
  <c r="AR421" i="948" s="1"/>
  <c r="AT90" i="948" l="1"/>
  <c r="AR90" i="948"/>
  <c r="AQ141" i="948"/>
  <c r="AQ89" i="948"/>
  <c r="AQ36" i="948"/>
  <c r="AQ88" i="948" s="1"/>
  <c r="AU88" i="948"/>
  <c r="AT1111" i="948"/>
  <c r="AP1112" i="948"/>
  <c r="AU1110" i="948"/>
  <c r="AQ1111" i="948"/>
  <c r="AV36" i="948"/>
  <c r="AR36" i="948" s="1"/>
  <c r="AR37" i="948"/>
  <c r="AR141" i="948" s="1"/>
  <c r="AP193" i="948"/>
  <c r="AT192" i="948"/>
  <c r="AP38" i="948"/>
  <c r="AP142" i="948" s="1"/>
  <c r="AT37" i="948"/>
  <c r="AT141" i="948" s="1"/>
  <c r="AR1112" i="948"/>
  <c r="AV1111" i="948"/>
  <c r="AQ244" i="948"/>
  <c r="AP421" i="948"/>
  <c r="AR192" i="948"/>
  <c r="AV246" i="948"/>
  <c r="AV88" i="948"/>
  <c r="AV245" i="948"/>
  <c r="AV244" i="948" s="1"/>
  <c r="AR89" i="948" l="1"/>
  <c r="AP90" i="948"/>
  <c r="AT89" i="948"/>
  <c r="AP192" i="948"/>
  <c r="AT246" i="948"/>
  <c r="AT245" i="948"/>
  <c r="AT244" i="948" s="1"/>
  <c r="AT36" i="948"/>
  <c r="AP36" i="948" s="1"/>
  <c r="AP37" i="948"/>
  <c r="AP141" i="948" s="1"/>
  <c r="AQ1110" i="948"/>
  <c r="AU36" i="1138"/>
  <c r="AR245" i="948"/>
  <c r="AR288" i="948"/>
  <c r="AR274" i="948"/>
  <c r="AR247" i="948"/>
  <c r="AR264" i="948"/>
  <c r="AR261" i="948"/>
  <c r="AR251" i="948"/>
  <c r="AR88" i="948"/>
  <c r="AR265" i="948"/>
  <c r="AR266" i="948"/>
  <c r="AR289" i="948"/>
  <c r="AR292" i="948"/>
  <c r="AR268" i="948"/>
  <c r="AR293" i="948"/>
  <c r="AR260" i="948"/>
  <c r="AR254" i="948"/>
  <c r="AR272" i="948"/>
  <c r="AR248" i="948"/>
  <c r="AR282" i="948"/>
  <c r="AR276" i="948"/>
  <c r="AR270" i="948"/>
  <c r="AR249" i="948"/>
  <c r="AR255" i="948"/>
  <c r="AR278" i="948"/>
  <c r="AR250" i="948"/>
  <c r="AR284" i="948"/>
  <c r="AR269" i="948"/>
  <c r="AR281" i="948"/>
  <c r="AR290" i="948"/>
  <c r="AR277" i="948"/>
  <c r="AR258" i="948"/>
  <c r="AR294" i="948"/>
  <c r="AR252" i="948"/>
  <c r="AR262" i="948"/>
  <c r="AR280" i="948"/>
  <c r="AR256" i="948"/>
  <c r="AR273" i="948"/>
  <c r="AR275" i="948"/>
  <c r="AR257" i="948"/>
  <c r="AR263" i="948"/>
  <c r="AR279" i="948"/>
  <c r="AR267" i="948"/>
  <c r="AR291" i="948"/>
  <c r="AR283" i="948"/>
  <c r="AR285" i="948"/>
  <c r="AR246" i="948"/>
  <c r="AR271" i="948"/>
  <c r="AR253" i="948"/>
  <c r="AR259" i="948"/>
  <c r="AR1111" i="948"/>
  <c r="AV1110" i="948"/>
  <c r="AP1111" i="948"/>
  <c r="AT1110" i="948"/>
  <c r="AT88" i="948" l="1"/>
  <c r="AP89" i="948"/>
  <c r="AU331" i="1138"/>
  <c r="AQ36" i="1138"/>
  <c r="AV36" i="1138"/>
  <c r="AR1110" i="948"/>
  <c r="AT36" i="1138"/>
  <c r="AP36" i="1138" s="1"/>
  <c r="AP1110" i="948"/>
  <c r="AR244" i="948"/>
  <c r="AP245" i="948"/>
  <c r="AP250" i="948"/>
  <c r="AP292" i="948"/>
  <c r="AP253" i="948"/>
  <c r="AP293" i="948"/>
  <c r="AP285" i="948"/>
  <c r="AP279" i="948"/>
  <c r="AP275" i="948"/>
  <c r="AP273" i="948"/>
  <c r="AP289" i="948"/>
  <c r="AP246" i="948"/>
  <c r="AP288" i="948"/>
  <c r="AP265" i="948"/>
  <c r="AP263" i="948"/>
  <c r="AP281" i="948"/>
  <c r="AP88" i="948"/>
  <c r="AP251" i="948"/>
  <c r="AP272" i="948"/>
  <c r="AP257" i="948"/>
  <c r="AP255" i="948"/>
  <c r="AP291" i="948"/>
  <c r="AP261" i="948"/>
  <c r="AP283" i="948"/>
  <c r="AP277" i="948"/>
  <c r="AP249" i="948"/>
  <c r="AP247" i="948"/>
  <c r="AP260" i="948"/>
  <c r="AP284" i="948"/>
  <c r="AP278" i="948"/>
  <c r="AP264" i="948"/>
  <c r="AP294" i="948"/>
  <c r="AP266" i="948"/>
  <c r="AP280" i="948"/>
  <c r="AP268" i="948"/>
  <c r="AP259" i="948"/>
  <c r="AP267" i="948"/>
  <c r="AP276" i="948"/>
  <c r="AP274" i="948"/>
  <c r="AP271" i="948"/>
  <c r="AP254" i="948"/>
  <c r="AP269" i="948"/>
  <c r="AP248" i="948"/>
  <c r="AP258" i="948"/>
  <c r="AP282" i="948"/>
  <c r="AP252" i="948"/>
  <c r="AP262" i="948"/>
  <c r="AP270" i="948"/>
  <c r="AP256" i="948"/>
  <c r="AP290" i="948"/>
  <c r="AP244" i="948" l="1"/>
  <c r="AV331" i="1138"/>
  <c r="AR36" i="1138"/>
  <c r="AU350" i="1138"/>
  <c r="AU333" i="1138"/>
  <c r="AQ331" i="1138"/>
  <c r="AQ375" i="1138" s="1"/>
  <c r="AU375" i="1138"/>
  <c r="AQ350" i="1138" l="1"/>
  <c r="AV350" i="1138"/>
  <c r="AR350" i="1138" s="1"/>
  <c r="AR331" i="1138"/>
  <c r="AR375" i="1138" s="1"/>
  <c r="AV333" i="1138"/>
  <c r="AT333" i="1138" s="1"/>
  <c r="AP333" i="1138" s="1"/>
  <c r="AV375" i="1138"/>
  <c r="AU418" i="1138"/>
  <c r="AQ333" i="1138"/>
  <c r="AT331" i="1138"/>
  <c r="AQ418" i="1138" l="1"/>
  <c r="AT375" i="1138"/>
  <c r="AP331" i="1138"/>
  <c r="AP375" i="1138" s="1"/>
  <c r="AT350" i="1138"/>
  <c r="AP350" i="1138" s="1"/>
  <c r="AV418" i="1138"/>
  <c r="AR418" i="1138" s="1"/>
  <c r="AR333" i="1138"/>
  <c r="AT418" i="1138" l="1"/>
  <c r="AP418" i="1138" s="1"/>
</calcChain>
</file>

<file path=xl/comments1.xml><?xml version="1.0" encoding="utf-8"?>
<comments xmlns="http://schemas.openxmlformats.org/spreadsheetml/2006/main">
  <authors>
    <author>vmalkov</author>
  </authors>
  <commentList>
    <comment ref="E14" authorId="0" shapeId="0">
      <text>
        <r>
          <rPr>
            <sz val="9"/>
            <color indexed="81"/>
            <rFont val="Tahoma"/>
            <family val="2"/>
            <charset val="204"/>
          </rPr>
          <t>Выбор организации - двойным щелчком мыши</t>
        </r>
      </text>
    </comment>
    <comment ref="E25" authorId="0" shapeId="0">
      <text>
        <r>
          <rPr>
            <sz val="9"/>
            <color indexed="81"/>
            <rFont val="Tahoma"/>
            <family val="2"/>
            <charset val="204"/>
          </rPr>
          <t>Является ли организация плательщиком НДС</t>
        </r>
      </text>
    </comment>
    <comment ref="E30" authorId="0" shapeId="0">
      <text>
        <r>
          <rPr>
            <sz val="9"/>
            <color indexed="81"/>
            <rFont val="Tahoma"/>
            <family val="2"/>
            <charset val="204"/>
          </rPr>
          <t>Основной Государственный Регистрационный Номер</t>
        </r>
      </text>
    </comment>
    <comment ref="E31" authorId="0" shapeId="0">
      <text>
        <r>
          <rPr>
            <sz val="9"/>
            <color indexed="81"/>
            <rFont val="Tahoma"/>
            <family val="2"/>
            <charset val="204"/>
          </rPr>
          <t>Общероссийский Классификатор Предприятий и Организаций</t>
        </r>
      </text>
    </comment>
  </commentList>
</comments>
</file>

<file path=xl/comments2.xml><?xml version="1.0" encoding="utf-8"?>
<comments xmlns="http://schemas.openxmlformats.org/spreadsheetml/2006/main">
  <authors>
    <author>vmalkov</author>
  </authors>
  <commentList>
    <comment ref="M12" authorId="0" shapeId="0">
      <text>
        <r>
          <rPr>
            <sz val="9"/>
            <color indexed="81"/>
            <rFont val="Tahoma"/>
            <family val="2"/>
            <charset val="204"/>
          </rPr>
          <t>Является ли организация плательщиком НДС</t>
        </r>
      </text>
    </comment>
    <comment ref="AQ12" authorId="0" shapeId="0">
      <text>
        <r>
          <rPr>
            <sz val="9"/>
            <color indexed="81"/>
            <rFont val="Tahoma"/>
            <family val="2"/>
            <charset val="204"/>
          </rPr>
          <t>&gt; ЖБО - жидкие бытовые отходы
&gt; ПСВ - поверхностные сточные воды
&gt; ХБСВ - хозяйственно-бытовые сточные воды, отводимые товариществами собственников жилья, жилищно-строительными, жилищными и иными специализированными потребительскими кооперативами, управляющими организациями и другими лицами, осуществляющими деятельность по управлению многоквартирными домами, жителями индивидуальных жилых домов и другими абонентами, отводящими преимущественно сточные воды, связанные с хозяйственно-бытовой деятельностью, в отношении которых не устанавливаются нормативы водоотведения (сброса) по составу сточных вод, нормативы допустимых сбросов абонентов
&gt; СВ (нормативы) - сточные воды, отводимые абонентами, для объектов которых устанавливаются нормативы водоотведения (сброса) по составу сточных вод, нормативы допустимых сбросов абонентов
&gt; СВ (иные) - сточные воды, отводимые иными абонентами</t>
        </r>
      </text>
    </comment>
  </commentList>
</comments>
</file>

<file path=xl/comments3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4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5.xml><?xml version="1.0" encoding="utf-8"?>
<comments xmlns="http://schemas.openxmlformats.org/spreadsheetml/2006/main">
  <authors>
    <author>Samsung-900X</author>
  </authors>
  <commentList>
    <comment ref="AN452" authorId="0" shapeId="0">
      <text>
        <r>
          <rPr>
            <sz val="9"/>
            <color indexed="81"/>
            <rFont val="Tahoma"/>
            <family val="2"/>
            <charset val="204"/>
          </rPr>
          <t>Количество потребителей (юридических лиц), с которыми заключены и исполняются договоры об оказании услуг, а также количество частных и многоквартирных домов, обслуживаемых регулируемой организацией</t>
        </r>
      </text>
    </comment>
  </commentList>
</comments>
</file>

<file path=xl/comments6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7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8.xml><?xml version="1.0" encoding="utf-8"?>
<comments xmlns="http://schemas.openxmlformats.org/spreadsheetml/2006/main">
  <authors>
    <author>Samsung-900X</author>
  </authors>
  <commentList>
    <comment ref="AN325" authorId="0" shapeId="0">
      <text>
        <r>
          <rPr>
            <sz val="9"/>
            <color indexed="81"/>
            <rFont val="Tahoma"/>
            <family val="2"/>
            <charset val="204"/>
          </rPr>
          <t>Общая протяженность сетей от места источника до точек поставки ресурса потребителям. Для юридических лиц и частных домовладений точка поставки определяется на границе балансовой принадлежности сетей. Для многоквартирных домов протяженность сетей определяется до ввода в дом. При расчёте протяженности сетей учитываются, в том числе бесхозяйные сети, находящиеся на обслуживании организации.</t>
        </r>
      </text>
    </comment>
    <comment ref="AN330" authorId="0" shapeId="0">
      <text>
        <r>
          <rPr>
            <sz val="9"/>
            <color indexed="81"/>
            <rFont val="Tahoma"/>
            <family val="2"/>
            <charset val="204"/>
          </rPr>
          <t>Количество потребителей (юридических лиц), с которыми заключены и исполняются договоры об оказании услуг, а также количество частных и многоквартирных домов, обслуживаемых регулируемой организацией</t>
        </r>
      </text>
    </comment>
    <comment ref="AN331" authorId="0" shapeId="0">
      <text>
        <r>
          <rPr>
            <sz val="9"/>
            <color indexed="81"/>
            <rFont val="Tahoma"/>
            <family val="2"/>
            <charset val="204"/>
          </rPr>
          <t>Максимальная высота подъема воды от водозабора до точки поставки потребителям</t>
        </r>
      </text>
    </comment>
  </commentList>
</comments>
</file>

<file path=xl/comments9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10.xml><?xml version="1.0" encoding="utf-8"?>
<comments xmlns="http://schemas.openxmlformats.org/spreadsheetml/2006/main">
  <authors>
    <author>vmalkov</author>
  </authors>
  <commentList>
    <comment ref="D126" authorId="0" shapeId="0">
      <text>
        <r>
          <rPr>
            <sz val="9"/>
            <color indexed="81"/>
            <rFont val="Tahoma"/>
            <family val="2"/>
            <charset val="204"/>
          </rPr>
          <t>Отобразить / Скрыть детализацию по месяцам для всех организаций (двойным щелчком мыши)</t>
        </r>
      </text>
    </comment>
  </commentList>
</comments>
</file>

<file path=xl/comments11.xml><?xml version="1.0" encoding="utf-8"?>
<comments xmlns="http://schemas.openxmlformats.org/spreadsheetml/2006/main">
  <authors>
    <author>Samsung-900X</author>
  </authors>
  <commentList>
    <comment ref="AN325" authorId="0" shapeId="0">
      <text>
        <r>
          <rPr>
            <sz val="9"/>
            <color indexed="81"/>
            <rFont val="Tahoma"/>
            <family val="2"/>
            <charset val="204"/>
          </rPr>
          <t>Общая протяженность сетей от места источника до точек поставки ресурса потребителям. Для юридических лиц и частных домовладений точка поставки определяется на границе балансовой принадлежности сетей. Для многоквартирных домов протяженность сетей определяется до ввода в дом. При расчёте протяженности сетей учитываются, в том числе бесхозяйные сети, находящиеся на обслуживании организации.</t>
        </r>
      </text>
    </comment>
    <comment ref="AN330" authorId="0" shapeId="0">
      <text>
        <r>
          <rPr>
            <sz val="9"/>
            <color indexed="81"/>
            <rFont val="Tahoma"/>
            <family val="2"/>
            <charset val="204"/>
          </rPr>
          <t>Количество потребителей (юридических лиц), с которыми заключены и исполняются договоры об оказании услуг, а также количество частных и многоквартирных домов, обслуживаемых регулируемой организацией</t>
        </r>
      </text>
    </comment>
  </commentList>
</comments>
</file>

<file path=xl/comments12.xml><?xml version="1.0" encoding="utf-8"?>
<comments xmlns="http://schemas.openxmlformats.org/spreadsheetml/2006/main">
  <authors>
    <author>Мальков</author>
  </authors>
  <commentList>
    <comment ref="H11" authorId="0" shapeId="0">
      <text>
        <r>
          <rPr>
            <sz val="9"/>
            <color indexed="81"/>
            <rFont val="Tahoma"/>
            <family val="2"/>
            <charset val="204"/>
          </rPr>
          <t>Вы можете отфильтровать сообщения по приоритету</t>
        </r>
      </text>
    </comment>
  </commentList>
</comments>
</file>

<file path=xl/sharedStrings.xml><?xml version="1.0" encoding="utf-8"?>
<sst xmlns="http://schemas.openxmlformats.org/spreadsheetml/2006/main" count="39485" uniqueCount="15036">
  <si>
    <t>LGL_ID</t>
  </si>
  <si>
    <t>Алтайский край</t>
  </si>
  <si>
    <t>LOGIN</t>
  </si>
  <si>
    <t>Амурская область</t>
  </si>
  <si>
    <t>PASSWORD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</si>
  <si>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</si>
  <si>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</si>
  <si>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</si>
  <si>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</si>
  <si>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TYPE</t>
  </si>
  <si>
    <t>Сопровождение:</t>
  </si>
  <si>
    <t>Обратиться за помощью</t>
  </si>
  <si>
    <t>Отчётные формы:</t>
  </si>
  <si>
    <t>Перейти</t>
  </si>
  <si>
    <t>Хранилище документов:</t>
  </si>
  <si>
    <t>Руководство по загрузке документов</t>
  </si>
  <si>
    <t>Консультации:</t>
  </si>
  <si>
    <t>TOTAL_ORG_DF_PW</t>
  </si>
  <si>
    <t>TOTAL_ORG_DF_TW</t>
  </si>
  <si>
    <t>VOTV_CALC_ADD_RANGE</t>
  </si>
  <si>
    <t>Год</t>
  </si>
  <si>
    <t>TOTAL_ORG_YEAR</t>
  </si>
  <si>
    <t>HEAT_CALC_SINGLE_BASE_RANGE</t>
  </si>
  <si>
    <t>руб./ед.</t>
  </si>
  <si>
    <t>процент отчислений на социальные нужды</t>
  </si>
  <si>
    <t>Справочно: среднемесячная оплата труда в целом по организации</t>
  </si>
  <si>
    <t>Справочно: численность персонала в целом по организации</t>
  </si>
  <si>
    <t>Отношение фактической численности персонала к нормативной</t>
  </si>
  <si>
    <t>Справочно: нормативная численность персонала в целом по организации</t>
  </si>
  <si>
    <t>руб./мес.</t>
  </si>
  <si>
    <t>среднемесячная оплата труда основных производственных рабочих</t>
  </si>
  <si>
    <t>численность основного производственного персонала, относимого на регулируемый вид деятельности</t>
  </si>
  <si>
    <t>Справочно: минимальный размер оплаты труда в целом по организации</t>
  </si>
  <si>
    <t>Тарифная ставка рабочего 1-го разряда</t>
  </si>
  <si>
    <t>Базовая тарифная ставка рабочего 1-го разряда</t>
  </si>
  <si>
    <t>Минимальная тарифная ставка рабочего 1-го разряда</t>
  </si>
  <si>
    <t>среднемесячная оплата труда ремонтного персонала</t>
  </si>
  <si>
    <t>численность ремонтного персонала, относимого на регулируемый вид деятельности</t>
  </si>
  <si>
    <t>среднемесячная оплата труда цехового персонала</t>
  </si>
  <si>
    <t>численность цехового персонала, относимого на регулируемый вид деятельности</t>
  </si>
  <si>
    <t>среднемесячная оплата труда АУП</t>
  </si>
  <si>
    <t>численность АУП, относимого на регулируемый вид деятельности</t>
  </si>
  <si>
    <t>среднемесячная оплата труда прочего персонала, относимого на регулируемый вид деятельности</t>
  </si>
  <si>
    <t>численность прочего персонала, относимого на регулируемый вид деятельности</t>
  </si>
  <si>
    <t>Полезный отпуск продукции на реализацию потребителям</t>
  </si>
  <si>
    <t>Организации-перепродавцы / энергоснабжающие организации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</si>
  <si>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</si>
  <si>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</si>
  <si>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</si>
  <si>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</si>
  <si>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</si>
  <si>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</si>
  <si>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</si>
  <si>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XML_AUTHORISATION_TAG_NAMES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</si>
  <si>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</si>
  <si>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</si>
  <si>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</si>
  <si>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</si>
  <si>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</si>
  <si>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</si>
  <si>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</si>
  <si>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</si>
  <si>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</si>
  <si>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</si>
  <si>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</si>
  <si>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</si>
  <si>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</si>
  <si>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</si>
  <si>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</si>
  <si>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</si>
  <si>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</si>
  <si>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</si>
  <si>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</si>
  <si>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</si>
  <si>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</si>
  <si>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</si>
  <si>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</si>
  <si>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</si>
  <si>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</si>
  <si>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</si>
  <si>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</si>
  <si>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</si>
  <si>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</si>
  <si>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</si>
  <si>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XML_ORG_LIST_TAG_NAMES</t>
  </si>
  <si>
    <t>NSRF</t>
  </si>
  <si>
    <t>MR_NAME</t>
  </si>
  <si>
    <t>OKTMO_MR_NAME</t>
  </si>
  <si>
    <t>MO_NAME</t>
  </si>
  <si>
    <t>OKTMO_NAME</t>
  </si>
  <si>
    <t>ORG_NAME</t>
  </si>
  <si>
    <t>INN_NAME</t>
  </si>
  <si>
    <t>KPP_NAME</t>
  </si>
  <si>
    <t>VDET_NAME</t>
  </si>
  <si>
    <t>XML_MR_MO_OKTMO_LIST_TAG_NAMES</t>
  </si>
  <si>
    <t>г. Байконур</t>
  </si>
  <si>
    <t>г. Санкт-Петербург</t>
  </si>
  <si>
    <t>теплоснабжения</t>
  </si>
  <si>
    <t>водоотведения</t>
  </si>
  <si>
    <t>TEMPLATE_SPHERE</t>
  </si>
  <si>
    <t>YES_NO</t>
  </si>
  <si>
    <t>Б</t>
  </si>
  <si>
    <t>2.1.1</t>
  </si>
  <si>
    <t>2.2.1</t>
  </si>
  <si>
    <t>№ п/п</t>
  </si>
  <si>
    <t>1</t>
  </si>
  <si>
    <t>ОКТМО</t>
  </si>
  <si>
    <t>Обязательность выполнения</t>
  </si>
  <si>
    <t>Дата/Время</t>
  </si>
  <si>
    <t>Сообщение</t>
  </si>
  <si>
    <t>Статус</t>
  </si>
  <si>
    <t>Должность</t>
  </si>
  <si>
    <t>-</t>
  </si>
  <si>
    <t>Ссылка 1</t>
  </si>
  <si>
    <t>Ссылка 2</t>
  </si>
  <si>
    <t>Результаты проверки</t>
  </si>
  <si>
    <t>Описание причины</t>
  </si>
  <si>
    <t>Дистрибутивы:</t>
  </si>
  <si>
    <t>e-mail</t>
  </si>
  <si>
    <t>3/17/2012  12:12:41 AM</t>
  </si>
  <si>
    <t xml:space="preserve"> - предназначенные для заполнения</t>
  </si>
  <si>
    <t>Муниципальный район</t>
  </si>
  <si>
    <t>Муниципальное образование</t>
  </si>
  <si>
    <t>Красноярский край</t>
  </si>
  <si>
    <t>ИНН</t>
  </si>
  <si>
    <t>КПП</t>
  </si>
  <si>
    <t>Наименование юридического лица</t>
  </si>
  <si>
    <t>Плательщик НДС</t>
  </si>
  <si>
    <t>Изменить</t>
  </si>
  <si>
    <t>нет</t>
  </si>
  <si>
    <t>Передача</t>
  </si>
  <si>
    <t>да</t>
  </si>
  <si>
    <t>Ответственный за предоставление информации</t>
  </si>
  <si>
    <t>ФИО</t>
  </si>
  <si>
    <t>Удалить</t>
  </si>
  <si>
    <t>Добавить</t>
  </si>
  <si>
    <t>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</si>
  <si>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</si>
  <si>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</si>
  <si>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</si>
  <si>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</si>
  <si>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</si>
  <si>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</si>
  <si>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</si>
  <si>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</si>
  <si>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</si>
  <si>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</si>
  <si>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</si>
  <si>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</si>
  <si>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Гкал</t>
  </si>
  <si>
    <t>Субъект баланса</t>
  </si>
  <si>
    <t>Выработка</t>
  </si>
  <si>
    <t>Собственные нужды источника тепла</t>
  </si>
  <si>
    <t>Отпуск с коллекторов</t>
  </si>
  <si>
    <t>Покупная энергия</t>
  </si>
  <si>
    <t>Отпуск в сеть</t>
  </si>
  <si>
    <t>Потери в сетях</t>
  </si>
  <si>
    <t>Полезный отпуск, всего</t>
  </si>
  <si>
    <t>Полезный отпуск организациям-перепродавцам</t>
  </si>
  <si>
    <t>Полезный отпуск по группам потребителей</t>
  </si>
  <si>
    <t>Всего</t>
  </si>
  <si>
    <t>Бюджетные потребители</t>
  </si>
  <si>
    <t>Население</t>
  </si>
  <si>
    <t>Прочие потребители</t>
  </si>
  <si>
    <t>2</t>
  </si>
  <si>
    <t>3</t>
  </si>
  <si>
    <t>4</t>
  </si>
  <si>
    <t>В собственную тепловую сеть</t>
  </si>
  <si>
    <t>Финансируемые из бюджетов всех уровней</t>
  </si>
  <si>
    <t>Прочие</t>
  </si>
  <si>
    <t>А</t>
  </si>
  <si>
    <t>3.1</t>
  </si>
  <si>
    <t>3.2</t>
  </si>
  <si>
    <t>3.3</t>
  </si>
  <si>
    <t>3.4</t>
  </si>
  <si>
    <t>3.5</t>
  </si>
  <si>
    <t>3.6</t>
  </si>
  <si>
    <t>4.1</t>
  </si>
  <si>
    <t>4.1.1</t>
  </si>
  <si>
    <t>4.2</t>
  </si>
  <si>
    <t>5</t>
  </si>
  <si>
    <t>5.1</t>
  </si>
  <si>
    <t>5.2</t>
  </si>
  <si>
    <t>5.2.1</t>
  </si>
  <si>
    <t>5.2.2</t>
  </si>
  <si>
    <t>5.2.3</t>
  </si>
  <si>
    <t>5.2.3.1</t>
  </si>
  <si>
    <t>5.2.3.2</t>
  </si>
  <si>
    <t>5.2.3.3</t>
  </si>
  <si>
    <t>Принято тепловой энергии для передачи (транспортировки)</t>
  </si>
  <si>
    <t>Потери</t>
  </si>
  <si>
    <t>Отпуск тепловой энергии</t>
  </si>
  <si>
    <t>Передано на нужды организации</t>
  </si>
  <si>
    <t>Энерго-снабжающие организации</t>
  </si>
  <si>
    <t>I</t>
  </si>
  <si>
    <t>тыс.руб.</t>
  </si>
  <si>
    <t>Наименование показателя</t>
  </si>
  <si>
    <t>Является ли организация плательщиком НДС</t>
  </si>
  <si>
    <t>1.1</t>
  </si>
  <si>
    <t>1.2</t>
  </si>
  <si>
    <t>1.2.1</t>
  </si>
  <si>
    <t xml:space="preserve">Затраты на оплату труда 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</si>
  <si>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</si>
  <si>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</si>
  <si>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</si>
  <si>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</si>
  <si>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</si>
  <si>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</si>
  <si>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</si>
  <si>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</si>
  <si>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</si>
  <si>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</si>
  <si>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</si>
  <si>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</si>
  <si>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</si>
  <si>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</si>
  <si>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</si>
  <si>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</si>
  <si>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</si>
  <si>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</si>
  <si>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</si>
  <si>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</si>
  <si>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</si>
  <si>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</si>
  <si>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</si>
  <si>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</si>
  <si>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</si>
  <si>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</si>
  <si>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</si>
  <si>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</si>
  <si>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</si>
  <si>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</si>
  <si>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</si>
  <si>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</si>
  <si>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</si>
  <si>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</si>
  <si>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</si>
  <si>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</si>
  <si>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 xml:space="preserve"> (требуется обновление)</t>
  </si>
  <si>
    <t xml:space="preserve"> - обязательные для заполнения</t>
  </si>
  <si>
    <t>питьевая вода</t>
  </si>
  <si>
    <t>техническая вода</t>
  </si>
  <si>
    <t>4.14.1</t>
  </si>
  <si>
    <t>Биогаз</t>
  </si>
  <si>
    <t>4.14.1.1</t>
  </si>
  <si>
    <t>Объём</t>
  </si>
  <si>
    <t>4.14.1.2</t>
  </si>
  <si>
    <t>Цена</t>
  </si>
  <si>
    <t>4.14.2</t>
  </si>
  <si>
    <t>ТБО</t>
  </si>
  <si>
    <t>4.14.2.1</t>
  </si>
  <si>
    <t>4.14.2.2</t>
  </si>
  <si>
    <t>4.14.3</t>
  </si>
  <si>
    <t>Иные виды топлива</t>
  </si>
  <si>
    <t>г. Севастополь</t>
  </si>
  <si>
    <t>Республика Крым</t>
  </si>
  <si>
    <t>Севастополь</t>
  </si>
  <si>
    <t>Крым</t>
  </si>
  <si>
    <t>RU92</t>
  </si>
  <si>
    <t>RU82</t>
  </si>
  <si>
    <t>Тип муниципального образования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</si>
  <si>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</si>
  <si>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</si>
  <si>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</si>
  <si>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</si>
  <si>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</si>
  <si>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</si>
  <si>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</si>
  <si>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</si>
  <si>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</si>
  <si>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</si>
  <si>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</si>
  <si>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MONTH_LIST</t>
  </si>
  <si>
    <t>I полугодие</t>
  </si>
  <si>
    <t>II полугодие</t>
  </si>
  <si>
    <t>Y</t>
  </si>
  <si>
    <t>START</t>
  </si>
  <si>
    <t>END</t>
  </si>
  <si>
    <t>в том числе покупка потерь с коллекторов</t>
  </si>
  <si>
    <t>в том числе покупка потерь из тепловой сети</t>
  </si>
  <si>
    <t>23</t>
  </si>
  <si>
    <t>24</t>
  </si>
  <si>
    <t>Период</t>
  </si>
  <si>
    <t>объём</t>
  </si>
  <si>
    <t>тыс.кВт*ч</t>
  </si>
  <si>
    <t>объём ТЭ</t>
  </si>
  <si>
    <t>тыс. Гкал</t>
  </si>
  <si>
    <t>цена ТЭ</t>
  </si>
  <si>
    <t>руб./Гкал</t>
  </si>
  <si>
    <t>ед.</t>
  </si>
  <si>
    <t>Транспортировка воды</t>
  </si>
  <si>
    <t>TEMPLATE_SPHERE_OKK_SOURCE</t>
  </si>
  <si>
    <t>RST_ORG_ID</t>
  </si>
  <si>
    <t>Ниже вы можете оставить свои комментарии</t>
  </si>
  <si>
    <t>С коллекторов, всего</t>
  </si>
  <si>
    <t>Из тепловой сети, всего</t>
  </si>
  <si>
    <t>6.0.1</t>
  </si>
  <si>
    <t>6.0.2</t>
  </si>
  <si>
    <t xml:space="preserve">Поднято воды </t>
  </si>
  <si>
    <t>Получено воды со стороны</t>
  </si>
  <si>
    <t xml:space="preserve">Потери воды </t>
  </si>
  <si>
    <t>Отпущено воды, всего</t>
  </si>
  <si>
    <t>Отпущено воды другим водопроводам</t>
  </si>
  <si>
    <t xml:space="preserve">Отпущено воды по категориям потребителей  </t>
  </si>
  <si>
    <t>Объём реализации воды питьевого качества по приборам учёта</t>
  </si>
  <si>
    <t>Объём реализации воды питьевого качества по нормативам</t>
  </si>
  <si>
    <t>на промывку сетей</t>
  </si>
  <si>
    <t>прочие</t>
  </si>
  <si>
    <t>5.2.1.3</t>
  </si>
  <si>
    <t>Отпуск воды</t>
  </si>
  <si>
    <t>Организациям-перепродавцам</t>
  </si>
  <si>
    <t>Показывать настройки проверки при сохранении</t>
  </si>
  <si>
    <t>Коэффициент (доля) на реализацию потребителям</t>
  </si>
  <si>
    <t>руб./кВт*ч</t>
  </si>
  <si>
    <t>руб./кВт*мес</t>
  </si>
  <si>
    <t>Опилки</t>
  </si>
  <si>
    <t>Торф</t>
  </si>
  <si>
    <t>Сланцы</t>
  </si>
  <si>
    <t>Печное бытовое топливо</t>
  </si>
  <si>
    <t>4.13.0.1</t>
  </si>
  <si>
    <t>4.13.0.2</t>
  </si>
  <si>
    <t>Прочие виды топлива</t>
  </si>
  <si>
    <t xml:space="preserve">Энергия, в том числе </t>
  </si>
  <si>
    <t xml:space="preserve">энергия (покупная энергия) на технологические цели </t>
  </si>
  <si>
    <t>5.1.1</t>
  </si>
  <si>
    <t xml:space="preserve">затраты на покупную тепловую энергию </t>
  </si>
  <si>
    <t>5.1.2</t>
  </si>
  <si>
    <t>затраты на оплату услуг по передаче тепловой энергии</t>
  </si>
  <si>
    <t>11</t>
  </si>
  <si>
    <t>5.1.3</t>
  </si>
  <si>
    <t>затраты на покупную электрическую энергию, по уровням напряжения:</t>
  </si>
  <si>
    <t>5.1.3.0.1</t>
  </si>
  <si>
    <t>5.1.3.0.2</t>
  </si>
  <si>
    <t>5.1.3.1.1</t>
  </si>
  <si>
    <t>энергия НН (0,4 кВ и ниже)</t>
  </si>
  <si>
    <t>5.1.3.1.1.1</t>
  </si>
  <si>
    <t>5.1.3.1.1.2</t>
  </si>
  <si>
    <t>5.1.3.1.2</t>
  </si>
  <si>
    <t>заявленная мощность по НН (0,4 кВ и ниже)</t>
  </si>
  <si>
    <t>5.1.3.1.2.1</t>
  </si>
  <si>
    <t>5.1.3.1.2.2</t>
  </si>
  <si>
    <t>5.1.3.2.1</t>
  </si>
  <si>
    <t>энергия СН 2 (1-20 кВ)</t>
  </si>
  <si>
    <t>5.1.3.2.1.1</t>
  </si>
  <si>
    <t>5.1.3.2.1.2</t>
  </si>
  <si>
    <t>5.1.3.2.2</t>
  </si>
  <si>
    <t>заявленная мощность по СН 2 (1-20 кВ)</t>
  </si>
  <si>
    <t>5.1.3.2.2.1</t>
  </si>
  <si>
    <t>5.1.3.2.2.2</t>
  </si>
  <si>
    <t>5.1.3.3.1</t>
  </si>
  <si>
    <t>энергия СН 1 (35 кВ)</t>
  </si>
  <si>
    <t>5.1.3.3.1.1</t>
  </si>
  <si>
    <t>5.1.3.3.1.2</t>
  </si>
  <si>
    <t>5.1.3.3.2</t>
  </si>
  <si>
    <t>заявленная мощность по СН 1 (35 кВ)</t>
  </si>
  <si>
    <t>5.1.3.3.2.1</t>
  </si>
  <si>
    <t>5.1.3.3.2.2</t>
  </si>
  <si>
    <t>5.1.3.4.1</t>
  </si>
  <si>
    <t>энергия ВН (110 кВ и выше)</t>
  </si>
  <si>
    <t>5.1.3.4.1.1</t>
  </si>
  <si>
    <t>5.1.3.4.1.2</t>
  </si>
  <si>
    <t>5.1.3.4.2</t>
  </si>
  <si>
    <t>заявленная мощность по ВН (110 кВ и выше)</t>
  </si>
  <si>
    <t>5.1.3.4.2.1</t>
  </si>
  <si>
    <t>5.1.3.4.2.2</t>
  </si>
  <si>
    <t xml:space="preserve">энергия на хозяйственные нужды </t>
  </si>
  <si>
    <t xml:space="preserve">тепловая энергия </t>
  </si>
  <si>
    <t xml:space="preserve">электрическая энергия </t>
  </si>
  <si>
    <t>5.2.2.0.1</t>
  </si>
  <si>
    <t>5.2.2.0.2</t>
  </si>
  <si>
    <t>5.2.2.1.1</t>
  </si>
  <si>
    <t>5.2.2.1.1.1</t>
  </si>
  <si>
    <t>5.2.2.1.1.2</t>
  </si>
  <si>
    <t>5.2.2.1.2</t>
  </si>
  <si>
    <t>5.2.2.1.2.1</t>
  </si>
  <si>
    <t>5.2.2.1.2.2</t>
  </si>
  <si>
    <t>5.2.2.2.1</t>
  </si>
  <si>
    <t>5.2.2.2.1.1</t>
  </si>
  <si>
    <t>5.2.2.2.1.2</t>
  </si>
  <si>
    <t>5.2.2.2.2</t>
  </si>
  <si>
    <t>5.2.2.2.2.1</t>
  </si>
  <si>
    <t>5.2.2.2.2.2</t>
  </si>
  <si>
    <t>5.2.2.3.1</t>
  </si>
  <si>
    <t>5.2.2.3.1.1</t>
  </si>
  <si>
    <t>5.2.2.3.1.2</t>
  </si>
  <si>
    <t>5.2.2.3.2</t>
  </si>
  <si>
    <t>5.2.2.3.2.1</t>
  </si>
  <si>
    <t>5.2.2.3.2.2</t>
  </si>
  <si>
    <t>5.2.2.4.1</t>
  </si>
  <si>
    <t>5.2.2.4.1.1</t>
  </si>
  <si>
    <t>5.2.2.4.1.2</t>
  </si>
  <si>
    <t>5.2.2.4.2</t>
  </si>
  <si>
    <t>5.2.2.4.2.1</t>
  </si>
  <si>
    <t>5.2.2.4.2.2</t>
  </si>
  <si>
    <t>6</t>
  </si>
  <si>
    <t>HEAT_CALC_ADD_RANGE</t>
  </si>
  <si>
    <t>HEAT_FUEL_ADD_RANGE</t>
  </si>
  <si>
    <t>руб./куб.м</t>
  </si>
  <si>
    <t>средневзвешенный тариф</t>
  </si>
  <si>
    <t>Установленная мощность, куб.м/час</t>
  </si>
  <si>
    <t>Подключённая (фактическая) нагрузка, куб.м/час</t>
  </si>
  <si>
    <t>VOTV_CALC_EMPTY_BASE_RANGE</t>
  </si>
  <si>
    <t>VOTV_CALC_SINGLE_BASE_RANGE</t>
  </si>
  <si>
    <t>TBD</t>
  </si>
  <si>
    <t>HEAT_FUEL_SINGLE_BASE_RANGE</t>
  </si>
  <si>
    <t>3.5.1</t>
  </si>
  <si>
    <t>3.5.2</t>
  </si>
  <si>
    <t>XML_PLAN1X_HEAT_LIST_ORG_TAG_NAMES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</si>
  <si>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</si>
  <si>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</si>
  <si>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</si>
  <si>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</si>
  <si>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</si>
  <si>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RU22</t>
  </si>
  <si>
    <t>RU28</t>
  </si>
  <si>
    <t>RU29</t>
  </si>
  <si>
    <t>RU30</t>
  </si>
  <si>
    <t>RU31</t>
  </si>
  <si>
    <t>RU32</t>
  </si>
  <si>
    <t>RU33</t>
  </si>
  <si>
    <t>RU34</t>
  </si>
  <si>
    <t>RU35</t>
  </si>
  <si>
    <t>RU36</t>
  </si>
  <si>
    <t>RU77</t>
  </si>
  <si>
    <t>Москва</t>
  </si>
  <si>
    <t>RU00</t>
  </si>
  <si>
    <t>RU78</t>
  </si>
  <si>
    <t>Cанкт-Петербург</t>
  </si>
  <si>
    <t>RU79</t>
  </si>
  <si>
    <t>RU75</t>
  </si>
  <si>
    <t>RU37</t>
  </si>
  <si>
    <t>RU38</t>
  </si>
  <si>
    <t>RU07</t>
  </si>
  <si>
    <t>Республика Кабардино-Балкария</t>
  </si>
  <si>
    <t>RU39</t>
  </si>
  <si>
    <t>RU40</t>
  </si>
  <si>
    <t>RU41</t>
  </si>
  <si>
    <t>RU09</t>
  </si>
  <si>
    <t>Республика Карачаево-Черкессия</t>
  </si>
  <si>
    <t>RU42</t>
  </si>
  <si>
    <t>RU43</t>
  </si>
  <si>
    <t>RU44</t>
  </si>
  <si>
    <t>RU23</t>
  </si>
  <si>
    <t>RU24</t>
  </si>
  <si>
    <t>RU45</t>
  </si>
  <si>
    <t>RU46</t>
  </si>
  <si>
    <t>RU47</t>
  </si>
  <si>
    <t>RU48</t>
  </si>
  <si>
    <t>RU49</t>
  </si>
  <si>
    <t>RU50</t>
  </si>
  <si>
    <t>RU51</t>
  </si>
  <si>
    <t>RU83</t>
  </si>
  <si>
    <t>RU52</t>
  </si>
  <si>
    <t>RU53</t>
  </si>
  <si>
    <t>RU54</t>
  </si>
  <si>
    <t>RU55</t>
  </si>
  <si>
    <t>RU56</t>
  </si>
  <si>
    <t>RU57</t>
  </si>
  <si>
    <t>RU58</t>
  </si>
  <si>
    <t>RU59</t>
  </si>
  <si>
    <t>RU25</t>
  </si>
  <si>
    <t>RU60</t>
  </si>
  <si>
    <t>RU01</t>
  </si>
  <si>
    <t>RU04</t>
  </si>
  <si>
    <t>RU02</t>
  </si>
  <si>
    <t>RU03</t>
  </si>
  <si>
    <t>RU05</t>
  </si>
  <si>
    <t>RU06</t>
  </si>
  <si>
    <t>RU08</t>
  </si>
  <si>
    <t>RU10</t>
  </si>
  <si>
    <t>RU11</t>
  </si>
  <si>
    <t>RU12</t>
  </si>
  <si>
    <t>RU13</t>
  </si>
  <si>
    <t>RU14</t>
  </si>
  <si>
    <t>RU15</t>
  </si>
  <si>
    <t>Республика Северная Осетия (Алания)</t>
  </si>
  <si>
    <t>RU16</t>
  </si>
  <si>
    <t>RU17</t>
  </si>
  <si>
    <t>Республика Тыва (Тува)</t>
  </si>
  <si>
    <t>RU19</t>
  </si>
  <si>
    <t>RU61</t>
  </si>
  <si>
    <t>RU62</t>
  </si>
  <si>
    <t>RU63</t>
  </si>
  <si>
    <t>RU64</t>
  </si>
  <si>
    <t>RU65</t>
  </si>
  <si>
    <t>RU66</t>
  </si>
  <si>
    <t>RU67</t>
  </si>
  <si>
    <t>RU26</t>
  </si>
  <si>
    <t>RU68</t>
  </si>
  <si>
    <t>RU69</t>
  </si>
  <si>
    <t>RU70</t>
  </si>
  <si>
    <t>RU71</t>
  </si>
  <si>
    <t>RU72</t>
  </si>
  <si>
    <t>RU18</t>
  </si>
  <si>
    <t>Республика Удмуртия</t>
  </si>
  <si>
    <t>RU73</t>
  </si>
  <si>
    <t>RU27</t>
  </si>
  <si>
    <t>RU86</t>
  </si>
  <si>
    <t>RU74</t>
  </si>
  <si>
    <t>RU20</t>
  </si>
  <si>
    <t>Республика Чечня</t>
  </si>
  <si>
    <t>RU21</t>
  </si>
  <si>
    <t>Республика Чувашия</t>
  </si>
  <si>
    <t>RU87</t>
  </si>
  <si>
    <t>RU89</t>
  </si>
  <si>
    <t>RU76</t>
  </si>
  <si>
    <r>
      <t>руб./тыс.м</t>
    </r>
    <r>
      <rPr>
        <vertAlign val="superscript"/>
        <sz val="8"/>
        <rFont val="Tahoma"/>
        <family val="2"/>
        <charset val="204"/>
      </rPr>
      <t>3</t>
    </r>
  </si>
  <si>
    <r>
      <t>тыс.м</t>
    </r>
    <r>
      <rPr>
        <vertAlign val="superscript"/>
        <sz val="8"/>
        <rFont val="Tahoma"/>
        <family val="2"/>
        <charset val="204"/>
      </rPr>
      <t>3</t>
    </r>
  </si>
  <si>
    <t>ТЭ</t>
  </si>
  <si>
    <t>стоков</t>
  </si>
  <si>
    <t>RESOURCE_IDENTIFIER</t>
  </si>
  <si>
    <t>руб/Гкал</t>
  </si>
  <si>
    <t>VOTV_TRANSMISSION_TARIFF_UNIT</t>
  </si>
  <si>
    <t>руб/куб.м</t>
  </si>
  <si>
    <t>3.2.1</t>
  </si>
  <si>
    <t>куб.м</t>
  </si>
  <si>
    <t>TEMPLATE_SPHERE_CODE</t>
  </si>
  <si>
    <t>HEAT</t>
  </si>
  <si>
    <t>VOTV</t>
  </si>
  <si>
    <t>TEMPLATE_PERIOD_COUNT</t>
  </si>
  <si>
    <t>HEAT_TRANSMISSION_TARIFF_UNIT</t>
  </si>
  <si>
    <t>1.4.1</t>
  </si>
  <si>
    <t>1.4.2</t>
  </si>
  <si>
    <t>7</t>
  </si>
  <si>
    <t xml:space="preserve">Отчисления на социальные нужды, в том числе </t>
  </si>
  <si>
    <t>7.1</t>
  </si>
  <si>
    <t>отчисления на соц. нужды от заработной платы основных производственных рабочих</t>
  </si>
  <si>
    <t>7.2</t>
  </si>
  <si>
    <t>отчисления на соц. нужды от заработной платы ремонтного персонала</t>
  </si>
  <si>
    <t>9.2</t>
  </si>
  <si>
    <t>7.3</t>
  </si>
  <si>
    <t>отчисления на соц. нужды от заработной платы цехового персонала</t>
  </si>
  <si>
    <t>7.4</t>
  </si>
  <si>
    <t>отчисления на соц. нужды от заработной платы АУП</t>
  </si>
  <si>
    <t>7.5</t>
  </si>
  <si>
    <t>отчисления на соц. нужды от заработной платы прочего персонала</t>
  </si>
  <si>
    <t>8</t>
  </si>
  <si>
    <t>8.1</t>
  </si>
  <si>
    <t>9</t>
  </si>
  <si>
    <t>Ямало-Ненецкий автономный округ</t>
  </si>
  <si>
    <t>Ярославская область</t>
  </si>
  <si>
    <t>12</t>
  </si>
  <si>
    <t>10</t>
  </si>
  <si>
    <t>13</t>
  </si>
  <si>
    <t>14</t>
  </si>
  <si>
    <t>Итого расходы</t>
  </si>
  <si>
    <t>15</t>
  </si>
  <si>
    <t>Прибыль на развитие производства (капитальные вложения)</t>
  </si>
  <si>
    <t>Прибыль на социальное развитие</t>
  </si>
  <si>
    <t>Прибыль на поощрение</t>
  </si>
  <si>
    <t>Прибыль на прочие цели</t>
  </si>
  <si>
    <t>16</t>
  </si>
  <si>
    <t>17</t>
  </si>
  <si>
    <t>18</t>
  </si>
  <si>
    <t>2.3.1</t>
  </si>
  <si>
    <t>2.3.2</t>
  </si>
  <si>
    <t>3.1.1</t>
  </si>
  <si>
    <t>4.1.2</t>
  </si>
  <si>
    <t>5.4</t>
  </si>
  <si>
    <t>руб/Гкал/час в мес</t>
  </si>
  <si>
    <t>Установленная тепловая мощность, Гкал/час</t>
  </si>
  <si>
    <t>Подключённая (фактическая) тепловая нагрузка, Гкал/час</t>
  </si>
  <si>
    <t>Полезный отпуск на нужды предприятия</t>
  </si>
  <si>
    <t>На технологические нужды предприятия</t>
  </si>
  <si>
    <t>На собственное производство</t>
  </si>
  <si>
    <t>На хозяйственные нужды</t>
  </si>
  <si>
    <t>3.1.2</t>
  </si>
  <si>
    <t>4.3.1</t>
  </si>
  <si>
    <t>4.3.2</t>
  </si>
  <si>
    <t>4.3.3</t>
  </si>
  <si>
    <t>4.4.1</t>
  </si>
  <si>
    <t>4.4.2</t>
  </si>
  <si>
    <t>4.4.3</t>
  </si>
  <si>
    <t>оплата труда основных производственных рабочих</t>
  </si>
  <si>
    <t>6.1.1</t>
  </si>
  <si>
    <t>6.1.2</t>
  </si>
  <si>
    <t>6.2.1</t>
  </si>
  <si>
    <t>оплата труда ремонтного персонала</t>
  </si>
  <si>
    <t>6.2.2</t>
  </si>
  <si>
    <t>9.1</t>
  </si>
  <si>
    <t>оплата труда цехового персонала</t>
  </si>
  <si>
    <t>6.3.2</t>
  </si>
  <si>
    <t>6.4</t>
  </si>
  <si>
    <t>оплата труда АУП</t>
  </si>
  <si>
    <t>6.4.1</t>
  </si>
  <si>
    <t>6.4.2</t>
  </si>
  <si>
    <t>6.5</t>
  </si>
  <si>
    <t>6.5.1</t>
  </si>
  <si>
    <t>6.5.2</t>
  </si>
  <si>
    <t>FULL_MODE</t>
  </si>
  <si>
    <t>HEAT_CALC_EMPTY_BASE_RANGE</t>
  </si>
  <si>
    <t>HEAT_FUEL_EMPTY_BASE_RANGE</t>
  </si>
  <si>
    <t>О</t>
  </si>
  <si>
    <t>расходы на консультационные услуги</t>
  </si>
  <si>
    <t>расходы на юридические услуги</t>
  </si>
  <si>
    <t>расходы на информационные услуги</t>
  </si>
  <si>
    <t>расходы на аудиторские услуги</t>
  </si>
  <si>
    <t>водный налог</t>
  </si>
  <si>
    <t>Прибыль</t>
  </si>
  <si>
    <t>расходы по подготовке и освоению производства (пуско-наладочные работы)</t>
  </si>
  <si>
    <t>целевые средства на НИОКР</t>
  </si>
  <si>
    <t>TEMPLATE_CLAIM</t>
  </si>
  <si>
    <t>Организации-перепродавцы</t>
  </si>
  <si>
    <t>19</t>
  </si>
  <si>
    <t>Амортизация</t>
  </si>
  <si>
    <t xml:space="preserve"> </t>
  </si>
  <si>
    <t>20</t>
  </si>
  <si>
    <t>21</t>
  </si>
  <si>
    <t>22</t>
  </si>
  <si>
    <t>II</t>
  </si>
  <si>
    <t>1.1.1</t>
  </si>
  <si>
    <t>1.1.2</t>
  </si>
  <si>
    <t>4.13.1.1</t>
  </si>
  <si>
    <t>4.13.1.2</t>
  </si>
  <si>
    <t>4.13.2.1</t>
  </si>
  <si>
    <t>4.13.2.2</t>
  </si>
  <si>
    <t>4.13.3.1</t>
  </si>
  <si>
    <t>4.13.3.2</t>
  </si>
  <si>
    <t>4.13.4.1</t>
  </si>
  <si>
    <t>4.13.4.2</t>
  </si>
  <si>
    <t>NOMER</t>
  </si>
  <si>
    <t>INN</t>
  </si>
  <si>
    <t>KPP</t>
  </si>
  <si>
    <t>ORG</t>
  </si>
  <si>
    <t>FIL</t>
  </si>
  <si>
    <t>VDET</t>
  </si>
  <si>
    <t>NDS</t>
  </si>
  <si>
    <t>L1</t>
  </si>
  <si>
    <t>30</t>
  </si>
  <si>
    <t>Рентабельность</t>
  </si>
  <si>
    <t>SAX_PARSER_FEATURE</t>
  </si>
  <si>
    <t>средства на необязательное (дополнительное) страхование</t>
  </si>
  <si>
    <t>YEAR_LIST</t>
  </si>
  <si>
    <t>1.1.3</t>
  </si>
  <si>
    <t xml:space="preserve"> - ссылки и автозаполняемые поля</t>
  </si>
  <si>
    <t xml:space="preserve"> - с формулами и константами</t>
  </si>
  <si>
    <t>DET</t>
  </si>
  <si>
    <t>IC</t>
  </si>
  <si>
    <t>NO</t>
  </si>
  <si>
    <t>VALIDATION_SETTINGS</t>
  </si>
  <si>
    <t>YES</t>
  </si>
  <si>
    <t>П</t>
  </si>
  <si>
    <t>5.2.1.1</t>
  </si>
  <si>
    <t>5.2.1.2</t>
  </si>
  <si>
    <t>Природный газ. Газ лимитный. Тариф на ССУ (cнабженческо-сбытовые услуги)</t>
  </si>
  <si>
    <t>Природный газ. Газ лимитный. Тариф ГРО (услуги газораспределительной организации)</t>
  </si>
  <si>
    <t>Природный газ. Газ лимитный. ПССУ (плата за cнабженческо-сбытовые услуги), всего</t>
  </si>
  <si>
    <t>Природный газ. Газ лимитный. ГРО (плата за услуги газораспределительной организации), всего</t>
  </si>
  <si>
    <t>Природный газ. Газ лимитный. ТТР (плата за услуги транзитной транспортировки), всего</t>
  </si>
  <si>
    <t>Средний тариф транзитной транспортировки</t>
  </si>
  <si>
    <t>Объём топлива, транспортируемого в транзитном потоке</t>
  </si>
  <si>
    <t>Природный газ. Газ сверхлимитный. Тариф на ССУ (cнабженческо-сбытовые услуги)</t>
  </si>
  <si>
    <t>Природный газ. Газ сверхлимитный. Тариф ГРО (услуги газораспределительной организации)</t>
  </si>
  <si>
    <t>Природный газ. Газ сверхлимитный. ПССУ (плата за cнабженческо-сбытовые услуги), всего</t>
  </si>
  <si>
    <t>Природный газ. Газ сверхлимитный. ГРО (плата за услуги газораспределительной организации), всего</t>
  </si>
  <si>
    <t>Природный газ. Газ сверхлимитный. ТТР (плата за услуги транзитной транспортировки), всего</t>
  </si>
  <si>
    <t>Перевозка автомобильным транспортом. Цена (тариф) за транспортировку (перевозку) единицы топлива</t>
  </si>
  <si>
    <t>Перевозка автомобильным транспортом. Объём транспортировки (перевозки) топлива</t>
  </si>
  <si>
    <t>Перевозка автомобильным транспортом. Стоимость транспортировки (перевозки) топлива</t>
  </si>
  <si>
    <t>Перевозка ж/д транспортом. Цена (тариф) за транспортировку (перевозку) единицы топлива</t>
  </si>
  <si>
    <t>Перевозка ж/д транспортом. Объём транспортировки (перевозки) топлива</t>
  </si>
  <si>
    <t>Перевозка ж/д транспортом. Стоимость транспортировки (перевозки) топлива</t>
  </si>
  <si>
    <t>Иные виды транспортировки (перевозки). Цена (тариф) за транспортировку (перевозку) единицы топлива</t>
  </si>
  <si>
    <t>Иные виды транспортировки (перевозки). Объём транспортировки (перевозки) топлива</t>
  </si>
  <si>
    <t>Иные виды транспортировки (перевозки). Стоимость транспортировки (перевозки) топлива</t>
  </si>
  <si>
    <t>Показатели расхода электроэнергии по уровням напряжения</t>
  </si>
  <si>
    <t>объём энергии</t>
  </si>
  <si>
    <t>тыс.кВтч</t>
  </si>
  <si>
    <t>объём заявленной мощности</t>
  </si>
  <si>
    <t>МВт</t>
  </si>
  <si>
    <t>тариф на энергию</t>
  </si>
  <si>
    <t>тариф на заявленную мощность</t>
  </si>
  <si>
    <t>годовой объём мощности</t>
  </si>
  <si>
    <t>4.0.3.1.1.1</t>
  </si>
  <si>
    <t>4.0.3.1.1.2</t>
  </si>
  <si>
    <t>4.0.3.1.1.3</t>
  </si>
  <si>
    <t>4.0.3.1.1.4</t>
  </si>
  <si>
    <t>4.0.3.1.1.5</t>
  </si>
  <si>
    <t>4.0.3.1.2.1</t>
  </si>
  <si>
    <t>4.0.3.1.2.2</t>
  </si>
  <si>
    <t>4.0.3.1.2.3</t>
  </si>
  <si>
    <t>4.0.3.1.2.5</t>
  </si>
  <si>
    <t>4.0.3.1.2.4</t>
  </si>
  <si>
    <t>Единица измерения</t>
  </si>
  <si>
    <t>Газовый конденсат</t>
  </si>
  <si>
    <t>CALC_IDENTIFIER</t>
  </si>
  <si>
    <t>Вид воды</t>
  </si>
  <si>
    <t>Январь</t>
  </si>
  <si>
    <t>XML_PLAN1X_VOTV_LIST_ORG_TAG_NAMES</t>
  </si>
  <si>
    <t>Хозяйственные нужды предприятия</t>
  </si>
  <si>
    <t>Пропущено через cобственные очистные сооружения</t>
  </si>
  <si>
    <t>Передано сточных вод другим канализациям</t>
  </si>
  <si>
    <t>Сброшенные воды без очистки</t>
  </si>
  <si>
    <t>На очистные сооружения</t>
  </si>
  <si>
    <t>В канализационную сеть</t>
  </si>
  <si>
    <t>1.2.3</t>
  </si>
  <si>
    <t>1.2.4</t>
  </si>
  <si>
    <t>от собственных нужд</t>
  </si>
  <si>
    <t>от других канализаций или отдельных канализационных сетей</t>
  </si>
  <si>
    <t>от бюджетных потребителей</t>
  </si>
  <si>
    <t>от населения</t>
  </si>
  <si>
    <t>от прочих потребителей</t>
  </si>
  <si>
    <t>A</t>
  </si>
  <si>
    <t>1.2.2</t>
  </si>
  <si>
    <t>6.2</t>
  </si>
  <si>
    <t>1.3</t>
  </si>
  <si>
    <t>2.1</t>
  </si>
  <si>
    <t>6.3</t>
  </si>
  <si>
    <t>2.2</t>
  </si>
  <si>
    <t>6.3.1</t>
  </si>
  <si>
    <t>2.3</t>
  </si>
  <si>
    <t>6.1</t>
  </si>
  <si>
    <t>Уголь</t>
  </si>
  <si>
    <t>Газ лимитный</t>
  </si>
  <si>
    <t>4.2.2</t>
  </si>
  <si>
    <t>Газ сверхлимитный</t>
  </si>
  <si>
    <t>Газ коммерческий</t>
  </si>
  <si>
    <t>4.3</t>
  </si>
  <si>
    <t>Газ сжиженный</t>
  </si>
  <si>
    <t>4.4</t>
  </si>
  <si>
    <t>Мазут</t>
  </si>
  <si>
    <t>Нефть</t>
  </si>
  <si>
    <t>Дизельное топливо</t>
  </si>
  <si>
    <t>Дрова</t>
  </si>
  <si>
    <t>Общий объём производства для сравнения с БТр (нельзя передать больше, чем произведено)</t>
  </si>
  <si>
    <t>BUDGET_I</t>
  </si>
  <si>
    <t>POPULATION_I</t>
  </si>
  <si>
    <t>OTHERS_I</t>
  </si>
  <si>
    <t>RESELLERS_I</t>
  </si>
  <si>
    <t>RESELLERS_II</t>
  </si>
  <si>
    <t>BUDGET_II</t>
  </si>
  <si>
    <t>POPULATION_II</t>
  </si>
  <si>
    <t>OTHERS_II</t>
  </si>
  <si>
    <t>BPR_vs_BTR</t>
  </si>
  <si>
    <t xml:space="preserve">   </t>
  </si>
  <si>
    <t>OWN_I</t>
  </si>
  <si>
    <t>OWN_II</t>
  </si>
  <si>
    <t>от котельных (некомбинированная выработка)</t>
  </si>
  <si>
    <t>от станций с мощностью производства &gt;= 25 МВт</t>
  </si>
  <si>
    <t>от станций с мощностью производства &lt; 25 МВт</t>
  </si>
  <si>
    <t>4.2.1</t>
  </si>
  <si>
    <t>6.0.3</t>
  </si>
  <si>
    <t>6.2.3</t>
  </si>
  <si>
    <t>6.2.4</t>
  </si>
  <si>
    <t>6.2.5</t>
  </si>
  <si>
    <t>6.1.3</t>
  </si>
  <si>
    <t>6.1.4</t>
  </si>
  <si>
    <t>6.1.5</t>
  </si>
  <si>
    <t>Пеллеты</t>
  </si>
  <si>
    <t>Цена условного топлива с учётом транспортировки (перевозки)</t>
  </si>
  <si>
    <t>Цена натурального топлива с учётом транспортировки (перевозки)</t>
  </si>
  <si>
    <t>руб./тнт</t>
  </si>
  <si>
    <t>Расход условного топлива</t>
  </si>
  <si>
    <t>тут</t>
  </si>
  <si>
    <t>Доля</t>
  </si>
  <si>
    <t>%</t>
  </si>
  <si>
    <t>Переводной коэффициент</t>
  </si>
  <si>
    <t>Расход натурального топлива</t>
  </si>
  <si>
    <t>тнт</t>
  </si>
  <si>
    <t xml:space="preserve">Показатели себестоимости топлива </t>
  </si>
  <si>
    <t>Цена натурального топлива без учёта транспортировки (перевозки)</t>
  </si>
  <si>
    <t>Стоимость натурального топлива без учёта транспортировки (перевозки)</t>
  </si>
  <si>
    <t>Показатели транспортировки (перевозки) топлива</t>
  </si>
  <si>
    <t>7.0</t>
  </si>
  <si>
    <t>оплата труда прочего персонала, относимого на регулируемый вид деятельности</t>
  </si>
  <si>
    <t>TOTAL_ORG</t>
  </si>
  <si>
    <t>Перейти к разделу</t>
  </si>
  <si>
    <t>Нет доступных обновлений, версия отчёта актуальна</t>
  </si>
  <si>
    <t>DNS</t>
  </si>
  <si>
    <t>Если в предложенном Вам списке необходимая организация, МР/МО отсутствуют, обновите реестры с помощью кнопок на листе "Список организаций"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</si>
  <si>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Использовать прокси-сервер для запроса обновлений</t>
  </si>
  <si>
    <t>Адрес прокси-сервера</t>
  </si>
  <si>
    <t>Порт</t>
  </si>
  <si>
    <t>Адрес сервера ЕИАС для запроса данных:</t>
  </si>
  <si>
    <t>Канализационно-насосная станция</t>
  </si>
  <si>
    <t>Вид стоков</t>
  </si>
  <si>
    <t>Подвоз воды</t>
  </si>
  <si>
    <t>Теплоисточник</t>
  </si>
  <si>
    <t>Насосная станция</t>
  </si>
  <si>
    <t>Очистка сточных вод</t>
  </si>
  <si>
    <t>Транспортировка сточных вод</t>
  </si>
  <si>
    <t>Производство (подъём / добыча) воды</t>
  </si>
  <si>
    <t>Очистка воды</t>
  </si>
  <si>
    <t>Сбыт (распределение) воды</t>
  </si>
  <si>
    <t>Приём сточных вод</t>
  </si>
  <si>
    <t>VOTV_VD_COMPONENTS</t>
  </si>
  <si>
    <t>HEAT_VD_COMPONENTS</t>
  </si>
  <si>
    <t>Производство</t>
  </si>
  <si>
    <t>Сбыт</t>
  </si>
  <si>
    <t>HEAT_PRODUCTION_TYPE_LIST</t>
  </si>
  <si>
    <t>некомбинированное</t>
  </si>
  <si>
    <t>комбинированное, более 25 МВт</t>
  </si>
  <si>
    <t>комбинированное, менее 25 МВт</t>
  </si>
  <si>
    <t>Без дифференциации</t>
  </si>
  <si>
    <t>ЖБО</t>
  </si>
  <si>
    <t>ПСВ</t>
  </si>
  <si>
    <t>ХБСВ</t>
  </si>
  <si>
    <t>СВ (нормативы)</t>
  </si>
  <si>
    <t>СВ (иные)</t>
  </si>
  <si>
    <t>VOTV_VTOV</t>
  </si>
  <si>
    <t>жидкие бытовые отходы</t>
  </si>
  <si>
    <t>поверхностные сточные воды</t>
  </si>
  <si>
    <t>хозяйственно-бытовые сточные воды, отводимые товариществами собственников жилья, жилищно-строительными, жилищными и иными специализированными потребительскими кооперативами, управляющими организациями и другими лицами, осуществляющими деятельность по управлению многоквартирными домами, жителями индивидуальных жилых домов и другими абонентами, отводящими преимущественно сточные воды, связанные с хозяйственно-бытовой деятельностью, в отношении которых не устанавливаются нормативы водоотведения (сброса) по составу сточных вод, нормативы допустимых сбросов абонентов</t>
  </si>
  <si>
    <t>сточные воды, отводимые абонентами, для объектов которых устанавливаются нормативы водоотведения (сброса) по составу сточных вод, нормативы допустимых сбросов абонентов</t>
  </si>
  <si>
    <t>сточные воды, отводимые иными абонентами</t>
  </si>
  <si>
    <t>NOMER_NAME</t>
  </si>
  <si>
    <t>FIL_NAME</t>
  </si>
  <si>
    <t>NOMER2_NAME</t>
  </si>
  <si>
    <t>NMOB_NAME</t>
  </si>
  <si>
    <t>DET_NAME</t>
  </si>
  <si>
    <t>L_ADDRESS_MR</t>
  </si>
  <si>
    <t>L_ADDRESS_MO</t>
  </si>
  <si>
    <t>L_ADDRESS_OKTMO</t>
  </si>
  <si>
    <t>L_ADDRESS_LOCATION</t>
  </si>
  <si>
    <t>L_ADDRESS_LOC_OKTMO</t>
  </si>
  <si>
    <t>L_ADDRESS_STREET</t>
  </si>
  <si>
    <t>L_ADDRESS_BUILDING</t>
  </si>
  <si>
    <t>DET2_NAME</t>
  </si>
  <si>
    <t>LOCATION_NAME</t>
  </si>
  <si>
    <t>LOCATION_OKTMO_NAME</t>
  </si>
  <si>
    <t>L_SERVICE_PRODUCTION</t>
  </si>
  <si>
    <t>L_SERVICE_CLEANING</t>
  </si>
  <si>
    <t>L_SERVICE_TRANSMISSION</t>
  </si>
  <si>
    <t>XML_PLAN1X_HEAT_LIST_SRC_TAG_NAMES</t>
  </si>
  <si>
    <t>XML_PLAN1X_VOTV_LIST_SRC_TAG_NAMES</t>
  </si>
  <si>
    <t>L_SERVICE_SALE</t>
  </si>
  <si>
    <t>Вид сточных вод</t>
  </si>
  <si>
    <t>Вид(-ы) теплоносителя(-ей)</t>
  </si>
  <si>
    <t>Вид(-ы) деятельности организации</t>
  </si>
  <si>
    <t>Комментарии</t>
  </si>
  <si>
    <t>Добавить объект</t>
  </si>
  <si>
    <t>0</t>
  </si>
  <si>
    <t>Наименование объекта</t>
  </si>
  <si>
    <t>Тип объекта</t>
  </si>
  <si>
    <t>Адрес объекта</t>
  </si>
  <si>
    <t>Населённый пункт</t>
  </si>
  <si>
    <t>улица, проезд, проспект, переулок и т.п.</t>
  </si>
  <si>
    <t>дом, корпус, строение</t>
  </si>
  <si>
    <t>Виды деятельности</t>
  </si>
  <si>
    <t>Производственные расходы</t>
  </si>
  <si>
    <t>Расходы на приобретение сырья и материалов и их хранение</t>
  </si>
  <si>
    <t xml:space="preserve">Реагенты </t>
  </si>
  <si>
    <t>Цена за единицу</t>
  </si>
  <si>
    <t>Горюче-смазочные материалы</t>
  </si>
  <si>
    <t>Материалы и малоценные основные средства</t>
  </si>
  <si>
    <t>Расходы на энергетические ресурсы и холодную воду</t>
  </si>
  <si>
    <t xml:space="preserve">электроэнергия </t>
  </si>
  <si>
    <t>1.2.1.1</t>
  </si>
  <si>
    <t>Объём покупной энергии</t>
  </si>
  <si>
    <t>1.2.1.1.1</t>
  </si>
  <si>
    <t>Объём покупной энергии по одноставочному тарифу</t>
  </si>
  <si>
    <t>1.2.1.1.1.1</t>
  </si>
  <si>
    <t>НН</t>
  </si>
  <si>
    <t>1.2.1.1.1.2</t>
  </si>
  <si>
    <t>СН1</t>
  </si>
  <si>
    <t>1.2.1.1.1.3</t>
  </si>
  <si>
    <t>СН2</t>
  </si>
  <si>
    <t>1.2.1.1.1.4</t>
  </si>
  <si>
    <t>ВН</t>
  </si>
  <si>
    <t>1.2.1.1.1.5</t>
  </si>
  <si>
    <t>без разбивки по напряжению</t>
  </si>
  <si>
    <t>1.2.1.1.2</t>
  </si>
  <si>
    <t>Объём покупной электроэнергии по двухставочному тарифу</t>
  </si>
  <si>
    <t>1.2.1.1.2.1</t>
  </si>
  <si>
    <t>Мощность</t>
  </si>
  <si>
    <t>МВт*мес</t>
  </si>
  <si>
    <t>1.2.1.1.2.1.1</t>
  </si>
  <si>
    <t>1.2.1.1.2.1.2</t>
  </si>
  <si>
    <t>1.2.1.1.2.1.3</t>
  </si>
  <si>
    <t>1.2.1.1.2.2</t>
  </si>
  <si>
    <t>Активная электроэнергия</t>
  </si>
  <si>
    <t>1.2.1.1.2.2.1</t>
  </si>
  <si>
    <t>1.2.1.1.2.2.2</t>
  </si>
  <si>
    <t>1.2.1.1.2.2.3</t>
  </si>
  <si>
    <t>1.2.1.1.2.2.4</t>
  </si>
  <si>
    <t>1.2.1.1.2.2.5</t>
  </si>
  <si>
    <t>1.2.1.2</t>
  </si>
  <si>
    <t>Тариф на электроэнергию и мощность</t>
  </si>
  <si>
    <t>1.2.1.2.1</t>
  </si>
  <si>
    <t>по одноставочному тарифу</t>
  </si>
  <si>
    <t>1.2.1.2.1.1</t>
  </si>
  <si>
    <t>1.2.1.2.1.2</t>
  </si>
  <si>
    <t>1.2.1.2.1.3</t>
  </si>
  <si>
    <t>1.2.1.2.1.4</t>
  </si>
  <si>
    <t>1.2.1.2.1.5</t>
  </si>
  <si>
    <t>1.2.1.2.1.6</t>
  </si>
  <si>
    <t>Средний одноставочный тариф на электрическую энергию</t>
  </si>
  <si>
    <t>1.2.1.2.2</t>
  </si>
  <si>
    <t>по двухставочному тарифу</t>
  </si>
  <si>
    <t>1.2.1.2.2.1</t>
  </si>
  <si>
    <t>ставка за мощность</t>
  </si>
  <si>
    <t>1.2.1.2.2.1.1</t>
  </si>
  <si>
    <t>1.2.1.2.2.1.2</t>
  </si>
  <si>
    <t>1.2.1.2.2.1.3</t>
  </si>
  <si>
    <t>1.2.1.2.2.1.4</t>
  </si>
  <si>
    <t>1.2.1.2.2.1.5</t>
  </si>
  <si>
    <t>1.2.1.2.2.2</t>
  </si>
  <si>
    <t>ставка за электроэнергию</t>
  </si>
  <si>
    <t>1.2.1.2.2.2.1</t>
  </si>
  <si>
    <t>1.2.1.2.2.2.2</t>
  </si>
  <si>
    <t>1.2.1.2.2.2.3</t>
  </si>
  <si>
    <t>1.2.1.2.2.2.4</t>
  </si>
  <si>
    <t>1.2.1.2.2.2.5</t>
  </si>
  <si>
    <t>1.2.1.3</t>
  </si>
  <si>
    <t>Затраты на покупку энергии по одноставочному тарифу</t>
  </si>
  <si>
    <t>1.2.1.4</t>
  </si>
  <si>
    <t>Затраты на покупку энергии по двухставочному тарифу</t>
  </si>
  <si>
    <t>1.2.1.5</t>
  </si>
  <si>
    <t>теплоэнергия</t>
  </si>
  <si>
    <t>теплоноситель</t>
  </si>
  <si>
    <t>топливо</t>
  </si>
  <si>
    <t>1.2.5</t>
  </si>
  <si>
    <t>холодная вода</t>
  </si>
  <si>
    <t>1.2.5.1</t>
  </si>
  <si>
    <t>цена</t>
  </si>
  <si>
    <t>1.2.5.2</t>
  </si>
  <si>
    <t>Расходы на оплату работ и услуг, выполняемые сторонними организациями и индивидуальными предпринимателями, связанные с эксплуатацией централизованных систем либо объектов в составе таких систем</t>
  </si>
  <si>
    <t>1.4</t>
  </si>
  <si>
    <t xml:space="preserve">Расходы на оплату труда и отчисления на социальные нужды основного производственного персонала, в том числе налоги и сборы </t>
  </si>
  <si>
    <t>Расходы на оплату труда производственного персонала</t>
  </si>
  <si>
    <t>1.4.1.1</t>
  </si>
  <si>
    <t>Численность (среднесписочная), принятая для расчёта</t>
  </si>
  <si>
    <t>1.4.1.2</t>
  </si>
  <si>
    <t>1.4.1.3</t>
  </si>
  <si>
    <t>1.4.1.4</t>
  </si>
  <si>
    <t>1.4.1.5</t>
  </si>
  <si>
    <t>1.4.1.6</t>
  </si>
  <si>
    <t>Индекс роста номинальной заработной платы</t>
  </si>
  <si>
    <t>1.4.1.7</t>
  </si>
  <si>
    <t>Тарифная ставка рабочего 1-го разряда с учётом дефлятора</t>
  </si>
  <si>
    <t>1.4.1.8</t>
  </si>
  <si>
    <t>Средний тарифный коэффициент</t>
  </si>
  <si>
    <t>1.4.1.9</t>
  </si>
  <si>
    <t>Среднемесячная тарифная ставка</t>
  </si>
  <si>
    <t>1.4.1.10</t>
  </si>
  <si>
    <t>Минимальный размер оплаты труда по отраслевому тарифному соглашению</t>
  </si>
  <si>
    <t>Отчисления на социальные нужды производственного персонала, в том числе налоги и сборы</t>
  </si>
  <si>
    <t>1.5</t>
  </si>
  <si>
    <t>1.6</t>
  </si>
  <si>
    <t>Общехозяйственные расходы</t>
  </si>
  <si>
    <t>1.7</t>
  </si>
  <si>
    <t>Прочие производственные расходы</t>
  </si>
  <si>
    <t>1.7.1</t>
  </si>
  <si>
    <t>Расходы на амортизацию транспорта</t>
  </si>
  <si>
    <t>1.7.3</t>
  </si>
  <si>
    <t>Расходы на аварийно-диспетчерское обслуживание</t>
  </si>
  <si>
    <t>1.8</t>
  </si>
  <si>
    <t>Цеховые расходы</t>
  </si>
  <si>
    <t>1.8.1</t>
  </si>
  <si>
    <t>Расходы на оплату труда цехового персонала</t>
  </si>
  <si>
    <t>1.8.2</t>
  </si>
  <si>
    <t>Отчисления на социальные нужды цехового персонала, в том числе налоги и сборы</t>
  </si>
  <si>
    <t>1.8.3</t>
  </si>
  <si>
    <t>Расходы на охрану труда</t>
  </si>
  <si>
    <t>1.8.4</t>
  </si>
  <si>
    <t>Ремонтные расходы</t>
  </si>
  <si>
    <t>Расходы на текущий ремонт централизованных систем водоснабжения и (или) водоотведения либо объектов, входящих в состав таких систем</t>
  </si>
  <si>
    <t>Расходы на капитальный ремонт централизованных систем водоснабжения и (или водоотведения) либо объектов, входящих в состав таких систем</t>
  </si>
  <si>
    <t>Расходы на оплату труда и отчисления на социальные нужды ремонтного персонала, в том числе налоги и сборы</t>
  </si>
  <si>
    <t>Расходы на оплату труда ремонтного персонала</t>
  </si>
  <si>
    <t>2.3.1.1</t>
  </si>
  <si>
    <t>2.3.1.2</t>
  </si>
  <si>
    <t>2.3.1.3</t>
  </si>
  <si>
    <t>2.3.1.4</t>
  </si>
  <si>
    <t>2.3.1.5</t>
  </si>
  <si>
    <t>2.3.1.6</t>
  </si>
  <si>
    <t>2.3.1.7</t>
  </si>
  <si>
    <t>2.3.1.8</t>
  </si>
  <si>
    <t>2.3.1.9</t>
  </si>
  <si>
    <t>2.3.1.10</t>
  </si>
  <si>
    <t>Отчисления на социальные нужды ремонтного персонала, в том числе налоги и сборы</t>
  </si>
  <si>
    <t>Административные расходы</t>
  </si>
  <si>
    <t>Расходы на оплату работ и услуг, выполняемых сторонними организациями</t>
  </si>
  <si>
    <t>услуги связи и интернет</t>
  </si>
  <si>
    <t>юридические услуги</t>
  </si>
  <si>
    <t>3.1.3</t>
  </si>
  <si>
    <t>аудиторские услуги</t>
  </si>
  <si>
    <t>3.1.4</t>
  </si>
  <si>
    <t>консультационные услуги</t>
  </si>
  <si>
    <t>3.1.5</t>
  </si>
  <si>
    <t>услуги по вневедомственной охране объектов и территорий</t>
  </si>
  <si>
    <t>3.1.6</t>
  </si>
  <si>
    <t>информационные услуги</t>
  </si>
  <si>
    <t>Расходы на оплату труда и отчисления на социальные нужды административно-управленческого персонала, в том числе налоги и сборы</t>
  </si>
  <si>
    <t>Расходы на оплату труда административно-управленческого персонала</t>
  </si>
  <si>
    <t>3.2.1.1</t>
  </si>
  <si>
    <t>3.2.1.2</t>
  </si>
  <si>
    <t>3.2.1.3</t>
  </si>
  <si>
    <t>3.2.1.4</t>
  </si>
  <si>
    <t>3.2.1.5</t>
  </si>
  <si>
    <t>3.2.1.6</t>
  </si>
  <si>
    <t>3.2.1.7</t>
  </si>
  <si>
    <t>3.2.1.8</t>
  </si>
  <si>
    <t>3.2.1.9</t>
  </si>
  <si>
    <t>3.2.1.10</t>
  </si>
  <si>
    <t>3.2.2</t>
  </si>
  <si>
    <t>Отчисления на социальные нужды административно-управленческого персонала, в том числе налоги и сборы</t>
  </si>
  <si>
    <t>Арендная плата, лизинговые платежи, не связанные с арендой (лизингом) централизованных систем водоснабжения и (или) водоотведения либо объектов, входящих в состав таких систем</t>
  </si>
  <si>
    <t>Служебные командировки</t>
  </si>
  <si>
    <t>Обучение персонала</t>
  </si>
  <si>
    <t>Страхование производственных объектов</t>
  </si>
  <si>
    <t>3.7</t>
  </si>
  <si>
    <t>Прочие административные расходы</t>
  </si>
  <si>
    <t>3.7.1</t>
  </si>
  <si>
    <t>Расходы на амортизацию непроизводственных активов</t>
  </si>
  <si>
    <t>3.7.2</t>
  </si>
  <si>
    <t>Расходы по охране объектов и территорий</t>
  </si>
  <si>
    <t>Сбытовые расходы гарантирующих организаций</t>
  </si>
  <si>
    <t>Расходы по сомнительным долгам, в размере не более 2% НВВ</t>
  </si>
  <si>
    <t>Амортизация основных средств и нематериальных активов, относимых к объектам централизованной системы водоснабжения и водоотведения</t>
  </si>
  <si>
    <t>Аренда имущества</t>
  </si>
  <si>
    <t>Концессионная плата</t>
  </si>
  <si>
    <t>Лизинговые платежи</t>
  </si>
  <si>
    <t>Аренда земельных участков</t>
  </si>
  <si>
    <t>Иное</t>
  </si>
  <si>
    <t>Налог на прибыль</t>
  </si>
  <si>
    <t>Налог на имущество организаций</t>
  </si>
  <si>
    <t>Плата за негативное воздействие на окружающую среду</t>
  </si>
  <si>
    <t>Водный налог и плата за пользование водным объектом</t>
  </si>
  <si>
    <t>Земельный налог</t>
  </si>
  <si>
    <t>7.6</t>
  </si>
  <si>
    <t>Транспортный налог</t>
  </si>
  <si>
    <t>7.7</t>
  </si>
  <si>
    <t>Прочие налоги и сборы, за исключением налогов и сборов с фонда оплаты труда, учитываемых в составе производственных, ремонтных и административных расходов</t>
  </si>
  <si>
    <t>Расходы на оплату товаров (услуг, работ), приобретаемых у других организаций, осуществляющих регулируемые виды деятельности</t>
  </si>
  <si>
    <t>Прочее</t>
  </si>
  <si>
    <t>тыс.куб.м</t>
  </si>
  <si>
    <t>25</t>
  </si>
  <si>
    <t>26</t>
  </si>
  <si>
    <t>27</t>
  </si>
  <si>
    <t>Организация</t>
  </si>
  <si>
    <t>Среднемесячная оплата труда основного производственного персонала</t>
  </si>
  <si>
    <t>Справочно: нормативная численность основного производственного персонала, относимого на регулируемый вид деятельности</t>
  </si>
  <si>
    <t>Фактическая численность основного производственного персонала, относимого на регулируемый вид деятельности</t>
  </si>
  <si>
    <t>Фактическая численность ремонтного персонала, относимого на регулируемый вид деятельности</t>
  </si>
  <si>
    <t>Среднемесячная оплата труда ремонтного персонала</t>
  </si>
  <si>
    <t>Справочно: нормативная численность ремонтного персонала, относимого на регулируемый вид деятельности</t>
  </si>
  <si>
    <t>Среднемесячная оплата труда административно-управленческого персонала</t>
  </si>
  <si>
    <t>руб./МВт*мес</t>
  </si>
  <si>
    <t>Затраты на покупку мощности по двухставочному тарифу</t>
  </si>
  <si>
    <t>ГН</t>
  </si>
  <si>
    <t>1.2.1.3.1</t>
  </si>
  <si>
    <t>1.2.1.3.2</t>
  </si>
  <si>
    <t>1.2.1.3.3</t>
  </si>
  <si>
    <t>1.2.1.3.4</t>
  </si>
  <si>
    <t>1.2.1.3.5</t>
  </si>
  <si>
    <t>1.2.1.4.1</t>
  </si>
  <si>
    <t>1.2.1.4.2</t>
  </si>
  <si>
    <t>1.2.1.4.3</t>
  </si>
  <si>
    <t>1.2.1.4.4</t>
  </si>
  <si>
    <t>1.2.1.4.5</t>
  </si>
  <si>
    <t>1.2.1.5.1</t>
  </si>
  <si>
    <t>1.2.1.5.2</t>
  </si>
  <si>
    <t>1.2.1.5.3</t>
  </si>
  <si>
    <t>1.2.1.5.4</t>
  </si>
  <si>
    <t>1.2.1.5.5</t>
  </si>
  <si>
    <t>UI.TOTAL</t>
  </si>
  <si>
    <t>UI.EC</t>
  </si>
  <si>
    <t>UI.COEF</t>
  </si>
  <si>
    <t>UI.PURE.EC</t>
  </si>
  <si>
    <t>L_PR_IC</t>
  </si>
  <si>
    <t>L_PR_CL</t>
  </si>
  <si>
    <t>L_TR_IC</t>
  </si>
  <si>
    <t>L_TR_CL</t>
  </si>
  <si>
    <t>L_SL_IC</t>
  </si>
  <si>
    <t>L_SL_CL</t>
  </si>
  <si>
    <t>L_CLN_IC</t>
  </si>
  <si>
    <t>L_CLN_CL</t>
  </si>
  <si>
    <t>CL</t>
  </si>
  <si>
    <t>NUMBER</t>
  </si>
  <si>
    <t>из поверхностных источников</t>
  </si>
  <si>
    <t>Объём воды, прошедшей водоподготовку (справочно)</t>
  </si>
  <si>
    <t>из собственных источников</t>
  </si>
  <si>
    <t>от других операторов</t>
  </si>
  <si>
    <t>получено от других территорий, дифференцированных по тарифу</t>
  </si>
  <si>
    <t>из подземных источников</t>
  </si>
  <si>
    <t>по приборам учёта</t>
  </si>
  <si>
    <t>по нормативам</t>
  </si>
  <si>
    <t>Объём воды для приготовления горячей воды (справочно)</t>
  </si>
  <si>
    <t>Объём воды при дифференциации тарифов по объёму (справочно)</t>
  </si>
  <si>
    <t>Объём воды, поданной в сеть</t>
  </si>
  <si>
    <t>Потребление на нужды организации</t>
  </si>
  <si>
    <t>Объём воды, поступившей в сеть</t>
  </si>
  <si>
    <t>Объём транспортируемых сточных вод</t>
  </si>
  <si>
    <t>в том числе другим организациям</t>
  </si>
  <si>
    <t>в том числе на собственные очистные сооружения</t>
  </si>
  <si>
    <t>Приём сточных вод, поступающих на очистные сооружения</t>
  </si>
  <si>
    <t>Неучтённый приток сточных вод (справочно)</t>
  </si>
  <si>
    <t>Объём сточных вод, прошедших очистку (справочно)</t>
  </si>
  <si>
    <t>LIST_SRC_ADD_RANGE</t>
  </si>
  <si>
    <t>LIST_SRC_ADD_OBJECT_RANGE</t>
  </si>
  <si>
    <t>Количество объектов</t>
  </si>
  <si>
    <t>Территория оказания услуг</t>
  </si>
  <si>
    <t>REGION_NAME</t>
  </si>
  <si>
    <t>OKTMR_NAME</t>
  </si>
  <si>
    <t>VDET_NAME_LIST</t>
  </si>
  <si>
    <t>VDET_FULL_NAME_LIST</t>
  </si>
  <si>
    <t>ORG_START_DATE</t>
  </si>
  <si>
    <t>ORG_END_DATE</t>
  </si>
  <si>
    <t>VDET_START_DATE</t>
  </si>
  <si>
    <t>VDET_END_DATE</t>
  </si>
  <si>
    <t>PERIOD</t>
  </si>
  <si>
    <t>1.2.2.1</t>
  </si>
  <si>
    <t>1.2.2.2</t>
  </si>
  <si>
    <t>1.2.3.1</t>
  </si>
  <si>
    <t>1.2.3.2</t>
  </si>
  <si>
    <t>1.2.4.1</t>
  </si>
  <si>
    <t>1.2.4.2</t>
  </si>
  <si>
    <t>3.3.1</t>
  </si>
  <si>
    <t>3.3.2</t>
  </si>
  <si>
    <t>3.4.1</t>
  </si>
  <si>
    <t>3.4.2</t>
  </si>
  <si>
    <t>5.3</t>
  </si>
  <si>
    <t>5.0.1</t>
  </si>
  <si>
    <t>5.0.2</t>
  </si>
  <si>
    <t>5.0.3</t>
  </si>
  <si>
    <t>5.2.2.1</t>
  </si>
  <si>
    <t>5.2.2.2</t>
  </si>
  <si>
    <t>5.2.3.1.1</t>
  </si>
  <si>
    <t>5.2.3.1.2</t>
  </si>
  <si>
    <t>5.2.3.2.1</t>
  </si>
  <si>
    <t>5.2.3.2.2</t>
  </si>
  <si>
    <t>5.2.3.3.1</t>
  </si>
  <si>
    <t>5.2.3.3.2</t>
  </si>
  <si>
    <t>ATH_SCHEME</t>
  </si>
  <si>
    <t>MD5</t>
  </si>
  <si>
    <t>RETAIN_PASSWORD</t>
  </si>
  <si>
    <t>XML_SUBSIDIARY_LIST_TAG_NAMES</t>
  </si>
  <si>
    <t>1.2.1.1.2.1.4</t>
  </si>
  <si>
    <t>1.2.1.1.2.1.5</t>
  </si>
  <si>
    <t>Принято сточных вод, всего</t>
  </si>
  <si>
    <t>Принято по категориям потребителей</t>
  </si>
  <si>
    <t>Принято сточных вод от других канализационных сетей</t>
  </si>
  <si>
    <t>Расходы на обслуживание бесхозяйных сетей</t>
  </si>
  <si>
    <t>Прочие неподконтрольные расходы</t>
  </si>
  <si>
    <t>28</t>
  </si>
  <si>
    <t>29</t>
  </si>
  <si>
    <t>Расход воды на технологические нужды</t>
  </si>
  <si>
    <t>cобственные нужды водоподготовки</t>
  </si>
  <si>
    <t>Расход воды на нужды предприятия</t>
  </si>
  <si>
    <t>хозяйственные нужды</t>
  </si>
  <si>
    <t>на основное производство</t>
  </si>
  <si>
    <t>UI.TTL</t>
  </si>
  <si>
    <t>PROFITABILITY</t>
  </si>
  <si>
    <t>D</t>
  </si>
  <si>
    <t>Холодная вода</t>
  </si>
  <si>
    <t>8.2</t>
  </si>
  <si>
    <t>Водоотведение</t>
  </si>
  <si>
    <t>Теплоноситель</t>
  </si>
  <si>
    <t>Расходы, связанные с созданием нормативных запасов топлива</t>
  </si>
  <si>
    <t>Расходы на приобретение сырья и материалов</t>
  </si>
  <si>
    <t>Реагенты, фильтрующие и ионообменные материалы для водоподготовки</t>
  </si>
  <si>
    <t>ГСМ</t>
  </si>
  <si>
    <t>На текущий и капитальный ремонт</t>
  </si>
  <si>
    <t>На текущее содержание и техническое обслуживание</t>
  </si>
  <si>
    <t>Специальная одежда</t>
  </si>
  <si>
    <t>Хозяйственный инвентарь и другие вспомогательные материалы</t>
  </si>
  <si>
    <t>Прочие расходы</t>
  </si>
  <si>
    <t>Ремонт основных средств, выполняемый подрядным способом</t>
  </si>
  <si>
    <t>Расходы на оплату работ и услуг производственного характера, выполняемых по договорам со сторонними организациями</t>
  </si>
  <si>
    <t>транспортные услуги</t>
  </si>
  <si>
    <t>работы по техническому регламенту</t>
  </si>
  <si>
    <t>прочие услуги вспомогательных производств</t>
  </si>
  <si>
    <t>иные работы и услуги производственного характера</t>
  </si>
  <si>
    <t>Расходы на оплату иных работ и услуг, выполняемых по договорам с организациями, включая:</t>
  </si>
  <si>
    <t>услуги связи</t>
  </si>
  <si>
    <t xml:space="preserve">услуги вневедомственной охраны </t>
  </si>
  <si>
    <t xml:space="preserve">коммунальные услуги </t>
  </si>
  <si>
    <t>услуги по стратегическому управлению организацией</t>
  </si>
  <si>
    <t>иные работы и услуги</t>
  </si>
  <si>
    <t>Расходы на служебные командировки</t>
  </si>
  <si>
    <t>Расходы на обучение персонала</t>
  </si>
  <si>
    <t>Расходы на вывод из эксплуатации (в том числе на консервацию) и вывод из консервации</t>
  </si>
  <si>
    <t>Услуги банков</t>
  </si>
  <si>
    <t>Прочие операционные расходы</t>
  </si>
  <si>
    <t>Иные расходы</t>
  </si>
  <si>
    <t>Расходы на оплату услуг, оказываемых организациями, осуществляющими регулируемые виды деятельности</t>
  </si>
  <si>
    <t>Арендная плата</t>
  </si>
  <si>
    <t>аренда производственных объектов</t>
  </si>
  <si>
    <t>аренда непроизводственных объектов</t>
  </si>
  <si>
    <t>Лизинговый платеж</t>
  </si>
  <si>
    <t>лизинг производственных объектов</t>
  </si>
  <si>
    <t>лизинг непроизводственных объектов (без перехода права собственности на предмет лизинга к лизингополучателю)</t>
  </si>
  <si>
    <t>лизинг непроизводственных объектов  (с переходом права собственности на предмет лизинга к лизингополучателю)</t>
  </si>
  <si>
    <t>Расходы на уплату налогов, сборов и других обязательных платежей, в том числе:</t>
  </si>
  <si>
    <t>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</si>
  <si>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расходы на обязательное страхование</t>
  </si>
  <si>
    <t>иные расходы</t>
  </si>
  <si>
    <t>уплата налогов, всего</t>
  </si>
  <si>
    <t>налог на имущество организаций</t>
  </si>
  <si>
    <t>земельный налог</t>
  </si>
  <si>
    <t>транспортный налог</t>
  </si>
  <si>
    <t>прочие налоги</t>
  </si>
  <si>
    <t>Расходы по сомнительным долгам</t>
  </si>
  <si>
    <t>Амортизация основных средств и нематериальных активов</t>
  </si>
  <si>
    <t>Амортизация производственного оборудования</t>
  </si>
  <si>
    <t>Амортизация иных основных средств и нематериальных активов</t>
  </si>
  <si>
    <t>Расходы на выплаты по договорам займа и кредитным договорам, включая проценты по ним</t>
  </si>
  <si>
    <t>Фактическая численность административно-управленческого персонала, относимого на регулируемый вид деятельности</t>
  </si>
  <si>
    <t>Справочно: нормативная численность административно-управленческого персонала, относимого на регулируемый вид деятельности</t>
  </si>
  <si>
    <t>XML_LOCATION_LIST_TAG_NAMES</t>
  </si>
  <si>
    <t>OKTMO_LOCATION_NAME</t>
  </si>
  <si>
    <t>XML_DICTIONARIES_TAG_NAMES</t>
  </si>
  <si>
    <t>DIC_NAME</t>
  </si>
  <si>
    <t>DIC_VALUE</t>
  </si>
  <si>
    <t>PROTECT_MARKER</t>
  </si>
  <si>
    <t>Наименование (описание) обособленного подразделения</t>
  </si>
  <si>
    <t>OKOPF_LIST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</si>
  <si>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</si>
  <si>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</si>
  <si>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</si>
  <si>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</si>
  <si>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</si>
  <si>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</si>
  <si>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</si>
  <si>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</si>
  <si>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</si>
  <si>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</si>
  <si>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02 | Благотворительные учреждения</t>
  </si>
  <si>
    <t>7 55 05 | Общественные учреждения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</si>
  <si>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</si>
  <si>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</si>
  <si>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</si>
  <si>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</si>
  <si>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</si>
  <si>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</si>
  <si>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</si>
  <si>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</si>
  <si>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</si>
  <si>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</si>
  <si>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</si>
  <si>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</si>
  <si>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</si>
  <si>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</si>
  <si>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</si>
  <si>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</si>
  <si>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</si>
  <si>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</si>
  <si>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</si>
  <si>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</si>
  <si>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</si>
  <si>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</si>
  <si>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</si>
  <si>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</si>
  <si>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</si>
  <si>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</si>
  <si>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</si>
  <si>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</si>
  <si>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</si>
  <si>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</si>
  <si>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</si>
  <si>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</si>
  <si>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</si>
  <si>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</si>
  <si>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</si>
  <si>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</si>
  <si>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</si>
  <si>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</si>
  <si>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</si>
  <si>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</si>
  <si>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</si>
  <si>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</si>
  <si>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</si>
  <si>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</si>
  <si>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</si>
  <si>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</si>
  <si>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</si>
  <si>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</si>
  <si>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</si>
  <si>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</si>
  <si>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</si>
  <si>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</si>
  <si>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</si>
  <si>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</si>
  <si>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</si>
  <si>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</si>
  <si>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</si>
  <si>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</si>
  <si>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</si>
  <si>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</si>
  <si>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</si>
  <si>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</si>
  <si>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</si>
  <si>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</si>
  <si>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</si>
  <si>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</si>
  <si>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</si>
  <si>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</si>
  <si>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</si>
  <si>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</si>
  <si>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</si>
  <si>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</si>
  <si>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</si>
  <si>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</si>
  <si>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</si>
  <si>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</si>
  <si>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</si>
  <si>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</si>
  <si>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</si>
  <si>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Организационно-правовая форма</t>
  </si>
  <si>
    <t>a</t>
  </si>
  <si>
    <t>тыс.руб./тут</t>
  </si>
  <si>
    <t>холодного водоснабжения</t>
  </si>
  <si>
    <t>холодной воды</t>
  </si>
  <si>
    <t>Газ природный</t>
  </si>
  <si>
    <t>Газ доменный</t>
  </si>
  <si>
    <t>Газ коксовый</t>
  </si>
  <si>
    <t>Газ нефтяной (попутный)</t>
  </si>
  <si>
    <t>Газ сухой отбензиненный</t>
  </si>
  <si>
    <t>А (арктическое)</t>
  </si>
  <si>
    <t>З (зимнее)</t>
  </si>
  <si>
    <t>Л (летнее)</t>
  </si>
  <si>
    <t>Е (межсезонное)</t>
  </si>
  <si>
    <t>М-40</t>
  </si>
  <si>
    <t>М-100</t>
  </si>
  <si>
    <t>М-200</t>
  </si>
  <si>
    <t>мазут марки "Т"</t>
  </si>
  <si>
    <t>Ф-5</t>
  </si>
  <si>
    <t>Ф-12</t>
  </si>
  <si>
    <t>Уголь антрацит</t>
  </si>
  <si>
    <t>Уголь бурый</t>
  </si>
  <si>
    <t>Уголь газовый</t>
  </si>
  <si>
    <t>Уголь длиннопламенный</t>
  </si>
  <si>
    <t>Уголь жирный</t>
  </si>
  <si>
    <t>Уголь коксовый</t>
  </si>
  <si>
    <t>Уголь слабоспекающийся</t>
  </si>
  <si>
    <t>Уголь тощий</t>
  </si>
  <si>
    <t>Уголь древесный</t>
  </si>
  <si>
    <t>NG</t>
  </si>
  <si>
    <t>NGL</t>
  </si>
  <si>
    <t>NGU</t>
  </si>
  <si>
    <t>NGC</t>
  </si>
  <si>
    <t>GCN</t>
  </si>
  <si>
    <t>LNG</t>
  </si>
  <si>
    <t>DSL</t>
  </si>
  <si>
    <t>DSLA</t>
  </si>
  <si>
    <t>DSLW</t>
  </si>
  <si>
    <t>DSLS</t>
  </si>
  <si>
    <t>DSLO</t>
  </si>
  <si>
    <t>DSG</t>
  </si>
  <si>
    <t>GBL</t>
  </si>
  <si>
    <t>GCK</t>
  </si>
  <si>
    <t>GOA</t>
  </si>
  <si>
    <t>MST</t>
  </si>
  <si>
    <t>MSTT</t>
  </si>
  <si>
    <t>MSTF5</t>
  </si>
  <si>
    <t>MSTF12</t>
  </si>
  <si>
    <t>OIL</t>
  </si>
  <si>
    <t>COA</t>
  </si>
  <si>
    <t>COAG</t>
  </si>
  <si>
    <t>WDS</t>
  </si>
  <si>
    <t>PLT</t>
  </si>
  <si>
    <t>SAW</t>
  </si>
  <si>
    <t>SHL</t>
  </si>
  <si>
    <t>PEA</t>
  </si>
  <si>
    <t>STF</t>
  </si>
  <si>
    <t>OTH</t>
  </si>
  <si>
    <t>CWD</t>
  </si>
  <si>
    <t>4.CFPTR</t>
  </si>
  <si>
    <t>4.NFPTR</t>
  </si>
  <si>
    <t>4.NFV</t>
  </si>
  <si>
    <t>4.CF</t>
  </si>
  <si>
    <t>4.P</t>
  </si>
  <si>
    <t>4.CFV</t>
  </si>
  <si>
    <t>Энергия</t>
  </si>
  <si>
    <t>Заявленная мощность</t>
  </si>
  <si>
    <t>ENR</t>
  </si>
  <si>
    <t>PWR</t>
  </si>
  <si>
    <t>4.NFP</t>
  </si>
  <si>
    <r>
      <t>1 группа: свыше 500 млн.м</t>
    </r>
    <r>
      <rPr>
        <vertAlign val="superscript"/>
        <sz val="8"/>
        <color indexed="8"/>
        <rFont val="Tahoma"/>
        <family val="2"/>
        <charset val="204"/>
      </rPr>
      <t>3</t>
    </r>
  </si>
  <si>
    <r>
      <t>2 группа: от 100 до 500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</si>
  <si>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r>
      <t>3 группа: от 10 до 100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</si>
  <si>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r>
      <t>4 группа: от 1 до 10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</si>
  <si>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r>
      <t>5 группа: от 0,1 до 1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</si>
  <si>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r>
      <t>6 группа: от 0,01 до 0,1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</si>
  <si>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r>
      <t>7 группа: до 0,01 млн.м</t>
    </r>
    <r>
      <rPr>
        <vertAlign val="superscript"/>
        <sz val="8"/>
        <color indexed="8"/>
        <rFont val="Tahoma"/>
        <family val="2"/>
        <charset val="204"/>
      </rPr>
      <t>3</t>
    </r>
    <r>
      <rPr>
        <sz val="8"/>
        <color indexed="8"/>
        <rFont val="Tahoma"/>
        <family val="2"/>
        <charset val="204"/>
      </rPr>
      <t xml:space="preserve"> включительно</t>
    </r>
  </si>
  <si>
    <t>4.NG</t>
  </si>
  <si>
    <t>4.NGL</t>
  </si>
  <si>
    <t>4.NGU</t>
  </si>
  <si>
    <t>4.NGC</t>
  </si>
  <si>
    <t>4.GBL</t>
  </si>
  <si>
    <t>4.GCK</t>
  </si>
  <si>
    <t>4.GOA</t>
  </si>
  <si>
    <t>4.DSG</t>
  </si>
  <si>
    <t>4.GCN</t>
  </si>
  <si>
    <t>4.LNG</t>
  </si>
  <si>
    <t>4.DSL</t>
  </si>
  <si>
    <t>4.DSLA</t>
  </si>
  <si>
    <t>4.DSLW</t>
  </si>
  <si>
    <t>4.DSLS</t>
  </si>
  <si>
    <t>4.DSLO</t>
  </si>
  <si>
    <t>4.MST</t>
  </si>
  <si>
    <t>4.MSTT</t>
  </si>
  <si>
    <t>4.MSTF5</t>
  </si>
  <si>
    <t>4.MSTF12</t>
  </si>
  <si>
    <t>4.OIL</t>
  </si>
  <si>
    <t>4.COA</t>
  </si>
  <si>
    <t>4.ENR</t>
  </si>
  <si>
    <t>4.PWR</t>
  </si>
  <si>
    <t>4.CWD</t>
  </si>
  <si>
    <t>4.WDS</t>
  </si>
  <si>
    <t>4.PLT</t>
  </si>
  <si>
    <t>4.SAW</t>
  </si>
  <si>
    <t>4.PEA</t>
  </si>
  <si>
    <t>4.SHL</t>
  </si>
  <si>
    <t>4.STF</t>
  </si>
  <si>
    <t>4.OTH</t>
  </si>
  <si>
    <t>4.CFPTR.NG</t>
  </si>
  <si>
    <t>4.CFPTR.NGL</t>
  </si>
  <si>
    <t>4.CFPTR.NGU</t>
  </si>
  <si>
    <t>4.CFPTR.NGC</t>
  </si>
  <si>
    <t>4.CFPTR.GBL</t>
  </si>
  <si>
    <t>4.CFPTR.GCK</t>
  </si>
  <si>
    <t>4.CFPTR.GOA</t>
  </si>
  <si>
    <t>4.CFPTR.DSG</t>
  </si>
  <si>
    <t>4.CFPTR.GCN</t>
  </si>
  <si>
    <t>4.CFPTR.LNG</t>
  </si>
  <si>
    <t>4.CFPTR.DSL</t>
  </si>
  <si>
    <t>4.CFPTR.DSLA</t>
  </si>
  <si>
    <t>4.CFPTR.DSLW</t>
  </si>
  <si>
    <t>4.CFPTR.DSLS</t>
  </si>
  <si>
    <t>4.CFPTR.DSLO</t>
  </si>
  <si>
    <t>4.CFPTR.MST</t>
  </si>
  <si>
    <t>4.CFPTR.MSTT</t>
  </si>
  <si>
    <t>4.CFPTR.MSTF5</t>
  </si>
  <si>
    <t>4.CFPTR.MSTF12</t>
  </si>
  <si>
    <t>4.CFPTR.OIL</t>
  </si>
  <si>
    <t>4.CFPTR.COA</t>
  </si>
  <si>
    <t>4.CFPTR.CWD</t>
  </si>
  <si>
    <t>4.CFPTR.WDS</t>
  </si>
  <si>
    <t>4.CFPTR.PLT</t>
  </si>
  <si>
    <t>4.CFPTR.SAW</t>
  </si>
  <si>
    <t>4.CFPTR.PEA</t>
  </si>
  <si>
    <t>4.CFPTR.SHL</t>
  </si>
  <si>
    <t>4.CFPTR.STF</t>
  </si>
  <si>
    <t>4.NFPTR.NG</t>
  </si>
  <si>
    <t>4.NFPTR.NGL</t>
  </si>
  <si>
    <t>4.NFPTR.NGU</t>
  </si>
  <si>
    <t>4.NFPTR.NGC</t>
  </si>
  <si>
    <t>4.NFPTR.GBL</t>
  </si>
  <si>
    <t>4.NFPTR.GCK</t>
  </si>
  <si>
    <t>4.NFPTR.GOA</t>
  </si>
  <si>
    <t>4.NFPTR.DSG</t>
  </si>
  <si>
    <t>4.NFPTR.GCN</t>
  </si>
  <si>
    <t>4.NFPTR.LNG</t>
  </si>
  <si>
    <t>4.NFPTR.DSL</t>
  </si>
  <si>
    <t>4.NFPTR.DSLA</t>
  </si>
  <si>
    <t>4.NFPTR.DSLW</t>
  </si>
  <si>
    <t>4.NFPTR.DSLS</t>
  </si>
  <si>
    <t>4.NFPTR.DSLO</t>
  </si>
  <si>
    <t>4.NFPTR.MST</t>
  </si>
  <si>
    <t>4.NFPTR.MSTT</t>
  </si>
  <si>
    <t>4.NFPTR.MSTF5</t>
  </si>
  <si>
    <t>4.NFPTR.MSTF12</t>
  </si>
  <si>
    <t>4.NFPTR.OIL</t>
  </si>
  <si>
    <t>4.NFPTR.COA</t>
  </si>
  <si>
    <t>4.NFPTR.ENR</t>
  </si>
  <si>
    <t>4.NFPTR.PWR</t>
  </si>
  <si>
    <t>4.NFPTR.CWD</t>
  </si>
  <si>
    <t>4.NFPTR.WDS</t>
  </si>
  <si>
    <t>4.NFPTR.PLT</t>
  </si>
  <si>
    <t>4.NFPTR.SAW</t>
  </si>
  <si>
    <t>4.NFPTR.PEA</t>
  </si>
  <si>
    <t>4.NFPTR.SHL</t>
  </si>
  <si>
    <t>4.NFPTR.STF</t>
  </si>
  <si>
    <t>4.CFV.NG</t>
  </si>
  <si>
    <t>4.CFV.NGL</t>
  </si>
  <si>
    <t>4.CFV.NGU</t>
  </si>
  <si>
    <t>4.CFV.NGC</t>
  </si>
  <si>
    <t>4.CFV.GBL</t>
  </si>
  <si>
    <t>4.CFV.GCK</t>
  </si>
  <si>
    <t>4.CFV.GOA</t>
  </si>
  <si>
    <t>4.CFV.DSG</t>
  </si>
  <si>
    <t>4.CFV.GCN</t>
  </si>
  <si>
    <t>4.CFV.LNG</t>
  </si>
  <si>
    <t>4.CFV.DSL</t>
  </si>
  <si>
    <t>4.CFV.DSLA</t>
  </si>
  <si>
    <t>4.CFV.DSLW</t>
  </si>
  <si>
    <t>4.CFV.DSLS</t>
  </si>
  <si>
    <t>4.CFV.DSLO</t>
  </si>
  <si>
    <t>4.CFV.MST</t>
  </si>
  <si>
    <t>4.CFV.MSTT</t>
  </si>
  <si>
    <t>4.CFV.MSTF5</t>
  </si>
  <si>
    <t>4.CFV.MSTF12</t>
  </si>
  <si>
    <t>4.CFV.OIL</t>
  </si>
  <si>
    <t>4.CFV.COA</t>
  </si>
  <si>
    <t>4.CFV.CWD</t>
  </si>
  <si>
    <t>4.CFV.WDS</t>
  </si>
  <si>
    <t>4.CFV.PLT</t>
  </si>
  <si>
    <t>4.CFV.SAW</t>
  </si>
  <si>
    <t>4.CFV.PEA</t>
  </si>
  <si>
    <t>4.CFV.SHL</t>
  </si>
  <si>
    <t>4.CFV.STF</t>
  </si>
  <si>
    <t>4.P.NG</t>
  </si>
  <si>
    <t>4.P.NGL</t>
  </si>
  <si>
    <t>4.P.NGU</t>
  </si>
  <si>
    <t>4.P.NGC</t>
  </si>
  <si>
    <t>4.P.GBL</t>
  </si>
  <si>
    <t>4.P.GCK</t>
  </si>
  <si>
    <t>4.P.GOA</t>
  </si>
  <si>
    <t>4.P.DSG</t>
  </si>
  <si>
    <t>4.P.GCN</t>
  </si>
  <si>
    <t>4.P.LNG</t>
  </si>
  <si>
    <t>4.P.DSL</t>
  </si>
  <si>
    <t>4.P.DSLA</t>
  </si>
  <si>
    <t>4.P.DSLW</t>
  </si>
  <si>
    <t>4.P.DSLS</t>
  </si>
  <si>
    <t>4.P.DSLO</t>
  </si>
  <si>
    <t>4.P.MST</t>
  </si>
  <si>
    <t>4.P.MSTT</t>
  </si>
  <si>
    <t>4.P.MSTF5</t>
  </si>
  <si>
    <t>4.P.MSTF12</t>
  </si>
  <si>
    <t>4.P.OIL</t>
  </si>
  <si>
    <t>4.P.COA</t>
  </si>
  <si>
    <t>4.P.CWD</t>
  </si>
  <si>
    <t>4.P.WDS</t>
  </si>
  <si>
    <t>4.P.PLT</t>
  </si>
  <si>
    <t>4.P.SAW</t>
  </si>
  <si>
    <t>4.P.PEA</t>
  </si>
  <si>
    <t>4.P.SHL</t>
  </si>
  <si>
    <t>4.P.STF</t>
  </si>
  <si>
    <t>4.CF.NG</t>
  </si>
  <si>
    <t>4.CF.NGL</t>
  </si>
  <si>
    <t>4.CF.NGU</t>
  </si>
  <si>
    <t>4.CF.NGC</t>
  </si>
  <si>
    <t>4.CF.GBL</t>
  </si>
  <si>
    <t>4.CF.GCK</t>
  </si>
  <si>
    <t>4.CF.GOA</t>
  </si>
  <si>
    <t>4.CF.DSG</t>
  </si>
  <si>
    <t>4.CF.GCN</t>
  </si>
  <si>
    <t>4.CF.LNG</t>
  </si>
  <si>
    <t>4.CF.DSL</t>
  </si>
  <si>
    <t>4.CF.DSLA</t>
  </si>
  <si>
    <t>4.CF.DSLW</t>
  </si>
  <si>
    <t>4.CF.DSLS</t>
  </si>
  <si>
    <t>4.CF.DSLO</t>
  </si>
  <si>
    <t>4.CF.MST</t>
  </si>
  <si>
    <t>4.CF.MSTT</t>
  </si>
  <si>
    <t>4.CF.MSTF5</t>
  </si>
  <si>
    <t>4.CF.MSTF12</t>
  </si>
  <si>
    <t>4.CF.OIL</t>
  </si>
  <si>
    <t>4.CF.COA</t>
  </si>
  <si>
    <t>4.CF.CWD</t>
  </si>
  <si>
    <t>4.CF.WDS</t>
  </si>
  <si>
    <t>4.CF.PLT</t>
  </si>
  <si>
    <t>4.CF.SAW</t>
  </si>
  <si>
    <t>4.CF.PEA</t>
  </si>
  <si>
    <t>4.CF.SHL</t>
  </si>
  <si>
    <t>4.CF.STF</t>
  </si>
  <si>
    <t>4.NFV.NG</t>
  </si>
  <si>
    <t>4.NFV.NGL</t>
  </si>
  <si>
    <t>4.NFV.NGU</t>
  </si>
  <si>
    <t>4.NFV.NGC</t>
  </si>
  <si>
    <t>4.NFV.GBL</t>
  </si>
  <si>
    <t>4.NFV.GCK</t>
  </si>
  <si>
    <t>4.NFV.GOA</t>
  </si>
  <si>
    <t>4.NFV.DSG</t>
  </si>
  <si>
    <t>4.NFV.GCN</t>
  </si>
  <si>
    <t>4.NFV.LNG</t>
  </si>
  <si>
    <t>4.NFV.DSL</t>
  </si>
  <si>
    <t>4.NFV.DSLA</t>
  </si>
  <si>
    <t>4.NFV.DSLW</t>
  </si>
  <si>
    <t>4.NFV.DSLS</t>
  </si>
  <si>
    <t>4.NFV.DSLO</t>
  </si>
  <si>
    <t>4.NFV.MST</t>
  </si>
  <si>
    <t>4.NFV.MSTT</t>
  </si>
  <si>
    <t>4.NFV.MSTF5</t>
  </si>
  <si>
    <t>4.NFV.MSTF12</t>
  </si>
  <si>
    <t>4.NFV.OIL</t>
  </si>
  <si>
    <t>4.NFV.COA</t>
  </si>
  <si>
    <t>4.NFV.ENR</t>
  </si>
  <si>
    <t>4.NFV.PWR</t>
  </si>
  <si>
    <t>4.NFV.CWD</t>
  </si>
  <si>
    <t>4.NFV.WDS</t>
  </si>
  <si>
    <t>4.NFV.PLT</t>
  </si>
  <si>
    <t>4.NFV.SAW</t>
  </si>
  <si>
    <t>4.NFV.PEA</t>
  </si>
  <si>
    <t>4.NFV.SHL</t>
  </si>
  <si>
    <t>4.NFV.STF</t>
  </si>
  <si>
    <t>4.NFP.NG</t>
  </si>
  <si>
    <t>4.NFP.NGL</t>
  </si>
  <si>
    <t>4.NFP.NGU</t>
  </si>
  <si>
    <t>4.NFP.NGC</t>
  </si>
  <si>
    <t>4.NFP.GBL</t>
  </si>
  <si>
    <t>4.NFP.GCK</t>
  </si>
  <si>
    <t>4.NFP.GOA</t>
  </si>
  <si>
    <t>4.NFP.DSG</t>
  </si>
  <si>
    <t>4.NFP.GCN</t>
  </si>
  <si>
    <t>4.NFP.LNG</t>
  </si>
  <si>
    <t>4.NFP.DSL</t>
  </si>
  <si>
    <t>4.NFP.DSLA</t>
  </si>
  <si>
    <t>4.NFP.DSLW</t>
  </si>
  <si>
    <t>4.NFP.DSLS</t>
  </si>
  <si>
    <t>4.NFP.DSLO</t>
  </si>
  <si>
    <t>4.NFP.MST</t>
  </si>
  <si>
    <t>4.NFP.MSTT</t>
  </si>
  <si>
    <t>4.NFP.MSTF5</t>
  </si>
  <si>
    <t>4.NFP.MSTF12</t>
  </si>
  <si>
    <t>4.NFP.OIL</t>
  </si>
  <si>
    <t>4.NFP.COA</t>
  </si>
  <si>
    <t>4.NFP.CWD</t>
  </si>
  <si>
    <t>4.NFP.WDS</t>
  </si>
  <si>
    <t>4.NFP.PLT</t>
  </si>
  <si>
    <t>4.NFP.SAW</t>
  </si>
  <si>
    <t>4.NFP.PEA</t>
  </si>
  <si>
    <t>4.NFP.SHL</t>
  </si>
  <si>
    <t>4.NFP.STF</t>
  </si>
  <si>
    <t>4.PATR</t>
  </si>
  <si>
    <t>4.VATR</t>
  </si>
  <si>
    <t>4.VRTR</t>
  </si>
  <si>
    <t>4.PRTR</t>
  </si>
  <si>
    <t>4.POTR</t>
  </si>
  <si>
    <t>4.PATR.GCN</t>
  </si>
  <si>
    <t>4.PATR.LNG</t>
  </si>
  <si>
    <t>4.PATR.DSL</t>
  </si>
  <si>
    <t>4.PATR.DSLA</t>
  </si>
  <si>
    <t>4.PATR.DSLW</t>
  </si>
  <si>
    <t>4.PATR.DSLS</t>
  </si>
  <si>
    <t>4.PATR.DSLO</t>
  </si>
  <si>
    <t>4.PATR.MST</t>
  </si>
  <si>
    <t>4.PATR.MSTT</t>
  </si>
  <si>
    <t>4.PATR.MSTF5</t>
  </si>
  <si>
    <t>4.PATR.MSTF12</t>
  </si>
  <si>
    <t>4.PATR.OIL</t>
  </si>
  <si>
    <t>4.PATR.COA</t>
  </si>
  <si>
    <t>4.PATR.CWD</t>
  </si>
  <si>
    <t>4.PATR.WDS</t>
  </si>
  <si>
    <t>4.PATR.PLT</t>
  </si>
  <si>
    <t>4.PATR.SAW</t>
  </si>
  <si>
    <t>4.PATR.PEA</t>
  </si>
  <si>
    <t>4.PATR.SHL</t>
  </si>
  <si>
    <t>4.PATR.STF</t>
  </si>
  <si>
    <t>4.VATR.GCN</t>
  </si>
  <si>
    <t>4.VATR.LNG</t>
  </si>
  <si>
    <t>4.VATR.DSL</t>
  </si>
  <si>
    <t>4.VATR.DSLA</t>
  </si>
  <si>
    <t>4.VATR.DSLW</t>
  </si>
  <si>
    <t>4.VATR.DSLS</t>
  </si>
  <si>
    <t>4.VATR.DSLO</t>
  </si>
  <si>
    <t>4.VATR.MST</t>
  </si>
  <si>
    <t>4.VATR.MSTT</t>
  </si>
  <si>
    <t>4.VATR.MSTF5</t>
  </si>
  <si>
    <t>4.VATR.MSTF12</t>
  </si>
  <si>
    <t>4.VATR.OIL</t>
  </si>
  <si>
    <t>4.VATR.COA</t>
  </si>
  <si>
    <t>4.VATR.CWD</t>
  </si>
  <si>
    <t>4.VATR.WDS</t>
  </si>
  <si>
    <t>4.VATR.PLT</t>
  </si>
  <si>
    <t>4.VATR.SAW</t>
  </si>
  <si>
    <t>4.VATR.PEA</t>
  </si>
  <si>
    <t>4.VATR.SHL</t>
  </si>
  <si>
    <t>4.VATR.STF</t>
  </si>
  <si>
    <t>4.PRTR.GCN</t>
  </si>
  <si>
    <t>4.PRTR.LNG</t>
  </si>
  <si>
    <t>4.PRTR.DSL</t>
  </si>
  <si>
    <t>4.PRTR.DSLA</t>
  </si>
  <si>
    <t>4.PRTR.DSLW</t>
  </si>
  <si>
    <t>4.PRTR.DSLS</t>
  </si>
  <si>
    <t>4.PRTR.DSLO</t>
  </si>
  <si>
    <t>4.PRTR.MST</t>
  </si>
  <si>
    <t>4.PRTR.MSTT</t>
  </si>
  <si>
    <t>4.PRTR.MSTF5</t>
  </si>
  <si>
    <t>4.PRTR.MSTF12</t>
  </si>
  <si>
    <t>4.PRTR.OIL</t>
  </si>
  <si>
    <t>4.PRTR.COA</t>
  </si>
  <si>
    <t>4.PRTR.CWD</t>
  </si>
  <si>
    <t>4.PRTR.WDS</t>
  </si>
  <si>
    <t>4.PRTR.PLT</t>
  </si>
  <si>
    <t>4.PRTR.SAW</t>
  </si>
  <si>
    <t>4.PRTR.PEA</t>
  </si>
  <si>
    <t>4.PRTR.SHL</t>
  </si>
  <si>
    <t>4.PRTR.STF</t>
  </si>
  <si>
    <t>4.VRTR.GCN</t>
  </si>
  <si>
    <t>4.VRTR.LNG</t>
  </si>
  <si>
    <t>4.VRTR.DSL</t>
  </si>
  <si>
    <t>4.VRTR.DSLA</t>
  </si>
  <si>
    <t>4.VRTR.DSLW</t>
  </si>
  <si>
    <t>4.VRTR.DSLS</t>
  </si>
  <si>
    <t>4.VRTR.DSLO</t>
  </si>
  <si>
    <t>4.VRTR.MST</t>
  </si>
  <si>
    <t>4.VRTR.MSTT</t>
  </si>
  <si>
    <t>4.VRTR.MSTF5</t>
  </si>
  <si>
    <t>4.VRTR.MSTF12</t>
  </si>
  <si>
    <t>4.VRTR.OIL</t>
  </si>
  <si>
    <t>4.VRTR.COA</t>
  </si>
  <si>
    <t>4.VRTR.CWD</t>
  </si>
  <si>
    <t>4.VRTR.WDS</t>
  </si>
  <si>
    <t>4.VRTR.PLT</t>
  </si>
  <si>
    <t>4.VRTR.SAW</t>
  </si>
  <si>
    <t>4.VRTR.PEA</t>
  </si>
  <si>
    <t>4.VRTR.SHL</t>
  </si>
  <si>
    <t>4.VRTR.STF</t>
  </si>
  <si>
    <t>4.POTR.GCN</t>
  </si>
  <si>
    <t>4.POTR.LNG</t>
  </si>
  <si>
    <t>4.POTR.DSL</t>
  </si>
  <si>
    <t>4.POTR.DSLA</t>
  </si>
  <si>
    <t>4.POTR.DSLW</t>
  </si>
  <si>
    <t>4.POTR.DSLS</t>
  </si>
  <si>
    <t>4.POTR.DSLO</t>
  </si>
  <si>
    <t>4.POTR.MST</t>
  </si>
  <si>
    <t>4.POTR.MSTT</t>
  </si>
  <si>
    <t>4.POTR.MSTF5</t>
  </si>
  <si>
    <t>4.POTR.MSTF12</t>
  </si>
  <si>
    <t>4.POTR.OIL</t>
  </si>
  <si>
    <t>4.POTR.COA</t>
  </si>
  <si>
    <t>4.POTR.CWD</t>
  </si>
  <si>
    <t>4.POTR.WDS</t>
  </si>
  <si>
    <t>4.POTR.PLT</t>
  </si>
  <si>
    <t>4.POTR.SAW</t>
  </si>
  <si>
    <t>4.POTR.PEA</t>
  </si>
  <si>
    <t>4.POTR.SHL</t>
  </si>
  <si>
    <t>4.POTR.STF</t>
  </si>
  <si>
    <r>
      <t xml:space="preserve">Полезный отпуск продукции </t>
    </r>
    <r>
      <rPr>
        <sz val="8"/>
        <color indexed="10"/>
        <rFont val="Tahoma"/>
        <family val="2"/>
        <charset val="204"/>
      </rPr>
      <t>всего</t>
    </r>
  </si>
  <si>
    <t>4.COTR</t>
  </si>
  <si>
    <t>4.COTR.GCN</t>
  </si>
  <si>
    <t>4.COTR.LNG</t>
  </si>
  <si>
    <t>4.COTR.DSL</t>
  </si>
  <si>
    <t>4.COTR.DSLA</t>
  </si>
  <si>
    <t>4.COTR.DSLW</t>
  </si>
  <si>
    <t>4.COTR.DSLS</t>
  </si>
  <si>
    <t>4.COTR.DSLO</t>
  </si>
  <si>
    <t>4.COTR.MST</t>
  </si>
  <si>
    <t>4.COTR.MSTT</t>
  </si>
  <si>
    <t>4.COTR.MSTF5</t>
  </si>
  <si>
    <t>4.COTR.MSTF12</t>
  </si>
  <si>
    <t>4.COTR.OIL</t>
  </si>
  <si>
    <t>4.COTR.COA</t>
  </si>
  <si>
    <t>4.COTR.CWD</t>
  </si>
  <si>
    <t>4.COTR.WDS</t>
  </si>
  <si>
    <t>4.COTR.PLT</t>
  </si>
  <si>
    <t>4.COTR.SAW</t>
  </si>
  <si>
    <t>4.COTR.PEA</t>
  </si>
  <si>
    <t>4.COTR.SHL</t>
  </si>
  <si>
    <t>4.COTR.STF</t>
  </si>
  <si>
    <t>4.VOTR</t>
  </si>
  <si>
    <t>4.VOTR.GCN</t>
  </si>
  <si>
    <t>4.VOTR.LNG</t>
  </si>
  <si>
    <t>4.VOTR.DSL</t>
  </si>
  <si>
    <t>4.VOTR.DSLA</t>
  </si>
  <si>
    <t>4.VOTR.DSLW</t>
  </si>
  <si>
    <t>4.VOTR.DSLS</t>
  </si>
  <si>
    <t>4.VOTR.DSLO</t>
  </si>
  <si>
    <t>4.VOTR.MST</t>
  </si>
  <si>
    <t>4.VOTR.MSTT</t>
  </si>
  <si>
    <t>4.VOTR.MSTF5</t>
  </si>
  <si>
    <t>4.VOTR.MSTF12</t>
  </si>
  <si>
    <t>4.VOTR.OIL</t>
  </si>
  <si>
    <t>4.VOTR.COA</t>
  </si>
  <si>
    <t>4.VOTR.CWD</t>
  </si>
  <si>
    <t>4.VOTR.WDS</t>
  </si>
  <si>
    <t>4.VOTR.PLT</t>
  </si>
  <si>
    <t>4.VOTR.SAW</t>
  </si>
  <si>
    <t>4.VOTR.PEA</t>
  </si>
  <si>
    <t>4.VOTR.SHL</t>
  </si>
  <si>
    <t>4.VOTR.STF</t>
  </si>
  <si>
    <t>4.CRTR</t>
  </si>
  <si>
    <t>4.CRTR.GCN</t>
  </si>
  <si>
    <t>4.CRTR.LNG</t>
  </si>
  <si>
    <t>4.CRTR.DSL</t>
  </si>
  <si>
    <t>4.CRTR.DSLA</t>
  </si>
  <si>
    <t>4.CRTR.DSLW</t>
  </si>
  <si>
    <t>4.CRTR.DSLS</t>
  </si>
  <si>
    <t>4.CRTR.DSLO</t>
  </si>
  <si>
    <t>4.CRTR.MST</t>
  </si>
  <si>
    <t>4.CRTR.MSTT</t>
  </si>
  <si>
    <t>4.CRTR.MSTF5</t>
  </si>
  <si>
    <t>4.CRTR.MSTF12</t>
  </si>
  <si>
    <t>4.CRTR.OIL</t>
  </si>
  <si>
    <t>4.CRTR.COA</t>
  </si>
  <si>
    <t>4.CRTR.CWD</t>
  </si>
  <si>
    <t>4.CRTR.WDS</t>
  </si>
  <si>
    <t>4.CRTR.PLT</t>
  </si>
  <si>
    <t>4.CRTR.SAW</t>
  </si>
  <si>
    <t>4.CRTR.PEA</t>
  </si>
  <si>
    <t>4.CRTR.SHL</t>
  </si>
  <si>
    <t>4.CRTR.STF</t>
  </si>
  <si>
    <t>4.CATR</t>
  </si>
  <si>
    <t>4.CATR.GCN</t>
  </si>
  <si>
    <t>4.CATR.LNG</t>
  </si>
  <si>
    <t>4.CATR.DSL</t>
  </si>
  <si>
    <t>4.CATR.DSLA</t>
  </si>
  <si>
    <t>4.CATR.DSLW</t>
  </si>
  <si>
    <t>4.CATR.DSLS</t>
  </si>
  <si>
    <t>4.CATR.DSLO</t>
  </si>
  <si>
    <t>4.CATR.MST</t>
  </si>
  <si>
    <t>4.CATR.MSTT</t>
  </si>
  <si>
    <t>4.CATR.MSTF5</t>
  </si>
  <si>
    <t>4.CATR.MSTF12</t>
  </si>
  <si>
    <t>4.CATR.OIL</t>
  </si>
  <si>
    <t>4.CATR.COA</t>
  </si>
  <si>
    <t>4.CATR.CWD</t>
  </si>
  <si>
    <t>4.CATR.WDS</t>
  </si>
  <si>
    <t>4.CATR.PLT</t>
  </si>
  <si>
    <t>4.CATR.SAW</t>
  </si>
  <si>
    <t>4.CATR.PEA</t>
  </si>
  <si>
    <t>4.CATR.SHL</t>
  </si>
  <si>
    <t>4.CATR.STF</t>
  </si>
  <si>
    <t>4.NFC</t>
  </si>
  <si>
    <t>NFC.NG</t>
  </si>
  <si>
    <t>NFC.NGL</t>
  </si>
  <si>
    <t>NFC.NGU</t>
  </si>
  <si>
    <t>NFC.NGC</t>
  </si>
  <si>
    <t>NFC.GBL</t>
  </si>
  <si>
    <t>NFC.GCK</t>
  </si>
  <si>
    <t>NFC.GOA</t>
  </si>
  <si>
    <t>NFC.DSG</t>
  </si>
  <si>
    <t>NFC.GCN</t>
  </si>
  <si>
    <t>NFC.LNG</t>
  </si>
  <si>
    <t>NFC.DSL</t>
  </si>
  <si>
    <t>NFC.DSLA</t>
  </si>
  <si>
    <t>NFC.DSLW</t>
  </si>
  <si>
    <t>NFC.DSLS</t>
  </si>
  <si>
    <t>NFC.DSLO</t>
  </si>
  <si>
    <t>NFC.MST</t>
  </si>
  <si>
    <t>NFC.MSTT</t>
  </si>
  <si>
    <t>NFC.MSTF5</t>
  </si>
  <si>
    <t>NFC.MSTF12</t>
  </si>
  <si>
    <t>NFC.OIL</t>
  </si>
  <si>
    <t>NFC.COA</t>
  </si>
  <si>
    <t>NFC.CWD</t>
  </si>
  <si>
    <t>NFC.WDS</t>
  </si>
  <si>
    <t>NFC.PLT</t>
  </si>
  <si>
    <t>NFC.SAW</t>
  </si>
  <si>
    <t>NFC.PEA</t>
  </si>
  <si>
    <t>NFC.SHL</t>
  </si>
  <si>
    <t>NFC.STF</t>
  </si>
  <si>
    <t>HEAT_FUEL_TEMPLATE_RANGE</t>
  </si>
  <si>
    <t>MSTM200</t>
  </si>
  <si>
    <t>4.MSTM200</t>
  </si>
  <si>
    <t>4.CFPTR.MSTM200</t>
  </si>
  <si>
    <t>4.NFPTR.MSTM200</t>
  </si>
  <si>
    <t>4.CFV.MSTM200</t>
  </si>
  <si>
    <t>4.P.MSTM200</t>
  </si>
  <si>
    <t>4.CF.MSTM200</t>
  </si>
  <si>
    <t>4.NFV.MSTM200</t>
  </si>
  <si>
    <t>4.NFP.MSTM200</t>
  </si>
  <si>
    <t>NFC.MSTM200</t>
  </si>
  <si>
    <t>4.PATR.MSTM200</t>
  </si>
  <si>
    <t>4.VATR.MSTM200</t>
  </si>
  <si>
    <t>4.CATR.MSTM200</t>
  </si>
  <si>
    <t>4.PRTR.MSTM200</t>
  </si>
  <si>
    <t>4.VRTR.MSTM200</t>
  </si>
  <si>
    <t>4.CRTR.MSTM200</t>
  </si>
  <si>
    <t>4.POTR.MSTM200</t>
  </si>
  <si>
    <t>4.VOTR.MSTM200</t>
  </si>
  <si>
    <t>4.COTR.MSTM200</t>
  </si>
  <si>
    <t>4.MSTM100</t>
  </si>
  <si>
    <t>MSTM100</t>
  </si>
  <si>
    <t>4.CFPTR.MSTM100</t>
  </si>
  <si>
    <t>4.NFPTR.MSTM100</t>
  </si>
  <si>
    <t>4.CFV.MSTM100</t>
  </si>
  <si>
    <t>4.P.MSTM100</t>
  </si>
  <si>
    <t>4.CF.MSTM100</t>
  </si>
  <si>
    <t>4.NFV.MSTM100</t>
  </si>
  <si>
    <t>4.NFP.MSTM100</t>
  </si>
  <si>
    <t>NFC.MSTM100</t>
  </si>
  <si>
    <t>4.PATR.MSTM100</t>
  </si>
  <si>
    <t>4.VATR.MSTM100</t>
  </si>
  <si>
    <t>4.CATR.MSTM100</t>
  </si>
  <si>
    <t>4.PRTR.MSTM100</t>
  </si>
  <si>
    <t>4.VRTR.MSTM100</t>
  </si>
  <si>
    <t>4.CRTR.MSTM100</t>
  </si>
  <si>
    <t>4.POTR.MSTM100</t>
  </si>
  <si>
    <t>4.VOTR.MSTM100</t>
  </si>
  <si>
    <t>4.COTR.MSTM100</t>
  </si>
  <si>
    <t>4.MSTM40</t>
  </si>
  <si>
    <t>MSTM40</t>
  </si>
  <si>
    <t>4.CFPTR.MSTM40</t>
  </si>
  <si>
    <t>4.NFPTR.MSTM40</t>
  </si>
  <si>
    <t>4.CFV.MSTM40</t>
  </si>
  <si>
    <t>4.P.MSTM40</t>
  </si>
  <si>
    <t>4.CF.MSTM40</t>
  </si>
  <si>
    <t>4.NFV.MSTM40</t>
  </si>
  <si>
    <t>4.NFP.MSTM40</t>
  </si>
  <si>
    <t>NFC.MSTM40</t>
  </si>
  <si>
    <t>4.PATR.MSTM40</t>
  </si>
  <si>
    <t>4.VATR.MSTM40</t>
  </si>
  <si>
    <t>4.CATR.MSTM40</t>
  </si>
  <si>
    <t>4.PRTR.MSTM40</t>
  </si>
  <si>
    <t>4.VRTR.MSTM40</t>
  </si>
  <si>
    <t>4.CRTR.MSTM40</t>
  </si>
  <si>
    <t>4.POTR.MSTM40</t>
  </si>
  <si>
    <t>4.VOTR.MSTM40</t>
  </si>
  <si>
    <t>4.COTR.MSTM40</t>
  </si>
  <si>
    <t>Расход природного газа</t>
  </si>
  <si>
    <t>4.NGV</t>
  </si>
  <si>
    <t>4.NGV.NGL</t>
  </si>
  <si>
    <t>4.NGV.1.NGL</t>
  </si>
  <si>
    <t>4.NGV.2.NGL</t>
  </si>
  <si>
    <t>4.NGV.3.NGL</t>
  </si>
  <si>
    <t>4.NGV.4.NGL</t>
  </si>
  <si>
    <t>4.NGV.5.NGL</t>
  </si>
  <si>
    <t>4.NGV.6.NGL</t>
  </si>
  <si>
    <t>4.NGV.7.NGL</t>
  </si>
  <si>
    <t>4.NGV.1.NGU</t>
  </si>
  <si>
    <t>4.NGV.2.NGU</t>
  </si>
  <si>
    <t>4.NGV.3.NGU</t>
  </si>
  <si>
    <t>4.NGV.4.NGU</t>
  </si>
  <si>
    <t>4.NGV.5.NGU</t>
  </si>
  <si>
    <t>4.NGV.6.NGU</t>
  </si>
  <si>
    <t>4.NGV.7.NGU</t>
  </si>
  <si>
    <t>Расходы на уплату процентов по займам и кредитам, не учитываемые при определении налогооблагаемой базы налога на прибыль</t>
  </si>
  <si>
    <t>Расходы на арендную плату, лизинговые платежи, концессионную плату, связанные с арендой (лизингом) централизованных систем водоснабжения и (или) водоотведения либо объектов, входящих в состав таких систем</t>
  </si>
  <si>
    <t>Расходы, связанные с уплатой налогов и сборов, связанные с арендой (лизингом) централизованных систем водоснабжения и (или) водоотведения либо объектов, входящих в состав таких систем</t>
  </si>
  <si>
    <t>Справочно: расходы на текущий ремонт, предусмотренные производственной программой регулируемой организации</t>
  </si>
  <si>
    <t>Справочно: расходы на капитальный ремонт, предусмотренные производственной программой регулируемой организации</t>
  </si>
  <si>
    <t>Реагенты</t>
  </si>
  <si>
    <t>Коагулянты</t>
  </si>
  <si>
    <t>гидроксохлоросульфат алюминия (коагулянт смешанного типа)</t>
  </si>
  <si>
    <t>железный купорос</t>
  </si>
  <si>
    <t>оксихлорид алюминия</t>
  </si>
  <si>
    <t xml:space="preserve">полиоксихлорид алюминия </t>
  </si>
  <si>
    <t xml:space="preserve">сульфат алюминия </t>
  </si>
  <si>
    <t>Флокулянты</t>
  </si>
  <si>
    <t>Магнафлок</t>
  </si>
  <si>
    <t>Праестол</t>
  </si>
  <si>
    <t>Итого</t>
  </si>
  <si>
    <t>агар питательный</t>
  </si>
  <si>
    <t>агар Эндо</t>
  </si>
  <si>
    <t>алюминий окись</t>
  </si>
  <si>
    <t>алюминий сернокислый</t>
  </si>
  <si>
    <t>аммиак</t>
  </si>
  <si>
    <t>аммиачная вода</t>
  </si>
  <si>
    <t>аммоний</t>
  </si>
  <si>
    <t>аммоний хлористый</t>
  </si>
  <si>
    <t>барий хлористый</t>
  </si>
  <si>
    <t>биоксимин</t>
  </si>
  <si>
    <t>бромфеноловый синий</t>
  </si>
  <si>
    <t>водорода перекись</t>
  </si>
  <si>
    <t>гексан</t>
  </si>
  <si>
    <t>гидроксиламин солянокислый</t>
  </si>
  <si>
    <t>гидрохлорид кальция</t>
  </si>
  <si>
    <t>гипохлорит кальция</t>
  </si>
  <si>
    <t>гипохлорит натрия</t>
  </si>
  <si>
    <t>глицерин</t>
  </si>
  <si>
    <t>дифенилкарбазид</t>
  </si>
  <si>
    <t>дифенилкарбазон</t>
  </si>
  <si>
    <t>железо сернокислое</t>
  </si>
  <si>
    <t>железо трёххлористое</t>
  </si>
  <si>
    <t>известь негашёная (порошок)</t>
  </si>
  <si>
    <t>известь негашёная гидратная</t>
  </si>
  <si>
    <t>известь хлорная</t>
  </si>
  <si>
    <t>калий азотнокислый</t>
  </si>
  <si>
    <t>калий двухромовокислый</t>
  </si>
  <si>
    <t>калий йодистый</t>
  </si>
  <si>
    <t>калий марганцевокислый</t>
  </si>
  <si>
    <t>калий фосфорнокислый</t>
  </si>
  <si>
    <t>калий хлористый</t>
  </si>
  <si>
    <t>калий-натрий виннокислый</t>
  </si>
  <si>
    <t>кальций углекислый</t>
  </si>
  <si>
    <t>кальций хлористый</t>
  </si>
  <si>
    <t>кальция гипохлорит</t>
  </si>
  <si>
    <t>кварцевый песок</t>
  </si>
  <si>
    <t>кислота азотная</t>
  </si>
  <si>
    <t>кислота аскорбиновая</t>
  </si>
  <si>
    <t>кислота лимонная</t>
  </si>
  <si>
    <t>кислота розоловая (аурин)</t>
  </si>
  <si>
    <t>кислота серная</t>
  </si>
  <si>
    <t>кислота соляная</t>
  </si>
  <si>
    <t>кислота уксусная</t>
  </si>
  <si>
    <t>кислота щавелевая</t>
  </si>
  <si>
    <t>крахмал</t>
  </si>
  <si>
    <t>лантан азотнокислый</t>
  </si>
  <si>
    <t>магний сернокислый</t>
  </si>
  <si>
    <t>натр едкий</t>
  </si>
  <si>
    <t>натрий гидроокись</t>
  </si>
  <si>
    <t>натрий салициловокислый</t>
  </si>
  <si>
    <t>натрий сернокислый</t>
  </si>
  <si>
    <t>натрий углекислый</t>
  </si>
  <si>
    <t>натрий уксуснокислый</t>
  </si>
  <si>
    <t>натрий хлористый</t>
  </si>
  <si>
    <t>реактив Грисса</t>
  </si>
  <si>
    <t>реактив Несслера</t>
  </si>
  <si>
    <t>свинец уксуснокислый</t>
  </si>
  <si>
    <t>серебро азотнокислое</t>
  </si>
  <si>
    <t>серебро сернокислое</t>
  </si>
  <si>
    <t>сода кальцинированная</t>
  </si>
  <si>
    <t>сода каустическая</t>
  </si>
  <si>
    <t>соль пищевая поваренная</t>
  </si>
  <si>
    <t>соль таблетированная</t>
  </si>
  <si>
    <t>соль техническая</t>
  </si>
  <si>
    <t>соль экстра</t>
  </si>
  <si>
    <t>спирт</t>
  </si>
  <si>
    <t>сульфат алюминия 1 сорт</t>
  </si>
  <si>
    <t>сульфат алюминия жидкий</t>
  </si>
  <si>
    <t>сульфат алюминия технический</t>
  </si>
  <si>
    <t>сульфат аммония</t>
  </si>
  <si>
    <t>тиомочевина</t>
  </si>
  <si>
    <t>тиосульфат натрия</t>
  </si>
  <si>
    <t>углерод четырёххлористый</t>
  </si>
  <si>
    <t>фенолфталеин</t>
  </si>
  <si>
    <t>хлор</t>
  </si>
  <si>
    <t>хлор жидкий</t>
  </si>
  <si>
    <t>хлорамин</t>
  </si>
  <si>
    <t>хлороформ</t>
  </si>
  <si>
    <t>этиленгликоль</t>
  </si>
  <si>
    <t>FLOC</t>
  </si>
  <si>
    <t>REAG</t>
  </si>
  <si>
    <t>FES</t>
  </si>
  <si>
    <t>MGFLK</t>
  </si>
  <si>
    <t>PRSTL</t>
  </si>
  <si>
    <t>AGRP</t>
  </si>
  <si>
    <t>AGRE</t>
  </si>
  <si>
    <t>AM</t>
  </si>
  <si>
    <t>AMW</t>
  </si>
  <si>
    <t>AMN</t>
  </si>
  <si>
    <t>BIOX</t>
  </si>
  <si>
    <t>BRFNL</t>
  </si>
  <si>
    <t>HDOX</t>
  </si>
  <si>
    <t>GEXN</t>
  </si>
  <si>
    <t>DFNLCD</t>
  </si>
  <si>
    <t>DFNLCN</t>
  </si>
  <si>
    <t>CLAMN</t>
  </si>
  <si>
    <t>FFTLN</t>
  </si>
  <si>
    <t>SALT</t>
  </si>
  <si>
    <t>C2H5OH</t>
  </si>
  <si>
    <t>соль 1 сорт</t>
  </si>
  <si>
    <t>SALT1G</t>
  </si>
  <si>
    <t>SODACA</t>
  </si>
  <si>
    <t>SODACS</t>
  </si>
  <si>
    <t>CLLIQ</t>
  </si>
  <si>
    <t>CCL4</t>
  </si>
  <si>
    <t>SALTEX</t>
  </si>
  <si>
    <t>SALTTH</t>
  </si>
  <si>
    <t>SALTPL</t>
  </si>
  <si>
    <t>RNSL</t>
  </si>
  <si>
    <t>RGRS</t>
  </si>
  <si>
    <t>NACL</t>
  </si>
  <si>
    <t>CLFRM</t>
  </si>
  <si>
    <t>ETHL</t>
  </si>
  <si>
    <t>TSFNA</t>
  </si>
  <si>
    <t>TM</t>
  </si>
  <si>
    <t>SFAMN</t>
  </si>
  <si>
    <t>SFALT</t>
  </si>
  <si>
    <t>SFALLQD</t>
  </si>
  <si>
    <t>SFAL1G</t>
  </si>
  <si>
    <t>SFAL</t>
  </si>
  <si>
    <t>ALOX</t>
  </si>
  <si>
    <t>ALS</t>
  </si>
  <si>
    <t>AMNCL</t>
  </si>
  <si>
    <t>BACL</t>
  </si>
  <si>
    <t>HDOXCL</t>
  </si>
  <si>
    <t>HDCLCA</t>
  </si>
  <si>
    <t>HPCLCA</t>
  </si>
  <si>
    <t>HPCLNA</t>
  </si>
  <si>
    <t>GLC</t>
  </si>
  <si>
    <t>FECL</t>
  </si>
  <si>
    <t>LIMENP</t>
  </si>
  <si>
    <t>LIMENH</t>
  </si>
  <si>
    <t>LIMECL</t>
  </si>
  <si>
    <t>KN</t>
  </si>
  <si>
    <t>KCR</t>
  </si>
  <si>
    <t>KI</t>
  </si>
  <si>
    <t>KMN</t>
  </si>
  <si>
    <t>KP</t>
  </si>
  <si>
    <t>HCL</t>
  </si>
  <si>
    <t>KNA</t>
  </si>
  <si>
    <t>CAC</t>
  </si>
  <si>
    <t>CACL</t>
  </si>
  <si>
    <t>CAHPCL</t>
  </si>
  <si>
    <t>SAND</t>
  </si>
  <si>
    <t>ACIDN</t>
  </si>
  <si>
    <t>ACIDA</t>
  </si>
  <si>
    <t>ACIDL</t>
  </si>
  <si>
    <t>AURIN</t>
  </si>
  <si>
    <t>ACIDS</t>
  </si>
  <si>
    <t>ADIDCL</t>
  </si>
  <si>
    <t>ACIDAC</t>
  </si>
  <si>
    <t>ACIDOX</t>
  </si>
  <si>
    <t>STARCH</t>
  </si>
  <si>
    <t>LANTN</t>
  </si>
  <si>
    <t>MGS</t>
  </si>
  <si>
    <t>NATR</t>
  </si>
  <si>
    <t>NASLC</t>
  </si>
  <si>
    <t>NAHDOX</t>
  </si>
  <si>
    <t>NAS</t>
  </si>
  <si>
    <t>NAC</t>
  </si>
  <si>
    <t>NAAC</t>
  </si>
  <si>
    <t>PBAC</t>
  </si>
  <si>
    <t>AGN</t>
  </si>
  <si>
    <t>AGS</t>
  </si>
  <si>
    <t>HDSFAL</t>
  </si>
  <si>
    <t>OXCLAL</t>
  </si>
  <si>
    <t>PLOXCLAL</t>
  </si>
  <si>
    <t>Выбор используемых видов (марок) топлива - двойным щелчком мыши над расчётным блоком</t>
  </si>
  <si>
    <t>Выбор используемых реагентов - двойным щелчком мыши в расчётном блоке (в колонке "Год") напротив наименования</t>
  </si>
  <si>
    <t>VOTV_REAGENT_ADD_RANGE</t>
  </si>
  <si>
    <t>VOTV_REAGENT_EMPTY_BASE_RANGE</t>
  </si>
  <si>
    <t>VOTV_REAGENT_SINGLE_BASE_RANGE</t>
  </si>
  <si>
    <t>VOTV_REAGENT_TEMPLATE_RANGE</t>
  </si>
  <si>
    <t>VOTV_REAGENT_EMPTY_TEMPLATE_RANGE</t>
  </si>
  <si>
    <t>ADJUSTABLE.OTH</t>
  </si>
  <si>
    <t>ADJUSTABLE.C</t>
  </si>
  <si>
    <t>ADJUSTABLE.P</t>
  </si>
  <si>
    <t>ADJUSTABLE.V</t>
  </si>
  <si>
    <t>VOTV_REAGENT_ONE_RANGE</t>
  </si>
  <si>
    <t>VOTV_REAGENT_NO_ONE_RANGE</t>
  </si>
  <si>
    <t>VOTV_REAGENT_OTH_RANGE</t>
  </si>
  <si>
    <t>VOTV_REAGENT_NO_OTH_RANGE</t>
  </si>
  <si>
    <t>OKOPF</t>
  </si>
  <si>
    <t>Аренда объектов в государственной собственности</t>
  </si>
  <si>
    <t>Аренда объектов в муниципальной собственности</t>
  </si>
  <si>
    <t>Примечания:</t>
  </si>
  <si>
    <t>RENT</t>
  </si>
  <si>
    <t>RENT.1</t>
  </si>
  <si>
    <t>RENT.2</t>
  </si>
  <si>
    <t>RENT.3</t>
  </si>
  <si>
    <t>4.NGV.NGU</t>
  </si>
  <si>
    <t>Контактный телефон</t>
  </si>
  <si>
    <t>Контактные данные</t>
  </si>
  <si>
    <t>Отчётный период</t>
  </si>
  <si>
    <t>Субъект РФ</t>
  </si>
  <si>
    <t>- обновление индикаторов проверки отчёта</t>
  </si>
  <si>
    <t>Технико-экономические показатели регулируемой организации (факт)</t>
  </si>
  <si>
    <t>Добавить территорию</t>
  </si>
  <si>
    <r>
      <t xml:space="preserve">2. Выбор объектов доступен только в рамках территорий (ОКТМО), для которых информация по соответствующим видам деятельности представлена </t>
    </r>
    <r>
      <rPr>
        <b/>
        <sz val="9"/>
        <color indexed="18"/>
        <rFont val="Tahoma"/>
        <family val="2"/>
        <charset val="204"/>
      </rPr>
      <t>в мониторингах реестра объектов инфраструктуры</t>
    </r>
  </si>
  <si>
    <r>
      <t xml:space="preserve">1. Необходимо перечислить </t>
    </r>
    <r>
      <rPr>
        <b/>
        <sz val="9"/>
        <color indexed="18"/>
        <rFont val="Tahoma"/>
        <family val="2"/>
        <charset val="204"/>
      </rPr>
      <t>все объекты регулируемой инфраструктуры</t>
    </r>
    <r>
      <rPr>
        <sz val="9"/>
        <color indexed="18"/>
        <rFont val="Tahoma"/>
        <family val="2"/>
        <charset val="204"/>
      </rPr>
      <t>, для которых предоставляются технико-экономические показатели на расчётных листах блока по территории</t>
    </r>
  </si>
  <si>
    <t>Необходимо указывать значения по полугодиям (6 и 6 месяцев)</t>
  </si>
  <si>
    <t>Всего по организации</t>
  </si>
  <si>
    <t>У</t>
  </si>
  <si>
    <t>Общий доход от реализации потребителям без учёта НДС, исходя из утверждённых тарифов</t>
  </si>
  <si>
    <t>Объём дотаций из всех уровней бюджета</t>
  </si>
  <si>
    <t>Итого расходы на реализацию</t>
  </si>
  <si>
    <t>РР</t>
  </si>
  <si>
    <t>РО</t>
  </si>
  <si>
    <t>Справочно: результат деятельности в периоде регулирования</t>
  </si>
  <si>
    <t>Сумма объёмов по периодам (I, II)</t>
  </si>
  <si>
    <t>П.1</t>
  </si>
  <si>
    <t>П.2</t>
  </si>
  <si>
    <t>П.3</t>
  </si>
  <si>
    <t>П.4</t>
  </si>
  <si>
    <t>Убыток</t>
  </si>
  <si>
    <t>РП</t>
  </si>
  <si>
    <t>Итого расходы с учётом расходов из прибыли</t>
  </si>
  <si>
    <t>Топливо на технологические цели</t>
  </si>
  <si>
    <t>Расходы организации</t>
  </si>
  <si>
    <t>F</t>
  </si>
  <si>
    <r>
      <t xml:space="preserve">Полезный отпуск продукции </t>
    </r>
    <r>
      <rPr>
        <sz val="8"/>
        <color indexed="10"/>
        <rFont val="Tahoma"/>
        <family val="2"/>
        <charset val="204"/>
      </rPr>
      <t>всего</t>
    </r>
    <r>
      <rPr>
        <sz val="8"/>
        <rFont val="Tahoma"/>
        <family val="2"/>
        <charset val="204"/>
      </rPr>
      <t>:
[БТр!п.3] - транспортировка
[БПр!п.3 - БПр!п.3.6 + БПр!п.5.2] - производство</t>
    </r>
  </si>
  <si>
    <t>Полезный отпуск продукции на реализацию потребителям без учёта перепродажи:
[БТр!п.3.3:3.5] - транспортировка
[БПр!п.3.2:3.4 + БПр!п.5.2.3] - производство</t>
  </si>
  <si>
    <t>Полезный отпуск продукции на реализацию потребителям:
[БТр!п.3.2:3.5] - транспортировка
[БПр!п.3.2:3.5 + БПр!п.5.2.2 + БПр!п.5.2.3] - производство</t>
  </si>
  <si>
    <r>
      <t xml:space="preserve">Полезный отпуск продукции </t>
    </r>
    <r>
      <rPr>
        <sz val="8"/>
        <color indexed="10"/>
        <rFont val="Tahoma"/>
        <family val="2"/>
        <charset val="204"/>
      </rPr>
      <t>всего</t>
    </r>
    <r>
      <rPr>
        <sz val="8"/>
        <rFont val="Tahoma"/>
        <family val="2"/>
        <charset val="204"/>
      </rPr>
      <t>:
[БТр!п.3] - транспортировка
[БПр!п.5.2] - производство</t>
    </r>
  </si>
  <si>
    <t>Полезный отпуск на реализацию потребителям:
[БТр!п.3.2:3.5] - транспортировка
[БПр!п.5.2.2 + БПр!п.5.2.3] - производство</t>
  </si>
  <si>
    <t>Полезный отпуск на реализацию потребителям:
[БТр!п.3.3:3.5] - транспортировка
[БПр!п.5.2.3] - производство</t>
  </si>
  <si>
    <t>DPR</t>
  </si>
  <si>
    <t>MR</t>
  </si>
  <si>
    <t>MO</t>
  </si>
  <si>
    <t>OKTMO</t>
  </si>
  <si>
    <t>TF_I_RSL</t>
  </si>
  <si>
    <t>TF_II_RSL</t>
  </si>
  <si>
    <t>TF_I_BDG</t>
  </si>
  <si>
    <t>TF_II_BDG</t>
  </si>
  <si>
    <t>TF_I_PPL</t>
  </si>
  <si>
    <t>TF_II_PPL</t>
  </si>
  <si>
    <t>TF_I_OTH</t>
  </si>
  <si>
    <t>TF_II_OTH</t>
  </si>
  <si>
    <t>NMBR</t>
  </si>
  <si>
    <t>7 55 00 | Частные учреждения</t>
  </si>
  <si>
    <t>CONTEXT_ID</t>
  </si>
  <si>
    <t>№</t>
  </si>
  <si>
    <t>Филиал</t>
  </si>
  <si>
    <t>Объект</t>
  </si>
  <si>
    <t>Тип</t>
  </si>
  <si>
    <t>Адрес. МР</t>
  </si>
  <si>
    <t>Адрес. МО</t>
  </si>
  <si>
    <t>Адрес. ОКТМО</t>
  </si>
  <si>
    <t>Адрес. НП</t>
  </si>
  <si>
    <t>Адрес. НП ОКТМО</t>
  </si>
  <si>
    <t>Адрес. Улица</t>
  </si>
  <si>
    <t>Адрес. Дом</t>
  </si>
  <si>
    <t/>
  </si>
  <si>
    <t>Территория. МР</t>
  </si>
  <si>
    <t>Территория. МО</t>
  </si>
  <si>
    <t>Территория. ОКТМО</t>
  </si>
  <si>
    <t>Территория. НП</t>
  </si>
  <si>
    <t>Территория. НП ОКТМО</t>
  </si>
  <si>
    <t>Доходы, полученные сверх реализации по утверждённым тарифам</t>
  </si>
  <si>
    <t>https://eias.ru</t>
  </si>
  <si>
    <t>Руководство по заполнению:</t>
  </si>
  <si>
    <t>Перейти к руководству по заполнению</t>
  </si>
  <si>
    <t>Дополнительные признаки дифференциации тарифов</t>
  </si>
  <si>
    <t>Где найти?</t>
  </si>
  <si>
    <t>MANDATORY</t>
  </si>
  <si>
    <t>OPTIONAL</t>
  </si>
  <si>
    <t>Является ли организация подведомственной Министерства Обороны РФ</t>
  </si>
  <si>
    <t>ОГРН</t>
  </si>
  <si>
    <t>Код по ОКПО</t>
  </si>
  <si>
    <t>COLDVSNA_TRANSMISSION_TARIFF_UNIT</t>
  </si>
  <si>
    <t>COLDVSNA_VD_COMPONENTS</t>
  </si>
  <si>
    <t>COLDVSNA_VTOV</t>
  </si>
  <si>
    <t>COLDVSNA</t>
  </si>
  <si>
    <t>XML_PLAN1X_COLDVSNA_LIST_SRC_TAG_NAMES</t>
  </si>
  <si>
    <t>XML_PLAN1X_COLDVSNA_LIST_ORG_TAG_NAMES</t>
  </si>
  <si>
    <t>COLDVSNA_CALC_ADD_RANGE</t>
  </si>
  <si>
    <t>COLDVSNA_CALC_EMPTY_BASE_RANGE</t>
  </si>
  <si>
    <t>COLDVSNA_CALC_SINGLE_BASE_RANGE</t>
  </si>
  <si>
    <t>COLDVSNA_REAGENT_ADD_RANGE</t>
  </si>
  <si>
    <t>COLDVSNA_REAGENT_ONE_RANGE</t>
  </si>
  <si>
    <t>COLDVSNA_REAGENT_EMPTY_BASE_RANGE</t>
  </si>
  <si>
    <t>COLDVSNA_REAGENT_NO_ONE_RANGE</t>
  </si>
  <si>
    <t>COLDVSNA_REAGENT_SINGLE_BASE_RANGE</t>
  </si>
  <si>
    <t>COLDVSNA_REAGENT_OTH_RANGE</t>
  </si>
  <si>
    <t>COLDVSNA_REAGENT_TEMPLATE_RANGE</t>
  </si>
  <si>
    <t>COLDVSNA_REAGENT_EMPTY_TEMPLATE_RANGE</t>
  </si>
  <si>
    <t>COLDVSNA_REAGENT_NO_OTH_RANGE</t>
  </si>
  <si>
    <t>SPHERE_SPECIFIC_STATUS</t>
  </si>
  <si>
    <t>ЕТО</t>
  </si>
  <si>
    <t>ГО</t>
  </si>
  <si>
    <t>SPHERE_SPECIFIC_STATUS_DESCRIPTION</t>
  </si>
  <si>
    <t>* ЕТО - единая теплоснабжающая организация</t>
  </si>
  <si>
    <t>* ГО - гарантирующая организация</t>
  </si>
  <si>
    <t>XML_DPR_LIST_TAG_NAMES</t>
  </si>
  <si>
    <t>TOTAL_PPL_COUNT</t>
  </si>
  <si>
    <t>XML_PLAN1X_HEAT_LIST_MO_TAG_NAMES</t>
  </si>
  <si>
    <t>XML_PLAN1X_COLDVSNA_LIST_MO_TAG_NAMES</t>
  </si>
  <si>
    <t>XML_PLAN1X_VOTV_LIST_MO_TAG_NAMES</t>
  </si>
  <si>
    <t>POSITION</t>
  </si>
  <si>
    <t>TAX</t>
  </si>
  <si>
    <t>VTOV</t>
  </si>
  <si>
    <t>XML_PLAN1X_HEAT_LIST_TMX_TAG_NAMES</t>
  </si>
  <si>
    <t>XML_PLAN1X_COLDVSNA_LIST_TMX_TAG_NAMES</t>
  </si>
  <si>
    <t>XML_PLAN1X_VOTV_LIST_TMX_TAG_NAMES</t>
  </si>
  <si>
    <t>LIST_MO_HEAT_ADD_RANGE</t>
  </si>
  <si>
    <t>LIST_MO_COLDVSNA_ADD_RANGE</t>
  </si>
  <si>
    <t>LIST_MO_VOTV_ADD_RANGE</t>
  </si>
  <si>
    <t>от котельных</t>
  </si>
  <si>
    <t>4.1.3</t>
  </si>
  <si>
    <t>4.2.3</t>
  </si>
  <si>
    <t>OKPO</t>
  </si>
  <si>
    <t>OGRN</t>
  </si>
  <si>
    <t>INN_ID</t>
  </si>
  <si>
    <t>KPP_ID</t>
  </si>
  <si>
    <t>FIL_ID</t>
  </si>
  <si>
    <t>VDET_ID</t>
  </si>
  <si>
    <t>SPECIFIC_STATUS</t>
  </si>
  <si>
    <t>SPECIFIC_STATUS_URL</t>
  </si>
  <si>
    <t>STATE_SHARE_EXISTENCE</t>
  </si>
  <si>
    <t>STATE_SHARE_VALUE</t>
  </si>
  <si>
    <t>STATE_SHARE</t>
  </si>
  <si>
    <t>0 %</t>
  </si>
  <si>
    <t>50 % и более</t>
  </si>
  <si>
    <t>100 %</t>
  </si>
  <si>
    <t>менее 50 %</t>
  </si>
  <si>
    <t>Наличие</t>
  </si>
  <si>
    <t>Сведения о доле</t>
  </si>
  <si>
    <t>FULL_STATE_SHARE_OKOPF_LIST</t>
  </si>
  <si>
    <t>6 51 00 | Унитарные предприятия, основанные на праве оперативного управления (казенные предприятия)</t>
  </si>
  <si>
    <t>6 52 00 | Унитарные предприятия, основанные на праве хозяйственного ведения</t>
  </si>
  <si>
    <t>7 51 00 | Учреждения, созданные Российской Федерацией</t>
  </si>
  <si>
    <t>7 52 00 | Учреждения, созданные субъектами Российской Федерации</t>
  </si>
  <si>
    <t>7 54 00 | Учреждения, созданные муниципальными образованиями</t>
  </si>
  <si>
    <t>SRC</t>
  </si>
  <si>
    <t>OWNERSHIP_TYPE</t>
  </si>
  <si>
    <t>федеральная</t>
  </si>
  <si>
    <t>муниципальная</t>
  </si>
  <si>
    <t>частная</t>
  </si>
  <si>
    <t>субъект РФ</t>
  </si>
  <si>
    <t>NONPRIVATE_OWNERSHIP_TYPE</t>
  </si>
  <si>
    <t>VALUABLE_STATE_SHARE</t>
  </si>
  <si>
    <t>SESSION_ID</t>
  </si>
  <si>
    <t>OBFUSCATED_PASSWORD</t>
  </si>
  <si>
    <t>Проверить наличие наименования в справочнике</t>
  </si>
  <si>
    <t>Дополнительные показатели</t>
  </si>
  <si>
    <t>Износ основных средств</t>
  </si>
  <si>
    <t>Очистка</t>
  </si>
  <si>
    <t>Транспортировка</t>
  </si>
  <si>
    <t>Стоимость основных средств, относимых на транспортировку стоков</t>
  </si>
  <si>
    <t>Протяженность сетей</t>
  </si>
  <si>
    <t>км</t>
  </si>
  <si>
    <t>Протяженность сетей, подлежащих замене (износ 100%)</t>
  </si>
  <si>
    <t>Полезный отпуск (приём стоков) от наиболее крупного единичного потребителя</t>
  </si>
  <si>
    <t>Численность обслуживаемого населения</t>
  </si>
  <si>
    <t>чел.</t>
  </si>
  <si>
    <t>Количество абонентов</t>
  </si>
  <si>
    <t>тыс.ед.</t>
  </si>
  <si>
    <t>Полезный отпуск наиболее крупному единичному потребителю</t>
  </si>
  <si>
    <t>Высота подъёма воды</t>
  </si>
  <si>
    <t>м</t>
  </si>
  <si>
    <t>Протяженность сетей (в двухтрубном исчислении)</t>
  </si>
  <si>
    <t>Территории</t>
  </si>
  <si>
    <t>VOTV_FACILITY_3_INDEX_GROUP</t>
  </si>
  <si>
    <t>VOTV_FACILITY_INDEX_GROUP</t>
  </si>
  <si>
    <t>COLDVSNA_FACILITY_INDEX_GROUP</t>
  </si>
  <si>
    <t>XML_PARSE_STATUS_TAG_NAMES</t>
  </si>
  <si>
    <t>STATUS</t>
  </si>
  <si>
    <t>GUID</t>
  </si>
  <si>
    <t>DPR_AREA_TYPE_LIST</t>
  </si>
  <si>
    <t>городское поселение</t>
  </si>
  <si>
    <t>сельское поселение</t>
  </si>
  <si>
    <t>населённый пункт</t>
  </si>
  <si>
    <t>UNREG</t>
  </si>
  <si>
    <t>SCC</t>
  </si>
  <si>
    <t>MILITARY</t>
  </si>
  <si>
    <t>IS_PROFILE_ACTIVITY</t>
  </si>
  <si>
    <t>PREVAILING_SHARE_VALUE</t>
  </si>
  <si>
    <t>TR_TARIFF</t>
  </si>
  <si>
    <t>Подстановка тарифов I и II полугодий одновременно</t>
  </si>
  <si>
    <r>
      <t xml:space="preserve">Полезный отпуск продукции </t>
    </r>
    <r>
      <rPr>
        <sz val="8"/>
        <color indexed="10"/>
        <rFont val="Tahoma"/>
        <family val="2"/>
        <charset val="204"/>
      </rPr>
      <t>всего</t>
    </r>
    <r>
      <rPr>
        <sz val="8"/>
        <rFont val="Tahoma"/>
        <family val="2"/>
        <charset val="204"/>
      </rPr>
      <t>:
[БТр!п.3] - транспортировка
[БПр!п.3 - БПр!п.3.1.2 - БПр!п.3.6 + БПр!п.5.2] - производство</t>
    </r>
  </si>
  <si>
    <t>XML_FILE_STORE_DATA_TAG_NAMES</t>
  </si>
  <si>
    <t>MIME</t>
  </si>
  <si>
    <t>EXTENSION</t>
  </si>
  <si>
    <t>CREATE_DATE</t>
  </si>
  <si>
    <t>FORCE_ALLOWED</t>
  </si>
  <si>
    <t>L2</t>
  </si>
  <si>
    <t>OXCLAL10</t>
  </si>
  <si>
    <t>оксихлорид алюминия 10 %</t>
  </si>
  <si>
    <t>OXCLAL18</t>
  </si>
  <si>
    <t>оксихлорид алюминия 18 %</t>
  </si>
  <si>
    <t>OXCLAL30</t>
  </si>
  <si>
    <t>оксихлорид алюминия 30 %</t>
  </si>
  <si>
    <t>PLOXCLAL10</t>
  </si>
  <si>
    <t>полиоксихлорид алюминия 10 %</t>
  </si>
  <si>
    <t>PLOXCLAL18</t>
  </si>
  <si>
    <t>полиоксихлорид алюминия 18 %</t>
  </si>
  <si>
    <t>PLOXCLAL30</t>
  </si>
  <si>
    <t>полиоксихлорид алюминия 30 %</t>
  </si>
  <si>
    <t>PRSTL853</t>
  </si>
  <si>
    <t>Праестол 853 BC</t>
  </si>
  <si>
    <t>PRSTL650</t>
  </si>
  <si>
    <t>Праестол 650 BC</t>
  </si>
  <si>
    <t>PRSTL2515</t>
  </si>
  <si>
    <t>Праестол 2515 TR</t>
  </si>
  <si>
    <t>GRLIFEK47</t>
  </si>
  <si>
    <t>Гринлайф К 47</t>
  </si>
  <si>
    <t>GRLIFEK41</t>
  </si>
  <si>
    <t>Гринлайф К 41</t>
  </si>
  <si>
    <t>GRLIFEA10PV</t>
  </si>
  <si>
    <t>Гринлайф А 10 ПВ</t>
  </si>
  <si>
    <t>FLOFOAM</t>
  </si>
  <si>
    <t>пеногаситель (FLOFOAM)</t>
  </si>
  <si>
    <t>FLOSPERSE</t>
  </si>
  <si>
    <t>модифицированные аминофосфоновые кислоты и фосфонаты (FLOSPERSE)</t>
  </si>
  <si>
    <t>CARBONPWDRD</t>
  </si>
  <si>
    <t>углерод порошкообразный</t>
  </si>
  <si>
    <t>Добавить организацию</t>
  </si>
  <si>
    <t>Лизинг</t>
  </si>
  <si>
    <t>Бюджет муниципального образования</t>
  </si>
  <si>
    <t>Бюджет субъекта РФ</t>
  </si>
  <si>
    <t>Федеральный бюджет</t>
  </si>
  <si>
    <t>Прочие привлечённые средства</t>
  </si>
  <si>
    <t>Займы</t>
  </si>
  <si>
    <t>Кредиты</t>
  </si>
  <si>
    <t>Прочие собственные средства</t>
  </si>
  <si>
    <t>Плата за подключение (технологическое присоединение)</t>
  </si>
  <si>
    <t>Амортизационные отчисления</t>
  </si>
  <si>
    <t>Прибыль, направляемая на инвестиции</t>
  </si>
  <si>
    <t>Объём возмещения частных инвестиций из тарифа</t>
  </si>
  <si>
    <t>Расходы / плата концедента</t>
  </si>
  <si>
    <t>Частные инвестиции</t>
  </si>
  <si>
    <t>CNCSN SUM CONSISTENCY PLN + PLN</t>
  </si>
  <si>
    <t>CNCSN SUM CONSISTENCY FCT + PLN</t>
  </si>
  <si>
    <t>CNCSN SUM PLAN TOTAL</t>
  </si>
  <si>
    <t>CNCSN SUM FACT</t>
  </si>
  <si>
    <t>URL-ссылка на ИП</t>
  </si>
  <si>
    <t>Наименование ИП</t>
  </si>
  <si>
    <t>Прочие источники</t>
  </si>
  <si>
    <t>Бюджетное финансирование</t>
  </si>
  <si>
    <t>Привлеченные средства</t>
  </si>
  <si>
    <t>Собственные средства</t>
  </si>
  <si>
    <t>URL-ссылка на решение</t>
  </si>
  <si>
    <t>Дата принятия</t>
  </si>
  <si>
    <t>Номер</t>
  </si>
  <si>
    <t>Вид</t>
  </si>
  <si>
    <t>Наименование</t>
  </si>
  <si>
    <t>Дата окончания</t>
  </si>
  <si>
    <t>Дата начала</t>
  </si>
  <si>
    <t>Перечень ИП, которые выполняются в рамках КС</t>
  </si>
  <si>
    <t>Реквизиты решения</t>
  </si>
  <si>
    <t>URL-ссылка на концессионное соглашение</t>
  </si>
  <si>
    <t>Сроки реализации / действия концессионного соглашения</t>
  </si>
  <si>
    <t>Сферы смешанной концессии</t>
  </si>
  <si>
    <t>Является смешанной концессией</t>
  </si>
  <si>
    <t>Количество позиций</t>
  </si>
  <si>
    <t>LIST_CNCSN_ADD_RANGE</t>
  </si>
  <si>
    <t>LIST_CNCSN_ADD_OBJECT_RANGE</t>
  </si>
  <si>
    <t>КС</t>
  </si>
  <si>
    <t>Добавить ИП</t>
  </si>
  <si>
    <t>LIST_CNCSN_ADD_SUBOBJECT_RANGE</t>
  </si>
  <si>
    <r>
      <t xml:space="preserve">Необходимо перечислить </t>
    </r>
    <r>
      <rPr>
        <b/>
        <sz val="9"/>
        <color indexed="18"/>
        <rFont val="Tahoma"/>
        <family val="2"/>
        <charset val="204"/>
      </rPr>
      <t xml:space="preserve">все </t>
    </r>
    <r>
      <rPr>
        <b/>
        <sz val="9"/>
        <color indexed="18"/>
        <rFont val="Tahoma"/>
        <family val="2"/>
        <charset val="204"/>
      </rPr>
      <t>заключённые концессионные соглашения</t>
    </r>
    <r>
      <rPr>
        <sz val="9"/>
        <color indexed="18"/>
        <rFont val="Tahoma"/>
        <family val="2"/>
        <charset val="204"/>
      </rPr>
      <t>, действующие в отчётном периоде на территориях муниципальных образований по организации</t>
    </r>
  </si>
  <si>
    <t>Примечание:</t>
  </si>
  <si>
    <t>XML_CNCSN_IP_LIST_TAG_NAMES</t>
  </si>
  <si>
    <t>L_TYPE</t>
  </si>
  <si>
    <t>L_NAME</t>
  </si>
  <si>
    <t>L_IS_MIXED_SPHERE</t>
  </si>
  <si>
    <t>L_SPHERE_LIST</t>
  </si>
  <si>
    <t>L_START_DATE</t>
  </si>
  <si>
    <t>L_END_DATE</t>
  </si>
  <si>
    <t>XML_PLAN1X_HEAT_LIST_CNCSN_TAG_NAMES</t>
  </si>
  <si>
    <t>L_DECISION_NAME</t>
  </si>
  <si>
    <t>L_DECISION_TYPE</t>
  </si>
  <si>
    <t>L_DECISION_NMBR</t>
  </si>
  <si>
    <t>L_DECISION_DATE</t>
  </si>
  <si>
    <t>L_DECISION_URL</t>
  </si>
  <si>
    <t>L_URL</t>
  </si>
  <si>
    <t>L_PLN_IP_TTL_TO_BE_DONE</t>
  </si>
  <si>
    <t>L_PLN_IP_PRV_TO_BE_DONE</t>
  </si>
  <si>
    <t>L_PLN_IP_BDG_TO_BE_DONE</t>
  </si>
  <si>
    <t>L_PLN_IP_TF_TO_BE_DONE</t>
  </si>
  <si>
    <t>L_PLN_IP_TTL_PREVIOUS</t>
  </si>
  <si>
    <t>L_PLN_IP_PRV_PREVIOUS</t>
  </si>
  <si>
    <t>L_PLN_IP_BDG_PREVIOUS</t>
  </si>
  <si>
    <t>L_PLN_IP_TF_PREVIOUS</t>
  </si>
  <si>
    <t>L_FCT_IP_TTL_FACT</t>
  </si>
  <si>
    <t>L_FCT_IP_PRV_FACT</t>
  </si>
  <si>
    <t>L_FCT_IP_BDG_FACT</t>
  </si>
  <si>
    <t>L_FCT_IP_TF_FACT</t>
  </si>
  <si>
    <t>L_PLN_IP_TTL_CURRENT</t>
  </si>
  <si>
    <t>L_PLN_IP_OWN_TTL_CURRENT</t>
  </si>
  <si>
    <t>L_PLN_IP_OWN_BNFT_CURRENT</t>
  </si>
  <si>
    <t>L_PLN_IP_OWN_AMR_CURRENT</t>
  </si>
  <si>
    <t>L_PLN_IP_OWN_PDKL_CURRENT</t>
  </si>
  <si>
    <t>L_PLN_IP_OWN_OTH_CURRENT</t>
  </si>
  <si>
    <t>L_PLN_IP_EXT_TTL_CURRENT</t>
  </si>
  <si>
    <t>L_PLN_IP_EXT_CRDT_CURRENT</t>
  </si>
  <si>
    <t>L_PLN_IP_EXT_LOAN_CURRENT</t>
  </si>
  <si>
    <t>L_PLN_IP_EXT_OTH_CURRENT</t>
  </si>
  <si>
    <t>L_PLN_IP_BDG_TTL_CURRENT</t>
  </si>
  <si>
    <t>L_PLN_IP_BDG_FED_CURRENT</t>
  </si>
  <si>
    <t>L_PLN_IP_BDG_REG_CURRENT</t>
  </si>
  <si>
    <t>L_PLN_IP_BDG_MO_CURRENT</t>
  </si>
  <si>
    <t>L_PLN_IP_OTH_TTL_CURRENT</t>
  </si>
  <si>
    <t>L_PLN_IP_OTH_LSNG_CURRENT</t>
  </si>
  <si>
    <t>L_PLN_IP_OTH_OTH_CURRENT</t>
  </si>
  <si>
    <t>L_PLN_IP_NADB_CURRENT</t>
  </si>
  <si>
    <t>L_CNCSN_IP_1_NMBR</t>
  </si>
  <si>
    <t>L_CNCSN_IP_1_NAME</t>
  </si>
  <si>
    <t>L_CNCSN_IP_1_SUM</t>
  </si>
  <si>
    <t>L_CNCSN_IP_1_URL</t>
  </si>
  <si>
    <t>L_CNCSN_IP_2_NMBR</t>
  </si>
  <si>
    <t>L_CNCSN_IP_2_NAME</t>
  </si>
  <si>
    <t>L_CNCSN_IP_2_SUM</t>
  </si>
  <si>
    <t>L_CNCSN_IP_2_URL</t>
  </si>
  <si>
    <t>L_CNCSN_IP_3_NMBR</t>
  </si>
  <si>
    <t>L_CNCSN_IP_3_NAME</t>
  </si>
  <si>
    <t>L_CNCSN_IP_3_SUM</t>
  </si>
  <si>
    <t>L_CNCSN_IP_3_URL</t>
  </si>
  <si>
    <t>L_CNCSN_IP_4_NMBR</t>
  </si>
  <si>
    <t>L_CNCSN_IP_4_NAME</t>
  </si>
  <si>
    <t>L_CNCSN_IP_4_SUM</t>
  </si>
  <si>
    <t>L_CNCSN_IP_4_URL</t>
  </si>
  <si>
    <t>L_CNCSN_IP_5_NMBR</t>
  </si>
  <si>
    <t>L_CNCSN_IP_5_NAME</t>
  </si>
  <si>
    <t>L_CNCSN_IP_5_SUM</t>
  </si>
  <si>
    <t>L_CNCSN_IP_5_URL</t>
  </si>
  <si>
    <t>L_CNCSN_IP_6_NMBR</t>
  </si>
  <si>
    <t>L_CNCSN_IP_6_NAME</t>
  </si>
  <si>
    <t>L_CNCSN_IP_6_SUM</t>
  </si>
  <si>
    <t>L_CNCSN_IP_6_URL</t>
  </si>
  <si>
    <t>L_CNCSN_IP_7_NMBR</t>
  </si>
  <si>
    <t>L_CNCSN_IP_7_NAME</t>
  </si>
  <si>
    <t>L_CNCSN_IP_7_SUM</t>
  </si>
  <si>
    <t>L_CNCSN_IP_7_URL</t>
  </si>
  <si>
    <t>L_CNCSN_IP_8_NMBR</t>
  </si>
  <si>
    <t>L_CNCSN_IP_8_NAME</t>
  </si>
  <si>
    <t>L_CNCSN_IP_8_SUM</t>
  </si>
  <si>
    <t>L_CNCSN_IP_8_URL</t>
  </si>
  <si>
    <t>L_CNCSN_IP_9_NMBR</t>
  </si>
  <si>
    <t>L_CNCSN_IP_9_NAME</t>
  </si>
  <si>
    <t>L_CNCSN_IP_9_SUM</t>
  </si>
  <si>
    <t>L_CNCSN_IP_9_URL</t>
  </si>
  <si>
    <t>L_CNCSN_IP_10_NMBR</t>
  </si>
  <si>
    <t>L_CNCSN_IP_10_NAME</t>
  </si>
  <si>
    <t>L_CNCSN_IP_10_SUM</t>
  </si>
  <si>
    <t>L_CNCSN_IP_10_URL</t>
  </si>
  <si>
    <t>XML_PLAN1X_VOTV_LIST_CNCSN_TAG_NAMES</t>
  </si>
  <si>
    <t>XML_PLAN1X_COLDVSNA_LIST_CNCSN_TAG_NAMES</t>
  </si>
  <si>
    <t>Наличие статуса</t>
  </si>
  <si>
    <t>МО</t>
  </si>
  <si>
    <t>PLN IP SUM CONSISTENCY</t>
  </si>
  <si>
    <t>FCT IP SUM CONSISTENCY</t>
  </si>
  <si>
    <t>PLN IP SUM</t>
  </si>
  <si>
    <t>FCT IP SUM</t>
  </si>
  <si>
    <t>PLN CNCSN SUM</t>
  </si>
  <si>
    <t>FCT CNCSN SUM</t>
  </si>
  <si>
    <t>Найти</t>
  </si>
  <si>
    <t>AUTHORIZATION_MODE</t>
  </si>
  <si>
    <t>Дата последнего обновления данных мониторинга принятых тарифных решений: (обновление не выполнялось)</t>
  </si>
  <si>
    <t>Смешанная концессия</t>
  </si>
  <si>
    <t>Запланировано на весь период</t>
  </si>
  <si>
    <t>Запланировано на отчётный период</t>
  </si>
  <si>
    <t>Вид деятельности</t>
  </si>
  <si>
    <t>• На рабочем месте должен быть установлен MS Office 2003 SP3, 2007 SP3, 2010, 2013, 2016, 2019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2007/2010/2013/2016/2019: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</si>
  <si>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Расходы на финансирование капитальных вложений в соответствии с ИП (за исключением ИП, которые утверждены в соответствии с КС):</t>
  </si>
  <si>
    <t>Прибыль (расходы на капитальные вложения (инвестиции) - собственные средства</t>
  </si>
  <si>
    <t>Амортизационыне отчисления</t>
  </si>
  <si>
    <t>Амортизация на финансирование капитальных вложений</t>
  </si>
  <si>
    <t>Амортизационные отчисления, направленные на погашение и обслуживание кредитов и заёмных средств, привлекаемых на реализацию мероприятий инвестиционной программы</t>
  </si>
  <si>
    <t>Бюджетные средства, предоставленные организации на реализацию ИП</t>
  </si>
  <si>
    <t>Региональный бюджет</t>
  </si>
  <si>
    <t>Местный бюджет</t>
  </si>
  <si>
    <t xml:space="preserve">Средства, полученные от реализации ценных бумаг </t>
  </si>
  <si>
    <t>Плата за подключение</t>
  </si>
  <si>
    <t>IP.EXCEPT.CN.TTL</t>
  </si>
  <si>
    <t>IP.INCLUDE.CN.TTL</t>
  </si>
  <si>
    <t>Расходы на финансирование капитальных вложений в соответствии с ИП (ИП, которые утверждены в соответствии с КС):</t>
  </si>
  <si>
    <t>Привлечённые средства (расходы на погашение и обслуживание заёмных средств в целях реализации ИП)</t>
  </si>
  <si>
    <t xml:space="preserve">Прочие привлечённые средства </t>
  </si>
  <si>
    <t>IP.EXCEPT.CN.1</t>
  </si>
  <si>
    <t>IP.EXCEPT.CN.2</t>
  </si>
  <si>
    <t>IP.EXCEPT.CN.3</t>
  </si>
  <si>
    <t>IP.EXCEPT.CN.2.1</t>
  </si>
  <si>
    <t>IP.EXCEPT.CN.2.2</t>
  </si>
  <si>
    <t>IP.EXCEPT.CN.3.1</t>
  </si>
  <si>
    <t>IP.EXCEPT.CN.3.2</t>
  </si>
  <si>
    <t>IP.EXCEPT.CN.3.3</t>
  </si>
  <si>
    <t>IP.EXCEPT.CN.4</t>
  </si>
  <si>
    <t>IP.EXCEPT.CN.4.1</t>
  </si>
  <si>
    <t>IP.EXCEPT.CN.4.2</t>
  </si>
  <si>
    <t>IP.EXCEPT.CN.4.3</t>
  </si>
  <si>
    <t>IP.EXCEPT.CN.4.4</t>
  </si>
  <si>
    <t>IP.EXCEPT.CN.5</t>
  </si>
  <si>
    <t>IP.EXCEPT.CN.6</t>
  </si>
  <si>
    <t>IP.INCLUDE.CN.1</t>
  </si>
  <si>
    <t>IP.INCLUDE.CN.2</t>
  </si>
  <si>
    <t>IP.INCLUDE.CN.2.1</t>
  </si>
  <si>
    <t>IP.INCLUDE.CN.2.2</t>
  </si>
  <si>
    <t>IP.INCLUDE.CN.3</t>
  </si>
  <si>
    <t>IP.INCLUDE.CN.3.1</t>
  </si>
  <si>
    <t>IP.INCLUDE.CN.3.2</t>
  </si>
  <si>
    <t>IP.INCLUDE.CN.3.3</t>
  </si>
  <si>
    <t>IP.INCLUDE.CN.4</t>
  </si>
  <si>
    <t>IP.INCLUDE.CN.4.1</t>
  </si>
  <si>
    <t>IP.INCLUDE.CN.4.2</t>
  </si>
  <si>
    <t>IP.INCLUDE.CN.4.3</t>
  </si>
  <si>
    <t>IP.INCLUDE.CN.4.4</t>
  </si>
  <si>
    <t>IP.INCLUDE.CN.5</t>
  </si>
  <si>
    <t>IP.INCLUDE.CN.6</t>
  </si>
  <si>
    <t>IP.EXCEPT.CN.INV.DATA</t>
  </si>
  <si>
    <t>IP.INCLUDE.CN.INV.DATA</t>
  </si>
  <si>
    <t>XML_INV1X_HEAT_LIST_IP_TAG_NAMES</t>
  </si>
  <si>
    <t>L_IP_NAME</t>
  </si>
  <si>
    <t>L_IP_PERIOD</t>
  </si>
  <si>
    <t>IP_L_FACT_YEAR</t>
  </si>
  <si>
    <t>CN_L_FACT_YEAR</t>
  </si>
  <si>
    <t>XML_INV1X_COLDVSNA_LIST_IP_TAG_NAMES</t>
  </si>
  <si>
    <t>XML_INV1X_VOTV_LIST_IP_TAG_NAMES</t>
  </si>
  <si>
    <t>Срок</t>
  </si>
  <si>
    <t>Всего в рамках ИП</t>
  </si>
  <si>
    <t>Всего в рамках КС</t>
  </si>
  <si>
    <t>EIAS</t>
  </si>
  <si>
    <t>FUEL_LIST</t>
  </si>
  <si>
    <t>LIST_PPL_TM_ADD_RANGE</t>
  </si>
  <si>
    <t>Сумма возмещения, тыс.руб.</t>
  </si>
  <si>
    <t>Расчёт</t>
  </si>
  <si>
    <t>LIST_PPL_TM_ADD_OBJECT_RANGE</t>
  </si>
  <si>
    <t>XML_PLAN1X_HEAT_LIST_PPL_TM_TAG_NAMES</t>
  </si>
  <si>
    <t>TFE</t>
  </si>
  <si>
    <t>TFN</t>
  </si>
  <si>
    <t>D_URL</t>
  </si>
  <si>
    <t>D_NMBR</t>
  </si>
  <si>
    <t>D_DATE</t>
  </si>
  <si>
    <t>XML_PLAN1X_COLDVSNA_LIST_PPL_TM_TAG_NAMES</t>
  </si>
  <si>
    <t>XML_PLAN1X_VOTV_LIST_PPL_TM_TAG_NAMES</t>
  </si>
  <si>
    <r>
      <t xml:space="preserve">Необходимо указать </t>
    </r>
    <r>
      <rPr>
        <b/>
        <sz val="9"/>
        <color indexed="18"/>
        <rFont val="Tahoma"/>
        <family val="2"/>
        <charset val="204"/>
      </rPr>
      <t>все тарифы для населения</t>
    </r>
    <r>
      <rPr>
        <sz val="9"/>
        <color indexed="18"/>
        <rFont val="Tahoma"/>
        <family val="2"/>
        <charset val="204"/>
      </rPr>
      <t>, применявшихся для расчётов с населением на территориях муниципальных образований субъекта РФ</t>
    </r>
  </si>
  <si>
    <t>LIST_PPL_TM_HEAT_ADD_RANGE</t>
  </si>
  <si>
    <t>LIST_PPL_TM_COLDVSNA_ADD_RANGE</t>
  </si>
  <si>
    <t>LIST_PPL_TM_VOTV_ADD_RANGE</t>
  </si>
  <si>
    <t>На период</t>
  </si>
  <si>
    <t>DPR_AREA_BIND_LIST</t>
  </si>
  <si>
    <t>муниципальный район</t>
  </si>
  <si>
    <t>муниципальный округ</t>
  </si>
  <si>
    <t>городской округ</t>
  </si>
  <si>
    <t>FEDERAL.2024</t>
  </si>
  <si>
    <t>70:107:68:40:43:52:40</t>
  </si>
  <si>
    <t>2024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</si>
  <si>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</si>
  <si>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</si>
  <si>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</si>
  <si>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</si>
  <si>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</si>
  <si>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</si>
  <si>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</si>
  <si>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</si>
  <si>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</si>
  <si>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</si>
  <si>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Передача :: Сбыт</t>
  </si>
  <si>
    <t>Некомбинированное производство :: Сбыт</t>
  </si>
  <si>
    <t>Очистка воды :: Подвоз воды</t>
  </si>
  <si>
    <t>Очистка воды :: Транспортировка воды</t>
  </si>
  <si>
    <t>Очистка воды :: Транспортировка воды :: Сбыт (распределение) воды</t>
  </si>
  <si>
    <t>Очистка воды :: Транспортировка воды :: Сбыт (распределение) воды :: Подвоз воды</t>
  </si>
  <si>
    <t>Очистка сточных вод :: Транспортировка сточных вод</t>
  </si>
  <si>
    <t>Передача :: Сбыт</t>
  </si>
  <si>
    <t>Приём сточных вод :: Очистка сточных вод</t>
  </si>
  <si>
    <t>Приём сточных вод :: Очистка сточных вод :: Транспортировка сточных вод</t>
  </si>
  <si>
    <t>Приём сточных вод :: Транспортировка сточных вод</t>
  </si>
  <si>
    <t>Производство (подъём / добыча) воды :: Очистка воды</t>
  </si>
  <si>
    <t>Производство (подъём / добыча) воды :: Очистка воды :: Подвоз воды</t>
  </si>
  <si>
    <t>Производство (подъём / добыча) воды :: Очистка воды :: Сбыт (распределение) воды</t>
  </si>
  <si>
    <t>Производство (подъём / добыча) воды :: Очистка воды :: Сбыт (распределение) воды :: Подвоз воды</t>
  </si>
  <si>
    <t>Производство (подъём / добыча) воды :: Очистка воды :: Транспортировка воды</t>
  </si>
  <si>
    <t>Производство (подъём / добыча) воды :: Очистка воды :: Транспортировка воды :: Подвоз воды</t>
  </si>
  <si>
    <t>Производство (подъём / добыча) воды :: Очистка воды :: Транспортировка воды :: Сбыт (распределение) воды</t>
  </si>
  <si>
    <t>Производство (подъём / добыча) воды :: Очистка воды :: Транспортировка воды :: Сбыт (распределение) воды :: Подвоз воды</t>
  </si>
  <si>
    <t>Производство (подъём / добыча) воды :: Подвоз воды</t>
  </si>
  <si>
    <t>Производство (подъём / добыча) воды :: Сбыт (распределение) воды</t>
  </si>
  <si>
    <t>Производство (подъём / добыча) воды :: Сбыт (распределение) воды :: Подвоз воды</t>
  </si>
  <si>
    <t>Производство (подъём / добыча) воды :: Транспортировка воды</t>
  </si>
  <si>
    <t>Производство (подъём / добыча) воды :: Транспортировка воды :: Подвоз воды</t>
  </si>
  <si>
    <t>Производство (подъём / добыча) воды :: Транспортировка воды :: Сбыт (распределение) воды</t>
  </si>
  <si>
    <t>Производство (подъём / добыча) воды :: Транспортировка воды :: Сбыт (распределение) воды :: Подвоз воды</t>
  </si>
  <si>
    <t>Сбыт (распределение) воды :: Подвоз воды</t>
  </si>
  <si>
    <t>Транспортировка воды :: Сбыт (распределение) воды</t>
  </si>
  <si>
    <t>Транспортировка воды :: Сбыт (распределение) воды :: Подвоз воды</t>
  </si>
  <si>
    <t>L_PLN_IP_EXT_LOAN_NWF_CURRENT</t>
  </si>
  <si>
    <t>L_PLN_IP_EXT_LOAN_OTH_CURRENT</t>
  </si>
  <si>
    <t>L_PLN_IP_OTH_VOTV_1_CURRENT</t>
  </si>
  <si>
    <t>L_PLN_IP_OTH_VOTV_2_CURRENT</t>
  </si>
  <si>
    <t>Фактически получено по состоянию на 30.06.2025</t>
  </si>
  <si>
    <t>Займы. Всего</t>
  </si>
  <si>
    <t>Займы, предоставленные Фондом ЖКХ за счёт средств ФНБ</t>
  </si>
  <si>
    <t>Прочие займы</t>
  </si>
  <si>
    <t>4.COAANT</t>
  </si>
  <si>
    <t>COAANT</t>
  </si>
  <si>
    <t>4.COABRN</t>
  </si>
  <si>
    <t>COABRN</t>
  </si>
  <si>
    <t>4.COAGAS</t>
  </si>
  <si>
    <t>COAGAS</t>
  </si>
  <si>
    <t>4.COAGASFAT</t>
  </si>
  <si>
    <t>Уголь газовый жирный</t>
  </si>
  <si>
    <t>COAGASFAT</t>
  </si>
  <si>
    <t>4.COAGASFATWEA</t>
  </si>
  <si>
    <t>Уголь газовый жирный отощённый</t>
  </si>
  <si>
    <t>COAGASFATWEA</t>
  </si>
  <si>
    <t>4.COALFM</t>
  </si>
  <si>
    <t>COALFM</t>
  </si>
  <si>
    <t>4.COALFMGAS</t>
  </si>
  <si>
    <t>Уголь длиннопламенный газовый</t>
  </si>
  <si>
    <t>COALFMGAS</t>
  </si>
  <si>
    <t>4.COAFAT</t>
  </si>
  <si>
    <t>COAFAT</t>
  </si>
  <si>
    <t>4.COACOK</t>
  </si>
  <si>
    <t>COACOK</t>
  </si>
  <si>
    <t>4.COACOKFAT</t>
  </si>
  <si>
    <t>Уголь коксовый жирный</t>
  </si>
  <si>
    <t>COACOKFAT</t>
  </si>
  <si>
    <t>4.COACOKWEA</t>
  </si>
  <si>
    <t>Уголь коксовый отощённый</t>
  </si>
  <si>
    <t>COACOKWEA</t>
  </si>
  <si>
    <t>4.COACOKWBK</t>
  </si>
  <si>
    <t>Уголь коксовый слабоспекающийся</t>
  </si>
  <si>
    <t>COACOKWBK</t>
  </si>
  <si>
    <t>4.COACOKWBKLMM</t>
  </si>
  <si>
    <t>Уголь коксовый слабоспекающийся низкометаморфизованный</t>
  </si>
  <si>
    <t>COACOKWBKLMM</t>
  </si>
  <si>
    <t>4.COAWEABKD</t>
  </si>
  <si>
    <t>Уголь отощённый спекающийся</t>
  </si>
  <si>
    <t>COAWEABKD</t>
  </si>
  <si>
    <t>4.COAWBK</t>
  </si>
  <si>
    <t>COAWBK</t>
  </si>
  <si>
    <t>4.COASKN</t>
  </si>
  <si>
    <t>COASKN</t>
  </si>
  <si>
    <t>4.COASKNBKD</t>
  </si>
  <si>
    <t>Уголь тощий спекающийся</t>
  </si>
  <si>
    <t>COASKNBKD</t>
  </si>
  <si>
    <t>4.CFPTR.COAANT</t>
  </si>
  <si>
    <t>4.CFPTR.COABRN</t>
  </si>
  <si>
    <t>4.CFPTR.COAGAS</t>
  </si>
  <si>
    <t>4.CFPTR.COAGASFAT</t>
  </si>
  <si>
    <t>4.CFPTR.COAGASFATWEA</t>
  </si>
  <si>
    <t>4.CFPTR.COALFM</t>
  </si>
  <si>
    <t>4.CFPTR.COALFMGAS</t>
  </si>
  <si>
    <t>4.CFPTR.COAFAT</t>
  </si>
  <si>
    <t>4.CFPTR.COACOK</t>
  </si>
  <si>
    <t>4.CFPTR.COACOKFAT</t>
  </si>
  <si>
    <t>4.CFPTR.COACOKWEA</t>
  </si>
  <si>
    <t>4.CFPTR.COACOKWBK</t>
  </si>
  <si>
    <t>4.CFPTR.COACOKWBKLMM</t>
  </si>
  <si>
    <t>4.CFPTR.COAWEABKD</t>
  </si>
  <si>
    <t>4.CFPTR.COAWBK</t>
  </si>
  <si>
    <t>4.CFPTR.COASKN</t>
  </si>
  <si>
    <t>4.CFPTR.COASKNBKD</t>
  </si>
  <si>
    <t>4.NFPTR.COAANT</t>
  </si>
  <si>
    <t>4.NFPTR.COABRN</t>
  </si>
  <si>
    <t>4.NFPTR.COAGAS</t>
  </si>
  <si>
    <t>4.NFPTR.COAGASFAT</t>
  </si>
  <si>
    <t>4.NFPTR.COAGASFATWEA</t>
  </si>
  <si>
    <t>4.NFPTR.COALFM</t>
  </si>
  <si>
    <t>4.NFPTR.COALFMGAS</t>
  </si>
  <si>
    <t>4.NFPTR.COAFAT</t>
  </si>
  <si>
    <t>4.NFPTR.COACOK</t>
  </si>
  <si>
    <t>4.NFPTR.COACOKFAT</t>
  </si>
  <si>
    <t>4.NFPTR.COACOKWEA</t>
  </si>
  <si>
    <t>4.NFPTR.COACOKWBK</t>
  </si>
  <si>
    <t>4.NFPTR.COACOKWBKLMM</t>
  </si>
  <si>
    <t>4.NFPTR.COAWEABKD</t>
  </si>
  <si>
    <t>4.NFPTR.COAWBK</t>
  </si>
  <si>
    <t>4.NFPTR.COASKN</t>
  </si>
  <si>
    <t>4.NFPTR.COASKNBKD</t>
  </si>
  <si>
    <t>4.CFV.COAANT</t>
  </si>
  <si>
    <t>4.CFV.COABRN</t>
  </si>
  <si>
    <t>4.CFV.COAGAS</t>
  </si>
  <si>
    <t>4.CFV.COAGASFAT</t>
  </si>
  <si>
    <t>4.CFV.COAGASFATWEA</t>
  </si>
  <si>
    <t>4.CFV.COALFM</t>
  </si>
  <si>
    <t>4.CFV.COALFMGAS</t>
  </si>
  <si>
    <t>4.CFV.COAFAT</t>
  </si>
  <si>
    <t>4.CFV.COACOK</t>
  </si>
  <si>
    <t>4.CFV.COACOKFAT</t>
  </si>
  <si>
    <t>4.CFV.COACOKWEA</t>
  </si>
  <si>
    <t>4.CFV.COACOKWBK</t>
  </si>
  <si>
    <t>4.CFV.COACOKWBKLMM</t>
  </si>
  <si>
    <t>4.CFV.COAWEABKD</t>
  </si>
  <si>
    <t>4.CFV.COAWBK</t>
  </si>
  <si>
    <t>4.CFV.COASKN</t>
  </si>
  <si>
    <t>4.CFV.COASKNBKD</t>
  </si>
  <si>
    <t>4.P.COAANT</t>
  </si>
  <si>
    <t>4.P.COABRN</t>
  </si>
  <si>
    <t>4.P.COAGAS</t>
  </si>
  <si>
    <t>4.P.COAGASFAT</t>
  </si>
  <si>
    <t>4.P.COAGASFATWEA</t>
  </si>
  <si>
    <t>4.P.COALFM</t>
  </si>
  <si>
    <t>4.P.COALFMGAS</t>
  </si>
  <si>
    <t>4.P.COAFAT</t>
  </si>
  <si>
    <t>4.P.COACOK</t>
  </si>
  <si>
    <t>4.P.COACOKFAT</t>
  </si>
  <si>
    <t>4.P.COACOKWEA</t>
  </si>
  <si>
    <t>4.P.COACOKWBK</t>
  </si>
  <si>
    <t>4.P.COACOKWBKLMM</t>
  </si>
  <si>
    <t>4.P.COAWEABKD</t>
  </si>
  <si>
    <t>4.P.COAWBK</t>
  </si>
  <si>
    <t>4.P.COASKN</t>
  </si>
  <si>
    <t>4.P.COASKNBKD</t>
  </si>
  <si>
    <t>4.CF.COAANT</t>
  </si>
  <si>
    <t>4.CF.COABRN</t>
  </si>
  <si>
    <t>4.CF.COAGAS</t>
  </si>
  <si>
    <t>4.CF.COAGASFAT</t>
  </si>
  <si>
    <t>4.CF.COAGASFATWEA</t>
  </si>
  <si>
    <t>4.CF.COALFM</t>
  </si>
  <si>
    <t>4.CF.COALFMGAS</t>
  </si>
  <si>
    <t>4.CF.COAFAT</t>
  </si>
  <si>
    <t>4.CF.COACOK</t>
  </si>
  <si>
    <t>4.CF.COACOKFAT</t>
  </si>
  <si>
    <t>4.CF.COACOKWEA</t>
  </si>
  <si>
    <t>4.CF.COACOKWBK</t>
  </si>
  <si>
    <t>4.CF.COACOKWBKLMM</t>
  </si>
  <si>
    <t>4.CF.COAWEABKD</t>
  </si>
  <si>
    <t>4.CF.COAWBK</t>
  </si>
  <si>
    <t>4.CF.COASKN</t>
  </si>
  <si>
    <t>4.CF.COASKNBKD</t>
  </si>
  <si>
    <t>4.NFV.COAANT</t>
  </si>
  <si>
    <t>4.NFV.COABRN</t>
  </si>
  <si>
    <t>4.NFV.COAGAS</t>
  </si>
  <si>
    <t>4.NFV.COAGASFAT</t>
  </si>
  <si>
    <t>4.NFV.COAGASFATWEA</t>
  </si>
  <si>
    <t>4.NFV.COALFM</t>
  </si>
  <si>
    <t>4.NFV.COALFMGAS</t>
  </si>
  <si>
    <t>4.NFV.COAFAT</t>
  </si>
  <si>
    <t>4.NFV.COACOK</t>
  </si>
  <si>
    <t>4.NFV.COACOKFAT</t>
  </si>
  <si>
    <t>4.NFV.COACOKWEA</t>
  </si>
  <si>
    <t>4.NFV.COACOKWBK</t>
  </si>
  <si>
    <t>4.NFV.COACOKWBKLMM</t>
  </si>
  <si>
    <t>4.NFV.COAWEABKD</t>
  </si>
  <si>
    <t>4.NFV.COAWBK</t>
  </si>
  <si>
    <t>4.NFV.COASKN</t>
  </si>
  <si>
    <t>4.NFV.COASKNBKD</t>
  </si>
  <si>
    <t>4.NFP.COAANT</t>
  </si>
  <si>
    <t>4.NFP.COABRN</t>
  </si>
  <si>
    <t>4.NFP.COAGAS</t>
  </si>
  <si>
    <t>4.NFP.COAGASFAT</t>
  </si>
  <si>
    <t>4.NFP.COAGASFATWEA</t>
  </si>
  <si>
    <t>4.NFP.COALFM</t>
  </si>
  <si>
    <t>4.NFP.COALFMGAS</t>
  </si>
  <si>
    <t>4.NFP.COAFAT</t>
  </si>
  <si>
    <t>4.NFP.COACOK</t>
  </si>
  <si>
    <t>4.NFP.COACOKFAT</t>
  </si>
  <si>
    <t>4.NFP.COACOKWEA</t>
  </si>
  <si>
    <t>4.NFP.COACOKWBK</t>
  </si>
  <si>
    <t>4.NFP.COACOKWBKLMM</t>
  </si>
  <si>
    <t>4.NFP.COAWEABKD</t>
  </si>
  <si>
    <t>4.NFP.COAWBK</t>
  </si>
  <si>
    <t>4.NFP.COASKN</t>
  </si>
  <si>
    <t>4.NFP.COASKNBKD</t>
  </si>
  <si>
    <t>4.NFC.COAANT</t>
  </si>
  <si>
    <t>4.NFC.COABRN</t>
  </si>
  <si>
    <t>4.NFC.COAGAS</t>
  </si>
  <si>
    <t>4.NFC.COAGASFAT</t>
  </si>
  <si>
    <t>4.NFC.COAGASFATWEA</t>
  </si>
  <si>
    <t>4.NFC.COALFM</t>
  </si>
  <si>
    <t>4.NFC.COALFMGAS</t>
  </si>
  <si>
    <t>4.NFC.COAFAT</t>
  </si>
  <si>
    <t>4.NFC.COACOK</t>
  </si>
  <si>
    <t>4.NFC.COACOKFAT</t>
  </si>
  <si>
    <t>4.NFC.COACOKWEA</t>
  </si>
  <si>
    <t>4.NFC.COACOKWBK</t>
  </si>
  <si>
    <t>4.NFC.COACOKWBKLMM</t>
  </si>
  <si>
    <t>4.NFC.COAWEABKD</t>
  </si>
  <si>
    <t>4.NFC.COAWBK</t>
  </si>
  <si>
    <t>4.NFC.COASKN</t>
  </si>
  <si>
    <t>4.NFC.COASKNBKD</t>
  </si>
  <si>
    <t>4.PATR.COAANT</t>
  </si>
  <si>
    <t>4.PATR.COABRN</t>
  </si>
  <si>
    <t>4.PATR.COAGAS</t>
  </si>
  <si>
    <t>4.PATR.COAGASFAT</t>
  </si>
  <si>
    <t>4.PATR.COAGASFATWEA</t>
  </si>
  <si>
    <t>4.PATR.COALFM</t>
  </si>
  <si>
    <t>4.PATR.COALFMGAS</t>
  </si>
  <si>
    <t>4.PATR.COAFAT</t>
  </si>
  <si>
    <t>4.PATR.COACOK</t>
  </si>
  <si>
    <t>4.PATR.COACOKFAT</t>
  </si>
  <si>
    <t>4.PATR.COACOKWEA</t>
  </si>
  <si>
    <t>4.PATR.COACOKWBK</t>
  </si>
  <si>
    <t>4.PATR.COACOKWBKLMM</t>
  </si>
  <si>
    <t>4.PATR.COAWEABKD</t>
  </si>
  <si>
    <t>4.PATR.COAWBK</t>
  </si>
  <si>
    <t>4.PATR.COASKN</t>
  </si>
  <si>
    <t>4.PATR.COASKNBKD</t>
  </si>
  <si>
    <t>4.VATR.COAANT</t>
  </si>
  <si>
    <t>4.VATR.COABRN</t>
  </si>
  <si>
    <t>4.VATR.COAGAS</t>
  </si>
  <si>
    <t>4.VATR.COAGASFAT</t>
  </si>
  <si>
    <t>4.VATR.COAGASFATWEA</t>
  </si>
  <si>
    <t>4.VATR.COALFM</t>
  </si>
  <si>
    <t>4.VATR.COALFMGAS</t>
  </si>
  <si>
    <t>4.VATR.COAFAT</t>
  </si>
  <si>
    <t>4.VATR.COACOK</t>
  </si>
  <si>
    <t>4.VATR.COACOKFAT</t>
  </si>
  <si>
    <t>4.VATR.COACOKWEA</t>
  </si>
  <si>
    <t>4.VATR.COACOKWBK</t>
  </si>
  <si>
    <t>4.VATR.COACOKWBKLMM</t>
  </si>
  <si>
    <t>4.VATR.COAWEABKD</t>
  </si>
  <si>
    <t>4.VATR.COAWBK</t>
  </si>
  <si>
    <t>4.VATR.COASKN</t>
  </si>
  <si>
    <t>4.VATR.COASKNBKD</t>
  </si>
  <si>
    <t>4.CATR.COAANT</t>
  </si>
  <si>
    <t>4.CATR.COABRN</t>
  </si>
  <si>
    <t>4.CATR.COAGAS</t>
  </si>
  <si>
    <t>4.CATR.COAGASFAT</t>
  </si>
  <si>
    <t>4.CATR.COAGASFATWEA</t>
  </si>
  <si>
    <t>4.CATR.COALFM</t>
  </si>
  <si>
    <t>4.CATR.COALFMGAS</t>
  </si>
  <si>
    <t>4.CATR.COAFAT</t>
  </si>
  <si>
    <t>4.CATR.COACOK</t>
  </si>
  <si>
    <t>4.CATR.COACOKFAT</t>
  </si>
  <si>
    <t>4.CATR.COACOKWEA</t>
  </si>
  <si>
    <t>4.CATR.COACOKWBK</t>
  </si>
  <si>
    <t>4.CATR.COACOKWBKLMM</t>
  </si>
  <si>
    <t>4.CATR.COAWEABKD</t>
  </si>
  <si>
    <t>4.CATR.COAWBK</t>
  </si>
  <si>
    <t>4.CATR.COASKN</t>
  </si>
  <si>
    <t>4.CATR.COASKNBKD</t>
  </si>
  <si>
    <t>4.PRTR.COAANT</t>
  </si>
  <si>
    <t>4.PRTR.COABRN</t>
  </si>
  <si>
    <t>4.PRTR.COAGAS</t>
  </si>
  <si>
    <t>4.PRTR.COAGASFAT</t>
  </si>
  <si>
    <t>4.PRTR.COAGASFATWEA</t>
  </si>
  <si>
    <t>4.PRTR.COALFM</t>
  </si>
  <si>
    <t>4.PRTR.COALFMGAS</t>
  </si>
  <si>
    <t>4.PRTR.COAFAT</t>
  </si>
  <si>
    <t>4.PRTR.COACOK</t>
  </si>
  <si>
    <t>4.PRTR.COACOKFAT</t>
  </si>
  <si>
    <t>4.PRTR.COACOKWEA</t>
  </si>
  <si>
    <t>4.PRTR.COACOKWBK</t>
  </si>
  <si>
    <t>4.PRTR.COACOKWBKLMM</t>
  </si>
  <si>
    <t>4.PRTR.COAWEABKD</t>
  </si>
  <si>
    <t>4.PRTR.COAWBK</t>
  </si>
  <si>
    <t>4.PRTR.COASKN</t>
  </si>
  <si>
    <t>4.PRTR.COASKNBKD</t>
  </si>
  <si>
    <t>4.VRTR.COAANT</t>
  </si>
  <si>
    <t>4.VRTR.COABRN</t>
  </si>
  <si>
    <t>4.VRTR.COAGAS</t>
  </si>
  <si>
    <t>4.VRTR.COAGASFAT</t>
  </si>
  <si>
    <t>4.VRTR.COAGASFATWEA</t>
  </si>
  <si>
    <t>4.VRTR.COALFM</t>
  </si>
  <si>
    <t>4.VRTR.COALFMGAS</t>
  </si>
  <si>
    <t>4.VRTR.COAFAT</t>
  </si>
  <si>
    <t>4.VRTR.COACOK</t>
  </si>
  <si>
    <t>4.VRTR.COACOKFAT</t>
  </si>
  <si>
    <t>4.VRTR.COACOKWEA</t>
  </si>
  <si>
    <t>4.VRTR.COACOKWBK</t>
  </si>
  <si>
    <t>4.VRTR.COACOKWBKLMM</t>
  </si>
  <si>
    <t>4.VRTR.COAWEABKD</t>
  </si>
  <si>
    <t>4.VRTR.COAWBK</t>
  </si>
  <si>
    <t>4.VRTR.COASKN</t>
  </si>
  <si>
    <t>4.VRTR.COASKNBKD</t>
  </si>
  <si>
    <t>4.CRTR.COAANT</t>
  </si>
  <si>
    <t>4.CRTR.COABRN</t>
  </si>
  <si>
    <t>4.CRTR.COAGAS</t>
  </si>
  <si>
    <t>4.CRTR.COAGASFAT</t>
  </si>
  <si>
    <t>4.CRTR.COAGASFATWEA</t>
  </si>
  <si>
    <t>4.CRTR.COALFM</t>
  </si>
  <si>
    <t>4.CRTR.COALFMGAS</t>
  </si>
  <si>
    <t>4.CRTR.COAFAT</t>
  </si>
  <si>
    <t>4.CRTR.COACOK</t>
  </si>
  <si>
    <t>4.CRTR.COACOKFAT</t>
  </si>
  <si>
    <t>4.CRTR.COACOKWEA</t>
  </si>
  <si>
    <t>4.CRTR.COACOKWBK</t>
  </si>
  <si>
    <t>4.CRTR.COACOKWBKLMM</t>
  </si>
  <si>
    <t>4.CRTR.COAWEABKD</t>
  </si>
  <si>
    <t>4.CRTR.COAWBK</t>
  </si>
  <si>
    <t>4.CRTR.COASKN</t>
  </si>
  <si>
    <t>4.CRTR.COASKNBKD</t>
  </si>
  <si>
    <t>4.POTR.COAANT</t>
  </si>
  <si>
    <t>4.POTR.COABRN</t>
  </si>
  <si>
    <t>4.POTR.COAGAS</t>
  </si>
  <si>
    <t>4.POTR.COAGASFAT</t>
  </si>
  <si>
    <t>4.POTR.COAGASFATWEA</t>
  </si>
  <si>
    <t>4.POTR.COALFM</t>
  </si>
  <si>
    <t>4.POTR.COALFMGAS</t>
  </si>
  <si>
    <t>4.POTR.COAFAT</t>
  </si>
  <si>
    <t>4.POTR.COACOK</t>
  </si>
  <si>
    <t>4.POTR.COACOKFAT</t>
  </si>
  <si>
    <t>4.POTR.COACOKWEA</t>
  </si>
  <si>
    <t>4.POTR.COACOKWBK</t>
  </si>
  <si>
    <t>4.POTR.COACOKWBKLMM</t>
  </si>
  <si>
    <t>4.POTR.COAWEABKD</t>
  </si>
  <si>
    <t>4.POTR.COAWBK</t>
  </si>
  <si>
    <t>4.POTR.COASKN</t>
  </si>
  <si>
    <t>4.POTR.COASKNBKD</t>
  </si>
  <si>
    <t>4.VOTR.COAANT</t>
  </si>
  <si>
    <t>4.VOTR.COABRN</t>
  </si>
  <si>
    <t>4.VOTR.COAGAS</t>
  </si>
  <si>
    <t>4.VOTR.COAGASFAT</t>
  </si>
  <si>
    <t>4.VOTR.COAGASFATWEA</t>
  </si>
  <si>
    <t>4.VOTR.COALFM</t>
  </si>
  <si>
    <t>4.VOTR.COALFMGAS</t>
  </si>
  <si>
    <t>4.VOTR.COAFAT</t>
  </si>
  <si>
    <t>4.VOTR.COACOK</t>
  </si>
  <si>
    <t>4.VOTR.COACOKFAT</t>
  </si>
  <si>
    <t>4.VOTR.COACOKWEA</t>
  </si>
  <si>
    <t>4.VOTR.COACOKWBK</t>
  </si>
  <si>
    <t>4.VOTR.COACOKWBKLMM</t>
  </si>
  <si>
    <t>4.VOTR.COAWEABKD</t>
  </si>
  <si>
    <t>4.VOTR.COAWBK</t>
  </si>
  <si>
    <t>4.VOTR.COASKN</t>
  </si>
  <si>
    <t>4.VOTR.COASKNBKD</t>
  </si>
  <si>
    <t>4.COTR.COAANT</t>
  </si>
  <si>
    <t>4.COTR.COABRN</t>
  </si>
  <si>
    <t>4.COTR.COAGAS</t>
  </si>
  <si>
    <t>4.COTR.COAGASFAT</t>
  </si>
  <si>
    <t>4.COTR.COAGASFATWEA</t>
  </si>
  <si>
    <t>4.COTR.COALFM</t>
  </si>
  <si>
    <t>4.COTR.COALFMGAS</t>
  </si>
  <si>
    <t>4.COTR.COAFAT</t>
  </si>
  <si>
    <t>4.COTR.COACOK</t>
  </si>
  <si>
    <t>4.COTR.COACOKFAT</t>
  </si>
  <si>
    <t>4.COTR.COACOKWEA</t>
  </si>
  <si>
    <t>4.COTR.COACOKWBK</t>
  </si>
  <si>
    <t>4.COTR.COACOKWBKLMM</t>
  </si>
  <si>
    <t>4.COTR.COAWEABKD</t>
  </si>
  <si>
    <t>4.COTR.COAWBK</t>
  </si>
  <si>
    <t>4.COTR.COASKN</t>
  </si>
  <si>
    <t>4.COTR.COASKNBKD</t>
  </si>
  <si>
    <r>
      <t xml:space="preserve">Выработка </t>
    </r>
    <r>
      <rPr>
        <sz val="8"/>
        <color indexed="10"/>
        <rFont val="Tahoma"/>
        <family val="2"/>
        <charset val="204"/>
      </rPr>
      <t>всего</t>
    </r>
  </si>
  <si>
    <t>22.1</t>
  </si>
  <si>
    <t>Выработка в горячей воде</t>
  </si>
  <si>
    <t>22.2</t>
  </si>
  <si>
    <t>Выработка в паре</t>
  </si>
  <si>
    <t>4.HW</t>
  </si>
  <si>
    <t>4.HW.NG</t>
  </si>
  <si>
    <t>4.HW.NGL</t>
  </si>
  <si>
    <t>4.HW.NGU</t>
  </si>
  <si>
    <t>4.HW.NGC</t>
  </si>
  <si>
    <t>4.HW.GBL</t>
  </si>
  <si>
    <t>4.HW.GCK</t>
  </si>
  <si>
    <t>4.HW.GOA</t>
  </si>
  <si>
    <t>4.HW.DSG</t>
  </si>
  <si>
    <t>4.HW.GCN</t>
  </si>
  <si>
    <t>4.HW.LNG</t>
  </si>
  <si>
    <t>4.HW.DSL</t>
  </si>
  <si>
    <t>4.HW.DSLA</t>
  </si>
  <si>
    <t>4.HW.DSLW</t>
  </si>
  <si>
    <t>4.HW.DSLS</t>
  </si>
  <si>
    <t>4.HW.DSLO</t>
  </si>
  <si>
    <t>4.HW.MST</t>
  </si>
  <si>
    <t>4.HW.MSTM40</t>
  </si>
  <si>
    <t>4.HW.MSTM100</t>
  </si>
  <si>
    <t>4.HW.MSTM200</t>
  </si>
  <si>
    <t>4.HW.MSTT</t>
  </si>
  <si>
    <t>4.HW.MSTF5</t>
  </si>
  <si>
    <t>4.HW.MSTF12</t>
  </si>
  <si>
    <t>4.HW.OIL</t>
  </si>
  <si>
    <t>4.HW.COA</t>
  </si>
  <si>
    <t>4.HW.COAANT</t>
  </si>
  <si>
    <t>4.HW.COABRN</t>
  </si>
  <si>
    <t>4.HW.COAGAS</t>
  </si>
  <si>
    <t>4.HW.COAGASFAT</t>
  </si>
  <si>
    <t>4.HW.COAGASFATWEA</t>
  </si>
  <si>
    <t>4.HW.COALFM</t>
  </si>
  <si>
    <t>4.HW.COALFMGAS</t>
  </si>
  <si>
    <t>4.HW.COAFAT</t>
  </si>
  <si>
    <t>4.HW.COACOK</t>
  </si>
  <si>
    <t>4.HW.COACOKFAT</t>
  </si>
  <si>
    <t>4.HW.COACOKWEA</t>
  </si>
  <si>
    <t>4.HW.COACOKWBK</t>
  </si>
  <si>
    <t>4.HW.COACOKWBKLMM</t>
  </si>
  <si>
    <t>4.HW.COAWEABKD</t>
  </si>
  <si>
    <t>4.HW.COAWBK</t>
  </si>
  <si>
    <t>4.HW.COASKN</t>
  </si>
  <si>
    <t>4.HW.COASKNBKD</t>
  </si>
  <si>
    <t>4.HW.ENR</t>
  </si>
  <si>
    <t>4.HW.PWR</t>
  </si>
  <si>
    <t>4.HW.CWD</t>
  </si>
  <si>
    <t>4.HW.WDS</t>
  </si>
  <si>
    <t>4.HW.PLT</t>
  </si>
  <si>
    <t>4.HW.SAW</t>
  </si>
  <si>
    <t>4.HW.PEA</t>
  </si>
  <si>
    <t>4.HW.SHL</t>
  </si>
  <si>
    <t>4.HW.STF</t>
  </si>
  <si>
    <t>4.HW.OTH</t>
  </si>
  <si>
    <t>Расходы на натуральное топливо с учётом транспортировки (перевозки) (топливо на технологические цели)</t>
  </si>
  <si>
    <t>Расходы на натуральное топливо с учётом транспортировки (перевозки) на выработку тепловой энергии в горячей воде</t>
  </si>
  <si>
    <t>Э.1.1</t>
  </si>
  <si>
    <t>Экономия операционных расходов</t>
  </si>
  <si>
    <t>Прирост экономии</t>
  </si>
  <si>
    <t>Э.1.2</t>
  </si>
  <si>
    <t>Суммарная экономия неподконтрольных расходов</t>
  </si>
  <si>
    <t>Э.1.3</t>
  </si>
  <si>
    <t>Экономия от снижения потребления ТЭ</t>
  </si>
  <si>
    <t>Э.1.4</t>
  </si>
  <si>
    <t>Экономия от снижения потребления ЭЭ</t>
  </si>
  <si>
    <t>Э.1.5</t>
  </si>
  <si>
    <t>Экономия от снижения потребления топлива</t>
  </si>
  <si>
    <t>Э.1.6</t>
  </si>
  <si>
    <t>Экономия от снижения потребления ХВС</t>
  </si>
  <si>
    <t>Э.1.7</t>
  </si>
  <si>
    <t>Экономия от снижения потребления ВО</t>
  </si>
  <si>
    <t>Э.1.8</t>
  </si>
  <si>
    <t>Экономия от снижения потребления ТН</t>
  </si>
  <si>
    <t>Э.1.9</t>
  </si>
  <si>
    <t>Экономия от снижения потребления ГВС</t>
  </si>
  <si>
    <t>Э.1.10</t>
  </si>
  <si>
    <t>Э.1.10.1.1</t>
  </si>
  <si>
    <t>направленная на финансирование других мероприятий инвестиционной программы</t>
  </si>
  <si>
    <t>Э.1.10.1.2</t>
  </si>
  <si>
    <t>Э.1.10.2.1</t>
  </si>
  <si>
    <t>оставшаяся в распоряжении регулируемой организации</t>
  </si>
  <si>
    <t>Э.1.10.2.2</t>
  </si>
  <si>
    <t>Э.1.11</t>
  </si>
  <si>
    <t>ПН</t>
  </si>
  <si>
    <t>Средства, начисленные регулируемой организацией в виде платы за сброс загрязняющих веществ в составе сточных вод сверх установленных нормативов состава сточных вод и (или) платы за негативное воздействие на работу централизованной системы водоотведения</t>
  </si>
  <si>
    <t>ТИ</t>
  </si>
  <si>
    <t>chehonadskihev</t>
  </si>
  <si>
    <t>ACCESS GRANTED</t>
  </si>
  <si>
    <t>Ардатовский муниципальный округ</t>
  </si>
  <si>
    <t>22502000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</si>
  <si>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</si>
  <si>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</si>
  <si>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</si>
  <si>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</si>
  <si>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округ</t>
  </si>
  <si>
    <t>22509000</t>
  </si>
  <si>
    <t>Большемурашкинский муниципальный округ</t>
  </si>
  <si>
    <t>22510000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</si>
  <si>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</si>
  <si>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</si>
  <si>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</si>
  <si>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</si>
  <si>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округ</t>
  </si>
  <si>
    <t>22515000</t>
  </si>
  <si>
    <t>Вачский муниципальный округ</t>
  </si>
  <si>
    <t>22517000</t>
  </si>
  <si>
    <t>Ветлужский муниципальный округ</t>
  </si>
  <si>
    <t>22518000</t>
  </si>
  <si>
    <t>Вознесенский муниципальный округ</t>
  </si>
  <si>
    <t>22519000</t>
  </si>
  <si>
    <t>Володарский муниципальный округ</t>
  </si>
  <si>
    <t>22520000</t>
  </si>
  <si>
    <t>Воротынский</t>
  </si>
  <si>
    <t>22719000</t>
  </si>
  <si>
    <t>Воскресенский муниципальный округ</t>
  </si>
  <si>
    <t>22522000</t>
  </si>
  <si>
    <t>Гагинский муниципальный округ</t>
  </si>
  <si>
    <t>22526000</t>
  </si>
  <si>
    <t>Городецкий муниципальный округ</t>
  </si>
  <si>
    <t>22528000</t>
  </si>
  <si>
    <t>Дальнеконстантиновский муниципальный округ</t>
  </si>
  <si>
    <t>22530000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</si>
  <si>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</si>
  <si>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</si>
  <si>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</si>
  <si>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</si>
  <si>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округ</t>
  </si>
  <si>
    <t>22533000</t>
  </si>
  <si>
    <t>Ковернинский муниципальный округ</t>
  </si>
  <si>
    <t>22534000</t>
  </si>
  <si>
    <t>Краснобаковский муниципальный округ</t>
  </si>
  <si>
    <t>22535000</t>
  </si>
  <si>
    <t>Краснооктябрьский муниципальный округ</t>
  </si>
  <si>
    <t>22536000</t>
  </si>
  <si>
    <t>Кстовский муниципальный округ</t>
  </si>
  <si>
    <t>22537000</t>
  </si>
  <si>
    <t>Лукояновский муниципальный округ</t>
  </si>
  <si>
    <t>22539000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</si>
  <si>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</si>
  <si>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</si>
  <si>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</si>
  <si>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</si>
  <si>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</si>
  <si>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</si>
  <si>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</si>
  <si>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</si>
  <si>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округ</t>
  </si>
  <si>
    <t>22545000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</si>
  <si>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</si>
  <si>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</si>
  <si>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</si>
  <si>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</si>
  <si>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округ</t>
  </si>
  <si>
    <t>22548000</t>
  </si>
  <si>
    <t>Сеченовский муниципальный округ</t>
  </si>
  <si>
    <t>22549000</t>
  </si>
  <si>
    <t>Сокольский</t>
  </si>
  <si>
    <t>22749000</t>
  </si>
  <si>
    <t>Сосновский муниципальный округ</t>
  </si>
  <si>
    <t>22550000</t>
  </si>
  <si>
    <t>Спасский муниципальный округ</t>
  </si>
  <si>
    <t>22551000</t>
  </si>
  <si>
    <t>Тонкинский муниципальный округ</t>
  </si>
  <si>
    <t>22552000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</si>
  <si>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</si>
  <si>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</si>
  <si>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</si>
  <si>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</si>
  <si>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округ</t>
  </si>
  <si>
    <t>22556000</t>
  </si>
  <si>
    <t>Шатковский муниципальный округ</t>
  </si>
  <si>
    <t>22557000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</si>
  <si>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</si>
  <si>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</si>
  <si>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</si>
  <si>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</si>
  <si>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</si>
  <si>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</si>
  <si>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</si>
  <si>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</si>
  <si>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</si>
  <si>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</si>
  <si>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</si>
  <si>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</si>
  <si>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</si>
  <si>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</si>
  <si>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</si>
  <si>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</si>
  <si>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</si>
  <si>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</si>
  <si>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</si>
  <si>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</si>
  <si>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</si>
  <si>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</si>
  <si>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</si>
  <si>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</si>
  <si>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</si>
  <si>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</si>
  <si>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</si>
  <si>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</si>
  <si>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</si>
  <si>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</si>
  <si>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</si>
  <si>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</si>
  <si>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</si>
  <si>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</si>
  <si>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</si>
  <si>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</si>
  <si>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</si>
  <si>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</si>
  <si>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</si>
  <si>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</si>
  <si>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</si>
  <si>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</si>
  <si>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</si>
  <si>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</si>
  <si>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</si>
  <si>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</si>
  <si>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</si>
  <si>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</si>
  <si>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</si>
  <si>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</si>
  <si>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</si>
  <si>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</si>
  <si>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</si>
  <si>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</si>
  <si>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</si>
  <si>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</si>
  <si>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</si>
  <si>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</si>
  <si>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</si>
  <si>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</si>
  <si>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</si>
  <si>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</si>
  <si>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</si>
  <si>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</si>
  <si>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</si>
  <si>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</si>
  <si>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</si>
  <si>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</si>
  <si>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</si>
  <si>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МР</t>
  </si>
  <si>
    <t>ТИП МО</t>
  </si>
  <si>
    <t>КОЛ-ВО ЖИТЕЛЕЙ</t>
  </si>
  <si>
    <t>ИМЯ ДИАПАЗОНА</t>
  </si>
  <si>
    <t>Только МР</t>
  </si>
  <si>
    <t>Только ГО</t>
  </si>
  <si>
    <t>Только ГП</t>
  </si>
  <si>
    <t>Только СП</t>
  </si>
  <si>
    <t>Все МО</t>
  </si>
  <si>
    <t>Только МО</t>
  </si>
  <si>
    <t>Дата последнего обновления реестра МР/МО/ОКТМО: 09.09.2025 10:29:55</t>
  </si>
  <si>
    <t>22502000051</t>
  </si>
  <si>
    <t>рп Ардатов</t>
  </si>
  <si>
    <t>22502000053</t>
  </si>
  <si>
    <t>рп Мухтолово</t>
  </si>
  <si>
    <t>22502000106</t>
  </si>
  <si>
    <t>с Александровка</t>
  </si>
  <si>
    <t>22502000111</t>
  </si>
  <si>
    <t>с Березовка</t>
  </si>
  <si>
    <t>22502000116</t>
  </si>
  <si>
    <t>с Гари</t>
  </si>
  <si>
    <t>22502000121</t>
  </si>
  <si>
    <t>с Дубовка</t>
  </si>
  <si>
    <t>22502000126</t>
  </si>
  <si>
    <t>с Журелейка</t>
  </si>
  <si>
    <t>22502000131</t>
  </si>
  <si>
    <t>с Измайловка</t>
  </si>
  <si>
    <t>22502000136</t>
  </si>
  <si>
    <t>д Кавлей</t>
  </si>
  <si>
    <t>22502000141</t>
  </si>
  <si>
    <t>д Каркалей</t>
  </si>
  <si>
    <t>22502000146</t>
  </si>
  <si>
    <t>с Кармалейка</t>
  </si>
  <si>
    <t>22502000151</t>
  </si>
  <si>
    <t>с Котовка</t>
  </si>
  <si>
    <t>22502000156</t>
  </si>
  <si>
    <t>с Кудлей</t>
  </si>
  <si>
    <t>22502000161</t>
  </si>
  <si>
    <t>с Леметь</t>
  </si>
  <si>
    <t>22502000166</t>
  </si>
  <si>
    <t>д Новолей</t>
  </si>
  <si>
    <t>22502000171</t>
  </si>
  <si>
    <t>д Обход</t>
  </si>
  <si>
    <t>22502000176</t>
  </si>
  <si>
    <t>с Поляна</t>
  </si>
  <si>
    <t>22502000181</t>
  </si>
  <si>
    <t>с Сиязьма</t>
  </si>
  <si>
    <t>22502000186</t>
  </si>
  <si>
    <t>с Сосновка / Входит в состав административно-территориального образования рабочий поселок Ардатов</t>
  </si>
  <si>
    <t>22502000191</t>
  </si>
  <si>
    <t>д Ужовка</t>
  </si>
  <si>
    <t>22502000196</t>
  </si>
  <si>
    <t>д Урвань</t>
  </si>
  <si>
    <t>22502000201</t>
  </si>
  <si>
    <t>с Чуварлейка</t>
  </si>
  <si>
    <t>22502000206</t>
  </si>
  <si>
    <t>с Чуварлей-Майдан</t>
  </si>
  <si>
    <t>22502000211</t>
  </si>
  <si>
    <t>п Венец</t>
  </si>
  <si>
    <t>22502000216</t>
  </si>
  <si>
    <t>д Помелиха</t>
  </si>
  <si>
    <t>22502000221</t>
  </si>
  <si>
    <t>п Саконы</t>
  </si>
  <si>
    <t>22502000226</t>
  </si>
  <si>
    <t>д Беляево</t>
  </si>
  <si>
    <t>22502000231</t>
  </si>
  <si>
    <t>д Высоково</t>
  </si>
  <si>
    <t>22502000236</t>
  </si>
  <si>
    <t>с Кужендеево</t>
  </si>
  <si>
    <t>22502000241</t>
  </si>
  <si>
    <t>с Выползово</t>
  </si>
  <si>
    <t>22502000246</t>
  </si>
  <si>
    <t>с Голяткино</t>
  </si>
  <si>
    <t>22502000251</t>
  </si>
  <si>
    <t>д Докукино</t>
  </si>
  <si>
    <t>22502000256</t>
  </si>
  <si>
    <t>п Красная Речка</t>
  </si>
  <si>
    <t>22502000261</t>
  </si>
  <si>
    <t>с Левашово</t>
  </si>
  <si>
    <t>22502000266</t>
  </si>
  <si>
    <t>с Липовка</t>
  </si>
  <si>
    <t>22502000271</t>
  </si>
  <si>
    <t>с Личадеево</t>
  </si>
  <si>
    <t>22502000276</t>
  </si>
  <si>
    <t>с Мечасово</t>
  </si>
  <si>
    <t>22502000281</t>
  </si>
  <si>
    <t>д Новая Лазаревка</t>
  </si>
  <si>
    <t>22502000286</t>
  </si>
  <si>
    <t>с Автодеево</t>
  </si>
  <si>
    <t>22502000291</t>
  </si>
  <si>
    <t>д Вишневая</t>
  </si>
  <si>
    <t>22502000296</t>
  </si>
  <si>
    <t>с Канерга</t>
  </si>
  <si>
    <t>22502000301</t>
  </si>
  <si>
    <t>с Михеевка</t>
  </si>
  <si>
    <t>22502000306</t>
  </si>
  <si>
    <t>д Миякуши</t>
  </si>
  <si>
    <t>22502000311</t>
  </si>
  <si>
    <t>с Нучарово</t>
  </si>
  <si>
    <t>22502000316</t>
  </si>
  <si>
    <t>с Размазлей</t>
  </si>
  <si>
    <t>22502000321</t>
  </si>
  <si>
    <t>с Саконы</t>
  </si>
  <si>
    <t>22502000326</t>
  </si>
  <si>
    <t>с Туркуши</t>
  </si>
  <si>
    <t>22502000331</t>
  </si>
  <si>
    <t>д Туртапки</t>
  </si>
  <si>
    <t>22502000336</t>
  </si>
  <si>
    <t>д Шпага</t>
  </si>
  <si>
    <t>22502000341</t>
  </si>
  <si>
    <t>п Виноградовка</t>
  </si>
  <si>
    <t>22502000346</t>
  </si>
  <si>
    <t>с Заречное</t>
  </si>
  <si>
    <t>22502000351</t>
  </si>
  <si>
    <t>п Идеал</t>
  </si>
  <si>
    <t>22502000356</t>
  </si>
  <si>
    <t>с Кологреево</t>
  </si>
  <si>
    <t>22502000361</t>
  </si>
  <si>
    <t>с Круглово</t>
  </si>
  <si>
    <t>22502000366</t>
  </si>
  <si>
    <t>д Кузгородь</t>
  </si>
  <si>
    <t>22502000371</t>
  </si>
  <si>
    <t>с Кузятово</t>
  </si>
  <si>
    <t>22502000376</t>
  </si>
  <si>
    <t>д Липелей</t>
  </si>
  <si>
    <t>22502000381</t>
  </si>
  <si>
    <t>с Нуча</t>
  </si>
  <si>
    <t>22502000386</t>
  </si>
  <si>
    <t>с Пашутино</t>
  </si>
  <si>
    <t>22502000391</t>
  </si>
  <si>
    <t>п Первинка</t>
  </si>
  <si>
    <t>22502000396</t>
  </si>
  <si>
    <t>с Писарево</t>
  </si>
  <si>
    <t>22502000401</t>
  </si>
  <si>
    <t>с Ризадеево</t>
  </si>
  <si>
    <t>22502000406</t>
  </si>
  <si>
    <t>с Сосновка / Входит в состав административно-территориального образования Стексовский сельсовет</t>
  </si>
  <si>
    <t>22502000411</t>
  </si>
  <si>
    <t>с Стексово</t>
  </si>
  <si>
    <t>22502000416</t>
  </si>
  <si>
    <t>д Щеточное</t>
  </si>
  <si>
    <t>22502000421</t>
  </si>
  <si>
    <t>с Атемасово</t>
  </si>
  <si>
    <t>22502000426</t>
  </si>
  <si>
    <t>д Малиновка</t>
  </si>
  <si>
    <t>22502000431</t>
  </si>
  <si>
    <t>д Малые Паны</t>
  </si>
  <si>
    <t>22502000436</t>
  </si>
  <si>
    <t>д Мостовка</t>
  </si>
  <si>
    <t>22502000441</t>
  </si>
  <si>
    <t>п Мыза</t>
  </si>
  <si>
    <t>22502000446</t>
  </si>
  <si>
    <t>с Надежино</t>
  </si>
  <si>
    <t>22502000451</t>
  </si>
  <si>
    <t>с Хохлово</t>
  </si>
  <si>
    <t>22502000456</t>
  </si>
  <si>
    <t>с Хрипуново</t>
  </si>
  <si>
    <t>22502000461</t>
  </si>
  <si>
    <t>д Четвертово</t>
  </si>
  <si>
    <t>22502000466</t>
  </si>
  <si>
    <t>с Юсупово</t>
  </si>
  <si>
    <t>22505000001</t>
  </si>
  <si>
    <t>г Балахна</t>
  </si>
  <si>
    <t>22505000053</t>
  </si>
  <si>
    <t>рп Большое Козино</t>
  </si>
  <si>
    <t>22505000055</t>
  </si>
  <si>
    <t>рп Гидроторф</t>
  </si>
  <si>
    <t>22505000056</t>
  </si>
  <si>
    <t>рп Лукино</t>
  </si>
  <si>
    <t>22505000058</t>
  </si>
  <si>
    <t>рп Малое Козино</t>
  </si>
  <si>
    <t>22505000060</t>
  </si>
  <si>
    <t>рп Первое Мая</t>
  </si>
  <si>
    <t>22505000106</t>
  </si>
  <si>
    <t>п Костенево</t>
  </si>
  <si>
    <t>22505000111</t>
  </si>
  <si>
    <t>п Ляхово</t>
  </si>
  <si>
    <t>22505000116</t>
  </si>
  <si>
    <t>п Ляховский Борок</t>
  </si>
  <si>
    <t>22505000121</t>
  </si>
  <si>
    <t>п Первое Мая</t>
  </si>
  <si>
    <t>22505000126</t>
  </si>
  <si>
    <t>д Алферово</t>
  </si>
  <si>
    <t>22505000131</t>
  </si>
  <si>
    <t>д Бабье</t>
  </si>
  <si>
    <t>22505000136</t>
  </si>
  <si>
    <t>д Ватагино</t>
  </si>
  <si>
    <t>22505000141</t>
  </si>
  <si>
    <t>д Гриденино</t>
  </si>
  <si>
    <t>22505000146</t>
  </si>
  <si>
    <t>д Замятино</t>
  </si>
  <si>
    <t>22505000151</t>
  </si>
  <si>
    <t>д Каданово</t>
  </si>
  <si>
    <t>22505000156</t>
  </si>
  <si>
    <t>д Рылово</t>
  </si>
  <si>
    <t>22505000161</t>
  </si>
  <si>
    <t>д Тычинино</t>
  </si>
  <si>
    <t>22505000166</t>
  </si>
  <si>
    <t>д Чуркино</t>
  </si>
  <si>
    <t>22505000171</t>
  </si>
  <si>
    <t>д Шалимово</t>
  </si>
  <si>
    <t>22505000176</t>
  </si>
  <si>
    <t>д Яснево</t>
  </si>
  <si>
    <t>22505000181</t>
  </si>
  <si>
    <t>д Бредово</t>
  </si>
  <si>
    <t>22505000186</t>
  </si>
  <si>
    <t>д Бурцево</t>
  </si>
  <si>
    <t>22505000191</t>
  </si>
  <si>
    <t>д Конево</t>
  </si>
  <si>
    <t>22505000196</t>
  </si>
  <si>
    <t>д Малинино</t>
  </si>
  <si>
    <t>22505000201</t>
  </si>
  <si>
    <t>д Погарново</t>
  </si>
  <si>
    <t>22505000206</t>
  </si>
  <si>
    <t>д Сонино</t>
  </si>
  <si>
    <t>22505000211</t>
  </si>
  <si>
    <t>д Юрино</t>
  </si>
  <si>
    <t>22505000216</t>
  </si>
  <si>
    <t>д Беловская</t>
  </si>
  <si>
    <t>22505000221</t>
  </si>
  <si>
    <t>д Большие Могильцы</t>
  </si>
  <si>
    <t>22505000226</t>
  </si>
  <si>
    <t>д Истомино</t>
  </si>
  <si>
    <t>22505000231</t>
  </si>
  <si>
    <t>д Коробейниково</t>
  </si>
  <si>
    <t>22505000236</t>
  </si>
  <si>
    <t>д Кочергино</t>
  </si>
  <si>
    <t>22505000241</t>
  </si>
  <si>
    <t>д Липовки</t>
  </si>
  <si>
    <t>22505000246</t>
  </si>
  <si>
    <t>п рзд Липовки</t>
  </si>
  <si>
    <t>22505000251</t>
  </si>
  <si>
    <t>д Ляпуниха</t>
  </si>
  <si>
    <t>22505000256</t>
  </si>
  <si>
    <t>д Малые Могильцы</t>
  </si>
  <si>
    <t>22505000261</t>
  </si>
  <si>
    <t>д Постниково</t>
  </si>
  <si>
    <t>22505000266</t>
  </si>
  <si>
    <t>п Совхозный</t>
  </si>
  <si>
    <t>22505000271</t>
  </si>
  <si>
    <t>д Трестьяны</t>
  </si>
  <si>
    <t>22505000276</t>
  </si>
  <si>
    <t>д Черная</t>
  </si>
  <si>
    <t>22505000281</t>
  </si>
  <si>
    <t>д Шишкино</t>
  </si>
  <si>
    <t>22505000286</t>
  </si>
  <si>
    <t>д Галкино</t>
  </si>
  <si>
    <t>22505000291</t>
  </si>
  <si>
    <t>д Гумнищи</t>
  </si>
  <si>
    <t>22505000296</t>
  </si>
  <si>
    <t>д Смирино</t>
  </si>
  <si>
    <t>22505000301</t>
  </si>
  <si>
    <t>д Шеляухово</t>
  </si>
  <si>
    <t>22507000001</t>
  </si>
  <si>
    <t>г Богородск</t>
  </si>
  <si>
    <t>22507000103</t>
  </si>
  <si>
    <t>с Алешково</t>
  </si>
  <si>
    <t>22507000106</t>
  </si>
  <si>
    <t>д Антеньево</t>
  </si>
  <si>
    <t>22507000111</t>
  </si>
  <si>
    <t>с Арапово</t>
  </si>
  <si>
    <t>22507000116</t>
  </si>
  <si>
    <t>д Баркино</t>
  </si>
  <si>
    <t>22507000121</t>
  </si>
  <si>
    <t>д Венец</t>
  </si>
  <si>
    <t>22507000126</t>
  </si>
  <si>
    <t>д Вознесенское</t>
  </si>
  <si>
    <t>22507000131</t>
  </si>
  <si>
    <t>д Воронцово</t>
  </si>
  <si>
    <t>22507000136</t>
  </si>
  <si>
    <t>д Выболово</t>
  </si>
  <si>
    <t>22507000141</t>
  </si>
  <si>
    <t>д Демидово</t>
  </si>
  <si>
    <t>22507000146</t>
  </si>
  <si>
    <t>д Дубенки</t>
  </si>
  <si>
    <t>22507000151</t>
  </si>
  <si>
    <t>д Каликино</t>
  </si>
  <si>
    <t>22507000156</t>
  </si>
  <si>
    <t>д Колесницы</t>
  </si>
  <si>
    <t>22507000161</t>
  </si>
  <si>
    <t>д Крастелиха</t>
  </si>
  <si>
    <t>22507000166</t>
  </si>
  <si>
    <t>д Крутец / Входит в состав административно-территориального образования Алешковский сельсовет</t>
  </si>
  <si>
    <t>22507000171</t>
  </si>
  <si>
    <t>д Кудрешки</t>
  </si>
  <si>
    <t>22507000176</t>
  </si>
  <si>
    <t>д Непецино</t>
  </si>
  <si>
    <t>22507000181</t>
  </si>
  <si>
    <t>д Песочное</t>
  </si>
  <si>
    <t>22507000186</t>
  </si>
  <si>
    <t>д Победиха</t>
  </si>
  <si>
    <t>22507000191</t>
  </si>
  <si>
    <t>с Подвязье</t>
  </si>
  <si>
    <t>22507000196</t>
  </si>
  <si>
    <t>д Подъяблонное</t>
  </si>
  <si>
    <t>22507000201</t>
  </si>
  <si>
    <t>д Полец</t>
  </si>
  <si>
    <t>22507000206</t>
  </si>
  <si>
    <t>д Санниково</t>
  </si>
  <si>
    <t>22507000211</t>
  </si>
  <si>
    <t>д Сляднево</t>
  </si>
  <si>
    <t>22507000216</t>
  </si>
  <si>
    <t>д Теряево</t>
  </si>
  <si>
    <t>22507000221</t>
  </si>
  <si>
    <t>д Тетерюгино</t>
  </si>
  <si>
    <t>22507000226</t>
  </si>
  <si>
    <t>д Тимонино</t>
  </si>
  <si>
    <t>22507000231</t>
  </si>
  <si>
    <t>22507000236</t>
  </si>
  <si>
    <t>с Убежицы</t>
  </si>
  <si>
    <t>22507000241</t>
  </si>
  <si>
    <t>д Ушаково / Входит в состав административно-территориального образования Алешковский сельсовет</t>
  </si>
  <si>
    <t>22507000246</t>
  </si>
  <si>
    <t>д Ченцово</t>
  </si>
  <si>
    <t>22507000251</t>
  </si>
  <si>
    <t>д Швариха</t>
  </si>
  <si>
    <t>22507000256</t>
  </si>
  <si>
    <t>д Шопово</t>
  </si>
  <si>
    <t>22507000261</t>
  </si>
  <si>
    <t>д Шуклино</t>
  </si>
  <si>
    <t>22507000266</t>
  </si>
  <si>
    <t>д Банниково</t>
  </si>
  <si>
    <t>22507000271</t>
  </si>
  <si>
    <t>п Буревестник</t>
  </si>
  <si>
    <t>22507000276</t>
  </si>
  <si>
    <t>22507000281</t>
  </si>
  <si>
    <t>д Великосельево</t>
  </si>
  <si>
    <t>22507000286</t>
  </si>
  <si>
    <t>с Доскино</t>
  </si>
  <si>
    <t>22507000291</t>
  </si>
  <si>
    <t>с Ефимьево</t>
  </si>
  <si>
    <t>22507000296</t>
  </si>
  <si>
    <t>д Копнино</t>
  </si>
  <si>
    <t>22507000301</t>
  </si>
  <si>
    <t>д Крутец / Входит в состав административно-территориального образования Доскинский сельсовет</t>
  </si>
  <si>
    <t>22507000306</t>
  </si>
  <si>
    <t>п Мирный</t>
  </si>
  <si>
    <t>22507000311</t>
  </si>
  <si>
    <t>п Окский</t>
  </si>
  <si>
    <t>22507000316</t>
  </si>
  <si>
    <t>д Поляны</t>
  </si>
  <si>
    <t>22507000321</t>
  </si>
  <si>
    <t>д Стрелково</t>
  </si>
  <si>
    <t>22507000326</t>
  </si>
  <si>
    <t>д Хватково</t>
  </si>
  <si>
    <t>22507000331</t>
  </si>
  <si>
    <t>д Шумилово</t>
  </si>
  <si>
    <t>22507000336</t>
  </si>
  <si>
    <t>д Березовка</t>
  </si>
  <si>
    <t>22507000341</t>
  </si>
  <si>
    <t>с Дуденево</t>
  </si>
  <si>
    <t>22507000346</t>
  </si>
  <si>
    <t>д Заозерье</t>
  </si>
  <si>
    <t>22507000351</t>
  </si>
  <si>
    <t>д Кожевенное</t>
  </si>
  <si>
    <t>22507000356</t>
  </si>
  <si>
    <t>д Оленино</t>
  </si>
  <si>
    <t>22507000361</t>
  </si>
  <si>
    <t>д Оринкино</t>
  </si>
  <si>
    <t>22507000366</t>
  </si>
  <si>
    <t>д Охотино</t>
  </si>
  <si>
    <t>22507000371</t>
  </si>
  <si>
    <t>д Сокол</t>
  </si>
  <si>
    <t>22507000376</t>
  </si>
  <si>
    <t>д Сысоевка</t>
  </si>
  <si>
    <t>22507000381</t>
  </si>
  <si>
    <t>д Хабарское</t>
  </si>
  <si>
    <t>22507000386</t>
  </si>
  <si>
    <t>п Андриановка</t>
  </si>
  <si>
    <t>22507000391</t>
  </si>
  <si>
    <t>д Анкудиновка</t>
  </si>
  <si>
    <t>22507000396</t>
  </si>
  <si>
    <t>д Букино</t>
  </si>
  <si>
    <t>22507000401</t>
  </si>
  <si>
    <t>д Гари</t>
  </si>
  <si>
    <t>22507000406</t>
  </si>
  <si>
    <t>п Горядниха</t>
  </si>
  <si>
    <t>22507000411</t>
  </si>
  <si>
    <t>д Гремячки</t>
  </si>
  <si>
    <t>22507000416</t>
  </si>
  <si>
    <t>д Зименки</t>
  </si>
  <si>
    <t>22507000421</t>
  </si>
  <si>
    <t>д Инютино</t>
  </si>
  <si>
    <t>22507000426</t>
  </si>
  <si>
    <t>с Каменки</t>
  </si>
  <si>
    <t>22507000431</t>
  </si>
  <si>
    <t>п Каменный</t>
  </si>
  <si>
    <t>22507000436</t>
  </si>
  <si>
    <t>д Карпово</t>
  </si>
  <si>
    <t>22507000441</t>
  </si>
  <si>
    <t>д Касаниха</t>
  </si>
  <si>
    <t>22507000446</t>
  </si>
  <si>
    <t>д Килелей</t>
  </si>
  <si>
    <t>22507000451</t>
  </si>
  <si>
    <t>п Комсомольский</t>
  </si>
  <si>
    <t>22507000456</t>
  </si>
  <si>
    <t>п Красный Кирпичник</t>
  </si>
  <si>
    <t>22507000461</t>
  </si>
  <si>
    <t>п Лисьи Ямки</t>
  </si>
  <si>
    <t>22507000466</t>
  </si>
  <si>
    <t>д Лом</t>
  </si>
  <si>
    <t>22507000471</t>
  </si>
  <si>
    <t>п Лопатино</t>
  </si>
  <si>
    <t>22507000476</t>
  </si>
  <si>
    <t>п Майоровка</t>
  </si>
  <si>
    <t>22507000481</t>
  </si>
  <si>
    <t>п Новая Слобода</t>
  </si>
  <si>
    <t>22507000486</t>
  </si>
  <si>
    <t>п им Первое Мая</t>
  </si>
  <si>
    <t>22507000491</t>
  </si>
  <si>
    <t>д Пруды</t>
  </si>
  <si>
    <t>22507000496</t>
  </si>
  <si>
    <t>п Северная Колта</t>
  </si>
  <si>
    <t>22507000501</t>
  </si>
  <si>
    <t>с Спирино</t>
  </si>
  <si>
    <t>22507000506</t>
  </si>
  <si>
    <t>п Ункор</t>
  </si>
  <si>
    <t>22507000511</t>
  </si>
  <si>
    <t>д Ушаково / Входит в состав административно-территориального образования Каменский сельсовет</t>
  </si>
  <si>
    <t>22507000516</t>
  </si>
  <si>
    <t>п Чаглово</t>
  </si>
  <si>
    <t>22507000521</t>
  </si>
  <si>
    <t>д Чапурда</t>
  </si>
  <si>
    <t>22507000526</t>
  </si>
  <si>
    <t>д Алексеевка</t>
  </si>
  <si>
    <t>22507000531</t>
  </si>
  <si>
    <t>д Бочеево</t>
  </si>
  <si>
    <t>22507000536</t>
  </si>
  <si>
    <t>д Вязовец</t>
  </si>
  <si>
    <t>22507000541</t>
  </si>
  <si>
    <t>с Ивановское</t>
  </si>
  <si>
    <t>22507000546</t>
  </si>
  <si>
    <t>д Ионовка</t>
  </si>
  <si>
    <t>22507000551</t>
  </si>
  <si>
    <t>д Ключищи</t>
  </si>
  <si>
    <t>22507000556</t>
  </si>
  <si>
    <t>д Крутиха</t>
  </si>
  <si>
    <t>22507000561</t>
  </si>
  <si>
    <t>д Кубаево</t>
  </si>
  <si>
    <t>22507000566</t>
  </si>
  <si>
    <t>п Лесной</t>
  </si>
  <si>
    <t>22507000571</t>
  </si>
  <si>
    <t>д Макариха</t>
  </si>
  <si>
    <t>22507000576</t>
  </si>
  <si>
    <t>22507000581</t>
  </si>
  <si>
    <t>д Натальино</t>
  </si>
  <si>
    <t>22507000586</t>
  </si>
  <si>
    <t>д Новинки</t>
  </si>
  <si>
    <t>22507000591</t>
  </si>
  <si>
    <t>с Оранки</t>
  </si>
  <si>
    <t>22507000596</t>
  </si>
  <si>
    <t>д Поспелиха</t>
  </si>
  <si>
    <t>22507000601</t>
  </si>
  <si>
    <t>д Сохтанка</t>
  </si>
  <si>
    <t>22507000606</t>
  </si>
  <si>
    <t>д Сухоблюдное</t>
  </si>
  <si>
    <t>22507000611</t>
  </si>
  <si>
    <t>с Хвощевка</t>
  </si>
  <si>
    <t>22507000616</t>
  </si>
  <si>
    <t>с Шарголи</t>
  </si>
  <si>
    <t>22507000621</t>
  </si>
  <si>
    <t>д Шарголи</t>
  </si>
  <si>
    <t>22507000626</t>
  </si>
  <si>
    <t>д Шилово</t>
  </si>
  <si>
    <t>22507000631</t>
  </si>
  <si>
    <t>д Шониха</t>
  </si>
  <si>
    <t>22507000636</t>
  </si>
  <si>
    <t>п.ст Шониха</t>
  </si>
  <si>
    <t>22507000641</t>
  </si>
  <si>
    <t>д Ягодное</t>
  </si>
  <si>
    <t>22507000646</t>
  </si>
  <si>
    <t>с Алистеево</t>
  </si>
  <si>
    <t>22507000651</t>
  </si>
  <si>
    <t>д Андреевка</t>
  </si>
  <si>
    <t>22507000656</t>
  </si>
  <si>
    <t>с Афанасьево</t>
  </si>
  <si>
    <t>22507000661</t>
  </si>
  <si>
    <t>д Большое Бедрино</t>
  </si>
  <si>
    <t>22507000666</t>
  </si>
  <si>
    <t>д Выползово</t>
  </si>
  <si>
    <t>22507000671</t>
  </si>
  <si>
    <t>22507000676</t>
  </si>
  <si>
    <t>д Еловицы</t>
  </si>
  <si>
    <t>22507000681</t>
  </si>
  <si>
    <t>п Зеленый Дол</t>
  </si>
  <si>
    <t>22507000686</t>
  </si>
  <si>
    <t>д Каленки</t>
  </si>
  <si>
    <t>22507000691</t>
  </si>
  <si>
    <t>д Киргино</t>
  </si>
  <si>
    <t>22507000696</t>
  </si>
  <si>
    <t>д Крашово</t>
  </si>
  <si>
    <t>22507000701</t>
  </si>
  <si>
    <t>д Кузнецово</t>
  </si>
  <si>
    <t>22507000706</t>
  </si>
  <si>
    <t>д Куликово</t>
  </si>
  <si>
    <t>22507000711</t>
  </si>
  <si>
    <t>д Лазарево</t>
  </si>
  <si>
    <t>22507000716</t>
  </si>
  <si>
    <t>с Лакша</t>
  </si>
  <si>
    <t>22507000721</t>
  </si>
  <si>
    <t>с Лукино</t>
  </si>
  <si>
    <t>22507000726</t>
  </si>
  <si>
    <t>д Малое Бедрино</t>
  </si>
  <si>
    <t>22507000731</t>
  </si>
  <si>
    <t>с Нагавицино</t>
  </si>
  <si>
    <t>22507000736</t>
  </si>
  <si>
    <t>д Пальцино</t>
  </si>
  <si>
    <t>22507000741</t>
  </si>
  <si>
    <t>д Пантелеево</t>
  </si>
  <si>
    <t>22507000746</t>
  </si>
  <si>
    <t>д Савелово</t>
  </si>
  <si>
    <t>22507000751</t>
  </si>
  <si>
    <t>д Садки</t>
  </si>
  <si>
    <t>22507000756</t>
  </si>
  <si>
    <t>д Солонское</t>
  </si>
  <si>
    <t>22507000761</t>
  </si>
  <si>
    <t>с Троица</t>
  </si>
  <si>
    <t>22507000766</t>
  </si>
  <si>
    <t>п Центральный</t>
  </si>
  <si>
    <t>22507000771</t>
  </si>
  <si>
    <t>д Чижково</t>
  </si>
  <si>
    <t>22507000776</t>
  </si>
  <si>
    <t>с Шапкино</t>
  </si>
  <si>
    <t>22509000101</t>
  </si>
  <si>
    <t>с Большое Болдино</t>
  </si>
  <si>
    <t>22509000106</t>
  </si>
  <si>
    <t>с Аносово</t>
  </si>
  <si>
    <t>22509000111</t>
  </si>
  <si>
    <t>с Большое Казариново</t>
  </si>
  <si>
    <t>22509000116</t>
  </si>
  <si>
    <t>д Дмитриевка</t>
  </si>
  <si>
    <t>22509000121</t>
  </si>
  <si>
    <t>с Знаменка</t>
  </si>
  <si>
    <t>22509000126</t>
  </si>
  <si>
    <t>с Малое Казариново</t>
  </si>
  <si>
    <t>22509000131</t>
  </si>
  <si>
    <t>п Успенский</t>
  </si>
  <si>
    <t>22509000136</t>
  </si>
  <si>
    <t>с Алексеевка</t>
  </si>
  <si>
    <t>22509000141</t>
  </si>
  <si>
    <t>д Веренка</t>
  </si>
  <si>
    <t>22509000146</t>
  </si>
  <si>
    <t>д Головачевка</t>
  </si>
  <si>
    <t>22509000151</t>
  </si>
  <si>
    <t>с Девичьи Горы</t>
  </si>
  <si>
    <t>22509000156</t>
  </si>
  <si>
    <t>с Илларионово</t>
  </si>
  <si>
    <t>22509000161</t>
  </si>
  <si>
    <t>с Молчаново</t>
  </si>
  <si>
    <t>22509000166</t>
  </si>
  <si>
    <t>с Пересекино</t>
  </si>
  <si>
    <t>22509000171</t>
  </si>
  <si>
    <t>с Старое Ахматово</t>
  </si>
  <si>
    <t>22509000176</t>
  </si>
  <si>
    <t>д Стяжкино</t>
  </si>
  <si>
    <t>22509000181</t>
  </si>
  <si>
    <t>с Сумароково</t>
  </si>
  <si>
    <t>22509000186</t>
  </si>
  <si>
    <t>д Чертас</t>
  </si>
  <si>
    <t>22509000191</t>
  </si>
  <si>
    <t>п Большевик</t>
  </si>
  <si>
    <t>22509000196</t>
  </si>
  <si>
    <t>с Большие Поляны</t>
  </si>
  <si>
    <t>22509000201</t>
  </si>
  <si>
    <t>п Вилы</t>
  </si>
  <si>
    <t>22509000206</t>
  </si>
  <si>
    <t>д Дубровка</t>
  </si>
  <si>
    <t>22509000211</t>
  </si>
  <si>
    <t>с Казаковка</t>
  </si>
  <si>
    <t>22509000216</t>
  </si>
  <si>
    <t>с Кондрыкино</t>
  </si>
  <si>
    <t>22509000221</t>
  </si>
  <si>
    <t>п Летяев</t>
  </si>
  <si>
    <t>22509000226</t>
  </si>
  <si>
    <t>22509000231</t>
  </si>
  <si>
    <t>п Никаевка</t>
  </si>
  <si>
    <t>22509000236</t>
  </si>
  <si>
    <t>с Новая Слобода</t>
  </si>
  <si>
    <t>22509000241</t>
  </si>
  <si>
    <t>п Новороссийский 1</t>
  </si>
  <si>
    <t>22509000246</t>
  </si>
  <si>
    <t>п Новороссийский 2</t>
  </si>
  <si>
    <t>22509000251</t>
  </si>
  <si>
    <t>д Пралевка</t>
  </si>
  <si>
    <t>22509000256</t>
  </si>
  <si>
    <t>п Рябиновка</t>
  </si>
  <si>
    <t>22509000261</t>
  </si>
  <si>
    <t>с Яз</t>
  </si>
  <si>
    <t>22509000266</t>
  </si>
  <si>
    <t>д Александровка</t>
  </si>
  <si>
    <t>22509000271</t>
  </si>
  <si>
    <t>д Логиновка</t>
  </si>
  <si>
    <t>22509000276</t>
  </si>
  <si>
    <t>с Малое Болдино</t>
  </si>
  <si>
    <t>22509000281</t>
  </si>
  <si>
    <t>с Пермеево</t>
  </si>
  <si>
    <t>22509000286</t>
  </si>
  <si>
    <t>п Прогресс</t>
  </si>
  <si>
    <t>22509000291</t>
  </si>
  <si>
    <t>д Садовая</t>
  </si>
  <si>
    <t>22509000296</t>
  </si>
  <si>
    <t>с Сергеевка</t>
  </si>
  <si>
    <t>22509000301</t>
  </si>
  <si>
    <t>с Чиреси</t>
  </si>
  <si>
    <t>22509000306</t>
  </si>
  <si>
    <t>п Ивановка</t>
  </si>
  <si>
    <t>22509000311</t>
  </si>
  <si>
    <t>с Львовка</t>
  </si>
  <si>
    <t>22509000316</t>
  </si>
  <si>
    <t>с Михалко-Майдан</t>
  </si>
  <si>
    <t>22509000321</t>
  </si>
  <si>
    <t>п Новопушкино</t>
  </si>
  <si>
    <t>22509000326</t>
  </si>
  <si>
    <t>п Павловка</t>
  </si>
  <si>
    <t>22509000331</t>
  </si>
  <si>
    <t>с Пикшень</t>
  </si>
  <si>
    <t>22509000336</t>
  </si>
  <si>
    <t>с Адашево</t>
  </si>
  <si>
    <t>22509000341</t>
  </si>
  <si>
    <t>с Апраксино</t>
  </si>
  <si>
    <t>22509000346</t>
  </si>
  <si>
    <t>с Жданово</t>
  </si>
  <si>
    <t>22509000351</t>
  </si>
  <si>
    <t>с Кистенево</t>
  </si>
  <si>
    <t>22509000356</t>
  </si>
  <si>
    <t>д Кудеяровка</t>
  </si>
  <si>
    <t>22509000361</t>
  </si>
  <si>
    <t>д Ниловка</t>
  </si>
  <si>
    <t>22509000366</t>
  </si>
  <si>
    <t>д Свирино</t>
  </si>
  <si>
    <t>22509000371</t>
  </si>
  <si>
    <t>д Усад</t>
  </si>
  <si>
    <t>22509000376</t>
  </si>
  <si>
    <t>с Черновское</t>
  </si>
  <si>
    <t>22510000051</t>
  </si>
  <si>
    <t>рп Большое Мурашкино</t>
  </si>
  <si>
    <t>22510000106</t>
  </si>
  <si>
    <t>с Андрейково</t>
  </si>
  <si>
    <t>22510000111</t>
  </si>
  <si>
    <t>д Большие Курашки</t>
  </si>
  <si>
    <t>22510000116</t>
  </si>
  <si>
    <t>д Бурныковка</t>
  </si>
  <si>
    <t>22510000121</t>
  </si>
  <si>
    <t>с Вершинино</t>
  </si>
  <si>
    <t>22510000126</t>
  </si>
  <si>
    <t>д Городищи</t>
  </si>
  <si>
    <t>22510000131</t>
  </si>
  <si>
    <t>с Григорово</t>
  </si>
  <si>
    <t>22510000136</t>
  </si>
  <si>
    <t>д Гужово</t>
  </si>
  <si>
    <t>22510000141</t>
  </si>
  <si>
    <t>22510000146</t>
  </si>
  <si>
    <t>с Карабатово</t>
  </si>
  <si>
    <t>22510000151</t>
  </si>
  <si>
    <t>с Картмазово</t>
  </si>
  <si>
    <t>22510000156</t>
  </si>
  <si>
    <t>с Кишкино</t>
  </si>
  <si>
    <t>22510000161</t>
  </si>
  <si>
    <t>22510000166</t>
  </si>
  <si>
    <t>д Колотуха</t>
  </si>
  <si>
    <t>22510000171</t>
  </si>
  <si>
    <t>д Красненькая</t>
  </si>
  <si>
    <t>22510000176</t>
  </si>
  <si>
    <t>д Красново</t>
  </si>
  <si>
    <t>22510000181</t>
  </si>
  <si>
    <t>п Красный</t>
  </si>
  <si>
    <t>22510000186</t>
  </si>
  <si>
    <t>22510000191</t>
  </si>
  <si>
    <t>с Курлаково</t>
  </si>
  <si>
    <t>22510000196</t>
  </si>
  <si>
    <t>с Лубянцы</t>
  </si>
  <si>
    <t>22510000201</t>
  </si>
  <si>
    <t>д Лунево</t>
  </si>
  <si>
    <t>22510000206</t>
  </si>
  <si>
    <t>с Малое Мурашкино</t>
  </si>
  <si>
    <t>22510000211</t>
  </si>
  <si>
    <t>д Малые Бакалды</t>
  </si>
  <si>
    <t>22510000216</t>
  </si>
  <si>
    <t>д Медведково</t>
  </si>
  <si>
    <t>22510000221</t>
  </si>
  <si>
    <t>д Медвежий Лог</t>
  </si>
  <si>
    <t>22510000226</t>
  </si>
  <si>
    <t>с Медвежья Поляна</t>
  </si>
  <si>
    <t>22510000231</t>
  </si>
  <si>
    <t>д Меленки</t>
  </si>
  <si>
    <t>22510000236</t>
  </si>
  <si>
    <t>д Мочалка</t>
  </si>
  <si>
    <t>22510000241</t>
  </si>
  <si>
    <t>с Нелюбово</t>
  </si>
  <si>
    <t>22510000246</t>
  </si>
  <si>
    <t>д Нефедьево</t>
  </si>
  <si>
    <t>22510000251</t>
  </si>
  <si>
    <t>д Никиткино</t>
  </si>
  <si>
    <t>22510000256</t>
  </si>
  <si>
    <t>д Николаевка</t>
  </si>
  <si>
    <t>22510000261</t>
  </si>
  <si>
    <t>д Ногавицино</t>
  </si>
  <si>
    <t>22510000266</t>
  </si>
  <si>
    <t>д Оболкино</t>
  </si>
  <si>
    <t>22510000271</t>
  </si>
  <si>
    <t>д Окинино</t>
  </si>
  <si>
    <t>22510000276</t>
  </si>
  <si>
    <t>с Папулово</t>
  </si>
  <si>
    <t>22510000281</t>
  </si>
  <si>
    <t>д Пужаевка</t>
  </si>
  <si>
    <t>22510000286</t>
  </si>
  <si>
    <t>д Рамешки</t>
  </si>
  <si>
    <t>22510000291</t>
  </si>
  <si>
    <t>с Рождествено</t>
  </si>
  <si>
    <t>22510000296</t>
  </si>
  <si>
    <t>д Синцово</t>
  </si>
  <si>
    <t>22510000301</t>
  </si>
  <si>
    <t>п Советский</t>
  </si>
  <si>
    <t>22510000306</t>
  </si>
  <si>
    <t>д Сосновка</t>
  </si>
  <si>
    <t>22510000311</t>
  </si>
  <si>
    <t>д Спирино</t>
  </si>
  <si>
    <t>22510000316</t>
  </si>
  <si>
    <t>22510000321</t>
  </si>
  <si>
    <t>д Тыново</t>
  </si>
  <si>
    <t>22510000326</t>
  </si>
  <si>
    <t>с Холязино</t>
  </si>
  <si>
    <t>22510000331</t>
  </si>
  <si>
    <t>д Чайпоселок</t>
  </si>
  <si>
    <t>22510000336</t>
  </si>
  <si>
    <t>д Чернуха</t>
  </si>
  <si>
    <t>22510000341</t>
  </si>
  <si>
    <t>с Шахманово</t>
  </si>
  <si>
    <t>22512000051</t>
  </si>
  <si>
    <t>рп Бутурлино</t>
  </si>
  <si>
    <t>22512000106</t>
  </si>
  <si>
    <t>д Кеславь</t>
  </si>
  <si>
    <t>22512000111</t>
  </si>
  <si>
    <t>с Мисюриха</t>
  </si>
  <si>
    <t>22512000116</t>
  </si>
  <si>
    <t>с Смагино</t>
  </si>
  <si>
    <t>22512000121</t>
  </si>
  <si>
    <t>д Софьино</t>
  </si>
  <si>
    <t>22512000126</t>
  </si>
  <si>
    <t>д Филиппово</t>
  </si>
  <si>
    <t>22512000131</t>
  </si>
  <si>
    <t>с Яблонка</t>
  </si>
  <si>
    <t>22512000136</t>
  </si>
  <si>
    <t>с Большие Бакалды</t>
  </si>
  <si>
    <t>22512000141</t>
  </si>
  <si>
    <t>с Валгусы</t>
  </si>
  <si>
    <t>22512000146</t>
  </si>
  <si>
    <t>п Вишенки</t>
  </si>
  <si>
    <t>22512000151</t>
  </si>
  <si>
    <t>п Гремячий</t>
  </si>
  <si>
    <t>22512000156</t>
  </si>
  <si>
    <t>п Залесный</t>
  </si>
  <si>
    <t>22512000161</t>
  </si>
  <si>
    <t>с Марьино</t>
  </si>
  <si>
    <t>22512000166</t>
  </si>
  <si>
    <t>п Новый Ключ</t>
  </si>
  <si>
    <t>22512000171</t>
  </si>
  <si>
    <t>п Почайно</t>
  </si>
  <si>
    <t>22512000176</t>
  </si>
  <si>
    <t>с Высоково</t>
  </si>
  <si>
    <t>22512000181</t>
  </si>
  <si>
    <t>с Иржино</t>
  </si>
  <si>
    <t>22512000186</t>
  </si>
  <si>
    <t>с Каменищи</t>
  </si>
  <si>
    <t>22512000191</t>
  </si>
  <si>
    <t>п Красная Глинка</t>
  </si>
  <si>
    <t>22512000196</t>
  </si>
  <si>
    <t>с Кремницкое</t>
  </si>
  <si>
    <t>22512000201</t>
  </si>
  <si>
    <t>с Крутец</t>
  </si>
  <si>
    <t>22512000206</t>
  </si>
  <si>
    <t>д Малая Андреевка</t>
  </si>
  <si>
    <t>22512000211</t>
  </si>
  <si>
    <t>с Яковлево</t>
  </si>
  <si>
    <t>22512000216</t>
  </si>
  <si>
    <t>с Вергизаи</t>
  </si>
  <si>
    <t>22512000221</t>
  </si>
  <si>
    <t>с Еделево</t>
  </si>
  <si>
    <t>22512000226</t>
  </si>
  <si>
    <t>с Инкино</t>
  </si>
  <si>
    <t>22512000231</t>
  </si>
  <si>
    <t>с Кеньшево</t>
  </si>
  <si>
    <t>22512000236</t>
  </si>
  <si>
    <t>с Кочуново</t>
  </si>
  <si>
    <t>22512000241</t>
  </si>
  <si>
    <t>с Лукьяново</t>
  </si>
  <si>
    <t>22512000246</t>
  </si>
  <si>
    <t>с Букалей</t>
  </si>
  <si>
    <t>22512000251</t>
  </si>
  <si>
    <t>п рзд Каменищи</t>
  </si>
  <si>
    <t>22512000256</t>
  </si>
  <si>
    <t>п Мары</t>
  </si>
  <si>
    <t>22512000261</t>
  </si>
  <si>
    <t>с Мокса</t>
  </si>
  <si>
    <t>22512000266</t>
  </si>
  <si>
    <t>с Напалково</t>
  </si>
  <si>
    <t>22512000271</t>
  </si>
  <si>
    <t>д Сластиха</t>
  </si>
  <si>
    <t>22512000276</t>
  </si>
  <si>
    <t>с Тарталей</t>
  </si>
  <si>
    <t>22512000281</t>
  </si>
  <si>
    <t>с Уварово</t>
  </si>
  <si>
    <t>22512000286</t>
  </si>
  <si>
    <t>22512000291</t>
  </si>
  <si>
    <t>д Алтышево</t>
  </si>
  <si>
    <t>22512000296</t>
  </si>
  <si>
    <t>с Большая Якшень</t>
  </si>
  <si>
    <t>22512000301</t>
  </si>
  <si>
    <t>с Борнуково</t>
  </si>
  <si>
    <t>22512000306</t>
  </si>
  <si>
    <t>п Возрождение</t>
  </si>
  <si>
    <t>22512000311</t>
  </si>
  <si>
    <t>с Кетрось</t>
  </si>
  <si>
    <t>22512000316</t>
  </si>
  <si>
    <t>с Княж-Павлово</t>
  </si>
  <si>
    <t>22512000321</t>
  </si>
  <si>
    <t>д Малая Якшенка</t>
  </si>
  <si>
    <t>22512000326</t>
  </si>
  <si>
    <t>22512000331</t>
  </si>
  <si>
    <t>д Малые Горки</t>
  </si>
  <si>
    <t>22512000336</t>
  </si>
  <si>
    <t>с Наумово</t>
  </si>
  <si>
    <t>22512000341</t>
  </si>
  <si>
    <t>с Пергалей</t>
  </si>
  <si>
    <t>22512000346</t>
  </si>
  <si>
    <t>с Поляны</t>
  </si>
  <si>
    <t>22512000351</t>
  </si>
  <si>
    <t>с Пузыриха</t>
  </si>
  <si>
    <t>22512000356</t>
  </si>
  <si>
    <t>с Сурадеево</t>
  </si>
  <si>
    <t>22512000361</t>
  </si>
  <si>
    <t>с Чембасово</t>
  </si>
  <si>
    <t>22512000366</t>
  </si>
  <si>
    <t>с Ягубовка</t>
  </si>
  <si>
    <t>22514000101</t>
  </si>
  <si>
    <t>с Вад</t>
  </si>
  <si>
    <t>22514000106</t>
  </si>
  <si>
    <t>п санатория Бобыльский</t>
  </si>
  <si>
    <t>22514000111</t>
  </si>
  <si>
    <t>д Болтино</t>
  </si>
  <si>
    <t>22514000116</t>
  </si>
  <si>
    <t>с Ивашкино</t>
  </si>
  <si>
    <t>22514000121</t>
  </si>
  <si>
    <t>с Троицкое 1-е</t>
  </si>
  <si>
    <t>22514000126</t>
  </si>
  <si>
    <t>с Троицкое 2-е</t>
  </si>
  <si>
    <t>22514000131</t>
  </si>
  <si>
    <t>с Вазьян</t>
  </si>
  <si>
    <t>22514000136</t>
  </si>
  <si>
    <t>22514000141</t>
  </si>
  <si>
    <t>с Дубенское</t>
  </si>
  <si>
    <t>22514000146</t>
  </si>
  <si>
    <t>д Завод</t>
  </si>
  <si>
    <t>22514000151</t>
  </si>
  <si>
    <t>д Ивановка</t>
  </si>
  <si>
    <t>22514000156</t>
  </si>
  <si>
    <t>с Петлино</t>
  </si>
  <si>
    <t>22514000161</t>
  </si>
  <si>
    <t>с Холостой Майдан</t>
  </si>
  <si>
    <t>22514000166</t>
  </si>
  <si>
    <t>22514000171</t>
  </si>
  <si>
    <t>с Борисово Поле</t>
  </si>
  <si>
    <t>22514000176</t>
  </si>
  <si>
    <t>с Елховка</t>
  </si>
  <si>
    <t>22514000181</t>
  </si>
  <si>
    <t>с Зеленые Горы</t>
  </si>
  <si>
    <t>22514000186</t>
  </si>
  <si>
    <t>д Костино</t>
  </si>
  <si>
    <t>22514000191</t>
  </si>
  <si>
    <t>с Крутой Майдан</t>
  </si>
  <si>
    <t>22514000196</t>
  </si>
  <si>
    <t>д Мигалиха</t>
  </si>
  <si>
    <t>22514000201</t>
  </si>
  <si>
    <t>д Новоселки</t>
  </si>
  <si>
    <t>22514000206</t>
  </si>
  <si>
    <t>с Салалей</t>
  </si>
  <si>
    <t>22514000211</t>
  </si>
  <si>
    <t>с Свобода</t>
  </si>
  <si>
    <t>22514000216</t>
  </si>
  <si>
    <t>д Чегодаевка</t>
  </si>
  <si>
    <t>22514000221</t>
  </si>
  <si>
    <t>п Анненковский Карьер</t>
  </si>
  <si>
    <t>22514000226</t>
  </si>
  <si>
    <t>п.ст Вадок</t>
  </si>
  <si>
    <t>22514000231</t>
  </si>
  <si>
    <t>д Досадино</t>
  </si>
  <si>
    <t>22514000236</t>
  </si>
  <si>
    <t>с Лопатино</t>
  </si>
  <si>
    <t>22514000241</t>
  </si>
  <si>
    <t>д Рахманово</t>
  </si>
  <si>
    <t>22514000246</t>
  </si>
  <si>
    <t>22514000251</t>
  </si>
  <si>
    <t>д Черная Захарьевка</t>
  </si>
  <si>
    <t>22514000256</t>
  </si>
  <si>
    <t>с Меленино</t>
  </si>
  <si>
    <t>22514000261</t>
  </si>
  <si>
    <t>п Новый Мир</t>
  </si>
  <si>
    <t>22514000266</t>
  </si>
  <si>
    <t>22514000271</t>
  </si>
  <si>
    <t>д Порецкое</t>
  </si>
  <si>
    <t>22514000276</t>
  </si>
  <si>
    <t>п Равенство</t>
  </si>
  <si>
    <t>22514000281</t>
  </si>
  <si>
    <t>с Умай</t>
  </si>
  <si>
    <t>22514000286</t>
  </si>
  <si>
    <t>с Шадрино</t>
  </si>
  <si>
    <t>22514000291</t>
  </si>
  <si>
    <t>п Борьба</t>
  </si>
  <si>
    <t>22514000296</t>
  </si>
  <si>
    <t>22514000301</t>
  </si>
  <si>
    <t>д Орел</t>
  </si>
  <si>
    <t>22514000306</t>
  </si>
  <si>
    <t>д Раздолье</t>
  </si>
  <si>
    <t>22514000311</t>
  </si>
  <si>
    <t>п Ровный</t>
  </si>
  <si>
    <t>22514000316</t>
  </si>
  <si>
    <t>с Стрелка</t>
  </si>
  <si>
    <t>22514000321</t>
  </si>
  <si>
    <t>д Чувахлей</t>
  </si>
  <si>
    <t>22514000326</t>
  </si>
  <si>
    <t>с Щедровка</t>
  </si>
  <si>
    <t>22515000051</t>
  </si>
  <si>
    <t>рп Варнавино</t>
  </si>
  <si>
    <t>22515000106</t>
  </si>
  <si>
    <t>д Андреево</t>
  </si>
  <si>
    <t>22515000111</t>
  </si>
  <si>
    <t>д Антониха / Входит в состав административно-территориального образования Богородский сельсовет</t>
  </si>
  <si>
    <t>22515000116</t>
  </si>
  <si>
    <t>д Басмино</t>
  </si>
  <si>
    <t>22515000121</t>
  </si>
  <si>
    <t>с Богородское</t>
  </si>
  <si>
    <t>22515000126</t>
  </si>
  <si>
    <t>д Бочкариха</t>
  </si>
  <si>
    <t>22515000131</t>
  </si>
  <si>
    <t>д Валиха</t>
  </si>
  <si>
    <t>22515000136</t>
  </si>
  <si>
    <t>д Выползиха</t>
  </si>
  <si>
    <t>22515000141</t>
  </si>
  <si>
    <t>22515000146</t>
  </si>
  <si>
    <t>д Дерябино</t>
  </si>
  <si>
    <t>22515000151</t>
  </si>
  <si>
    <t>д Замешаиха</t>
  </si>
  <si>
    <t>22515000156</t>
  </si>
  <si>
    <t>д Карандаши</t>
  </si>
  <si>
    <t>22515000161</t>
  </si>
  <si>
    <t>д Карасиха</t>
  </si>
  <si>
    <t>22515000166</t>
  </si>
  <si>
    <t>д Коркотино</t>
  </si>
  <si>
    <t>22515000171</t>
  </si>
  <si>
    <t>д Леонтьево</t>
  </si>
  <si>
    <t>22515000176</t>
  </si>
  <si>
    <t>д Лопатино</t>
  </si>
  <si>
    <t>22515000181</t>
  </si>
  <si>
    <t>д Ляды</t>
  </si>
  <si>
    <t>22515000186</t>
  </si>
  <si>
    <t>с Макарий</t>
  </si>
  <si>
    <t>22515000191</t>
  </si>
  <si>
    <t>22515000196</t>
  </si>
  <si>
    <t>д Меркушиха</t>
  </si>
  <si>
    <t>22515000201</t>
  </si>
  <si>
    <t>с Новоникольское</t>
  </si>
  <si>
    <t>22515000206</t>
  </si>
  <si>
    <t>д Палаустное</t>
  </si>
  <si>
    <t>22515000211</t>
  </si>
  <si>
    <t>д Першино</t>
  </si>
  <si>
    <t>22515000216</t>
  </si>
  <si>
    <t>д Петушиха</t>
  </si>
  <si>
    <t>22515000221</t>
  </si>
  <si>
    <t>д Плющицино</t>
  </si>
  <si>
    <t>22515000226</t>
  </si>
  <si>
    <t>д Подосениха</t>
  </si>
  <si>
    <t>22515000231</t>
  </si>
  <si>
    <t>д Подушкино</t>
  </si>
  <si>
    <t>22515000236</t>
  </si>
  <si>
    <t>д Постой</t>
  </si>
  <si>
    <t>22515000241</t>
  </si>
  <si>
    <t>д Пузыри</t>
  </si>
  <si>
    <t>22515000246</t>
  </si>
  <si>
    <t>д Репниха</t>
  </si>
  <si>
    <t>22515000251</t>
  </si>
  <si>
    <t>д Сергино</t>
  </si>
  <si>
    <t>22515000256</t>
  </si>
  <si>
    <t>д Скворцово</t>
  </si>
  <si>
    <t>22515000261</t>
  </si>
  <si>
    <t>п Березки</t>
  </si>
  <si>
    <t>22515000266</t>
  </si>
  <si>
    <t>п Восход</t>
  </si>
  <si>
    <t>22515000271</t>
  </si>
  <si>
    <t>д Кайск</t>
  </si>
  <si>
    <t>22515000276</t>
  </si>
  <si>
    <t>п Кайск</t>
  </si>
  <si>
    <t>22515000281</t>
  </si>
  <si>
    <t>22515000286</t>
  </si>
  <si>
    <t>п.ст Постой</t>
  </si>
  <si>
    <t>22515000291</t>
  </si>
  <si>
    <t>п Черемушки</t>
  </si>
  <si>
    <t>22515000296</t>
  </si>
  <si>
    <t>д Анисимово</t>
  </si>
  <si>
    <t>22515000301</t>
  </si>
  <si>
    <t>д Аппалиха</t>
  </si>
  <si>
    <t>22515000306</t>
  </si>
  <si>
    <t>д Бажино</t>
  </si>
  <si>
    <t>22515000311</t>
  </si>
  <si>
    <t>д Бархатиха</t>
  </si>
  <si>
    <t>22515000316</t>
  </si>
  <si>
    <t>д Бердничиха</t>
  </si>
  <si>
    <t>22515000321</t>
  </si>
  <si>
    <t>п Бродовое</t>
  </si>
  <si>
    <t>22515000326</t>
  </si>
  <si>
    <t>д Булдаково</t>
  </si>
  <si>
    <t>22515000331</t>
  </si>
  <si>
    <t>п Глухое</t>
  </si>
  <si>
    <t>22515000336</t>
  </si>
  <si>
    <t>д Егачиха</t>
  </si>
  <si>
    <t>22515000341</t>
  </si>
  <si>
    <t>п Елевая Заводь</t>
  </si>
  <si>
    <t>22515000346</t>
  </si>
  <si>
    <t>д Заболотье</t>
  </si>
  <si>
    <t>22515000351</t>
  </si>
  <si>
    <t>д Загзы</t>
  </si>
  <si>
    <t>22515000356</t>
  </si>
  <si>
    <t>д Зверниха</t>
  </si>
  <si>
    <t>22515000361</t>
  </si>
  <si>
    <t>д Зяблица</t>
  </si>
  <si>
    <t>22515000366</t>
  </si>
  <si>
    <t>п Камешник</t>
  </si>
  <si>
    <t>22515000371</t>
  </si>
  <si>
    <t>д Кирюшино</t>
  </si>
  <si>
    <t>22515000376</t>
  </si>
  <si>
    <t>д Клячино</t>
  </si>
  <si>
    <t>22515000381</t>
  </si>
  <si>
    <t>д Коленово</t>
  </si>
  <si>
    <t>22515000386</t>
  </si>
  <si>
    <t>д Колосиха</t>
  </si>
  <si>
    <t>22515000391</t>
  </si>
  <si>
    <t>с Лапшанга</t>
  </si>
  <si>
    <t>22515000396</t>
  </si>
  <si>
    <t>д Латышево</t>
  </si>
  <si>
    <t>22515000401</t>
  </si>
  <si>
    <t>д Лубяны</t>
  </si>
  <si>
    <t>22515000406</t>
  </si>
  <si>
    <t>д Ляпуново</t>
  </si>
  <si>
    <t>22515000411</t>
  </si>
  <si>
    <t>д Меньшиково</t>
  </si>
  <si>
    <t>22515000416</t>
  </si>
  <si>
    <t>д Михаленино</t>
  </si>
  <si>
    <t>22515000421</t>
  </si>
  <si>
    <t>п Нижник</t>
  </si>
  <si>
    <t>22515000426</t>
  </si>
  <si>
    <t>д Осиновка</t>
  </si>
  <si>
    <t>22515000431</t>
  </si>
  <si>
    <t>22515000436</t>
  </si>
  <si>
    <t>п Поташное</t>
  </si>
  <si>
    <t>22515000441</t>
  </si>
  <si>
    <t>д Прудовка / Входит в состав административно-территориального образования Михаленинский сельсовет</t>
  </si>
  <si>
    <t>22515000446</t>
  </si>
  <si>
    <t>д Русениха</t>
  </si>
  <si>
    <t>22515000451</t>
  </si>
  <si>
    <t>д Селиваниха</t>
  </si>
  <si>
    <t>22515000456</t>
  </si>
  <si>
    <t>д Фалино</t>
  </si>
  <si>
    <t>22515000461</t>
  </si>
  <si>
    <t>п Заречный</t>
  </si>
  <si>
    <t>22515000466</t>
  </si>
  <si>
    <t>п Северный</t>
  </si>
  <si>
    <t>22515000471</t>
  </si>
  <si>
    <t>д Тимариха</t>
  </si>
  <si>
    <t>22515000476</t>
  </si>
  <si>
    <t>с Хмелевая</t>
  </si>
  <si>
    <t>22515000481</t>
  </si>
  <si>
    <t>д Антониха / Входит в состав административно-территориального образования Шудский сельсовет</t>
  </si>
  <si>
    <t>22515000486</t>
  </si>
  <si>
    <t>с Горки</t>
  </si>
  <si>
    <t>22515000491</t>
  </si>
  <si>
    <t>д Гришино</t>
  </si>
  <si>
    <t>22515000496</t>
  </si>
  <si>
    <t>д Жилиха</t>
  </si>
  <si>
    <t>22515000501</t>
  </si>
  <si>
    <t>д Карелиха</t>
  </si>
  <si>
    <t>22515000506</t>
  </si>
  <si>
    <t>д Коровиха</t>
  </si>
  <si>
    <t>22515000511</t>
  </si>
  <si>
    <t>п Красный Луч</t>
  </si>
  <si>
    <t>22515000516</t>
  </si>
  <si>
    <t>п Кресты</t>
  </si>
  <si>
    <t>22515000521</t>
  </si>
  <si>
    <t>д Кулигино</t>
  </si>
  <si>
    <t>22515000526</t>
  </si>
  <si>
    <t>д Мусиха</t>
  </si>
  <si>
    <t>22515000531</t>
  </si>
  <si>
    <t>д Непогодиха</t>
  </si>
  <si>
    <t>22515000536</t>
  </si>
  <si>
    <t>д Парагузиха</t>
  </si>
  <si>
    <t>22515000541</t>
  </si>
  <si>
    <t>д Поляки</t>
  </si>
  <si>
    <t>22515000546</t>
  </si>
  <si>
    <t>д Прудовка / Входит в состав административно-территориального образования Шудский сельсовет</t>
  </si>
  <si>
    <t>22515000551</t>
  </si>
  <si>
    <t>д Югары</t>
  </si>
  <si>
    <t>22517000051</t>
  </si>
  <si>
    <t>рп Вача</t>
  </si>
  <si>
    <t>22517000106</t>
  </si>
  <si>
    <t>д Поповка</t>
  </si>
  <si>
    <t>22517000111</t>
  </si>
  <si>
    <t>д Попышово</t>
  </si>
  <si>
    <t>22517000116</t>
  </si>
  <si>
    <t>с Арефино</t>
  </si>
  <si>
    <t>22517000121</t>
  </si>
  <si>
    <t>д Бабкино</t>
  </si>
  <si>
    <t>22517000126</t>
  </si>
  <si>
    <t>с Белавино</t>
  </si>
  <si>
    <t>22517000131</t>
  </si>
  <si>
    <t>д Вастрома</t>
  </si>
  <si>
    <t>22517000136</t>
  </si>
  <si>
    <t>д Верхополье</t>
  </si>
  <si>
    <t>22517000141</t>
  </si>
  <si>
    <t>д Горы</t>
  </si>
  <si>
    <t>22517000146</t>
  </si>
  <si>
    <t>с Епифаново</t>
  </si>
  <si>
    <t>22517000151</t>
  </si>
  <si>
    <t>д Еремеево</t>
  </si>
  <si>
    <t>22517000156</t>
  </si>
  <si>
    <t>д Кулаково</t>
  </si>
  <si>
    <t>22517000161</t>
  </si>
  <si>
    <t>д Медоварцево</t>
  </si>
  <si>
    <t>22517000166</t>
  </si>
  <si>
    <t>д Озябликово</t>
  </si>
  <si>
    <t>22517000171</t>
  </si>
  <si>
    <t>д Платцово</t>
  </si>
  <si>
    <t>22517000176</t>
  </si>
  <si>
    <t>с Польцо</t>
  </si>
  <si>
    <t>22517000181</t>
  </si>
  <si>
    <t>д Сенюково</t>
  </si>
  <si>
    <t>22517000186</t>
  </si>
  <si>
    <t>д Сергеево</t>
  </si>
  <si>
    <t>22517000191</t>
  </si>
  <si>
    <t>д Турбенево</t>
  </si>
  <si>
    <t>22517000196</t>
  </si>
  <si>
    <t>д Шерстино</t>
  </si>
  <si>
    <t>22517000201</t>
  </si>
  <si>
    <t>д Шишикино</t>
  </si>
  <si>
    <t>22517000206</t>
  </si>
  <si>
    <t>д Янино</t>
  </si>
  <si>
    <t>22517000211</t>
  </si>
  <si>
    <t>с Алтунино</t>
  </si>
  <si>
    <t>22517000216</t>
  </si>
  <si>
    <t>д Алтухово</t>
  </si>
  <si>
    <t>22517000221</t>
  </si>
  <si>
    <t>д Белогузово</t>
  </si>
  <si>
    <t>22517000226</t>
  </si>
  <si>
    <t>д Большой Луг</t>
  </si>
  <si>
    <t>22517000231</t>
  </si>
  <si>
    <t>д Валтырево</t>
  </si>
  <si>
    <t>22517000236</t>
  </si>
  <si>
    <t>д Вежново</t>
  </si>
  <si>
    <t>22517000241</t>
  </si>
  <si>
    <t>д Горнево</t>
  </si>
  <si>
    <t>22517000246</t>
  </si>
  <si>
    <t>д Горышово</t>
  </si>
  <si>
    <t>22517000251</t>
  </si>
  <si>
    <t>с Дьяково</t>
  </si>
  <si>
    <t>22517000256</t>
  </si>
  <si>
    <t>д Звягино / Входит в состав административно-территориального образования Казаковский сельсовет</t>
  </si>
  <si>
    <t>22517000261</t>
  </si>
  <si>
    <t>с Зеленцово</t>
  </si>
  <si>
    <t>22517000266</t>
  </si>
  <si>
    <t>д Искусово</t>
  </si>
  <si>
    <t>22517000271</t>
  </si>
  <si>
    <t>с Казаково</t>
  </si>
  <si>
    <t>22517000276</t>
  </si>
  <si>
    <t>22517000281</t>
  </si>
  <si>
    <t>д Мартино</t>
  </si>
  <si>
    <t>22517000286</t>
  </si>
  <si>
    <t>с Митино</t>
  </si>
  <si>
    <t>22517000291</t>
  </si>
  <si>
    <t>д Михалево</t>
  </si>
  <si>
    <t>22517000296</t>
  </si>
  <si>
    <t>д Мочалово</t>
  </si>
  <si>
    <t>22517000301</t>
  </si>
  <si>
    <t>с Невадьево</t>
  </si>
  <si>
    <t>22517000306</t>
  </si>
  <si>
    <t>с Нершево</t>
  </si>
  <si>
    <t>22517000311</t>
  </si>
  <si>
    <t>д Ново</t>
  </si>
  <si>
    <t>22517000316</t>
  </si>
  <si>
    <t>д Новошаново</t>
  </si>
  <si>
    <t>22517000321</t>
  </si>
  <si>
    <t>22517000326</t>
  </si>
  <si>
    <t>д Сколково / Входит в состав административно-территориального образования Казаковский сельсовет</t>
  </si>
  <si>
    <t>22517000331</t>
  </si>
  <si>
    <t>д Степаново</t>
  </si>
  <si>
    <t>22517000336</t>
  </si>
  <si>
    <t>д Сурск</t>
  </si>
  <si>
    <t>22517000341</t>
  </si>
  <si>
    <t>д Терпишка</t>
  </si>
  <si>
    <t>22517000346</t>
  </si>
  <si>
    <t>д Урюпино</t>
  </si>
  <si>
    <t>22517000351</t>
  </si>
  <si>
    <t>д Бежаново</t>
  </si>
  <si>
    <t>22517000356</t>
  </si>
  <si>
    <t>с Беляйково</t>
  </si>
  <si>
    <t>22517000361</t>
  </si>
  <si>
    <t>д Вишенки</t>
  </si>
  <si>
    <t>22517000366</t>
  </si>
  <si>
    <t>д Голявино</t>
  </si>
  <si>
    <t>22517000371</t>
  </si>
  <si>
    <t>22517000376</t>
  </si>
  <si>
    <t>с Жайск</t>
  </si>
  <si>
    <t>22517000381</t>
  </si>
  <si>
    <t>д Жекино</t>
  </si>
  <si>
    <t>22517000386</t>
  </si>
  <si>
    <t>д Елемейка</t>
  </si>
  <si>
    <t>22517000391</t>
  </si>
  <si>
    <t>д Еловка</t>
  </si>
  <si>
    <t>22517000396</t>
  </si>
  <si>
    <t>д Короваево</t>
  </si>
  <si>
    <t>22517000401</t>
  </si>
  <si>
    <t>д Лесниково</t>
  </si>
  <si>
    <t>22517000406</t>
  </si>
  <si>
    <t>д Лобково</t>
  </si>
  <si>
    <t>22517000411</t>
  </si>
  <si>
    <t>д Мелешки</t>
  </si>
  <si>
    <t>22517000416</t>
  </si>
  <si>
    <t>д Мещеры</t>
  </si>
  <si>
    <t>22517000421</t>
  </si>
  <si>
    <t>д Мякишево</t>
  </si>
  <si>
    <t>22517000426</t>
  </si>
  <si>
    <t>22517000431</t>
  </si>
  <si>
    <t>с Новоселки</t>
  </si>
  <si>
    <t>22517000436</t>
  </si>
  <si>
    <t>д Овечкино</t>
  </si>
  <si>
    <t>22517000441</t>
  </si>
  <si>
    <t>д Пожога</t>
  </si>
  <si>
    <t>22517000446</t>
  </si>
  <si>
    <t>д Ползиково</t>
  </si>
  <si>
    <t>22517000451</t>
  </si>
  <si>
    <t>д Сапун</t>
  </si>
  <si>
    <t>22517000456</t>
  </si>
  <si>
    <t>д Спасск</t>
  </si>
  <si>
    <t>22517000461</t>
  </si>
  <si>
    <t>д Талынское</t>
  </si>
  <si>
    <t>22517000466</t>
  </si>
  <si>
    <t>д Ташлыково</t>
  </si>
  <si>
    <t>22517000471</t>
  </si>
  <si>
    <t>с Федурино</t>
  </si>
  <si>
    <t>22517000476</t>
  </si>
  <si>
    <t>д Шарапово</t>
  </si>
  <si>
    <t>22517000481</t>
  </si>
  <si>
    <t>д Яковлево</t>
  </si>
  <si>
    <t>22517000486</t>
  </si>
  <si>
    <t>с Яковцево</t>
  </si>
  <si>
    <t>22517000491</t>
  </si>
  <si>
    <t>с Александрово</t>
  </si>
  <si>
    <t>22517000496</t>
  </si>
  <si>
    <t>д Базарово</t>
  </si>
  <si>
    <t>22517000501</t>
  </si>
  <si>
    <t>22517000506</t>
  </si>
  <si>
    <t>д Болотниково</t>
  </si>
  <si>
    <t>22517000511</t>
  </si>
  <si>
    <t>д Голянищево</t>
  </si>
  <si>
    <t>22517000516</t>
  </si>
  <si>
    <t>с Давыдово</t>
  </si>
  <si>
    <t>22517000521</t>
  </si>
  <si>
    <t>с Клин</t>
  </si>
  <si>
    <t>22517000526</t>
  </si>
  <si>
    <t>с Кошелево</t>
  </si>
  <si>
    <t>22517000531</t>
  </si>
  <si>
    <t>22517000536</t>
  </si>
  <si>
    <t>д Пертово</t>
  </si>
  <si>
    <t>22517000541</t>
  </si>
  <si>
    <t>д Сколково / Входит в состав административно-территориального образования Филинский сельсовет</t>
  </si>
  <si>
    <t>22517000546</t>
  </si>
  <si>
    <t>с Филинское</t>
  </si>
  <si>
    <t>22517000551</t>
  </si>
  <si>
    <t>д Фофаново</t>
  </si>
  <si>
    <t>22517000556</t>
  </si>
  <si>
    <t>д Чеванино</t>
  </si>
  <si>
    <t>22517000561</t>
  </si>
  <si>
    <t>д Черновское</t>
  </si>
  <si>
    <t>22517000566</t>
  </si>
  <si>
    <t>22517000571</t>
  </si>
  <si>
    <t>д Юсупово</t>
  </si>
  <si>
    <t>22517000576</t>
  </si>
  <si>
    <t>д Бобынино</t>
  </si>
  <si>
    <t>22517000581</t>
  </si>
  <si>
    <t>с Большое Загарино</t>
  </si>
  <si>
    <t>22517000586</t>
  </si>
  <si>
    <t>д Вырыпаево</t>
  </si>
  <si>
    <t>22517000591</t>
  </si>
  <si>
    <t>22517000596</t>
  </si>
  <si>
    <t>д Ефимьево</t>
  </si>
  <si>
    <t>22517000601</t>
  </si>
  <si>
    <t>д Застава</t>
  </si>
  <si>
    <t>22517000606</t>
  </si>
  <si>
    <t>д Звягино / Входит в состав административно-территориального образования Чулковский сельсовет</t>
  </si>
  <si>
    <t>22517000611</t>
  </si>
  <si>
    <t>22517000616</t>
  </si>
  <si>
    <t>д Ивашево</t>
  </si>
  <si>
    <t>22517000621</t>
  </si>
  <si>
    <t>д Ишутино</t>
  </si>
  <si>
    <t>22517000626</t>
  </si>
  <si>
    <t>д Кобылкино</t>
  </si>
  <si>
    <t>22517000631</t>
  </si>
  <si>
    <t>с Кошкино</t>
  </si>
  <si>
    <t>22517000636</t>
  </si>
  <si>
    <t>с Красно</t>
  </si>
  <si>
    <t>22517000641</t>
  </si>
  <si>
    <t>д Курмыш</t>
  </si>
  <si>
    <t>22517000646</t>
  </si>
  <si>
    <t>с Малое Загарино</t>
  </si>
  <si>
    <t>22517000651</t>
  </si>
  <si>
    <t>д Павликово</t>
  </si>
  <si>
    <t>22517000656</t>
  </si>
  <si>
    <t>д Поляна</t>
  </si>
  <si>
    <t>22517000661</t>
  </si>
  <si>
    <t>д Соболево</t>
  </si>
  <si>
    <t>22517000666</t>
  </si>
  <si>
    <t>д Соловьево</t>
  </si>
  <si>
    <t>22517000671</t>
  </si>
  <si>
    <t>д Третье Поле</t>
  </si>
  <si>
    <t>22517000676</t>
  </si>
  <si>
    <t>д Хвощи</t>
  </si>
  <si>
    <t>22517000681</t>
  </si>
  <si>
    <t>с Чулково</t>
  </si>
  <si>
    <t>22517000686</t>
  </si>
  <si>
    <t>д Щедрино</t>
  </si>
  <si>
    <t>22518000001</t>
  </si>
  <si>
    <t>г Ветлуга</t>
  </si>
  <si>
    <t>22518000053</t>
  </si>
  <si>
    <t>рп им М. И. Калинина</t>
  </si>
  <si>
    <t>22518000106</t>
  </si>
  <si>
    <t>д Бажениха</t>
  </si>
  <si>
    <t>22518000111</t>
  </si>
  <si>
    <t>с Белышево</t>
  </si>
  <si>
    <t>22518000116</t>
  </si>
  <si>
    <t>д Березники</t>
  </si>
  <si>
    <t>22518000121</t>
  </si>
  <si>
    <t>д Большая Мяссиха</t>
  </si>
  <si>
    <t>22518000126</t>
  </si>
  <si>
    <t>д Волокитиха</t>
  </si>
  <si>
    <t>22518000131</t>
  </si>
  <si>
    <t>с Волынцы</t>
  </si>
  <si>
    <t>22518000136</t>
  </si>
  <si>
    <t>д Георгиевское</t>
  </si>
  <si>
    <t>22518000141</t>
  </si>
  <si>
    <t>д Голуби</t>
  </si>
  <si>
    <t>22518000146</t>
  </si>
  <si>
    <t>д Гудки</t>
  </si>
  <si>
    <t>22518000151</t>
  </si>
  <si>
    <t>д Катунино</t>
  </si>
  <si>
    <t>22518000156</t>
  </si>
  <si>
    <t>д Козлиха</t>
  </si>
  <si>
    <t>22518000161</t>
  </si>
  <si>
    <t>д Куличиха</t>
  </si>
  <si>
    <t>22518000166</t>
  </si>
  <si>
    <t>д Куницыно</t>
  </si>
  <si>
    <t>22518000171</t>
  </si>
  <si>
    <t>д Малая Мяссиха</t>
  </si>
  <si>
    <t>22518000176</t>
  </si>
  <si>
    <t>д Махони</t>
  </si>
  <si>
    <t>22518000181</t>
  </si>
  <si>
    <t>д Медведово</t>
  </si>
  <si>
    <t>22518000186</t>
  </si>
  <si>
    <t>д Мокруша</t>
  </si>
  <si>
    <t>22518000191</t>
  </si>
  <si>
    <t>д Морчиха</t>
  </si>
  <si>
    <t>22518000196</t>
  </si>
  <si>
    <t>д Осотово</t>
  </si>
  <si>
    <t>22518000201</t>
  </si>
  <si>
    <t>д Поломка</t>
  </si>
  <si>
    <t>22518000206</t>
  </si>
  <si>
    <t>д Тимофеево</t>
  </si>
  <si>
    <t>22518000211</t>
  </si>
  <si>
    <t>д Токариха / Входит в состав административно-территориального образования Волыновский сельсовет</t>
  </si>
  <si>
    <t>22518000216</t>
  </si>
  <si>
    <t>22518000221</t>
  </si>
  <si>
    <t>д Чернава</t>
  </si>
  <si>
    <t>22518000226</t>
  </si>
  <si>
    <t>д Чудиха</t>
  </si>
  <si>
    <t>22518000231</t>
  </si>
  <si>
    <t>22518000236</t>
  </si>
  <si>
    <t>д Юриха</t>
  </si>
  <si>
    <t>22518000241</t>
  </si>
  <si>
    <t>д Афониха</t>
  </si>
  <si>
    <t>22518000246</t>
  </si>
  <si>
    <t>с Вознесенье</t>
  </si>
  <si>
    <t>22518000251</t>
  </si>
  <si>
    <t>д Глущиха</t>
  </si>
  <si>
    <t>22518000256</t>
  </si>
  <si>
    <t>д Голохвастиха</t>
  </si>
  <si>
    <t>22518000261</t>
  </si>
  <si>
    <t>д Заганиха</t>
  </si>
  <si>
    <t>22518000266</t>
  </si>
  <si>
    <t>д Исаиха</t>
  </si>
  <si>
    <t>22518000271</t>
  </si>
  <si>
    <t>д Каменка</t>
  </si>
  <si>
    <t>22518000276</t>
  </si>
  <si>
    <t>д Крутцы / Входит в состав административно-территориального образования Крутцовский сельсовет</t>
  </si>
  <si>
    <t>22518000281</t>
  </si>
  <si>
    <t>д Маевка</t>
  </si>
  <si>
    <t>22518000286</t>
  </si>
  <si>
    <t>д Морозиха</t>
  </si>
  <si>
    <t>22518000291</t>
  </si>
  <si>
    <t>д Новоселиха</t>
  </si>
  <si>
    <t>22518000296</t>
  </si>
  <si>
    <t>д Погорелка / Входит в состав административно-территориального образования Крутцовский сельсовет</t>
  </si>
  <si>
    <t>22518000301</t>
  </si>
  <si>
    <t>д Пудиха</t>
  </si>
  <si>
    <t>22518000306</t>
  </si>
  <si>
    <t>д Федоровское</t>
  </si>
  <si>
    <t>22518000311</t>
  </si>
  <si>
    <t>д Хвастово</t>
  </si>
  <si>
    <t>22518000316</t>
  </si>
  <si>
    <t>д Якутино</t>
  </si>
  <si>
    <t>22518000321</t>
  </si>
  <si>
    <t>д Алешиха</t>
  </si>
  <si>
    <t>22518000326</t>
  </si>
  <si>
    <t>д Аманово</t>
  </si>
  <si>
    <t>22518000331</t>
  </si>
  <si>
    <t>д Андрейково</t>
  </si>
  <si>
    <t>22518000336</t>
  </si>
  <si>
    <t>д Афимино</t>
  </si>
  <si>
    <t>22518000341</t>
  </si>
  <si>
    <t>д Большая Микриха</t>
  </si>
  <si>
    <t>22518000346</t>
  </si>
  <si>
    <t>д Валово</t>
  </si>
  <si>
    <t>22518000351</t>
  </si>
  <si>
    <t>д Глушка</t>
  </si>
  <si>
    <t>22518000356</t>
  </si>
  <si>
    <t>д Горелая</t>
  </si>
  <si>
    <t>22518000361</t>
  </si>
  <si>
    <t>д Ефаниха</t>
  </si>
  <si>
    <t>22518000366</t>
  </si>
  <si>
    <t>д Загатино</t>
  </si>
  <si>
    <t>22518000371</t>
  </si>
  <si>
    <t>д Зиновиха</t>
  </si>
  <si>
    <t>22518000376</t>
  </si>
  <si>
    <t>22518000381</t>
  </si>
  <si>
    <t>д Копотиха</t>
  </si>
  <si>
    <t>22518000386</t>
  </si>
  <si>
    <t>д Костливое</t>
  </si>
  <si>
    <t>22518000391</t>
  </si>
  <si>
    <t>д Кривошеиха</t>
  </si>
  <si>
    <t>22518000396</t>
  </si>
  <si>
    <t>д Кулемиха</t>
  </si>
  <si>
    <t>22518000401</t>
  </si>
  <si>
    <t>д Курилово</t>
  </si>
  <si>
    <t>22518000406</t>
  </si>
  <si>
    <t>с Макарьевское</t>
  </si>
  <si>
    <t>22518000411</t>
  </si>
  <si>
    <t>д Маркуша</t>
  </si>
  <si>
    <t>22518000416</t>
  </si>
  <si>
    <t>д Минино</t>
  </si>
  <si>
    <t>22518000421</t>
  </si>
  <si>
    <t>д Нестериха</t>
  </si>
  <si>
    <t>22518000426</t>
  </si>
  <si>
    <t>д Нижнее Кривцово</t>
  </si>
  <si>
    <t>22518000431</t>
  </si>
  <si>
    <t>д Нижняя Слудка</t>
  </si>
  <si>
    <t>22518000436</t>
  </si>
  <si>
    <t>д Нориха</t>
  </si>
  <si>
    <t>22518000441</t>
  </si>
  <si>
    <t>д Панфилиха</t>
  </si>
  <si>
    <t>22518000446</t>
  </si>
  <si>
    <t>д Пегариха</t>
  </si>
  <si>
    <t>22518000451</t>
  </si>
  <si>
    <t>д Погорелка / Входит в состав административно-территориального образования Макарьевский сельсовет</t>
  </si>
  <si>
    <t>22518000456</t>
  </si>
  <si>
    <t>д Потешиха</t>
  </si>
  <si>
    <t>22518000461</t>
  </si>
  <si>
    <t>д Пустошь</t>
  </si>
  <si>
    <t>22518000466</t>
  </si>
  <si>
    <t>д Раздерягино</t>
  </si>
  <si>
    <t>22518000471</t>
  </si>
  <si>
    <t>22518000476</t>
  </si>
  <si>
    <t>д Скрябино</t>
  </si>
  <si>
    <t>22518000481</t>
  </si>
  <si>
    <t>с Спасское</t>
  </si>
  <si>
    <t>22518000486</t>
  </si>
  <si>
    <t>д Тщаница</t>
  </si>
  <si>
    <t>22518000491</t>
  </si>
  <si>
    <t>д Хохониха</t>
  </si>
  <si>
    <t>22518000496</t>
  </si>
  <si>
    <t>д Ченебечиха</t>
  </si>
  <si>
    <t>22518000501</t>
  </si>
  <si>
    <t>д Чухломка</t>
  </si>
  <si>
    <t>22518000506</t>
  </si>
  <si>
    <t>д Шарапиха</t>
  </si>
  <si>
    <t>22518000511</t>
  </si>
  <si>
    <t>д Шашино</t>
  </si>
  <si>
    <t>22518000516</t>
  </si>
  <si>
    <t>22518000521</t>
  </si>
  <si>
    <t>д Бараниха</t>
  </si>
  <si>
    <t>22518000526</t>
  </si>
  <si>
    <t>п Борок</t>
  </si>
  <si>
    <t>22518000531</t>
  </si>
  <si>
    <t>д Бурдуково</t>
  </si>
  <si>
    <t>22518000536</t>
  </si>
  <si>
    <t>д Волково</t>
  </si>
  <si>
    <t>22518000541</t>
  </si>
  <si>
    <t>22518000546</t>
  </si>
  <si>
    <t>п Голубиха</t>
  </si>
  <si>
    <t>22518000551</t>
  </si>
  <si>
    <t>д Жарнава</t>
  </si>
  <si>
    <t>22518000556</t>
  </si>
  <si>
    <t>д Иваново</t>
  </si>
  <si>
    <t>22518000561</t>
  </si>
  <si>
    <t>д Иванчиха</t>
  </si>
  <si>
    <t>22518000566</t>
  </si>
  <si>
    <t>д Ионово</t>
  </si>
  <si>
    <t>22518000571</t>
  </si>
  <si>
    <t>д Мошкино</t>
  </si>
  <si>
    <t>22518000576</t>
  </si>
  <si>
    <t>д Печуриха</t>
  </si>
  <si>
    <t>22518000581</t>
  </si>
  <si>
    <t>д Полома</t>
  </si>
  <si>
    <t>22518000586</t>
  </si>
  <si>
    <t>д Пономарица</t>
  </si>
  <si>
    <t>22518000591</t>
  </si>
  <si>
    <t>п Рязанка</t>
  </si>
  <si>
    <t>22518000596</t>
  </si>
  <si>
    <t>д Рязаново</t>
  </si>
  <si>
    <t>22518000601</t>
  </si>
  <si>
    <t>д Сежа</t>
  </si>
  <si>
    <t>22518000606</t>
  </si>
  <si>
    <t>д Скулябиха</t>
  </si>
  <si>
    <t>22518000611</t>
  </si>
  <si>
    <t>с Стрелица</t>
  </si>
  <si>
    <t>22518000616</t>
  </si>
  <si>
    <t>д Усолье</t>
  </si>
  <si>
    <t>22518000621</t>
  </si>
  <si>
    <t>д Шилиха</t>
  </si>
  <si>
    <t>22518000626</t>
  </si>
  <si>
    <t>д Золотое</t>
  </si>
  <si>
    <t>22518000631</t>
  </si>
  <si>
    <t>д Крутцы / Входит в состав административно-территориального образования Новоуспенский сельсовет</t>
  </si>
  <si>
    <t>22518000636</t>
  </si>
  <si>
    <t>д Курляпшиха</t>
  </si>
  <si>
    <t>22518000641</t>
  </si>
  <si>
    <t>с Новоуспенское</t>
  </si>
  <si>
    <t>22518000646</t>
  </si>
  <si>
    <t>22518000651</t>
  </si>
  <si>
    <t>д Стешиха</t>
  </si>
  <si>
    <t>22518000656</t>
  </si>
  <si>
    <t>д Токариха / Входит в состав административно-территориального образования Новоуспенский сельсовет</t>
  </si>
  <si>
    <t>22518000661</t>
  </si>
  <si>
    <t>д Баковское</t>
  </si>
  <si>
    <t>22518000666</t>
  </si>
  <si>
    <t>д Бердничата</t>
  </si>
  <si>
    <t>22518000671</t>
  </si>
  <si>
    <t>д Варакшата</t>
  </si>
  <si>
    <t>22518000676</t>
  </si>
  <si>
    <t>д Капраниха</t>
  </si>
  <si>
    <t>22518000681</t>
  </si>
  <si>
    <t>д Каркалово</t>
  </si>
  <si>
    <t>22518000686</t>
  </si>
  <si>
    <t>д Коллектив</t>
  </si>
  <si>
    <t>22518000691</t>
  </si>
  <si>
    <t>д Медведовское</t>
  </si>
  <si>
    <t>22518000696</t>
  </si>
  <si>
    <t>д Мостовая</t>
  </si>
  <si>
    <t>22518000701</t>
  </si>
  <si>
    <t>с Новопокровское</t>
  </si>
  <si>
    <t>22518000706</t>
  </si>
  <si>
    <t>д Пескуша</t>
  </si>
  <si>
    <t>22518000711</t>
  </si>
  <si>
    <t>д Прониха</t>
  </si>
  <si>
    <t>22518000716</t>
  </si>
  <si>
    <t>д Антониха</t>
  </si>
  <si>
    <t>22518000721</t>
  </si>
  <si>
    <t>д Великуша</t>
  </si>
  <si>
    <t>22518000726</t>
  </si>
  <si>
    <t>д Долгий Мост</t>
  </si>
  <si>
    <t>22518000731</t>
  </si>
  <si>
    <t>д Звягино</t>
  </si>
  <si>
    <t>22518000736</t>
  </si>
  <si>
    <t>д Ивняжная</t>
  </si>
  <si>
    <t>22518000741</t>
  </si>
  <si>
    <t>д Круглая</t>
  </si>
  <si>
    <t>22518000746</t>
  </si>
  <si>
    <t>д Кузнечиха</t>
  </si>
  <si>
    <t>22518000751</t>
  </si>
  <si>
    <t>д Мотово</t>
  </si>
  <si>
    <t>22518000756</t>
  </si>
  <si>
    <t>д Орлиха</t>
  </si>
  <si>
    <t>22518000761</t>
  </si>
  <si>
    <t>д Пахтусиха</t>
  </si>
  <si>
    <t>22518000766</t>
  </si>
  <si>
    <t>д Семенчиха</t>
  </si>
  <si>
    <t>22518000771</t>
  </si>
  <si>
    <t>д Солоница</t>
  </si>
  <si>
    <t>22518000776</t>
  </si>
  <si>
    <t>22518000781</t>
  </si>
  <si>
    <t>с Турань</t>
  </si>
  <si>
    <t>22519000051</t>
  </si>
  <si>
    <t>рп Вознесенское</t>
  </si>
  <si>
    <t>22519000106</t>
  </si>
  <si>
    <t>с Бахтызино</t>
  </si>
  <si>
    <t>22519000111</t>
  </si>
  <si>
    <t>д Вещерка</t>
  </si>
  <si>
    <t>22519000116</t>
  </si>
  <si>
    <t>д Китаевка</t>
  </si>
  <si>
    <t>22519000121</t>
  </si>
  <si>
    <t>д Козлейка</t>
  </si>
  <si>
    <t>22519000126</t>
  </si>
  <si>
    <t>д Мельсеватовка</t>
  </si>
  <si>
    <t>22519000131</t>
  </si>
  <si>
    <t>д Сарма</t>
  </si>
  <si>
    <t>22519000136</t>
  </si>
  <si>
    <t>с Суморьево</t>
  </si>
  <si>
    <t>22519000141</t>
  </si>
  <si>
    <t>с Благодатовка</t>
  </si>
  <si>
    <t>22519000146</t>
  </si>
  <si>
    <t>п Богородск</t>
  </si>
  <si>
    <t>22519000151</t>
  </si>
  <si>
    <t>д Букалей</t>
  </si>
  <si>
    <t>22519000156</t>
  </si>
  <si>
    <t>д Варнаево</t>
  </si>
  <si>
    <t>22519000161</t>
  </si>
  <si>
    <t>д Знаменка</t>
  </si>
  <si>
    <t>22519000166</t>
  </si>
  <si>
    <t>д Калиновка</t>
  </si>
  <si>
    <t>22519000171</t>
  </si>
  <si>
    <t>п Лесомашинный</t>
  </si>
  <si>
    <t>22519000176</t>
  </si>
  <si>
    <t>п Новый Лашман</t>
  </si>
  <si>
    <t>22519000181</t>
  </si>
  <si>
    <t>д Покровка</t>
  </si>
  <si>
    <t>22519000186</t>
  </si>
  <si>
    <t>д Абашево</t>
  </si>
  <si>
    <t>22519000191</t>
  </si>
  <si>
    <t>с Борки</t>
  </si>
  <si>
    <t>22519000196</t>
  </si>
  <si>
    <t>с Бутаково</t>
  </si>
  <si>
    <t>22519000201</t>
  </si>
  <si>
    <t>с Девлетяково</t>
  </si>
  <si>
    <t>22519000206</t>
  </si>
  <si>
    <t>с Княжево</t>
  </si>
  <si>
    <t>22519000211</t>
  </si>
  <si>
    <t>д Марьино</t>
  </si>
  <si>
    <t>22519000216</t>
  </si>
  <si>
    <t>22519000221</t>
  </si>
  <si>
    <t>д Шигаево</t>
  </si>
  <si>
    <t>22519000226</t>
  </si>
  <si>
    <t>д Антоновка</t>
  </si>
  <si>
    <t>22519000231</t>
  </si>
  <si>
    <t>д Беговатово</t>
  </si>
  <si>
    <t>22519000236</t>
  </si>
  <si>
    <t>с Криуша</t>
  </si>
  <si>
    <t>22519000241</t>
  </si>
  <si>
    <t>с Линейка</t>
  </si>
  <si>
    <t>22519000246</t>
  </si>
  <si>
    <t>д Починки</t>
  </si>
  <si>
    <t>22519000251</t>
  </si>
  <si>
    <t>д Тумлейка</t>
  </si>
  <si>
    <t>22519000256</t>
  </si>
  <si>
    <t>д Дашино</t>
  </si>
  <si>
    <t>22519000261</t>
  </si>
  <si>
    <t>с Мотызлей</t>
  </si>
  <si>
    <t>22519000266</t>
  </si>
  <si>
    <t>с Аламасово</t>
  </si>
  <si>
    <t>22519000271</t>
  </si>
  <si>
    <t>п Барановка</t>
  </si>
  <si>
    <t>22519000276</t>
  </si>
  <si>
    <t>п Заря</t>
  </si>
  <si>
    <t>22519000281</t>
  </si>
  <si>
    <t>с Илев</t>
  </si>
  <si>
    <t>22519000286</t>
  </si>
  <si>
    <t>д Малый Майдан</t>
  </si>
  <si>
    <t>22519000291</t>
  </si>
  <si>
    <t>с Нарышкино</t>
  </si>
  <si>
    <t>22519000296</t>
  </si>
  <si>
    <t>п Путь Ленина</t>
  </si>
  <si>
    <t>22519000301</t>
  </si>
  <si>
    <t>с Сарминский Майдан</t>
  </si>
  <si>
    <t>22519000306</t>
  </si>
  <si>
    <t>п Свободный / Входит в состав административно-территориального образования Нарышкинский сельсовет</t>
  </si>
  <si>
    <t>22519000311</t>
  </si>
  <si>
    <t>п Торжок</t>
  </si>
  <si>
    <t>22519000316</t>
  </si>
  <si>
    <t>п Три Овражка</t>
  </si>
  <si>
    <t>22519000321</t>
  </si>
  <si>
    <t>п Хохлиха</t>
  </si>
  <si>
    <t>22519000326</t>
  </si>
  <si>
    <t>п Шаприха</t>
  </si>
  <si>
    <t>22519000331</t>
  </si>
  <si>
    <t>д Вилки</t>
  </si>
  <si>
    <t>22519000336</t>
  </si>
  <si>
    <t>п Крутец</t>
  </si>
  <si>
    <t>22519000341</t>
  </si>
  <si>
    <t>п Новый Путь</t>
  </si>
  <si>
    <t>22519000346</t>
  </si>
  <si>
    <t>с Полховский Майдан</t>
  </si>
  <si>
    <t>22519000351</t>
  </si>
  <si>
    <t>п Донок</t>
  </si>
  <si>
    <t>22519000356</t>
  </si>
  <si>
    <t>22519000361</t>
  </si>
  <si>
    <t>п Кочгар</t>
  </si>
  <si>
    <t>22519000366</t>
  </si>
  <si>
    <t>п Куриха</t>
  </si>
  <si>
    <t>22519000371</t>
  </si>
  <si>
    <t>п Луктос</t>
  </si>
  <si>
    <t>22519000376</t>
  </si>
  <si>
    <t>п Преображенка</t>
  </si>
  <si>
    <t>22519000381</t>
  </si>
  <si>
    <t>п Сарма</t>
  </si>
  <si>
    <t>22519000386</t>
  </si>
  <si>
    <t>п Свободный / Входит в состав административно-территориального образования Сарминский сельсовет</t>
  </si>
  <si>
    <t>22519000391</t>
  </si>
  <si>
    <t>п Степановка</t>
  </si>
  <si>
    <t>22519000396</t>
  </si>
  <si>
    <t>п Яблонка</t>
  </si>
  <si>
    <t>22520000001</t>
  </si>
  <si>
    <t>г Володарск</t>
  </si>
  <si>
    <t>22520000053</t>
  </si>
  <si>
    <t>рп Ильиногорск</t>
  </si>
  <si>
    <t>22520000056</t>
  </si>
  <si>
    <t>рп Решетиха</t>
  </si>
  <si>
    <t>22520000059</t>
  </si>
  <si>
    <t>рп Смолино</t>
  </si>
  <si>
    <t>22520000062</t>
  </si>
  <si>
    <t>рп Фролищи</t>
  </si>
  <si>
    <t>22520000065</t>
  </si>
  <si>
    <t>рп Центральный</t>
  </si>
  <si>
    <t>22520000068</t>
  </si>
  <si>
    <t>рп Юганец</t>
  </si>
  <si>
    <t>22520000106</t>
  </si>
  <si>
    <t>п Инженерный</t>
  </si>
  <si>
    <t>22520000111</t>
  </si>
  <si>
    <t>д Гладково</t>
  </si>
  <si>
    <t>22520000116</t>
  </si>
  <si>
    <t>с Золино</t>
  </si>
  <si>
    <t>22520000121</t>
  </si>
  <si>
    <t>п Новосмолинский</t>
  </si>
  <si>
    <t>22520000126</t>
  </si>
  <si>
    <t>д Талашманово</t>
  </si>
  <si>
    <t>22520000131</t>
  </si>
  <si>
    <t>д Ильина Гора</t>
  </si>
  <si>
    <t>22520000136</t>
  </si>
  <si>
    <t>п Ильино</t>
  </si>
  <si>
    <t>22520000141</t>
  </si>
  <si>
    <t>с Мячково</t>
  </si>
  <si>
    <t>22520000146</t>
  </si>
  <si>
    <t>д Объезд</t>
  </si>
  <si>
    <t>22520000151</t>
  </si>
  <si>
    <t>д Седельниково</t>
  </si>
  <si>
    <t>22520000156</t>
  </si>
  <si>
    <t>22520000161</t>
  </si>
  <si>
    <t>д Чичерево</t>
  </si>
  <si>
    <t>22520000166</t>
  </si>
  <si>
    <t>д Щелапино</t>
  </si>
  <si>
    <t>22520000171</t>
  </si>
  <si>
    <t>п Голышево</t>
  </si>
  <si>
    <t>22520000176</t>
  </si>
  <si>
    <t>п Дубки</t>
  </si>
  <si>
    <t>22520000181</t>
  </si>
  <si>
    <t>п Красная Горка</t>
  </si>
  <si>
    <t>22520000186</t>
  </si>
  <si>
    <t>п Охлопково</t>
  </si>
  <si>
    <t>22520000191</t>
  </si>
  <si>
    <t>п Старая Сейма</t>
  </si>
  <si>
    <t>22520000196</t>
  </si>
  <si>
    <t>п Чернуха</t>
  </si>
  <si>
    <t>22520000201</t>
  </si>
  <si>
    <t>п Щелканово</t>
  </si>
  <si>
    <t>22520000206</t>
  </si>
  <si>
    <t>д Дева</t>
  </si>
  <si>
    <t>22520000211</t>
  </si>
  <si>
    <t>п Красные Ударники</t>
  </si>
  <si>
    <t>22520000216</t>
  </si>
  <si>
    <t>д Мулино</t>
  </si>
  <si>
    <t>22520000221</t>
  </si>
  <si>
    <t>п Мулино</t>
  </si>
  <si>
    <t>22520000226</t>
  </si>
  <si>
    <t>с Старково</t>
  </si>
  <si>
    <t>22522000051</t>
  </si>
  <si>
    <t>рп Воскресенское</t>
  </si>
  <si>
    <t>22522000106</t>
  </si>
  <si>
    <t>п Калиниха</t>
  </si>
  <si>
    <t>22522000111</t>
  </si>
  <si>
    <t>п им Михеева</t>
  </si>
  <si>
    <t>22522000116</t>
  </si>
  <si>
    <t>д Аносово</t>
  </si>
  <si>
    <t>22522000121</t>
  </si>
  <si>
    <t>д Апариха</t>
  </si>
  <si>
    <t>22522000126</t>
  </si>
  <si>
    <t>д Асташиха</t>
  </si>
  <si>
    <t>22522000131</t>
  </si>
  <si>
    <t>с Благовещенское</t>
  </si>
  <si>
    <t>22522000136</t>
  </si>
  <si>
    <t>с Знаменское</t>
  </si>
  <si>
    <t>22522000141</t>
  </si>
  <si>
    <t>22522000146</t>
  </si>
  <si>
    <t>д Кладовка</t>
  </si>
  <si>
    <t>22522000151</t>
  </si>
  <si>
    <t>д Коробиха</t>
  </si>
  <si>
    <t>22522000156</t>
  </si>
  <si>
    <t>д Красное</t>
  </si>
  <si>
    <t>22522000161</t>
  </si>
  <si>
    <t>д Левиха</t>
  </si>
  <si>
    <t>22522000166</t>
  </si>
  <si>
    <t>д Пичужиха</t>
  </si>
  <si>
    <t>22522000171</t>
  </si>
  <si>
    <t>с Погатиха</t>
  </si>
  <si>
    <t>22522000176</t>
  </si>
  <si>
    <t>д Попиха</t>
  </si>
  <si>
    <t>22522000181</t>
  </si>
  <si>
    <t>д Поползуха</t>
  </si>
  <si>
    <t>22522000186</t>
  </si>
  <si>
    <t>д Прудовка</t>
  </si>
  <si>
    <t>22522000191</t>
  </si>
  <si>
    <t>д Пузеево / Входит в состав административно-территориального образования Благовещенский сельсовет</t>
  </si>
  <si>
    <t>22522000196</t>
  </si>
  <si>
    <t>д Семеново</t>
  </si>
  <si>
    <t>22522000201</t>
  </si>
  <si>
    <t>д Соловьиха</t>
  </si>
  <si>
    <t>22522000206</t>
  </si>
  <si>
    <t>д Стрелиха</t>
  </si>
  <si>
    <t>22522000211</t>
  </si>
  <si>
    <t>22522000216</t>
  </si>
  <si>
    <t>22522000221</t>
  </si>
  <si>
    <t>д Бахарево</t>
  </si>
  <si>
    <t>22522000226</t>
  </si>
  <si>
    <t>д Бесходарное</t>
  </si>
  <si>
    <t>22522000231</t>
  </si>
  <si>
    <t>д Богданово / Входит в состав административно-территориального образования Богородский сельсовет</t>
  </si>
  <si>
    <t>22522000236</t>
  </si>
  <si>
    <t>22522000241</t>
  </si>
  <si>
    <t>д Борисовка</t>
  </si>
  <si>
    <t>22522000246</t>
  </si>
  <si>
    <t>д Валявиха</t>
  </si>
  <si>
    <t>22522000251</t>
  </si>
  <si>
    <t>д Галибиха</t>
  </si>
  <si>
    <t>22522000256</t>
  </si>
  <si>
    <t>с Докукино</t>
  </si>
  <si>
    <t>22522000261</t>
  </si>
  <si>
    <t>д Евдокимово</t>
  </si>
  <si>
    <t>22522000266</t>
  </si>
  <si>
    <t>д Задворка</t>
  </si>
  <si>
    <t>22522000271</t>
  </si>
  <si>
    <t>22522000276</t>
  </si>
  <si>
    <t>д Калиниха</t>
  </si>
  <si>
    <t>22522000281</t>
  </si>
  <si>
    <t>д Косогорово</t>
  </si>
  <si>
    <t>22522000286</t>
  </si>
  <si>
    <t>д Курдома</t>
  </si>
  <si>
    <t>22522000291</t>
  </si>
  <si>
    <t>д Ладыгино</t>
  </si>
  <si>
    <t>22522000296</t>
  </si>
  <si>
    <t>д Лалакино</t>
  </si>
  <si>
    <t>22522000301</t>
  </si>
  <si>
    <t>д Нагорное</t>
  </si>
  <si>
    <t>22522000306</t>
  </si>
  <si>
    <t>22522000311</t>
  </si>
  <si>
    <t>д Сухоборка</t>
  </si>
  <si>
    <t>22522000316</t>
  </si>
  <si>
    <t>д Сысуево</t>
  </si>
  <si>
    <t>22522000321</t>
  </si>
  <si>
    <t>д Томилиха</t>
  </si>
  <si>
    <t>22522000326</t>
  </si>
  <si>
    <t>д Трифакино</t>
  </si>
  <si>
    <t>22522000331</t>
  </si>
  <si>
    <t>д Урубково</t>
  </si>
  <si>
    <t>22522000336</t>
  </si>
  <si>
    <t>с Успенское</t>
  </si>
  <si>
    <t>22522000341</t>
  </si>
  <si>
    <t>д Чанниково</t>
  </si>
  <si>
    <t>22522000346</t>
  </si>
  <si>
    <t>д Шевелино</t>
  </si>
  <si>
    <t>22522000351</t>
  </si>
  <si>
    <t>22522000356</t>
  </si>
  <si>
    <t>д Аршиново</t>
  </si>
  <si>
    <t>22522000361</t>
  </si>
  <si>
    <t>д Бараново</t>
  </si>
  <si>
    <t>22522000366</t>
  </si>
  <si>
    <t>д Большие Ключи</t>
  </si>
  <si>
    <t>22522000371</t>
  </si>
  <si>
    <t>д Быдрей</t>
  </si>
  <si>
    <t>22522000376</t>
  </si>
  <si>
    <t>с Владимирское</t>
  </si>
  <si>
    <t>22522000381</t>
  </si>
  <si>
    <t>д Зимарка</t>
  </si>
  <si>
    <t>22522000386</t>
  </si>
  <si>
    <t>22522000391</t>
  </si>
  <si>
    <t>д Лобачи</t>
  </si>
  <si>
    <t>22522000396</t>
  </si>
  <si>
    <t>д Мартьяново</t>
  </si>
  <si>
    <t>22522000401</t>
  </si>
  <si>
    <t>д Осиновка / Входит в состав административно-территориального образования Владимирский сельсовет</t>
  </si>
  <si>
    <t>22522000406</t>
  </si>
  <si>
    <t>д Пигалево</t>
  </si>
  <si>
    <t>22522000411</t>
  </si>
  <si>
    <t>д Пузеево / Входит в состав административно-территориального образования Владимирский сельсовет</t>
  </si>
  <si>
    <t>22522000416</t>
  </si>
  <si>
    <t>д Рассадино</t>
  </si>
  <si>
    <t>22522000421</t>
  </si>
  <si>
    <t>д Топан</t>
  </si>
  <si>
    <t>22522000426</t>
  </si>
  <si>
    <t>д Шадрино</t>
  </si>
  <si>
    <t>22522000431</t>
  </si>
  <si>
    <t>д Шишенино</t>
  </si>
  <si>
    <t>22522000436</t>
  </si>
  <si>
    <t>с Шурговаш</t>
  </si>
  <si>
    <t>22522000441</t>
  </si>
  <si>
    <t>д Большая Юронга</t>
  </si>
  <si>
    <t>22522000446</t>
  </si>
  <si>
    <t>д Большие Отары</t>
  </si>
  <si>
    <t>22522000451</t>
  </si>
  <si>
    <t>д Большие Поляны</t>
  </si>
  <si>
    <t>22522000456</t>
  </si>
  <si>
    <t>д Большое Иевлево</t>
  </si>
  <si>
    <t>22522000461</t>
  </si>
  <si>
    <t>с Большое Поле</t>
  </si>
  <si>
    <t>22522000466</t>
  </si>
  <si>
    <t>с Воздвиженское</t>
  </si>
  <si>
    <t>22522000471</t>
  </si>
  <si>
    <t>д Заболотное</t>
  </si>
  <si>
    <t>22522000476</t>
  </si>
  <si>
    <t>п Ижма</t>
  </si>
  <si>
    <t>22522000481</t>
  </si>
  <si>
    <t>д Изъянка</t>
  </si>
  <si>
    <t>22522000486</t>
  </si>
  <si>
    <t>д Кузнец</t>
  </si>
  <si>
    <t>22522000491</t>
  </si>
  <si>
    <t>д Малая Юронга</t>
  </si>
  <si>
    <t>22522000496</t>
  </si>
  <si>
    <t>д Малое Иевлево</t>
  </si>
  <si>
    <t>22522000501</t>
  </si>
  <si>
    <t>д Малое Содомово</t>
  </si>
  <si>
    <t>22522000506</t>
  </si>
  <si>
    <t>д Малые Отары</t>
  </si>
  <si>
    <t>22522000511</t>
  </si>
  <si>
    <t>д Нестерино</t>
  </si>
  <si>
    <t>22522000516</t>
  </si>
  <si>
    <t>д Ошараш</t>
  </si>
  <si>
    <t>22522000521</t>
  </si>
  <si>
    <t>д Петрово</t>
  </si>
  <si>
    <t>22522000526</t>
  </si>
  <si>
    <t>д Прудовские</t>
  </si>
  <si>
    <t>22522000531</t>
  </si>
  <si>
    <t>п Руя</t>
  </si>
  <si>
    <t>22522000536</t>
  </si>
  <si>
    <t>22522000541</t>
  </si>
  <si>
    <t>д Сухоречье</t>
  </si>
  <si>
    <t>22522000546</t>
  </si>
  <si>
    <t>д Тиханки</t>
  </si>
  <si>
    <t>22522000551</t>
  </si>
  <si>
    <t>д Чистое Болото</t>
  </si>
  <si>
    <t>22522000556</t>
  </si>
  <si>
    <t>д Анненка</t>
  </si>
  <si>
    <t>22522000561</t>
  </si>
  <si>
    <t>д Белоусово</t>
  </si>
  <si>
    <t>22522000566</t>
  </si>
  <si>
    <t>д Большое Содомово</t>
  </si>
  <si>
    <t>22522000571</t>
  </si>
  <si>
    <t>д Буслаево</t>
  </si>
  <si>
    <t>22522000576</t>
  </si>
  <si>
    <t>с Глухово</t>
  </si>
  <si>
    <t>22522000581</t>
  </si>
  <si>
    <t>д Елкино</t>
  </si>
  <si>
    <t>22522000586</t>
  </si>
  <si>
    <t>д Копанки</t>
  </si>
  <si>
    <t>22522000591</t>
  </si>
  <si>
    <t>д Красная Новь</t>
  </si>
  <si>
    <t>22522000596</t>
  </si>
  <si>
    <t>д Красные Поляны</t>
  </si>
  <si>
    <t>22522000601</t>
  </si>
  <si>
    <t>п Красный Яр</t>
  </si>
  <si>
    <t>22522000606</t>
  </si>
  <si>
    <t>д Липовка</t>
  </si>
  <si>
    <t>22522000611</t>
  </si>
  <si>
    <t>22522000616</t>
  </si>
  <si>
    <t>д Поломерское</t>
  </si>
  <si>
    <t>22522000621</t>
  </si>
  <si>
    <t>п Поляны</t>
  </si>
  <si>
    <t>22522000626</t>
  </si>
  <si>
    <t>д Попово</t>
  </si>
  <si>
    <t>22522000631</t>
  </si>
  <si>
    <t>д Родионово</t>
  </si>
  <si>
    <t>22522000636</t>
  </si>
  <si>
    <t>д Черново</t>
  </si>
  <si>
    <t>22522000641</t>
  </si>
  <si>
    <t>д Бовырино</t>
  </si>
  <si>
    <t>22522000646</t>
  </si>
  <si>
    <t>д Дубовка</t>
  </si>
  <si>
    <t>22522000651</t>
  </si>
  <si>
    <t>д Дунаевы Поляны</t>
  </si>
  <si>
    <t>22522000656</t>
  </si>
  <si>
    <t>д Егорово</t>
  </si>
  <si>
    <t>22522000661</t>
  </si>
  <si>
    <t>д Ерзово</t>
  </si>
  <si>
    <t>22522000666</t>
  </si>
  <si>
    <t>п Красная Звезда</t>
  </si>
  <si>
    <t>22522000671</t>
  </si>
  <si>
    <t>д Люнда</t>
  </si>
  <si>
    <t>22522000676</t>
  </si>
  <si>
    <t>д Осиновка / Входит в состав административно-территориального образования Егоровский сельсовет</t>
  </si>
  <si>
    <t>22522000681</t>
  </si>
  <si>
    <t>д Бахариха</t>
  </si>
  <si>
    <t>22522000686</t>
  </si>
  <si>
    <t>д Богданово / Входит в состав административно-территориального образования Капустихинский сельсовет</t>
  </si>
  <si>
    <t>22522000691</t>
  </si>
  <si>
    <t>д Будилиха</t>
  </si>
  <si>
    <t>22522000696</t>
  </si>
  <si>
    <t>д Капустиха</t>
  </si>
  <si>
    <t>22522000701</t>
  </si>
  <si>
    <t>д Лучиновка</t>
  </si>
  <si>
    <t>22522000706</t>
  </si>
  <si>
    <t>д Площаниха</t>
  </si>
  <si>
    <t>22522000711</t>
  </si>
  <si>
    <t>22522000716</t>
  </si>
  <si>
    <t>д Усиха</t>
  </si>
  <si>
    <t>22522000721</t>
  </si>
  <si>
    <t>д Чернышиха</t>
  </si>
  <si>
    <t>22522000726</t>
  </si>
  <si>
    <t>22522000731</t>
  </si>
  <si>
    <t>д Щербачиха</t>
  </si>
  <si>
    <t>22522000736</t>
  </si>
  <si>
    <t>д Антипино</t>
  </si>
  <si>
    <t>22522000741</t>
  </si>
  <si>
    <t>д Безводное / Входит в состав административно-территориального образования Нахратовский сельсовет</t>
  </si>
  <si>
    <t>22522000746</t>
  </si>
  <si>
    <t>д Васильевское</t>
  </si>
  <si>
    <t>22522000751</t>
  </si>
  <si>
    <t>д Дубовик</t>
  </si>
  <si>
    <t>22522000756</t>
  </si>
  <si>
    <t>д Елдеж</t>
  </si>
  <si>
    <t>22522000761</t>
  </si>
  <si>
    <t>д Копылково</t>
  </si>
  <si>
    <t>22522000766</t>
  </si>
  <si>
    <t>22522000771</t>
  </si>
  <si>
    <t>д Кучиново</t>
  </si>
  <si>
    <t>22522000776</t>
  </si>
  <si>
    <t>д Марфино</t>
  </si>
  <si>
    <t>22522000781</t>
  </si>
  <si>
    <t>22522000786</t>
  </si>
  <si>
    <t>д Нахратово</t>
  </si>
  <si>
    <t>22522000791</t>
  </si>
  <si>
    <t>д Озерское</t>
  </si>
  <si>
    <t>22522000796</t>
  </si>
  <si>
    <t>д Орехи</t>
  </si>
  <si>
    <t>22522000801</t>
  </si>
  <si>
    <t>д Подлесная</t>
  </si>
  <si>
    <t>22522000806</t>
  </si>
  <si>
    <t>д Чихтино</t>
  </si>
  <si>
    <t>22522000811</t>
  </si>
  <si>
    <t>д Шалово</t>
  </si>
  <si>
    <t>22522000816</t>
  </si>
  <si>
    <t>д Шамино</t>
  </si>
  <si>
    <t>22522000821</t>
  </si>
  <si>
    <t>д Щербаково</t>
  </si>
  <si>
    <t>22522000826</t>
  </si>
  <si>
    <t>д Якшиха</t>
  </si>
  <si>
    <t>22522000831</t>
  </si>
  <si>
    <t>д Автулиха</t>
  </si>
  <si>
    <t>22522000836</t>
  </si>
  <si>
    <t>д Быстрец</t>
  </si>
  <si>
    <t>22522000841</t>
  </si>
  <si>
    <t>22522000846</t>
  </si>
  <si>
    <t>22522000851</t>
  </si>
  <si>
    <t>д Клюкино</t>
  </si>
  <si>
    <t>22522000856</t>
  </si>
  <si>
    <t>д Марково</t>
  </si>
  <si>
    <t>22522000861</t>
  </si>
  <si>
    <t>с Нестиары</t>
  </si>
  <si>
    <t>22522000866</t>
  </si>
  <si>
    <t>д Никаново</t>
  </si>
  <si>
    <t>22522000871</t>
  </si>
  <si>
    <t>д Безводное / Входит в состав административно-территориального образования Староустинский сельсовет</t>
  </si>
  <si>
    <t>22522000876</t>
  </si>
  <si>
    <t>д Драничное</t>
  </si>
  <si>
    <t>22522000881</t>
  </si>
  <si>
    <t>д Елизаветино</t>
  </si>
  <si>
    <t>22522000886</t>
  </si>
  <si>
    <t>д Игнатьево</t>
  </si>
  <si>
    <t>22522000891</t>
  </si>
  <si>
    <t>д Краснояр</t>
  </si>
  <si>
    <t>22522000896</t>
  </si>
  <si>
    <t>22522000901</t>
  </si>
  <si>
    <t>д Раскаты</t>
  </si>
  <si>
    <t>22522000906</t>
  </si>
  <si>
    <t>с Староустье</t>
  </si>
  <si>
    <t>22522000911</t>
  </si>
  <si>
    <t>с Троицкое</t>
  </si>
  <si>
    <t>22526000101</t>
  </si>
  <si>
    <t>с Гагино</t>
  </si>
  <si>
    <t>22526000106</t>
  </si>
  <si>
    <t>п Андреевка</t>
  </si>
  <si>
    <t>22526000111</t>
  </si>
  <si>
    <t>с Баженово</t>
  </si>
  <si>
    <t>22526000116</t>
  </si>
  <si>
    <t>с Большая Арать</t>
  </si>
  <si>
    <t>22526000121</t>
  </si>
  <si>
    <t>с Гуленки</t>
  </si>
  <si>
    <t>22526000126</t>
  </si>
  <si>
    <t>с Зверево</t>
  </si>
  <si>
    <t>22526000131</t>
  </si>
  <si>
    <t>с Какино</t>
  </si>
  <si>
    <t>22526000136</t>
  </si>
  <si>
    <t>с Карауловка</t>
  </si>
  <si>
    <t>22526000141</t>
  </si>
  <si>
    <t>д Малахово</t>
  </si>
  <si>
    <t>22526000146</t>
  </si>
  <si>
    <t>с Моисеевка</t>
  </si>
  <si>
    <t>22526000151</t>
  </si>
  <si>
    <t>с Осиновка</t>
  </si>
  <si>
    <t>22526000156</t>
  </si>
  <si>
    <t>д Протасово</t>
  </si>
  <si>
    <t>22526000161</t>
  </si>
  <si>
    <t>с Смирново</t>
  </si>
  <si>
    <t>22526000166</t>
  </si>
  <si>
    <t>д Сунгулово</t>
  </si>
  <si>
    <t>22526000171</t>
  </si>
  <si>
    <t>с Сыченки</t>
  </si>
  <si>
    <t>22526000176</t>
  </si>
  <si>
    <t>д Шумово</t>
  </si>
  <si>
    <t>22526000181</t>
  </si>
  <si>
    <t>с Андросово</t>
  </si>
  <si>
    <t>22526000186</t>
  </si>
  <si>
    <t>с Барские Поляны</t>
  </si>
  <si>
    <t>22526000191</t>
  </si>
  <si>
    <t>с Ветошкино</t>
  </si>
  <si>
    <t>22526000196</t>
  </si>
  <si>
    <t>д Зеленая</t>
  </si>
  <si>
    <t>22526000201</t>
  </si>
  <si>
    <t>с Муратовка</t>
  </si>
  <si>
    <t>22526000206</t>
  </si>
  <si>
    <t>с Новоблаговещенское</t>
  </si>
  <si>
    <t>22526000211</t>
  </si>
  <si>
    <t>п Новый Венец</t>
  </si>
  <si>
    <t>22526000216</t>
  </si>
  <si>
    <t>п Раздолье</t>
  </si>
  <si>
    <t>22526000221</t>
  </si>
  <si>
    <t>д Ройка</t>
  </si>
  <si>
    <t>22526000226</t>
  </si>
  <si>
    <t>п Стрелка</t>
  </si>
  <si>
    <t>22526000231</t>
  </si>
  <si>
    <t>д Сурки</t>
  </si>
  <si>
    <t>22526000236</t>
  </si>
  <si>
    <t>с Тарханово</t>
  </si>
  <si>
    <t>22526000241</t>
  </si>
  <si>
    <t>22526000246</t>
  </si>
  <si>
    <t>с Утка</t>
  </si>
  <si>
    <t>22526000251</t>
  </si>
  <si>
    <t>п Баронский</t>
  </si>
  <si>
    <t>22526000256</t>
  </si>
  <si>
    <t>п Грязный</t>
  </si>
  <si>
    <t>22526000261</t>
  </si>
  <si>
    <t>п Малиновка</t>
  </si>
  <si>
    <t>22526000266</t>
  </si>
  <si>
    <t>д Новодевичьи Горы</t>
  </si>
  <si>
    <t>22526000271</t>
  </si>
  <si>
    <t>с Паново-Осаново</t>
  </si>
  <si>
    <t>22526000276</t>
  </si>
  <si>
    <t>п Первомайский</t>
  </si>
  <si>
    <t>22526000281</t>
  </si>
  <si>
    <t>с Субботино</t>
  </si>
  <si>
    <t>22526000286</t>
  </si>
  <si>
    <t>д Тяпино</t>
  </si>
  <si>
    <t>22526000291</t>
  </si>
  <si>
    <t>22526000296</t>
  </si>
  <si>
    <t>с Исупово</t>
  </si>
  <si>
    <t>22526000301</t>
  </si>
  <si>
    <t>с Ломакино</t>
  </si>
  <si>
    <t>22526000306</t>
  </si>
  <si>
    <t>с Луш-Помры</t>
  </si>
  <si>
    <t>22526000311</t>
  </si>
  <si>
    <t>с Покров</t>
  </si>
  <si>
    <t>22526000316</t>
  </si>
  <si>
    <t>с Соболево</t>
  </si>
  <si>
    <t>22526000321</t>
  </si>
  <si>
    <t>22526000326</t>
  </si>
  <si>
    <t>с Сурочки</t>
  </si>
  <si>
    <t>22526000331</t>
  </si>
  <si>
    <t>д Ханинеевка</t>
  </si>
  <si>
    <t>22526000336</t>
  </si>
  <si>
    <t>с Большая Уда</t>
  </si>
  <si>
    <t>22526000341</t>
  </si>
  <si>
    <t>с Глушенки</t>
  </si>
  <si>
    <t>22526000346</t>
  </si>
  <si>
    <t>д Дарьино</t>
  </si>
  <si>
    <t>22526000351</t>
  </si>
  <si>
    <t>с Ивково</t>
  </si>
  <si>
    <t>22526000356</t>
  </si>
  <si>
    <t>с Итманово</t>
  </si>
  <si>
    <t>22526000361</t>
  </si>
  <si>
    <t>с Ляпня</t>
  </si>
  <si>
    <t>22526000366</t>
  </si>
  <si>
    <t>п Новая Николаевка</t>
  </si>
  <si>
    <t>22526000371</t>
  </si>
  <si>
    <t>с Новое Молчаново</t>
  </si>
  <si>
    <t>22526000376</t>
  </si>
  <si>
    <t>д Пекшать</t>
  </si>
  <si>
    <t>22526000381</t>
  </si>
  <si>
    <t>с Ушаково</t>
  </si>
  <si>
    <t>22526000386</t>
  </si>
  <si>
    <t>п Черничиха</t>
  </si>
  <si>
    <t>22526000391</t>
  </si>
  <si>
    <t>с Березники</t>
  </si>
  <si>
    <t>22526000396</t>
  </si>
  <si>
    <t>с Воронцово</t>
  </si>
  <si>
    <t>22526000401</t>
  </si>
  <si>
    <t>с Калинино</t>
  </si>
  <si>
    <t>22526000406</t>
  </si>
  <si>
    <t>с Курбатово</t>
  </si>
  <si>
    <t>22526000411</t>
  </si>
  <si>
    <t>с Мишуково</t>
  </si>
  <si>
    <t>22526000416</t>
  </si>
  <si>
    <t>с Никольское</t>
  </si>
  <si>
    <t>22526000421</t>
  </si>
  <si>
    <t>с Ново-Еделево</t>
  </si>
  <si>
    <t>22526000426</t>
  </si>
  <si>
    <t>с Паново-Леонтьево</t>
  </si>
  <si>
    <t>22526000431</t>
  </si>
  <si>
    <t>с Юрьево</t>
  </si>
  <si>
    <t>22528000001</t>
  </si>
  <si>
    <t>г Городец</t>
  </si>
  <si>
    <t>22528000003</t>
  </si>
  <si>
    <t>г Заволжье</t>
  </si>
  <si>
    <t>22528000054</t>
  </si>
  <si>
    <t>рп Первомайский</t>
  </si>
  <si>
    <t>22528000103</t>
  </si>
  <si>
    <t>д Бабино</t>
  </si>
  <si>
    <t>22528000105</t>
  </si>
  <si>
    <t>д Бастраново</t>
  </si>
  <si>
    <t>22528000107</t>
  </si>
  <si>
    <t>д Беляницино</t>
  </si>
  <si>
    <t>22528000109</t>
  </si>
  <si>
    <t>д Богданово</t>
  </si>
  <si>
    <t>22528000111</t>
  </si>
  <si>
    <t>д Богомолово</t>
  </si>
  <si>
    <t>22528000113</t>
  </si>
  <si>
    <t>д Бодягино</t>
  </si>
  <si>
    <t>22528000115</t>
  </si>
  <si>
    <t>с Бриляково</t>
  </si>
  <si>
    <t>22528000117</t>
  </si>
  <si>
    <t>д Бурково / Входит в состав административно-территориального образования Бриляковский сельсовет</t>
  </si>
  <si>
    <t>22528000119</t>
  </si>
  <si>
    <t>д Воробьево</t>
  </si>
  <si>
    <t>22528000121</t>
  </si>
  <si>
    <t>д Горюшки</t>
  </si>
  <si>
    <t>22528000123</t>
  </si>
  <si>
    <t>д Дроздово / Входит в состав административно-территориального образования Бриляковский сельсовет</t>
  </si>
  <si>
    <t>22528000125</t>
  </si>
  <si>
    <t>д Дубрава</t>
  </si>
  <si>
    <t>22528000127</t>
  </si>
  <si>
    <t>д Дырино</t>
  </si>
  <si>
    <t>22528000129</t>
  </si>
  <si>
    <t>22528000131</t>
  </si>
  <si>
    <t>д Ефутино</t>
  </si>
  <si>
    <t>22528000133</t>
  </si>
  <si>
    <t>д Жбанниково</t>
  </si>
  <si>
    <t>22528000135</t>
  </si>
  <si>
    <t>д Зубово / Входит в состав административно-территориального образования Бриляковский сельсовет</t>
  </si>
  <si>
    <t>22528000137</t>
  </si>
  <si>
    <t>д Калинки</t>
  </si>
  <si>
    <t>22528000139</t>
  </si>
  <si>
    <t>д Карлово</t>
  </si>
  <si>
    <t>22528000141</t>
  </si>
  <si>
    <t>д Ключи</t>
  </si>
  <si>
    <t>22528000143</t>
  </si>
  <si>
    <t>д Колываново</t>
  </si>
  <si>
    <t>22528000145</t>
  </si>
  <si>
    <t>д Коньково</t>
  </si>
  <si>
    <t>22528000147</t>
  </si>
  <si>
    <t>д Копосово</t>
  </si>
  <si>
    <t>22528000149</t>
  </si>
  <si>
    <t>д Косолапово</t>
  </si>
  <si>
    <t>22528000151</t>
  </si>
  <si>
    <t>д Красная Рамень</t>
  </si>
  <si>
    <t>22528000153</t>
  </si>
  <si>
    <t>д Красноселье</t>
  </si>
  <si>
    <t>22528000155</t>
  </si>
  <si>
    <t>д Кривоносово</t>
  </si>
  <si>
    <t>22528000157</t>
  </si>
  <si>
    <t>д Кумохино / Входит в состав административно-территориального образования Бриляковский сельсовет</t>
  </si>
  <si>
    <t>22528000159</t>
  </si>
  <si>
    <t>22528000161</t>
  </si>
  <si>
    <t>д Лапино</t>
  </si>
  <si>
    <t>22528000163</t>
  </si>
  <si>
    <t>д Лбово</t>
  </si>
  <si>
    <t>22528000165</t>
  </si>
  <si>
    <t>д Мехово</t>
  </si>
  <si>
    <t>22528000167</t>
  </si>
  <si>
    <t>д Мокрушино</t>
  </si>
  <si>
    <t>22528000169</t>
  </si>
  <si>
    <t>д Мочальное</t>
  </si>
  <si>
    <t>22528000171</t>
  </si>
  <si>
    <t>д Мошкино / Входит в состав административно-территориального образования Бриляковский сельсовет</t>
  </si>
  <si>
    <t>22528000173</t>
  </si>
  <si>
    <t>д Никольское / Входит в состав административно-территориального образования Бриляковский сельсовет</t>
  </si>
  <si>
    <t>22528000175</t>
  </si>
  <si>
    <t>д Никулино / Входит в состав административно-территориального образования Бриляковский сельсовет</t>
  </si>
  <si>
    <t>22528000177</t>
  </si>
  <si>
    <t>д Ничунаево</t>
  </si>
  <si>
    <t>22528000179</t>
  </si>
  <si>
    <t>д Ожгихино</t>
  </si>
  <si>
    <t>22528000181</t>
  </si>
  <si>
    <t>д Осоково / Входит в состав административно-территориального образования Бриляковский сельсовет</t>
  </si>
  <si>
    <t>22528000183</t>
  </si>
  <si>
    <t>д Островино</t>
  </si>
  <si>
    <t>22528000185</t>
  </si>
  <si>
    <t>д Пестряково / Входит в состав административно-территориального образования Бриляковский сельсовет</t>
  </si>
  <si>
    <t>22528000187</t>
  </si>
  <si>
    <t>22528000189</t>
  </si>
  <si>
    <t>д Привалово</t>
  </si>
  <si>
    <t>22528000191</t>
  </si>
  <si>
    <t>д Притыкино / Входит в состав административно-территориального образования Бриляковский сельсовет</t>
  </si>
  <si>
    <t>22528000193</t>
  </si>
  <si>
    <t>д Прокурино</t>
  </si>
  <si>
    <t>22528000195</t>
  </si>
  <si>
    <t>д Роймино</t>
  </si>
  <si>
    <t>22528000197</t>
  </si>
  <si>
    <t>д Рыжухино</t>
  </si>
  <si>
    <t>22528000199</t>
  </si>
  <si>
    <t>д Сидорово / Входит в состав административно-территориального образования Бриляковский сельсовет</t>
  </si>
  <si>
    <t>22528000201</t>
  </si>
  <si>
    <t>д Слышково</t>
  </si>
  <si>
    <t>22528000203</t>
  </si>
  <si>
    <t>д Старцево / Входит в состав административно-территориального образования Бриляковский сельсовет</t>
  </si>
  <si>
    <t>22528000205</t>
  </si>
  <si>
    <t>д Стрекалово</t>
  </si>
  <si>
    <t>22528000207</t>
  </si>
  <si>
    <t>д Сысуйково</t>
  </si>
  <si>
    <t>22528000209</t>
  </si>
  <si>
    <t>д Телицино</t>
  </si>
  <si>
    <t>22528000211</t>
  </si>
  <si>
    <t>д Токовиково</t>
  </si>
  <si>
    <t>22528000213</t>
  </si>
  <si>
    <t>д Ульянково</t>
  </si>
  <si>
    <t>22528000215</t>
  </si>
  <si>
    <t>д Филоново</t>
  </si>
  <si>
    <t>22528000217</t>
  </si>
  <si>
    <t>д Хахалино</t>
  </si>
  <si>
    <t>22528000219</t>
  </si>
  <si>
    <t>д Чегенево</t>
  </si>
  <si>
    <t>22528000221</t>
  </si>
  <si>
    <t>22528000223</t>
  </si>
  <si>
    <t>д Шарыпово</t>
  </si>
  <si>
    <t>22528000225</t>
  </si>
  <si>
    <t>д Ягодно-Лесное</t>
  </si>
  <si>
    <t>22528000227</t>
  </si>
  <si>
    <t>22528000229</t>
  </si>
  <si>
    <t>д Арефино</t>
  </si>
  <si>
    <t>22528000231</t>
  </si>
  <si>
    <t>д Артемьево</t>
  </si>
  <si>
    <t>22528000233</t>
  </si>
  <si>
    <t>п Артемьево</t>
  </si>
  <si>
    <t>22528000235</t>
  </si>
  <si>
    <t>д Бабчино</t>
  </si>
  <si>
    <t>22528000237</t>
  </si>
  <si>
    <t>д Большие Березки</t>
  </si>
  <si>
    <t>22528000239</t>
  </si>
  <si>
    <t>22528000241</t>
  </si>
  <si>
    <t>д Ведерниково</t>
  </si>
  <si>
    <t>22528000243</t>
  </si>
  <si>
    <t>д Войлоково</t>
  </si>
  <si>
    <t>22528000245</t>
  </si>
  <si>
    <t>д Володино</t>
  </si>
  <si>
    <t>22528000247</t>
  </si>
  <si>
    <t>с Воронино</t>
  </si>
  <si>
    <t>22528000249</t>
  </si>
  <si>
    <t>д Выскорное</t>
  </si>
  <si>
    <t>22528000251</t>
  </si>
  <si>
    <t>д Гаврилки</t>
  </si>
  <si>
    <t>22528000253</t>
  </si>
  <si>
    <t>д Горбуши</t>
  </si>
  <si>
    <t>22528000255</t>
  </si>
  <si>
    <t>д Горюшкино</t>
  </si>
  <si>
    <t>22528000257</t>
  </si>
  <si>
    <t>д Горяшино</t>
  </si>
  <si>
    <t>22528000259</t>
  </si>
  <si>
    <t>д Гранино</t>
  </si>
  <si>
    <t>22528000261</t>
  </si>
  <si>
    <t>д Гридниково</t>
  </si>
  <si>
    <t>22528000263</t>
  </si>
  <si>
    <t>д Долганово</t>
  </si>
  <si>
    <t>22528000265</t>
  </si>
  <si>
    <t>д Дроздово / Входит в состав административно-территориального образования Зиняковский сельсовет</t>
  </si>
  <si>
    <t>22528000267</t>
  </si>
  <si>
    <t>д Елево / Входит в состав административно-территориального образования Зиняковский сельсовет</t>
  </si>
  <si>
    <t>22528000269</t>
  </si>
  <si>
    <t>д Елхово</t>
  </si>
  <si>
    <t>22528000271</t>
  </si>
  <si>
    <t>д Емелино</t>
  </si>
  <si>
    <t>22528000273</t>
  </si>
  <si>
    <t>д Журавлево</t>
  </si>
  <si>
    <t>22528000275</t>
  </si>
  <si>
    <t>д Завражное / Входит в состав административно-территориального образования Зиняковский сельсовет</t>
  </si>
  <si>
    <t>22528000277</t>
  </si>
  <si>
    <t>д Заплутайки</t>
  </si>
  <si>
    <t>22528000279</t>
  </si>
  <si>
    <t>с Зарубино</t>
  </si>
  <si>
    <t>22528000281</t>
  </si>
  <si>
    <t>с Зиняки</t>
  </si>
  <si>
    <t>22528000283</t>
  </si>
  <si>
    <t>д Ивашково</t>
  </si>
  <si>
    <t>22528000285</t>
  </si>
  <si>
    <t>д Калинкино</t>
  </si>
  <si>
    <t>22528000287</t>
  </si>
  <si>
    <t>22528000289</t>
  </si>
  <si>
    <t>д Карташиха</t>
  </si>
  <si>
    <t>22528000291</t>
  </si>
  <si>
    <t>д Киреево</t>
  </si>
  <si>
    <t>22528000293</t>
  </si>
  <si>
    <t>с Кирюшино</t>
  </si>
  <si>
    <t>22528000295</t>
  </si>
  <si>
    <t>д Колесниково</t>
  </si>
  <si>
    <t>22528000297</t>
  </si>
  <si>
    <t>д Колоногово</t>
  </si>
  <si>
    <t>22528000299</t>
  </si>
  <si>
    <t>д Конопляново</t>
  </si>
  <si>
    <t>22528000301</t>
  </si>
  <si>
    <t>д Коптево</t>
  </si>
  <si>
    <t>22528000303</t>
  </si>
  <si>
    <t>д Костромино</t>
  </si>
  <si>
    <t>22528000305</t>
  </si>
  <si>
    <t>д Круглово</t>
  </si>
  <si>
    <t>22528000307</t>
  </si>
  <si>
    <t>22528000309</t>
  </si>
  <si>
    <t>д Ларино</t>
  </si>
  <si>
    <t>22528000311</t>
  </si>
  <si>
    <t>д Лихачево</t>
  </si>
  <si>
    <t>22528000313</t>
  </si>
  <si>
    <t>д Луковкино</t>
  </si>
  <si>
    <t>22528000315</t>
  </si>
  <si>
    <t>д Максимовское</t>
  </si>
  <si>
    <t>22528000317</t>
  </si>
  <si>
    <t>22528000319</t>
  </si>
  <si>
    <t>д Малые Березки</t>
  </si>
  <si>
    <t>22528000321</t>
  </si>
  <si>
    <t>22528000323</t>
  </si>
  <si>
    <t>д Матренино</t>
  </si>
  <si>
    <t>22528000325</t>
  </si>
  <si>
    <t>д Мельниково</t>
  </si>
  <si>
    <t>22528000327</t>
  </si>
  <si>
    <t>д Могильцы</t>
  </si>
  <si>
    <t>22528000329</t>
  </si>
  <si>
    <t>д Неболдино</t>
  </si>
  <si>
    <t>22528000331</t>
  </si>
  <si>
    <t>д Никитино</t>
  </si>
  <si>
    <t>22528000333</t>
  </si>
  <si>
    <t>д Обухово</t>
  </si>
  <si>
    <t>22528000335</t>
  </si>
  <si>
    <t>д Овинное</t>
  </si>
  <si>
    <t>22528000337</t>
  </si>
  <si>
    <t>д Осинки / Входит в состав административно-территориального образования Зиняковский сельсовет</t>
  </si>
  <si>
    <t>22528000339</t>
  </si>
  <si>
    <t>д Пелевино</t>
  </si>
  <si>
    <t>22528000341</t>
  </si>
  <si>
    <t>д Пестово / Входит в состав административно-территориального образования Зиняковский сельсовет</t>
  </si>
  <si>
    <t>22528000343</t>
  </si>
  <si>
    <t>д Подолец</t>
  </si>
  <si>
    <t>22528000345</t>
  </si>
  <si>
    <t>д Покровское</t>
  </si>
  <si>
    <t>22528000347</t>
  </si>
  <si>
    <t>д Полежайки</t>
  </si>
  <si>
    <t>22528000349</t>
  </si>
  <si>
    <t>д Пречистино</t>
  </si>
  <si>
    <t>22528000351</t>
  </si>
  <si>
    <t>д Притыкино / Входит в состав административно-территориального образования Зиняковский сельсовет</t>
  </si>
  <si>
    <t>22528000353</t>
  </si>
  <si>
    <t>д Прудово</t>
  </si>
  <si>
    <t>22528000355</t>
  </si>
  <si>
    <t>п Прудово</t>
  </si>
  <si>
    <t>22528000357</t>
  </si>
  <si>
    <t>д Пудово</t>
  </si>
  <si>
    <t>22528000359</t>
  </si>
  <si>
    <t>д Редькино</t>
  </si>
  <si>
    <t>22528000361</t>
  </si>
  <si>
    <t>с Редькино</t>
  </si>
  <si>
    <t>22528000363</t>
  </si>
  <si>
    <t>д Рогозинино</t>
  </si>
  <si>
    <t>22528000365</t>
  </si>
  <si>
    <t>д Самохвалово</t>
  </si>
  <si>
    <t>22528000367</t>
  </si>
  <si>
    <t>д Сидорово / Входит в состав административно-территориального образования Зиняковский сельсовет</t>
  </si>
  <si>
    <t>22528000369</t>
  </si>
  <si>
    <t>д Ситниково</t>
  </si>
  <si>
    <t>22528000371</t>
  </si>
  <si>
    <t>д Смольники</t>
  </si>
  <si>
    <t>22528000373</t>
  </si>
  <si>
    <t>д Солоденино</t>
  </si>
  <si>
    <t>22528000375</t>
  </si>
  <si>
    <t>д Соримостово</t>
  </si>
  <si>
    <t>22528000377</t>
  </si>
  <si>
    <t>д Сорокоумово</t>
  </si>
  <si>
    <t>22528000379</t>
  </si>
  <si>
    <t>д Сосновское / Входит в состав административно-территориального образования Зиняковский сельсовет</t>
  </si>
  <si>
    <t>22528000381</t>
  </si>
  <si>
    <t>д Стрелка / Входит в состав административно-территориального образования Зиняковский сельсовет</t>
  </si>
  <si>
    <t>22528000383</t>
  </si>
  <si>
    <t>д Строино</t>
  </si>
  <si>
    <t>22528000385</t>
  </si>
  <si>
    <t>д Ступино</t>
  </si>
  <si>
    <t>22528000387</t>
  </si>
  <si>
    <t>д Сухаренки</t>
  </si>
  <si>
    <t>22528000389</t>
  </si>
  <si>
    <t>п Сухаренки</t>
  </si>
  <si>
    <t>22528000391</t>
  </si>
  <si>
    <t>д Тюкалово</t>
  </si>
  <si>
    <t>22528000393</t>
  </si>
  <si>
    <t>д Фердуново</t>
  </si>
  <si>
    <t>22528000395</t>
  </si>
  <si>
    <t>д Харино</t>
  </si>
  <si>
    <t>22528000397</t>
  </si>
  <si>
    <t>д Худяково</t>
  </si>
  <si>
    <t>22528000399</t>
  </si>
  <si>
    <t>д Черемушки</t>
  </si>
  <si>
    <t>22528000401</t>
  </si>
  <si>
    <t>22528000403</t>
  </si>
  <si>
    <t>д Чернораменье</t>
  </si>
  <si>
    <t>22528000405</t>
  </si>
  <si>
    <t>22528000407</t>
  </si>
  <si>
    <t>д Шалахино</t>
  </si>
  <si>
    <t>22528000409</t>
  </si>
  <si>
    <t>д Шапошное</t>
  </si>
  <si>
    <t>22528000411</t>
  </si>
  <si>
    <t>д Шешуки</t>
  </si>
  <si>
    <t>22528000413</t>
  </si>
  <si>
    <t>д Ширшово</t>
  </si>
  <si>
    <t>22528000415</t>
  </si>
  <si>
    <t>д Шошино</t>
  </si>
  <si>
    <t>22528000417</t>
  </si>
  <si>
    <t>д Шутово</t>
  </si>
  <si>
    <t>22528000419</t>
  </si>
  <si>
    <t>д Юрово</t>
  </si>
  <si>
    <t>22528000421</t>
  </si>
  <si>
    <t>д Яблонное / Входит в состав административно-территориального образования Зиняковский сельсовет</t>
  </si>
  <si>
    <t>22528000423</t>
  </si>
  <si>
    <t>д Яришное</t>
  </si>
  <si>
    <t>22528000425</t>
  </si>
  <si>
    <t>д Ястребцово</t>
  </si>
  <si>
    <t>22528000427</t>
  </si>
  <si>
    <t>д Ахлебаиха</t>
  </si>
  <si>
    <t>22528000429</t>
  </si>
  <si>
    <t>д Белоглазово</t>
  </si>
  <si>
    <t>22528000431</t>
  </si>
  <si>
    <t>д Бледны</t>
  </si>
  <si>
    <t>22528000433</t>
  </si>
  <si>
    <t>д Боковка</t>
  </si>
  <si>
    <t>22528000435</t>
  </si>
  <si>
    <t>д Высоково / Входит в состав административно-территориального образования Ковригинский сельсовет</t>
  </si>
  <si>
    <t>22528000437</t>
  </si>
  <si>
    <t>д Гришманово</t>
  </si>
  <si>
    <t>22528000439</t>
  </si>
  <si>
    <t>д Завидлево</t>
  </si>
  <si>
    <t>22528000441</t>
  </si>
  <si>
    <t>д Ковригино / Входит в состав административно-территориального образования Ковригинский сельсовет</t>
  </si>
  <si>
    <t>22528000443</t>
  </si>
  <si>
    <t>д Конево / Входит в состав административно-территориального образования Ковригинский сельсовет</t>
  </si>
  <si>
    <t>22528000445</t>
  </si>
  <si>
    <t>22528000447</t>
  </si>
  <si>
    <t>д Косково</t>
  </si>
  <si>
    <t>22528000449</t>
  </si>
  <si>
    <t>д Курочкино</t>
  </si>
  <si>
    <t>22528000451</t>
  </si>
  <si>
    <t>д Курцево</t>
  </si>
  <si>
    <t>22528000453</t>
  </si>
  <si>
    <t>д Лосево / Входит в состав административно-территориального образования Ковригинский сельсовет</t>
  </si>
  <si>
    <t>22528000455</t>
  </si>
  <si>
    <t>д Мошкино / Входит в состав административно-территориального образования Ковригинский сельсовет</t>
  </si>
  <si>
    <t>22528000457</t>
  </si>
  <si>
    <t>д Никулино / Входит в состав административно-территориального образования Ковригинский сельсовет</t>
  </si>
  <si>
    <t>22528000459</t>
  </si>
  <si>
    <t>д Ноздрино</t>
  </si>
  <si>
    <t>22528000461</t>
  </si>
  <si>
    <t>д Петухово / Входит в состав административно-территориального образования Ковригинский сельсовет</t>
  </si>
  <si>
    <t>22528000463</t>
  </si>
  <si>
    <t>д Прозорово</t>
  </si>
  <si>
    <t>22528000465</t>
  </si>
  <si>
    <t>д Репино</t>
  </si>
  <si>
    <t>22528000467</t>
  </si>
  <si>
    <t>д Романово</t>
  </si>
  <si>
    <t>22528000469</t>
  </si>
  <si>
    <t>д Руя</t>
  </si>
  <si>
    <t>22528000471</t>
  </si>
  <si>
    <t>д Савино / Входит в состав административно-территориального образования Ковригинский сельсовет</t>
  </si>
  <si>
    <t>22528000473</t>
  </si>
  <si>
    <t>д Филипцево / Входит в состав административно-территориального образования Ковригинский сельсовет</t>
  </si>
  <si>
    <t>22528000475</t>
  </si>
  <si>
    <t>д Черна</t>
  </si>
  <si>
    <t>22528000477</t>
  </si>
  <si>
    <t>д Абросиха</t>
  </si>
  <si>
    <t>22528000479</t>
  </si>
  <si>
    <t>д Авдеево</t>
  </si>
  <si>
    <t>22528000481</t>
  </si>
  <si>
    <t>д Безводное / Входит в состав административно-территориального образования Кумохинский сельсовет</t>
  </si>
  <si>
    <t>22528000483</t>
  </si>
  <si>
    <t>д Бротены</t>
  </si>
  <si>
    <t>22528000485</t>
  </si>
  <si>
    <t>д Варварское</t>
  </si>
  <si>
    <t>22528000487</t>
  </si>
  <si>
    <t>д Высокая Рамень</t>
  </si>
  <si>
    <t>22528000489</t>
  </si>
  <si>
    <t>д Галанино</t>
  </si>
  <si>
    <t>22528000491</t>
  </si>
  <si>
    <t>д Горбуново</t>
  </si>
  <si>
    <t>22528000493</t>
  </si>
  <si>
    <t>д Горохово</t>
  </si>
  <si>
    <t>22528000495</t>
  </si>
  <si>
    <t>д Жеравизное</t>
  </si>
  <si>
    <t>22528000497</t>
  </si>
  <si>
    <t>п Детского санатория</t>
  </si>
  <si>
    <t>22528000499</t>
  </si>
  <si>
    <t>д Заборово</t>
  </si>
  <si>
    <t>22528000501</t>
  </si>
  <si>
    <t>д Завражное / Входит в состав административно-территориального образования Кумохинский сельсовет</t>
  </si>
  <si>
    <t>22528000503</t>
  </si>
  <si>
    <t>д Заломаево</t>
  </si>
  <si>
    <t>22528000505</t>
  </si>
  <si>
    <t>д Засорихино</t>
  </si>
  <si>
    <t>22528000507</t>
  </si>
  <si>
    <t>д Кабачево</t>
  </si>
  <si>
    <t>22528000509</t>
  </si>
  <si>
    <t>д Каплино</t>
  </si>
  <si>
    <t>22528000511</t>
  </si>
  <si>
    <t>д Кленово</t>
  </si>
  <si>
    <t>22528000513</t>
  </si>
  <si>
    <t>д Клюшниково</t>
  </si>
  <si>
    <t>22528000515</t>
  </si>
  <si>
    <t>22528000517</t>
  </si>
  <si>
    <t>д Кудашиха</t>
  </si>
  <si>
    <t>22528000519</t>
  </si>
  <si>
    <t>д Кумохино / Входит в состав административно-территориального образования Кумохинский сельсовет</t>
  </si>
  <si>
    <t>22528000521</t>
  </si>
  <si>
    <t>д Кунорино</t>
  </si>
  <si>
    <t>22528000523</t>
  </si>
  <si>
    <t>д Липовая Грива</t>
  </si>
  <si>
    <t>22528000525</t>
  </si>
  <si>
    <t>д Ложкино</t>
  </si>
  <si>
    <t>22528000527</t>
  </si>
  <si>
    <t>22528000529</t>
  </si>
  <si>
    <t>д Мостовое</t>
  </si>
  <si>
    <t>22528000531</t>
  </si>
  <si>
    <t>д Мысово</t>
  </si>
  <si>
    <t>22528000533</t>
  </si>
  <si>
    <t>д Налескино</t>
  </si>
  <si>
    <t>22528000535</t>
  </si>
  <si>
    <t>д Наседкино</t>
  </si>
  <si>
    <t>22528000537</t>
  </si>
  <si>
    <t>д Нечаиха / Входит в состав административно-территориального образования Кумохинский сельсовет</t>
  </si>
  <si>
    <t>22528000539</t>
  </si>
  <si>
    <t>д Пестово / Входит в состав административно-территориального образования Кумохинский сельсовет</t>
  </si>
  <si>
    <t>22528000541</t>
  </si>
  <si>
    <t>д Повалихино</t>
  </si>
  <si>
    <t>22528000543</t>
  </si>
  <si>
    <t>д Подлужное</t>
  </si>
  <si>
    <t>22528000545</t>
  </si>
  <si>
    <t>д Полизалово</t>
  </si>
  <si>
    <t>22528000547</t>
  </si>
  <si>
    <t>д Пономарево</t>
  </si>
  <si>
    <t>22528000549</t>
  </si>
  <si>
    <t>д Речная</t>
  </si>
  <si>
    <t>22528000551</t>
  </si>
  <si>
    <t>д Рогожино</t>
  </si>
  <si>
    <t>22528000553</t>
  </si>
  <si>
    <t>д Рожково</t>
  </si>
  <si>
    <t>22528000555</t>
  </si>
  <si>
    <t>д Свинино</t>
  </si>
  <si>
    <t>22528000557</t>
  </si>
  <si>
    <t>д Серково</t>
  </si>
  <si>
    <t>22528000559</t>
  </si>
  <si>
    <t>д Слоново</t>
  </si>
  <si>
    <t>22528000561</t>
  </si>
  <si>
    <t>д Сотнево</t>
  </si>
  <si>
    <t>22528000563</t>
  </si>
  <si>
    <t>с Строчково</t>
  </si>
  <si>
    <t>22528000565</t>
  </si>
  <si>
    <t>д Тарханово / Входит в состав административно-территориального образования Кумохинский сельсовет</t>
  </si>
  <si>
    <t>22528000567</t>
  </si>
  <si>
    <t>д Тяблино</t>
  </si>
  <si>
    <t>22528000569</t>
  </si>
  <si>
    <t>п Узольский</t>
  </si>
  <si>
    <t>22528000571</t>
  </si>
  <si>
    <t>д Улыбино</t>
  </si>
  <si>
    <t>22528000573</t>
  </si>
  <si>
    <t>д Черкуново</t>
  </si>
  <si>
    <t>22528000575</t>
  </si>
  <si>
    <t>22528000577</t>
  </si>
  <si>
    <t>д Шейкино</t>
  </si>
  <si>
    <t>22528000579</t>
  </si>
  <si>
    <t>д Яровская</t>
  </si>
  <si>
    <t>22528000581</t>
  </si>
  <si>
    <t>п Аксентис</t>
  </si>
  <si>
    <t>22528000583</t>
  </si>
  <si>
    <t>д Бакунино</t>
  </si>
  <si>
    <t>22528000585</t>
  </si>
  <si>
    <t>д Барышево</t>
  </si>
  <si>
    <t>22528000587</t>
  </si>
  <si>
    <t>д Басурманиха</t>
  </si>
  <si>
    <t>22528000589</t>
  </si>
  <si>
    <t>д Безводное / Входит в состав административно-территориального образования Николо-Погостинский сельсовет</t>
  </si>
  <si>
    <t>22528000591</t>
  </si>
  <si>
    <t>д Блаженцово</t>
  </si>
  <si>
    <t>22528000593</t>
  </si>
  <si>
    <t>д Бурково / Входит в состав административно-территориального образования Николо-Погостинский сельсовет</t>
  </si>
  <si>
    <t>22528000595</t>
  </si>
  <si>
    <t>д Бутаково</t>
  </si>
  <si>
    <t>22528000597</t>
  </si>
  <si>
    <t>д Воловое</t>
  </si>
  <si>
    <t>22528000599</t>
  </si>
  <si>
    <t>д Воронино</t>
  </si>
  <si>
    <t>22528000601</t>
  </si>
  <si>
    <t>д Восчестниково</t>
  </si>
  <si>
    <t>22528000603</t>
  </si>
  <si>
    <t>д Вяловская</t>
  </si>
  <si>
    <t>22528000605</t>
  </si>
  <si>
    <t>д Глуховка</t>
  </si>
  <si>
    <t>22528000607</t>
  </si>
  <si>
    <t>д Головино</t>
  </si>
  <si>
    <t>22528000609</t>
  </si>
  <si>
    <t>д Гордеево</t>
  </si>
  <si>
    <t>22528000611</t>
  </si>
  <si>
    <t>д Горенки</t>
  </si>
  <si>
    <t>22528000613</t>
  </si>
  <si>
    <t>д Горенское</t>
  </si>
  <si>
    <t>22528000615</t>
  </si>
  <si>
    <t>п Городецкий</t>
  </si>
  <si>
    <t>22528000617</t>
  </si>
  <si>
    <t>д Гурьево</t>
  </si>
  <si>
    <t>22528000619</t>
  </si>
  <si>
    <t>д Гусево</t>
  </si>
  <si>
    <t>22528000621</t>
  </si>
  <si>
    <t>д Долганиха</t>
  </si>
  <si>
    <t>22528000623</t>
  </si>
  <si>
    <t>д Дубенино</t>
  </si>
  <si>
    <t>22528000625</t>
  </si>
  <si>
    <t>д Дубки</t>
  </si>
  <si>
    <t>22528000627</t>
  </si>
  <si>
    <t>д Желтиково</t>
  </si>
  <si>
    <t>22528000629</t>
  </si>
  <si>
    <t>д Иголенки</t>
  </si>
  <si>
    <t>22528000631</t>
  </si>
  <si>
    <t>п Ильинский</t>
  </si>
  <si>
    <t>22528000633</t>
  </si>
  <si>
    <t>д Караиха</t>
  </si>
  <si>
    <t>22528000635</t>
  </si>
  <si>
    <t>д Клепиковка</t>
  </si>
  <si>
    <t>22528000637</t>
  </si>
  <si>
    <t>д Ковалево</t>
  </si>
  <si>
    <t>22528000639</t>
  </si>
  <si>
    <t>д Кожухово</t>
  </si>
  <si>
    <t>22528000641</t>
  </si>
  <si>
    <t>д Коновалиха</t>
  </si>
  <si>
    <t>22528000643</t>
  </si>
  <si>
    <t>д Копенное</t>
  </si>
  <si>
    <t>22528000645</t>
  </si>
  <si>
    <t>д Коробово / Входит в состав административно-территориального образования Николо-Погостинский сельсовет</t>
  </si>
  <si>
    <t>22528000647</t>
  </si>
  <si>
    <t>д Костомарино</t>
  </si>
  <si>
    <t>22528000649</t>
  </si>
  <si>
    <t>д Куфтино</t>
  </si>
  <si>
    <t>22528000651</t>
  </si>
  <si>
    <t>д Лисицыно</t>
  </si>
  <si>
    <t>22528000653</t>
  </si>
  <si>
    <t>д Ломки</t>
  </si>
  <si>
    <t>22528000655</t>
  </si>
  <si>
    <t>д Лосево / Входит в состав административно-территориального образования Николо-Погостинский сельсовет</t>
  </si>
  <si>
    <t>22528000657</t>
  </si>
  <si>
    <t>д Лямино</t>
  </si>
  <si>
    <t>22528000659</t>
  </si>
  <si>
    <t>22528000661</t>
  </si>
  <si>
    <t>д Милеево</t>
  </si>
  <si>
    <t>22528000663</t>
  </si>
  <si>
    <t>д Митинское</t>
  </si>
  <si>
    <t>22528000665</t>
  </si>
  <si>
    <t>д Мокеиха</t>
  </si>
  <si>
    <t>22528000667</t>
  </si>
  <si>
    <t>д Мошки</t>
  </si>
  <si>
    <t>22528000669</t>
  </si>
  <si>
    <t>д Нехлустино</t>
  </si>
  <si>
    <t>22528000671</t>
  </si>
  <si>
    <t>д Нечаиха / Входит в состав административно-территориального образования Николо-Погостинский сельсовет</t>
  </si>
  <si>
    <t>22528000673</t>
  </si>
  <si>
    <t>с Николо-Погост</t>
  </si>
  <si>
    <t>22528000675</t>
  </si>
  <si>
    <t>д Новочистное</t>
  </si>
  <si>
    <t>22528000677</t>
  </si>
  <si>
    <t>д Опалево</t>
  </si>
  <si>
    <t>22528000679</t>
  </si>
  <si>
    <t>22528000681</t>
  </si>
  <si>
    <t>д Победа</t>
  </si>
  <si>
    <t>22528000683</t>
  </si>
  <si>
    <t>22528000685</t>
  </si>
  <si>
    <t>д Прокофьево</t>
  </si>
  <si>
    <t>22528000687</t>
  </si>
  <si>
    <t>22528000689</t>
  </si>
  <si>
    <t>д Савино / Входит в состав административно-территориального образования Николо-Погостинский сельсовет</t>
  </si>
  <si>
    <t>22528000691</t>
  </si>
  <si>
    <t>22528000693</t>
  </si>
  <si>
    <t>д Сельцо</t>
  </si>
  <si>
    <t>22528000695</t>
  </si>
  <si>
    <t>д Сидорово / Входит в состав административно-территориального образования Николо-Погостинский сельсовет</t>
  </si>
  <si>
    <t>22528000697</t>
  </si>
  <si>
    <t>д Симоново</t>
  </si>
  <si>
    <t>22528000699</t>
  </si>
  <si>
    <t>д Сосновское / Входит в состав административно-территориального образования Николо-Погостинский сельсовет</t>
  </si>
  <si>
    <t>22528000701</t>
  </si>
  <si>
    <t>д Старцево / Входит в состав административно-территориального образования Николо-Погостинский сельсовет</t>
  </si>
  <si>
    <t>22528000703</t>
  </si>
  <si>
    <t>д Суздалево</t>
  </si>
  <si>
    <t>22528000705</t>
  </si>
  <si>
    <t>д Сысово</t>
  </si>
  <si>
    <t>22528000707</t>
  </si>
  <si>
    <t>д Ульяниха</t>
  </si>
  <si>
    <t>22528000709</t>
  </si>
  <si>
    <t>д Фаладово</t>
  </si>
  <si>
    <t>22528000711</t>
  </si>
  <si>
    <t>д Харламиха</t>
  </si>
  <si>
    <t>22528000713</t>
  </si>
  <si>
    <t>д Хаустово</t>
  </si>
  <si>
    <t>22528000715</t>
  </si>
  <si>
    <t>д Частихино</t>
  </si>
  <si>
    <t>22528000717</t>
  </si>
  <si>
    <t>д Чередково</t>
  </si>
  <si>
    <t>22528000719</t>
  </si>
  <si>
    <t>д Чистомежное</t>
  </si>
  <si>
    <t>22528000721</t>
  </si>
  <si>
    <t>д Шаталиха</t>
  </si>
  <si>
    <t>22528000723</t>
  </si>
  <si>
    <t>д Швецово</t>
  </si>
  <si>
    <t>22528000725</t>
  </si>
  <si>
    <t>д Шипилово</t>
  </si>
  <si>
    <t>22528000727</t>
  </si>
  <si>
    <t>д Шишулино</t>
  </si>
  <si>
    <t>22528000729</t>
  </si>
  <si>
    <t>д Щекино</t>
  </si>
  <si>
    <t>22528000731</t>
  </si>
  <si>
    <t>д Ягодное / Входит в состав административно-территориального образования Николо-Погостинский сельсовет</t>
  </si>
  <si>
    <t>22528000733</t>
  </si>
  <si>
    <t>д Аксеново</t>
  </si>
  <si>
    <t>22528000735</t>
  </si>
  <si>
    <t>д Беляево / Входит в состав административно-территориального образования Смиркинский сельсовет</t>
  </si>
  <si>
    <t>22528000737</t>
  </si>
  <si>
    <t>д Березино</t>
  </si>
  <si>
    <t>22528000739</t>
  </si>
  <si>
    <t>д Виноградово</t>
  </si>
  <si>
    <t>22528000741</t>
  </si>
  <si>
    <t>д Воротилово</t>
  </si>
  <si>
    <t>22528000743</t>
  </si>
  <si>
    <t>д Высоково / Входит в состав административно-территориального образования Смиркинский сельсовет</t>
  </si>
  <si>
    <t>22528000745</t>
  </si>
  <si>
    <t>д Конево / Входит в состав административно-территориального образования Смиркинский сельсовет</t>
  </si>
  <si>
    <t>22528000747</t>
  </si>
  <si>
    <t>д Коровино</t>
  </si>
  <si>
    <t>22528000749</t>
  </si>
  <si>
    <t>д Коровинское</t>
  </si>
  <si>
    <t>22528000751</t>
  </si>
  <si>
    <t>д Мартыново</t>
  </si>
  <si>
    <t>22528000753</t>
  </si>
  <si>
    <t>д Михайлово</t>
  </si>
  <si>
    <t>22528000755</t>
  </si>
  <si>
    <t>д Облизино</t>
  </si>
  <si>
    <t>22528000757</t>
  </si>
  <si>
    <t>д Осоково / Входит в состав административно-территориального образования Смиркинский сельсовет</t>
  </si>
  <si>
    <t>22528000759</t>
  </si>
  <si>
    <t>д Пестряково / Входит в состав административно-территориального образования Смиркинский сельсовет</t>
  </si>
  <si>
    <t>22528000761</t>
  </si>
  <si>
    <t>д Пятейки</t>
  </si>
  <si>
    <t>22528000763</t>
  </si>
  <si>
    <t>п Смиркино</t>
  </si>
  <si>
    <t>22528000765</t>
  </si>
  <si>
    <t>д Собинное</t>
  </si>
  <si>
    <t>22528000767</t>
  </si>
  <si>
    <t>22528000769</t>
  </si>
  <si>
    <t>д Столбово</t>
  </si>
  <si>
    <t>22528000771</t>
  </si>
  <si>
    <t>д Тарханово / Входит в состав административно-территориального образования Смиркинский сельсовет</t>
  </si>
  <si>
    <t>22528000773</t>
  </si>
  <si>
    <t>д Тонково</t>
  </si>
  <si>
    <t>22528000775</t>
  </si>
  <si>
    <t>22528000777</t>
  </si>
  <si>
    <t>д Федосеево</t>
  </si>
  <si>
    <t>22528000779</t>
  </si>
  <si>
    <t>д Фомиха</t>
  </si>
  <si>
    <t>22528000781</t>
  </si>
  <si>
    <t>д Чесноково</t>
  </si>
  <si>
    <t>22528000783</t>
  </si>
  <si>
    <t>д Чучелиха</t>
  </si>
  <si>
    <t>22528000785</t>
  </si>
  <si>
    <t>д Эмохоны</t>
  </si>
  <si>
    <t>22528000787</t>
  </si>
  <si>
    <t>д Абрамиха</t>
  </si>
  <si>
    <t>22528000789</t>
  </si>
  <si>
    <t>д Аржаново</t>
  </si>
  <si>
    <t>22528000791</t>
  </si>
  <si>
    <t>д Архипиха</t>
  </si>
  <si>
    <t>22528000793</t>
  </si>
  <si>
    <t>д Ботусино</t>
  </si>
  <si>
    <t>22528000795</t>
  </si>
  <si>
    <t>22528000797</t>
  </si>
  <si>
    <t>д Долгуша</t>
  </si>
  <si>
    <t>22528000799</t>
  </si>
  <si>
    <t>д Душенькино</t>
  </si>
  <si>
    <t>22528000801</t>
  </si>
  <si>
    <t>д Елево / Входит в состав административно-территориального образования Смольковский сельсовет</t>
  </si>
  <si>
    <t>22528000803</t>
  </si>
  <si>
    <t>д Иконниково</t>
  </si>
  <si>
    <t>22528000805</t>
  </si>
  <si>
    <t>д Караваево</t>
  </si>
  <si>
    <t>22528000807</t>
  </si>
  <si>
    <t>д Кипрево</t>
  </si>
  <si>
    <t>22528000809</t>
  </si>
  <si>
    <t>д Ковригино / Входит в состав административно-территориального образования Смольковский сельсовет</t>
  </si>
  <si>
    <t>22528000811</t>
  </si>
  <si>
    <t>д Кочнево</t>
  </si>
  <si>
    <t>22528000813</t>
  </si>
  <si>
    <t>22528000815</t>
  </si>
  <si>
    <t>д Лебедево</t>
  </si>
  <si>
    <t>22528000817</t>
  </si>
  <si>
    <t>д Лесная</t>
  </si>
  <si>
    <t>22528000819</t>
  </si>
  <si>
    <t>д Ломляево</t>
  </si>
  <si>
    <t>22528000821</t>
  </si>
  <si>
    <t>д Луговое</t>
  </si>
  <si>
    <t>22528000823</t>
  </si>
  <si>
    <t>д Малинки</t>
  </si>
  <si>
    <t>22528000825</t>
  </si>
  <si>
    <t>д Никольское / Входит в состав административно-территориального образования Смольковский сельсовет</t>
  </si>
  <si>
    <t>22528000827</t>
  </si>
  <si>
    <t>д Оскордино</t>
  </si>
  <si>
    <t>22528000829</t>
  </si>
  <si>
    <t>д Погуляйки</t>
  </si>
  <si>
    <t>22528000831</t>
  </si>
  <si>
    <t>д Прозориха</t>
  </si>
  <si>
    <t>22528000833</t>
  </si>
  <si>
    <t>д Пульниково</t>
  </si>
  <si>
    <t>22528000835</t>
  </si>
  <si>
    <t>д Пшеничное</t>
  </si>
  <si>
    <t>22528000837</t>
  </si>
  <si>
    <t>д Сбоиха</t>
  </si>
  <si>
    <t>22528000839</t>
  </si>
  <si>
    <t>с Скородум</t>
  </si>
  <si>
    <t>22528000841</t>
  </si>
  <si>
    <t>с Смольки</t>
  </si>
  <si>
    <t>22528000843</t>
  </si>
  <si>
    <t>д Содомово / Входит в состав административно-территориального образования Смольковский сельсовет</t>
  </si>
  <si>
    <t>22528000845</t>
  </si>
  <si>
    <t>д Стрелка / Входит в состав административно-территориального образования Смольковский сельсовет</t>
  </si>
  <si>
    <t>22528000847</t>
  </si>
  <si>
    <t>д Тесовая</t>
  </si>
  <si>
    <t>22528000849</t>
  </si>
  <si>
    <t>д Тихая</t>
  </si>
  <si>
    <t>22528000851</t>
  </si>
  <si>
    <t>д Тревражное</t>
  </si>
  <si>
    <t>22528000853</t>
  </si>
  <si>
    <t>д Тренино</t>
  </si>
  <si>
    <t>22528000855</t>
  </si>
  <si>
    <t>д Филипцево / Входит в состав административно-территориального образования Смольковский сельсовет</t>
  </si>
  <si>
    <t>22528000857</t>
  </si>
  <si>
    <t>д Яблонное / Входит в состав административно-территориального образования Смольковский сельсовет</t>
  </si>
  <si>
    <t>22528000859</t>
  </si>
  <si>
    <t>д Ягодное / Входит в состав административно-территориального образования Смольковский сельсовет</t>
  </si>
  <si>
    <t>22528000861</t>
  </si>
  <si>
    <t>22528000863</t>
  </si>
  <si>
    <t>д Андроново</t>
  </si>
  <si>
    <t>22528000865</t>
  </si>
  <si>
    <t>д Артюшино</t>
  </si>
  <si>
    <t>22528000867</t>
  </si>
  <si>
    <t>д Боково</t>
  </si>
  <si>
    <t>22528000869</t>
  </si>
  <si>
    <t>22528000871</t>
  </si>
  <si>
    <t>д Бушнево</t>
  </si>
  <si>
    <t>22528000873</t>
  </si>
  <si>
    <t>22528000875</t>
  </si>
  <si>
    <t>д Вашуриха</t>
  </si>
  <si>
    <t>22528000877</t>
  </si>
  <si>
    <t>д Вашурово</t>
  </si>
  <si>
    <t>22528000879</t>
  </si>
  <si>
    <t>д Ветелево</t>
  </si>
  <si>
    <t>22528000881</t>
  </si>
  <si>
    <t>д Вологино</t>
  </si>
  <si>
    <t>22528000883</t>
  </si>
  <si>
    <t>д Вязовое</t>
  </si>
  <si>
    <t>22528000885</t>
  </si>
  <si>
    <t>д Жеховская</t>
  </si>
  <si>
    <t>22528000887</t>
  </si>
  <si>
    <t>д Зубово / Входит в состав административно-территориального образования Тимирязевский сельсовет</t>
  </si>
  <si>
    <t>22528000889</t>
  </si>
  <si>
    <t>22528000891</t>
  </si>
  <si>
    <t>д Кирьяново</t>
  </si>
  <si>
    <t>22528000893</t>
  </si>
  <si>
    <t>д Лисино</t>
  </si>
  <si>
    <t>22528000895</t>
  </si>
  <si>
    <t>д Нагавицино</t>
  </si>
  <si>
    <t>22528000897</t>
  </si>
  <si>
    <t>д Носово</t>
  </si>
  <si>
    <t>22528000899</t>
  </si>
  <si>
    <t>д Павелкино</t>
  </si>
  <si>
    <t>22528000901</t>
  </si>
  <si>
    <t>д Перевесное</t>
  </si>
  <si>
    <t>22528000903</t>
  </si>
  <si>
    <t>д Родителево</t>
  </si>
  <si>
    <t>22528000905</t>
  </si>
  <si>
    <t>д Скипино</t>
  </si>
  <si>
    <t>22528000907</t>
  </si>
  <si>
    <t>д Скользихино</t>
  </si>
  <si>
    <t>22528000909</t>
  </si>
  <si>
    <t>д Терентьево</t>
  </si>
  <si>
    <t>22528000911</t>
  </si>
  <si>
    <t>п им Тимирязева</t>
  </si>
  <si>
    <t>22528000913</t>
  </si>
  <si>
    <t>д Ткалино</t>
  </si>
  <si>
    <t>22528000915</t>
  </si>
  <si>
    <t>д Торохово</t>
  </si>
  <si>
    <t>22528000917</t>
  </si>
  <si>
    <t>д Устиново</t>
  </si>
  <si>
    <t>22528000919</t>
  </si>
  <si>
    <t>22528000921</t>
  </si>
  <si>
    <t>д Беляево / Входит в состав административно-территориального образования Федуринский сельсовет</t>
  </si>
  <si>
    <t>22528000923</t>
  </si>
  <si>
    <t>22528000925</t>
  </si>
  <si>
    <t>д Блиново</t>
  </si>
  <si>
    <t>22528000927</t>
  </si>
  <si>
    <t>д Большой Суходол</t>
  </si>
  <si>
    <t>22528000929</t>
  </si>
  <si>
    <t>п Волжское лесничество</t>
  </si>
  <si>
    <t>22528000931</t>
  </si>
  <si>
    <t>д Вороново</t>
  </si>
  <si>
    <t>22528000933</t>
  </si>
  <si>
    <t>д Иголкино</t>
  </si>
  <si>
    <t>22528000935</t>
  </si>
  <si>
    <t>д Козино</t>
  </si>
  <si>
    <t>22528000937</t>
  </si>
  <si>
    <t>д Коробово / Входит в состав административно-территориального образования Федуринский сельсовет</t>
  </si>
  <si>
    <t>22528000939</t>
  </si>
  <si>
    <t>д Малый Суходол</t>
  </si>
  <si>
    <t>22528000941</t>
  </si>
  <si>
    <t>д Митрофаново</t>
  </si>
  <si>
    <t>22528000943</t>
  </si>
  <si>
    <t>д Мозгулино</t>
  </si>
  <si>
    <t>22528000945</t>
  </si>
  <si>
    <t>д Орехово</t>
  </si>
  <si>
    <t>22528000947</t>
  </si>
  <si>
    <t>д Осинки / Входит в состав административно-территориального образования Федуринский сельсовет</t>
  </si>
  <si>
    <t>22528000949</t>
  </si>
  <si>
    <t>д Останино</t>
  </si>
  <si>
    <t>22528000951</t>
  </si>
  <si>
    <t>д Первушкино</t>
  </si>
  <si>
    <t>22528000953</t>
  </si>
  <si>
    <t>д Петухово / Входит в состав административно-территориального образования Федуринский сельсовет</t>
  </si>
  <si>
    <t>22528000955</t>
  </si>
  <si>
    <t>д Рябинки</t>
  </si>
  <si>
    <t>22528000957</t>
  </si>
  <si>
    <t>д Соболиха</t>
  </si>
  <si>
    <t>22528000959</t>
  </si>
  <si>
    <t>д Содомово / Входит в состав административно-территориального образования Федуринский сельсовет</t>
  </si>
  <si>
    <t>22528000961</t>
  </si>
  <si>
    <t>п Турбазы</t>
  </si>
  <si>
    <t>22528000963</t>
  </si>
  <si>
    <t>д Фалино-Пестово</t>
  </si>
  <si>
    <t>22528000965</t>
  </si>
  <si>
    <t>д Федурино</t>
  </si>
  <si>
    <t>22528000967</t>
  </si>
  <si>
    <t>д Филино</t>
  </si>
  <si>
    <t>22528000969</t>
  </si>
  <si>
    <t>д Шушарино</t>
  </si>
  <si>
    <t>22530000051</t>
  </si>
  <si>
    <t>рп Дальнее Константиново</t>
  </si>
  <si>
    <t>22530000106</t>
  </si>
  <si>
    <t>22530000111</t>
  </si>
  <si>
    <t>п Новое Борцово</t>
  </si>
  <si>
    <t>22530000116</t>
  </si>
  <si>
    <t>д Улейка</t>
  </si>
  <si>
    <t>22530000121</t>
  </si>
  <si>
    <t>д Белая</t>
  </si>
  <si>
    <t>22530000126</t>
  </si>
  <si>
    <t>с Белозерово</t>
  </si>
  <si>
    <t>22530000131</t>
  </si>
  <si>
    <t>с Берсеменово</t>
  </si>
  <si>
    <t>22530000136</t>
  </si>
  <si>
    <t>с Вармалей</t>
  </si>
  <si>
    <t>22530000141</t>
  </si>
  <si>
    <t>22530000146</t>
  </si>
  <si>
    <t>с Мухоедово</t>
  </si>
  <si>
    <t>22530000151</t>
  </si>
  <si>
    <t>с Помра</t>
  </si>
  <si>
    <t>22530000156</t>
  </si>
  <si>
    <t>с Таможниково</t>
  </si>
  <si>
    <t>22530000161</t>
  </si>
  <si>
    <t>д Устама</t>
  </si>
  <si>
    <t>22530000166</t>
  </si>
  <si>
    <t>22530000171</t>
  </si>
  <si>
    <t>д Ямные Березники</t>
  </si>
  <si>
    <t>22530000176</t>
  </si>
  <si>
    <t>п Александровка</t>
  </si>
  <si>
    <t>22530000181</t>
  </si>
  <si>
    <t>с Арманиха</t>
  </si>
  <si>
    <t>22530000186</t>
  </si>
  <si>
    <t>д Белая Поляна</t>
  </si>
  <si>
    <t>22530000191</t>
  </si>
  <si>
    <t>с Богоявление</t>
  </si>
  <si>
    <t>22530000196</t>
  </si>
  <si>
    <t>д Винный Майдан</t>
  </si>
  <si>
    <t>22530000201</t>
  </si>
  <si>
    <t>с Гремячая Поляна</t>
  </si>
  <si>
    <t>22530000206</t>
  </si>
  <si>
    <t>д Малая Поляна</t>
  </si>
  <si>
    <t>22530000211</t>
  </si>
  <si>
    <t>п Миянг</t>
  </si>
  <si>
    <t>22530000216</t>
  </si>
  <si>
    <t>с Сиуха</t>
  </si>
  <si>
    <t>22530000221</t>
  </si>
  <si>
    <t>с Тепло-Троицкое</t>
  </si>
  <si>
    <t>22530000226</t>
  </si>
  <si>
    <t>д Хмелевая Поляна</t>
  </si>
  <si>
    <t>22530000231</t>
  </si>
  <si>
    <t>с Горные Березники</t>
  </si>
  <si>
    <t>22530000236</t>
  </si>
  <si>
    <t>п Дубрава</t>
  </si>
  <si>
    <t>22530000241</t>
  </si>
  <si>
    <t>д Майморы</t>
  </si>
  <si>
    <t>22530000246</t>
  </si>
  <si>
    <t>с Новое</t>
  </si>
  <si>
    <t>22530000251</t>
  </si>
  <si>
    <t>с Новое Жедрино</t>
  </si>
  <si>
    <t>22530000256</t>
  </si>
  <si>
    <t>с Румянцево</t>
  </si>
  <si>
    <t>22530000261</t>
  </si>
  <si>
    <t>с Симбилей</t>
  </si>
  <si>
    <t>22530000266</t>
  </si>
  <si>
    <t>д Старая Пунерь</t>
  </si>
  <si>
    <t>22530000271</t>
  </si>
  <si>
    <t>д Староселье</t>
  </si>
  <si>
    <t>22530000276</t>
  </si>
  <si>
    <t>д Старый Относ</t>
  </si>
  <si>
    <t>22530000281</t>
  </si>
  <si>
    <t>д Трухлей</t>
  </si>
  <si>
    <t>22530000286</t>
  </si>
  <si>
    <t>22530000291</t>
  </si>
  <si>
    <t>д Зубаниха</t>
  </si>
  <si>
    <t>22530000296</t>
  </si>
  <si>
    <t>д Кужутки</t>
  </si>
  <si>
    <t>22530000301</t>
  </si>
  <si>
    <t>с Курилово</t>
  </si>
  <si>
    <t>22530000306</t>
  </si>
  <si>
    <t>д Лапшиха</t>
  </si>
  <si>
    <t>22530000311</t>
  </si>
  <si>
    <t>д Мирша</t>
  </si>
  <si>
    <t>22530000316</t>
  </si>
  <si>
    <t>д Наченье</t>
  </si>
  <si>
    <t>22530000321</t>
  </si>
  <si>
    <t>д Чуварлей</t>
  </si>
  <si>
    <t>22530000326</t>
  </si>
  <si>
    <t>с Большая Пица</t>
  </si>
  <si>
    <t>22530000331</t>
  </si>
  <si>
    <t>с Большое Терюшево</t>
  </si>
  <si>
    <t>22530000336</t>
  </si>
  <si>
    <t>22530000341</t>
  </si>
  <si>
    <t>с Ишино</t>
  </si>
  <si>
    <t>22530000346</t>
  </si>
  <si>
    <t>22530000351</t>
  </si>
  <si>
    <t>д Княгиновка</t>
  </si>
  <si>
    <t>22530000356</t>
  </si>
  <si>
    <t>п Кривая Грань</t>
  </si>
  <si>
    <t>22530000361</t>
  </si>
  <si>
    <t>д Макраша</t>
  </si>
  <si>
    <t>22530000366</t>
  </si>
  <si>
    <t>с Малая Пица</t>
  </si>
  <si>
    <t>22530000371</t>
  </si>
  <si>
    <t>д Малое Терюшево</t>
  </si>
  <si>
    <t>22530000376</t>
  </si>
  <si>
    <t>с Маргуша</t>
  </si>
  <si>
    <t>22530000381</t>
  </si>
  <si>
    <t>22530000386</t>
  </si>
  <si>
    <t>с Старое Поле</t>
  </si>
  <si>
    <t>22530000391</t>
  </si>
  <si>
    <t>д Токариха</t>
  </si>
  <si>
    <t>22530000396</t>
  </si>
  <si>
    <t>с Борисово-Покровское</t>
  </si>
  <si>
    <t>22530000401</t>
  </si>
  <si>
    <t>д Бугры</t>
  </si>
  <si>
    <t>22530000406</t>
  </si>
  <si>
    <t>д Вышка</t>
  </si>
  <si>
    <t>22530000411</t>
  </si>
  <si>
    <t>д Кременки</t>
  </si>
  <si>
    <t>22530000416</t>
  </si>
  <si>
    <t>д Криуша</t>
  </si>
  <si>
    <t>22530000421</t>
  </si>
  <si>
    <t>п Нижегородец</t>
  </si>
  <si>
    <t>22530000426</t>
  </si>
  <si>
    <t>д Новая Владимировка</t>
  </si>
  <si>
    <t>22530000431</t>
  </si>
  <si>
    <t>д Юловка</t>
  </si>
  <si>
    <t>22530000436</t>
  </si>
  <si>
    <t>д Бакшеево</t>
  </si>
  <si>
    <t>22530000441</t>
  </si>
  <si>
    <t>д Берсениха</t>
  </si>
  <si>
    <t>22530000446</t>
  </si>
  <si>
    <t>д Большое Сескино</t>
  </si>
  <si>
    <t>22530000451</t>
  </si>
  <si>
    <t>д Борцово</t>
  </si>
  <si>
    <t>22530000456</t>
  </si>
  <si>
    <t>д Льготка</t>
  </si>
  <si>
    <t>22530000461</t>
  </si>
  <si>
    <t>д Малое Сескино</t>
  </si>
  <si>
    <t>22530000466</t>
  </si>
  <si>
    <t>с Румстиха</t>
  </si>
  <si>
    <t>22530000471</t>
  </si>
  <si>
    <t>д Сарадон</t>
  </si>
  <si>
    <t>22530000476</t>
  </si>
  <si>
    <t>с Сарлей</t>
  </si>
  <si>
    <t>22530000481</t>
  </si>
  <si>
    <t>с Татарское</t>
  </si>
  <si>
    <t>22530000486</t>
  </si>
  <si>
    <t>д Учеватиха</t>
  </si>
  <si>
    <t>22530000491</t>
  </si>
  <si>
    <t>д Арапиха</t>
  </si>
  <si>
    <t>22530000496</t>
  </si>
  <si>
    <t>22530000501</t>
  </si>
  <si>
    <t>п Застенный</t>
  </si>
  <si>
    <t>22530000506</t>
  </si>
  <si>
    <t>с Кажлейка</t>
  </si>
  <si>
    <t>22530000511</t>
  </si>
  <si>
    <t>п Касаткино</t>
  </si>
  <si>
    <t>22530000516</t>
  </si>
  <si>
    <t>с Мигалиха</t>
  </si>
  <si>
    <t>22530000521</t>
  </si>
  <si>
    <t>с Муравьиха</t>
  </si>
  <si>
    <t>22530000526</t>
  </si>
  <si>
    <t>д Надеждино</t>
  </si>
  <si>
    <t>22530000531</t>
  </si>
  <si>
    <t>с Новые Березники</t>
  </si>
  <si>
    <t>22530000536</t>
  </si>
  <si>
    <t>д Ольгино</t>
  </si>
  <si>
    <t>22530000541</t>
  </si>
  <si>
    <t>п Сечуга</t>
  </si>
  <si>
    <t>22530000546</t>
  </si>
  <si>
    <t>п.ст Суроватиха</t>
  </si>
  <si>
    <t>22530000551</t>
  </si>
  <si>
    <t>с Суроватиха</t>
  </si>
  <si>
    <t>22530000556</t>
  </si>
  <si>
    <t>п Камаиха</t>
  </si>
  <si>
    <t>22530000561</t>
  </si>
  <si>
    <t>д Кудрино</t>
  </si>
  <si>
    <t>22530000566</t>
  </si>
  <si>
    <t>д Кужадон</t>
  </si>
  <si>
    <t>22530000571</t>
  </si>
  <si>
    <t>д Лазазей</t>
  </si>
  <si>
    <t>22530000576</t>
  </si>
  <si>
    <t>22530000581</t>
  </si>
  <si>
    <t>с Маликово</t>
  </si>
  <si>
    <t>22530000586</t>
  </si>
  <si>
    <t>д Старое Тепелево</t>
  </si>
  <si>
    <t>22530000591</t>
  </si>
  <si>
    <t>с Тепелево</t>
  </si>
  <si>
    <t>22532000101</t>
  </si>
  <si>
    <t>с Дивеево</t>
  </si>
  <si>
    <t>22532000106</t>
  </si>
  <si>
    <t>с Верякуши</t>
  </si>
  <si>
    <t>22532000111</t>
  </si>
  <si>
    <t>д Дерновка</t>
  </si>
  <si>
    <t>22532000116</t>
  </si>
  <si>
    <t>с Ичалово</t>
  </si>
  <si>
    <t>22532000121</t>
  </si>
  <si>
    <t>д Кутузово</t>
  </si>
  <si>
    <t>22532000126</t>
  </si>
  <si>
    <t>д Ознобишино</t>
  </si>
  <si>
    <t>22532000131</t>
  </si>
  <si>
    <t>с Онучино</t>
  </si>
  <si>
    <t>22532000136</t>
  </si>
  <si>
    <t>с Ореховец</t>
  </si>
  <si>
    <t>22532000141</t>
  </si>
  <si>
    <t>д Слепые</t>
  </si>
  <si>
    <t>22532000146</t>
  </si>
  <si>
    <t>22532000151</t>
  </si>
  <si>
    <t>д Лихачи</t>
  </si>
  <si>
    <t>22532000156</t>
  </si>
  <si>
    <t>с Суворово</t>
  </si>
  <si>
    <t>22532000161</t>
  </si>
  <si>
    <t>с Большое Череватово</t>
  </si>
  <si>
    <t>22532000166</t>
  </si>
  <si>
    <t>д Владимировка</t>
  </si>
  <si>
    <t>22532000171</t>
  </si>
  <si>
    <t>п Коврез</t>
  </si>
  <si>
    <t>22532000176</t>
  </si>
  <si>
    <t>с Кременки</t>
  </si>
  <si>
    <t>22532000181</t>
  </si>
  <si>
    <t>д Крутцы</t>
  </si>
  <si>
    <t>22532000186</t>
  </si>
  <si>
    <t>22532000191</t>
  </si>
  <si>
    <t>д Малое Череватово</t>
  </si>
  <si>
    <t>22532000196</t>
  </si>
  <si>
    <t>22532000201</t>
  </si>
  <si>
    <t>д Полупочинки</t>
  </si>
  <si>
    <t>22532000206</t>
  </si>
  <si>
    <t>д Рузаново</t>
  </si>
  <si>
    <t>22532000211</t>
  </si>
  <si>
    <t>д Спасовка</t>
  </si>
  <si>
    <t>22532000216</t>
  </si>
  <si>
    <t>с Челатьма</t>
  </si>
  <si>
    <t>22532000221</t>
  </si>
  <si>
    <t>с Яковлевка</t>
  </si>
  <si>
    <t>22532000226</t>
  </si>
  <si>
    <t>с Елизарьево</t>
  </si>
  <si>
    <t>22532000231</t>
  </si>
  <si>
    <t>д Круглые Паны</t>
  </si>
  <si>
    <t>22532000236</t>
  </si>
  <si>
    <t>с Трудовое</t>
  </si>
  <si>
    <t>22532000241</t>
  </si>
  <si>
    <t>с Березино</t>
  </si>
  <si>
    <t>22532000246</t>
  </si>
  <si>
    <t>22532000251</t>
  </si>
  <si>
    <t>с Конново</t>
  </si>
  <si>
    <t>22532000256</t>
  </si>
  <si>
    <t>22532000261</t>
  </si>
  <si>
    <t>д Силино</t>
  </si>
  <si>
    <t>22532000266</t>
  </si>
  <si>
    <t>22532000271</t>
  </si>
  <si>
    <t>с Стуклово</t>
  </si>
  <si>
    <t>22532000276</t>
  </si>
  <si>
    <t>с Сыресево</t>
  </si>
  <si>
    <t>22532000281</t>
  </si>
  <si>
    <t>д Темяшево</t>
  </si>
  <si>
    <t>22532000286</t>
  </si>
  <si>
    <t>д Шахаево</t>
  </si>
  <si>
    <t>22532000291</t>
  </si>
  <si>
    <t>п Беленки</t>
  </si>
  <si>
    <t>22532000296</t>
  </si>
  <si>
    <t>п Новостройка</t>
  </si>
  <si>
    <t>22532000301</t>
  </si>
  <si>
    <t>п Орешки</t>
  </si>
  <si>
    <t>22532000306</t>
  </si>
  <si>
    <t>п Полевой</t>
  </si>
  <si>
    <t>22532000311</t>
  </si>
  <si>
    <t>п Сатис</t>
  </si>
  <si>
    <t>22532000316</t>
  </si>
  <si>
    <t>п Хвощево</t>
  </si>
  <si>
    <t>22532000321</t>
  </si>
  <si>
    <t>п Цыгановка</t>
  </si>
  <si>
    <t>22533000001</t>
  </si>
  <si>
    <t>г Княгинино</t>
  </si>
  <si>
    <t>22533000106</t>
  </si>
  <si>
    <t>д Горшково</t>
  </si>
  <si>
    <t>22533000111</t>
  </si>
  <si>
    <t>с Ананье</t>
  </si>
  <si>
    <t>22533000116</t>
  </si>
  <si>
    <t>д Большое Корево</t>
  </si>
  <si>
    <t>22533000121</t>
  </si>
  <si>
    <t>д Воля</t>
  </si>
  <si>
    <t>22533000126</t>
  </si>
  <si>
    <t>д Долгая</t>
  </si>
  <si>
    <t>22533000131</t>
  </si>
  <si>
    <t>д Домашняя</t>
  </si>
  <si>
    <t>22533000136</t>
  </si>
  <si>
    <t>д Драчиха</t>
  </si>
  <si>
    <t>22533000141</t>
  </si>
  <si>
    <t>с Егорьевское</t>
  </si>
  <si>
    <t>22533000146</t>
  </si>
  <si>
    <t>д Золотуха</t>
  </si>
  <si>
    <t>22533000151</t>
  </si>
  <si>
    <t>д Карандашка</t>
  </si>
  <si>
    <t>22533000156</t>
  </si>
  <si>
    <t>д Малое Корево</t>
  </si>
  <si>
    <t>22533000161</t>
  </si>
  <si>
    <t>д Новоегорьевское</t>
  </si>
  <si>
    <t>22533000166</t>
  </si>
  <si>
    <t>д Новоселье</t>
  </si>
  <si>
    <t>22533000171</t>
  </si>
  <si>
    <t>с Островское</t>
  </si>
  <si>
    <t>22533000176</t>
  </si>
  <si>
    <t>д Парково</t>
  </si>
  <si>
    <t>22533000181</t>
  </si>
  <si>
    <t>д Редриково</t>
  </si>
  <si>
    <t>22533000186</t>
  </si>
  <si>
    <t>д Рогово</t>
  </si>
  <si>
    <t>22533000191</t>
  </si>
  <si>
    <t>д Скучиха</t>
  </si>
  <si>
    <t>22533000196</t>
  </si>
  <si>
    <t>22533000201</t>
  </si>
  <si>
    <t>д Юрьевка</t>
  </si>
  <si>
    <t>22533000206</t>
  </si>
  <si>
    <t>д Бажулино</t>
  </si>
  <si>
    <t>22533000211</t>
  </si>
  <si>
    <t>с Белка</t>
  </si>
  <si>
    <t>22533000216</t>
  </si>
  <si>
    <t>д Большие Колковицы</t>
  </si>
  <si>
    <t>22533000221</t>
  </si>
  <si>
    <t>д Вадская</t>
  </si>
  <si>
    <t>22533000226</t>
  </si>
  <si>
    <t>д Дужное</t>
  </si>
  <si>
    <t>22533000231</t>
  </si>
  <si>
    <t>д Малые Колковицы</t>
  </si>
  <si>
    <t>22533000236</t>
  </si>
  <si>
    <t>с Нутренка</t>
  </si>
  <si>
    <t>22533000241</t>
  </si>
  <si>
    <t>д Оселок</t>
  </si>
  <si>
    <t>22533000246</t>
  </si>
  <si>
    <t>с Потапово</t>
  </si>
  <si>
    <t>22533000251</t>
  </si>
  <si>
    <t>д Слотино</t>
  </si>
  <si>
    <t>22533000256</t>
  </si>
  <si>
    <t>с Урга</t>
  </si>
  <si>
    <t>22533000261</t>
  </si>
  <si>
    <t>22533000266</t>
  </si>
  <si>
    <t>22533000271</t>
  </si>
  <si>
    <t>д Клещевы Колковицы</t>
  </si>
  <si>
    <t>22533000276</t>
  </si>
  <si>
    <t>д Константиновка</t>
  </si>
  <si>
    <t>22533000281</t>
  </si>
  <si>
    <t>п Михайловка</t>
  </si>
  <si>
    <t>22533000286</t>
  </si>
  <si>
    <t>22533000291</t>
  </si>
  <si>
    <t>22533000296</t>
  </si>
  <si>
    <t>д Новая Березовка</t>
  </si>
  <si>
    <t>22533000301</t>
  </si>
  <si>
    <t>д Озерки</t>
  </si>
  <si>
    <t>22533000306</t>
  </si>
  <si>
    <t>22533000311</t>
  </si>
  <si>
    <t>д Сергиевка</t>
  </si>
  <si>
    <t>22533000316</t>
  </si>
  <si>
    <t>д Сосновка / Входит в состав административно-территориального образования Возрожденский сельсовет</t>
  </si>
  <si>
    <t>22533000321</t>
  </si>
  <si>
    <t>д Старая Березовка</t>
  </si>
  <si>
    <t>22533000326</t>
  </si>
  <si>
    <t>д Фоминка</t>
  </si>
  <si>
    <t>22533000331</t>
  </si>
  <si>
    <t>с Шишковердь</t>
  </si>
  <si>
    <t>22533000336</t>
  </si>
  <si>
    <t>д Барково</t>
  </si>
  <si>
    <t>22533000341</t>
  </si>
  <si>
    <t>д Большая Андреевка</t>
  </si>
  <si>
    <t>22533000346</t>
  </si>
  <si>
    <t>д Бубенки</t>
  </si>
  <si>
    <t>22533000351</t>
  </si>
  <si>
    <t>22533000356</t>
  </si>
  <si>
    <t>22533000361</t>
  </si>
  <si>
    <t>д Молебное</t>
  </si>
  <si>
    <t>22533000366</t>
  </si>
  <si>
    <t>д Новая</t>
  </si>
  <si>
    <t>22533000371</t>
  </si>
  <si>
    <t>с Песочное</t>
  </si>
  <si>
    <t>22533000376</t>
  </si>
  <si>
    <t>д Ракита</t>
  </si>
  <si>
    <t>22533000381</t>
  </si>
  <si>
    <t>с Рубское</t>
  </si>
  <si>
    <t>22533000386</t>
  </si>
  <si>
    <t>22533000391</t>
  </si>
  <si>
    <t>д Сосновка / Входит в состав административно-территориального образования Соловьевский сельсовет</t>
  </si>
  <si>
    <t>22533000396</t>
  </si>
  <si>
    <t>с Спешнево</t>
  </si>
  <si>
    <t>22533000401</t>
  </si>
  <si>
    <t>д Шахматово</t>
  </si>
  <si>
    <t>22533000406</t>
  </si>
  <si>
    <t>22534000051</t>
  </si>
  <si>
    <t>рп Ковернино</t>
  </si>
  <si>
    <t>22534000104</t>
  </si>
  <si>
    <t>починок Анисимов</t>
  </si>
  <si>
    <t>22534000107</t>
  </si>
  <si>
    <t>д Белые Пруды</t>
  </si>
  <si>
    <t>22534000110</t>
  </si>
  <si>
    <t>д Бетино</t>
  </si>
  <si>
    <t>22534000113</t>
  </si>
  <si>
    <t>д Бобыльск</t>
  </si>
  <si>
    <t>22534000116</t>
  </si>
  <si>
    <t>д Большие Долы</t>
  </si>
  <si>
    <t>22534000119</t>
  </si>
  <si>
    <t>д Большие Круты</t>
  </si>
  <si>
    <t>22534000122</t>
  </si>
  <si>
    <t>д Большие Мосты</t>
  </si>
  <si>
    <t>22534000125</t>
  </si>
  <si>
    <t>п Бориха</t>
  </si>
  <si>
    <t>22534000128</t>
  </si>
  <si>
    <t>22534000131</t>
  </si>
  <si>
    <t>22534000134</t>
  </si>
  <si>
    <t>д Гладышево</t>
  </si>
  <si>
    <t>22534000137</t>
  </si>
  <si>
    <t>д Гомино</t>
  </si>
  <si>
    <t>22534000140</t>
  </si>
  <si>
    <t>д Захватово</t>
  </si>
  <si>
    <t>22534000143</t>
  </si>
  <si>
    <t>починок Иванов</t>
  </si>
  <si>
    <t>22534000146</t>
  </si>
  <si>
    <t>д Калениха</t>
  </si>
  <si>
    <t>22534000149</t>
  </si>
  <si>
    <t>д Каменное</t>
  </si>
  <si>
    <t>22534000152</t>
  </si>
  <si>
    <t>д Ключи / Входит в состав административно-территориального образования Большемостовский сельсовет</t>
  </si>
  <si>
    <t>22534000155</t>
  </si>
  <si>
    <t>д Коловодь</t>
  </si>
  <si>
    <t>22534000158</t>
  </si>
  <si>
    <t>починок Конев</t>
  </si>
  <si>
    <t>22534000161</t>
  </si>
  <si>
    <t>д Копани</t>
  </si>
  <si>
    <t>22534000164</t>
  </si>
  <si>
    <t>д Короткое</t>
  </si>
  <si>
    <t>22534000167</t>
  </si>
  <si>
    <t>д Лужки</t>
  </si>
  <si>
    <t>22534000170</t>
  </si>
  <si>
    <t>д Малые Круты</t>
  </si>
  <si>
    <t>22534000173</t>
  </si>
  <si>
    <t>д Малые Мосты</t>
  </si>
  <si>
    <t>22534000176</t>
  </si>
  <si>
    <t>д Марковка</t>
  </si>
  <si>
    <t>22534000179</t>
  </si>
  <si>
    <t>22534000182</t>
  </si>
  <si>
    <t>д Мягкие</t>
  </si>
  <si>
    <t>22534000185</t>
  </si>
  <si>
    <t>д Наумово</t>
  </si>
  <si>
    <t>22534000188</t>
  </si>
  <si>
    <t>22534000191</t>
  </si>
  <si>
    <t>д Овсянниково</t>
  </si>
  <si>
    <t>22534000194</t>
  </si>
  <si>
    <t>д Остра</t>
  </si>
  <si>
    <t>22534000197</t>
  </si>
  <si>
    <t>д Пеуза</t>
  </si>
  <si>
    <t>22534000200</t>
  </si>
  <si>
    <t>д Пичугино</t>
  </si>
  <si>
    <t>22534000203</t>
  </si>
  <si>
    <t>д Раково</t>
  </si>
  <si>
    <t>22534000206</t>
  </si>
  <si>
    <t>22534000209</t>
  </si>
  <si>
    <t>починок Семенов</t>
  </si>
  <si>
    <t>22534000212</t>
  </si>
  <si>
    <t>д Смоленое</t>
  </si>
  <si>
    <t>22534000215</t>
  </si>
  <si>
    <t>д Смородино</t>
  </si>
  <si>
    <t>22534000218</t>
  </si>
  <si>
    <t>д Степаново / Входит в состав административно-территориального образования Большемостовский сельсовет</t>
  </si>
  <si>
    <t>22534000221</t>
  </si>
  <si>
    <t>д Студенцы</t>
  </si>
  <si>
    <t>22534000224</t>
  </si>
  <si>
    <t>д Сухая Хохлома</t>
  </si>
  <si>
    <t>22534000227</t>
  </si>
  <si>
    <t>д Талицы</t>
  </si>
  <si>
    <t>22534000230</t>
  </si>
  <si>
    <t>д Тихоново</t>
  </si>
  <si>
    <t>22534000233</t>
  </si>
  <si>
    <t>выселок Успенский</t>
  </si>
  <si>
    <t>22534000236</t>
  </si>
  <si>
    <t>д Федорово</t>
  </si>
  <si>
    <t>22534000239</t>
  </si>
  <si>
    <t>с Федорово</t>
  </si>
  <si>
    <t>22534000242</t>
  </si>
  <si>
    <t>д Черные</t>
  </si>
  <si>
    <t>22534000245</t>
  </si>
  <si>
    <t>д Чудово</t>
  </si>
  <si>
    <t>22534000248</t>
  </si>
  <si>
    <t>22534000251</t>
  </si>
  <si>
    <t>д Шеломки</t>
  </si>
  <si>
    <t>22534000254</t>
  </si>
  <si>
    <t>д Шмаки</t>
  </si>
  <si>
    <t>22534000257</t>
  </si>
  <si>
    <t>д Шомохта</t>
  </si>
  <si>
    <t>22534000260</t>
  </si>
  <si>
    <t>д Щегольное</t>
  </si>
  <si>
    <t>22534000263</t>
  </si>
  <si>
    <t>д Язвины</t>
  </si>
  <si>
    <t>22534000266</t>
  </si>
  <si>
    <t>22534000269</t>
  </si>
  <si>
    <t>д Беспалово</t>
  </si>
  <si>
    <t>22534000272</t>
  </si>
  <si>
    <t>д Большое Филино</t>
  </si>
  <si>
    <t>22534000275</t>
  </si>
  <si>
    <t>д Бутавка</t>
  </si>
  <si>
    <t>22534000278</t>
  </si>
  <si>
    <t>22534000281</t>
  </si>
  <si>
    <t>д Гавриловка</t>
  </si>
  <si>
    <t>22534000284</t>
  </si>
  <si>
    <t>д Гарель / Входит в состав административно-территориального образования Гавриловский сельсовет</t>
  </si>
  <si>
    <t>22534000287</t>
  </si>
  <si>
    <t>22534000290</t>
  </si>
  <si>
    <t>д Грачиха</t>
  </si>
  <si>
    <t>22534000293</t>
  </si>
  <si>
    <t>22534000296</t>
  </si>
  <si>
    <t>д Грязино</t>
  </si>
  <si>
    <t>22534000299</t>
  </si>
  <si>
    <t>д Гузолово</t>
  </si>
  <si>
    <t>22534000302</t>
  </si>
  <si>
    <t>д Демино</t>
  </si>
  <si>
    <t>22534000305</t>
  </si>
  <si>
    <t>22534000308</t>
  </si>
  <si>
    <t>д Кузьмино</t>
  </si>
  <si>
    <t>22534000311</t>
  </si>
  <si>
    <t>д Ломы</t>
  </si>
  <si>
    <t>22534000314</t>
  </si>
  <si>
    <t>д Лукино</t>
  </si>
  <si>
    <t>22534000317</t>
  </si>
  <si>
    <t>д Максимово</t>
  </si>
  <si>
    <t>22534000320</t>
  </si>
  <si>
    <t>22534000323</t>
  </si>
  <si>
    <t>д Малое Карпово</t>
  </si>
  <si>
    <t>22534000326</t>
  </si>
  <si>
    <t>д Малое Филино</t>
  </si>
  <si>
    <t>22534000329</t>
  </si>
  <si>
    <t>д Михайлово / Входит в состав административно-территориального образования Гавриловский сельсовет</t>
  </si>
  <si>
    <t>22534000332</t>
  </si>
  <si>
    <t>д Мокушино / Входит в состав административно-территориального образования Гавриловский сельсовет</t>
  </si>
  <si>
    <t>22534000335</t>
  </si>
  <si>
    <t>д Мурени</t>
  </si>
  <si>
    <t>22534000338</t>
  </si>
  <si>
    <t>д Пески</t>
  </si>
  <si>
    <t>22534000341</t>
  </si>
  <si>
    <t>д Старцево</t>
  </si>
  <si>
    <t>22534000344</t>
  </si>
  <si>
    <t>д Степаново / Входит в состав административно-территориального образования Гавриловский сельсовет</t>
  </si>
  <si>
    <t>22534000347</t>
  </si>
  <si>
    <t>д Цибрики</t>
  </si>
  <si>
    <t>22534000350</t>
  </si>
  <si>
    <t>д Чащиха</t>
  </si>
  <si>
    <t>22534000353</t>
  </si>
  <si>
    <t>д Ширмокша</t>
  </si>
  <si>
    <t>22534000356</t>
  </si>
  <si>
    <t>с Белбаж</t>
  </si>
  <si>
    <t>22534000359</t>
  </si>
  <si>
    <t>д Бобылевка</t>
  </si>
  <si>
    <t>22534000362</t>
  </si>
  <si>
    <t>д Волоколам</t>
  </si>
  <si>
    <t>22534000365</t>
  </si>
  <si>
    <t>д Вязовка</t>
  </si>
  <si>
    <t>22534000368</t>
  </si>
  <si>
    <t>д Гарель / Входит в состав административно-территориального образования Горевский сельсовет</t>
  </si>
  <si>
    <t>22534000371</t>
  </si>
  <si>
    <t>д Гордеевка</t>
  </si>
  <si>
    <t>22534000374</t>
  </si>
  <si>
    <t>с Горево</t>
  </si>
  <si>
    <t>22534000377</t>
  </si>
  <si>
    <t>д Давыдово</t>
  </si>
  <si>
    <t>22534000380</t>
  </si>
  <si>
    <t>22534000383</t>
  </si>
  <si>
    <t>д Крутяки</t>
  </si>
  <si>
    <t>22534000386</t>
  </si>
  <si>
    <t>д Маза</t>
  </si>
  <si>
    <t>22534000389</t>
  </si>
  <si>
    <t>д Макаршино</t>
  </si>
  <si>
    <t>22534000392</t>
  </si>
  <si>
    <t>д Макридино</t>
  </si>
  <si>
    <t>22534000395</t>
  </si>
  <si>
    <t>д Мокино</t>
  </si>
  <si>
    <t>22534000398</t>
  </si>
  <si>
    <t>д Мокловка</t>
  </si>
  <si>
    <t>22534000401</t>
  </si>
  <si>
    <t>22534000404</t>
  </si>
  <si>
    <t>22534000407</t>
  </si>
  <si>
    <t>д Павлово</t>
  </si>
  <si>
    <t>22534000410</t>
  </si>
  <si>
    <t>п Палама</t>
  </si>
  <si>
    <t>22534000413</t>
  </si>
  <si>
    <t>д Палама</t>
  </si>
  <si>
    <t>22534000416</t>
  </si>
  <si>
    <t>д Парамоново</t>
  </si>
  <si>
    <t>22534000419</t>
  </si>
  <si>
    <t>22534000422</t>
  </si>
  <si>
    <t>22534000425</t>
  </si>
  <si>
    <t>д Понурово</t>
  </si>
  <si>
    <t>22534000428</t>
  </si>
  <si>
    <t>д Протасиха</t>
  </si>
  <si>
    <t>22534000431</t>
  </si>
  <si>
    <t>д Радость</t>
  </si>
  <si>
    <t>22534000434</t>
  </si>
  <si>
    <t>22534000437</t>
  </si>
  <si>
    <t>д Рябиновка</t>
  </si>
  <si>
    <t>22534000440</t>
  </si>
  <si>
    <t>д Рябово</t>
  </si>
  <si>
    <t>22534000443</t>
  </si>
  <si>
    <t>д Сермягино</t>
  </si>
  <si>
    <t>22534000446</t>
  </si>
  <si>
    <t>д Талица</t>
  </si>
  <si>
    <t>22534000449</t>
  </si>
  <si>
    <t>д Фатеево</t>
  </si>
  <si>
    <t>22534000452</t>
  </si>
  <si>
    <t>д Шляпино</t>
  </si>
  <si>
    <t>22534000455</t>
  </si>
  <si>
    <t>д Бубново</t>
  </si>
  <si>
    <t>22534000458</t>
  </si>
  <si>
    <t>д Воротнево</t>
  </si>
  <si>
    <t>22534000461</t>
  </si>
  <si>
    <t>д Глибино</t>
  </si>
  <si>
    <t>22534000464</t>
  </si>
  <si>
    <t>22534000467</t>
  </si>
  <si>
    <t>д Дурандино</t>
  </si>
  <si>
    <t>22534000470</t>
  </si>
  <si>
    <t>д Желтухино</t>
  </si>
  <si>
    <t>22534000473</t>
  </si>
  <si>
    <t>22534000476</t>
  </si>
  <si>
    <t>д Ленино</t>
  </si>
  <si>
    <t>22534000479</t>
  </si>
  <si>
    <t>д Лифаново</t>
  </si>
  <si>
    <t>22534000482</t>
  </si>
  <si>
    <t>д Ловыгино</t>
  </si>
  <si>
    <t>22534000485</t>
  </si>
  <si>
    <t>д Медвежково</t>
  </si>
  <si>
    <t>22534000488</t>
  </si>
  <si>
    <t>д Мокушино / Входит в состав административно-территориального образования Скоробогатовский сельсовет</t>
  </si>
  <si>
    <t>22534000491</t>
  </si>
  <si>
    <t>д Новопокровское</t>
  </si>
  <si>
    <t>22534000494</t>
  </si>
  <si>
    <t>д Осинское</t>
  </si>
  <si>
    <t>22534000497</t>
  </si>
  <si>
    <t>д Перехваткино</t>
  </si>
  <si>
    <t>22534000500</t>
  </si>
  <si>
    <t>д Поселихино</t>
  </si>
  <si>
    <t>22534000503</t>
  </si>
  <si>
    <t>22534000506</t>
  </si>
  <si>
    <t>22534000509</t>
  </si>
  <si>
    <t>22534000512</t>
  </si>
  <si>
    <t>д Семино</t>
  </si>
  <si>
    <t>22534000515</t>
  </si>
  <si>
    <t>д Скоробогатово</t>
  </si>
  <si>
    <t>22534000518</t>
  </si>
  <si>
    <t>д Сухоноска</t>
  </si>
  <si>
    <t>22534000521</t>
  </si>
  <si>
    <t>д Трутнево</t>
  </si>
  <si>
    <t>22534000524</t>
  </si>
  <si>
    <t>д Фокино</t>
  </si>
  <si>
    <t>22534000527</t>
  </si>
  <si>
    <t>д Хмелеватка</t>
  </si>
  <si>
    <t>22534000530</t>
  </si>
  <si>
    <t>д Хрящи</t>
  </si>
  <si>
    <t>22534000533</t>
  </si>
  <si>
    <t>д Художиха</t>
  </si>
  <si>
    <t>22534000536</t>
  </si>
  <si>
    <t>д Шабоши</t>
  </si>
  <si>
    <t>22534000539</t>
  </si>
  <si>
    <t>22534000542</t>
  </si>
  <si>
    <t>д Язвицы</t>
  </si>
  <si>
    <t>22534000545</t>
  </si>
  <si>
    <t>22534000548</t>
  </si>
  <si>
    <t>д Арефьево</t>
  </si>
  <si>
    <t>22534000551</t>
  </si>
  <si>
    <t>22534000554</t>
  </si>
  <si>
    <t>д Брындино</t>
  </si>
  <si>
    <t>22534000557</t>
  </si>
  <si>
    <t>д Быково</t>
  </si>
  <si>
    <t>22534000560</t>
  </si>
  <si>
    <t>д Васильево</t>
  </si>
  <si>
    <t>22534000563</t>
  </si>
  <si>
    <t>д Вихорево</t>
  </si>
  <si>
    <t>22534000566</t>
  </si>
  <si>
    <t>д Горево</t>
  </si>
  <si>
    <t>22534000569</t>
  </si>
  <si>
    <t>д Грачево</t>
  </si>
  <si>
    <t>22534000572</t>
  </si>
  <si>
    <t>д Гулыманово</t>
  </si>
  <si>
    <t>22534000575</t>
  </si>
  <si>
    <t>д Ермилово</t>
  </si>
  <si>
    <t>22534000578</t>
  </si>
  <si>
    <t>д Ермиловская Стройка</t>
  </si>
  <si>
    <t>22534000581</t>
  </si>
  <si>
    <t>д Задорино</t>
  </si>
  <si>
    <t>22534000584</t>
  </si>
  <si>
    <t>д Казанцево</t>
  </si>
  <si>
    <t>22534000587</t>
  </si>
  <si>
    <t>22534000590</t>
  </si>
  <si>
    <t>д Ключи / Входит в состав административно-территориального образования Хохломский сельсовет</t>
  </si>
  <si>
    <t>22534000593</t>
  </si>
  <si>
    <t>д Кошелево</t>
  </si>
  <si>
    <t>22534000596</t>
  </si>
  <si>
    <t>д Кривое</t>
  </si>
  <si>
    <t>22534000599</t>
  </si>
  <si>
    <t>д Кротово</t>
  </si>
  <si>
    <t>22534000602</t>
  </si>
  <si>
    <t>д Крутово</t>
  </si>
  <si>
    <t>22534000605</t>
  </si>
  <si>
    <t>д Куприно</t>
  </si>
  <si>
    <t>22534000608</t>
  </si>
  <si>
    <t>22534000611</t>
  </si>
  <si>
    <t>22534000614</t>
  </si>
  <si>
    <t>д Мешково</t>
  </si>
  <si>
    <t>22534000617</t>
  </si>
  <si>
    <t>д Михайлово / Входит в состав административно-территориального образования Хохломский сельсовет</t>
  </si>
  <si>
    <t>22534000620</t>
  </si>
  <si>
    <t>д Мрасы</t>
  </si>
  <si>
    <t>22534000623</t>
  </si>
  <si>
    <t>д Пискома</t>
  </si>
  <si>
    <t>22534000626</t>
  </si>
  <si>
    <t>д Протазаново</t>
  </si>
  <si>
    <t>22534000629</t>
  </si>
  <si>
    <t>д Сивцево</t>
  </si>
  <si>
    <t>22534000632</t>
  </si>
  <si>
    <t>д Тарасово</t>
  </si>
  <si>
    <t>22534000635</t>
  </si>
  <si>
    <t>д Тезенино</t>
  </si>
  <si>
    <t>22534000638</t>
  </si>
  <si>
    <t>д Урлино</t>
  </si>
  <si>
    <t>22534000641</t>
  </si>
  <si>
    <t>д Уткино</t>
  </si>
  <si>
    <t>22534000644</t>
  </si>
  <si>
    <t>д Федулово</t>
  </si>
  <si>
    <t>22534000647</t>
  </si>
  <si>
    <t>с Хохлома</t>
  </si>
  <si>
    <t>22534000650</t>
  </si>
  <si>
    <t>д Шишино</t>
  </si>
  <si>
    <t>22535000051</t>
  </si>
  <si>
    <t>рп Красные Баки</t>
  </si>
  <si>
    <t>22535000054</t>
  </si>
  <si>
    <t>рп Ветлужский</t>
  </si>
  <si>
    <t>22535000106</t>
  </si>
  <si>
    <t>д Антропиха</t>
  </si>
  <si>
    <t>22535000111</t>
  </si>
  <si>
    <t>22535000116</t>
  </si>
  <si>
    <t>д Афанасиха</t>
  </si>
  <si>
    <t>22535000121</t>
  </si>
  <si>
    <t>22535000126</t>
  </si>
  <si>
    <t>д Баландиха</t>
  </si>
  <si>
    <t>22535000131</t>
  </si>
  <si>
    <t>22535000136</t>
  </si>
  <si>
    <t>д Безглядово</t>
  </si>
  <si>
    <t>22535000141</t>
  </si>
  <si>
    <t>д Березовец</t>
  </si>
  <si>
    <t>22535000146</t>
  </si>
  <si>
    <t>д Богатыриха</t>
  </si>
  <si>
    <t>22535000151</t>
  </si>
  <si>
    <t>кордон Боровский</t>
  </si>
  <si>
    <t>22535000156</t>
  </si>
  <si>
    <t>п Быстренский</t>
  </si>
  <si>
    <t>22535000161</t>
  </si>
  <si>
    <t>п Быструха</t>
  </si>
  <si>
    <t>22535000166</t>
  </si>
  <si>
    <t>д Вавилиха</t>
  </si>
  <si>
    <t>22535000171</t>
  </si>
  <si>
    <t>д Верхняя Сарафаниха</t>
  </si>
  <si>
    <t>22535000176</t>
  </si>
  <si>
    <t>д Ветошкино</t>
  </si>
  <si>
    <t>22535000181</t>
  </si>
  <si>
    <t>д Вороватка</t>
  </si>
  <si>
    <t>22535000186</t>
  </si>
  <si>
    <t>д Высоковка</t>
  </si>
  <si>
    <t>22535000191</t>
  </si>
  <si>
    <t>починок Вязовой</t>
  </si>
  <si>
    <t>22535000196</t>
  </si>
  <si>
    <t>с Дмитриевское</t>
  </si>
  <si>
    <t>22535000201</t>
  </si>
  <si>
    <t>д Дуплиха</t>
  </si>
  <si>
    <t>22535000206</t>
  </si>
  <si>
    <t>п Жаренский</t>
  </si>
  <si>
    <t>22535000211</t>
  </si>
  <si>
    <t>д Желтовка</t>
  </si>
  <si>
    <t>22535000216</t>
  </si>
  <si>
    <t>д Жуково</t>
  </si>
  <si>
    <t>22535000221</t>
  </si>
  <si>
    <t>д Заводь</t>
  </si>
  <si>
    <t>22535000226</t>
  </si>
  <si>
    <t>д Заполица</t>
  </si>
  <si>
    <t>22535000231</t>
  </si>
  <si>
    <t>п Затон</t>
  </si>
  <si>
    <t>22535000236</t>
  </si>
  <si>
    <t>д Зашильское</t>
  </si>
  <si>
    <t>22535000241</t>
  </si>
  <si>
    <t>д Здекино</t>
  </si>
  <si>
    <t>22535000246</t>
  </si>
  <si>
    <t>д Зотино</t>
  </si>
  <si>
    <t>22535000251</t>
  </si>
  <si>
    <t>с Зубилиха</t>
  </si>
  <si>
    <t>22535000256</t>
  </si>
  <si>
    <t>д Зубово</t>
  </si>
  <si>
    <t>22535000261</t>
  </si>
  <si>
    <t>с Ильинское</t>
  </si>
  <si>
    <t>22535000266</t>
  </si>
  <si>
    <t>д Караси</t>
  </si>
  <si>
    <t>22535000271</t>
  </si>
  <si>
    <t>д Кашниково</t>
  </si>
  <si>
    <t>22535000276</t>
  </si>
  <si>
    <t>с Кириллово</t>
  </si>
  <si>
    <t>22535000281</t>
  </si>
  <si>
    <t>д Козлово</t>
  </si>
  <si>
    <t>22535000286</t>
  </si>
  <si>
    <t>д Кологривка</t>
  </si>
  <si>
    <t>22535000291</t>
  </si>
  <si>
    <t>д Коростиха</t>
  </si>
  <si>
    <t>22535000296</t>
  </si>
  <si>
    <t>д Кочеватово</t>
  </si>
  <si>
    <t>22535000301</t>
  </si>
  <si>
    <t>д Красногор</t>
  </si>
  <si>
    <t>22535000306</t>
  </si>
  <si>
    <t>д Красные Усады</t>
  </si>
  <si>
    <t>22535000311</t>
  </si>
  <si>
    <t>п Лесной Курорт</t>
  </si>
  <si>
    <t>22535000316</t>
  </si>
  <si>
    <t>22535000321</t>
  </si>
  <si>
    <t>д Лучкино</t>
  </si>
  <si>
    <t>22535000326</t>
  </si>
  <si>
    <t>д Лысица</t>
  </si>
  <si>
    <t>22535000331</t>
  </si>
  <si>
    <t>починок Любимовский</t>
  </si>
  <si>
    <t>22535000336</t>
  </si>
  <si>
    <t>22535000341</t>
  </si>
  <si>
    <t>с Медведиха</t>
  </si>
  <si>
    <t>22535000346</t>
  </si>
  <si>
    <t>починок Межка</t>
  </si>
  <si>
    <t>22535000351</t>
  </si>
  <si>
    <t>22535000356</t>
  </si>
  <si>
    <t>д Нижняя Сарафаниха</t>
  </si>
  <si>
    <t>22535000361</t>
  </si>
  <si>
    <t>22535000366</t>
  </si>
  <si>
    <t>д Новоильинское</t>
  </si>
  <si>
    <t>22535000371</t>
  </si>
  <si>
    <t>починок Новоядровский</t>
  </si>
  <si>
    <t>22535000376</t>
  </si>
  <si>
    <t>с Носовая</t>
  </si>
  <si>
    <t>22535000381</t>
  </si>
  <si>
    <t>22535000386</t>
  </si>
  <si>
    <t>д Оньшино</t>
  </si>
  <si>
    <t>22535000391</t>
  </si>
  <si>
    <t>22535000396</t>
  </si>
  <si>
    <t>д Патракеево</t>
  </si>
  <si>
    <t>22535000401</t>
  </si>
  <si>
    <t>д Перехватка</t>
  </si>
  <si>
    <t>22535000406</t>
  </si>
  <si>
    <t>п Перехватка</t>
  </si>
  <si>
    <t>22535000411</t>
  </si>
  <si>
    <t>д Подлысье</t>
  </si>
  <si>
    <t>22535000416</t>
  </si>
  <si>
    <t>д Потанино</t>
  </si>
  <si>
    <t>22535000421</t>
  </si>
  <si>
    <t>д Потрохово</t>
  </si>
  <si>
    <t>22535000426</t>
  </si>
  <si>
    <t>п Пруды</t>
  </si>
  <si>
    <t>22535000431</t>
  </si>
  <si>
    <t>д Разгуляи</t>
  </si>
  <si>
    <t>22535000436</t>
  </si>
  <si>
    <t>д Сенькино</t>
  </si>
  <si>
    <t>22535000441</t>
  </si>
  <si>
    <t>д Сиянье</t>
  </si>
  <si>
    <t>22535000446</t>
  </si>
  <si>
    <t>с Сквозники</t>
  </si>
  <si>
    <t>22535000451</t>
  </si>
  <si>
    <t>д Сластники</t>
  </si>
  <si>
    <t>22535000456</t>
  </si>
  <si>
    <t>д Слониха</t>
  </si>
  <si>
    <t>22535000461</t>
  </si>
  <si>
    <t>д Сомиха</t>
  </si>
  <si>
    <t>22535000466</t>
  </si>
  <si>
    <t>д Софоново</t>
  </si>
  <si>
    <t>22535000471</t>
  </si>
  <si>
    <t>д Субботино</t>
  </si>
  <si>
    <t>22535000476</t>
  </si>
  <si>
    <t>д Текун</t>
  </si>
  <si>
    <t>22535000481</t>
  </si>
  <si>
    <t>д Теплухино</t>
  </si>
  <si>
    <t>22535000486</t>
  </si>
  <si>
    <t>д Труфаново</t>
  </si>
  <si>
    <t>22535000491</t>
  </si>
  <si>
    <t>д Трухино</t>
  </si>
  <si>
    <t>22535000496</t>
  </si>
  <si>
    <t>д Удельная Чащиха</t>
  </si>
  <si>
    <t>22535000501</t>
  </si>
  <si>
    <t>д Усольцево</t>
  </si>
  <si>
    <t>22535000506</t>
  </si>
  <si>
    <t>22535000511</t>
  </si>
  <si>
    <t>с Чащиха</t>
  </si>
  <si>
    <t>22535000516</t>
  </si>
  <si>
    <t>с Чемашиха</t>
  </si>
  <si>
    <t>22535000521</t>
  </si>
  <si>
    <t>д Черепаниха</t>
  </si>
  <si>
    <t>22535000526</t>
  </si>
  <si>
    <t>п Чибирь</t>
  </si>
  <si>
    <t>22535000531</t>
  </si>
  <si>
    <t>п Шеманиха</t>
  </si>
  <si>
    <t>22535000536</t>
  </si>
  <si>
    <t>д Шижма</t>
  </si>
  <si>
    <t>22535000541</t>
  </si>
  <si>
    <t>22535000546</t>
  </si>
  <si>
    <t>с Ядрово</t>
  </si>
  <si>
    <t>22535000551</t>
  </si>
  <si>
    <t>д Якушово</t>
  </si>
  <si>
    <t>22536000101</t>
  </si>
  <si>
    <t>с Уразовка</t>
  </si>
  <si>
    <t>22536000106</t>
  </si>
  <si>
    <t>с Большое Рыбушкино</t>
  </si>
  <si>
    <t>22536000111</t>
  </si>
  <si>
    <t>с Малое Рыбушкино</t>
  </si>
  <si>
    <t>22536000116</t>
  </si>
  <si>
    <t>с Ендовищи</t>
  </si>
  <si>
    <t>22536000121</t>
  </si>
  <si>
    <t>д Карга</t>
  </si>
  <si>
    <t>22536000126</t>
  </si>
  <si>
    <t>д Трехозерки</t>
  </si>
  <si>
    <t>22536000131</t>
  </si>
  <si>
    <t>д Екатериновка</t>
  </si>
  <si>
    <t>22536000136</t>
  </si>
  <si>
    <t>с Кечасово</t>
  </si>
  <si>
    <t>22536000141</t>
  </si>
  <si>
    <t>д Мангушево</t>
  </si>
  <si>
    <t>22536000146</t>
  </si>
  <si>
    <t>с Чернуха</t>
  </si>
  <si>
    <t>22536000151</t>
  </si>
  <si>
    <t>с Ключищи</t>
  </si>
  <si>
    <t>22536000156</t>
  </si>
  <si>
    <t>д Ждановка</t>
  </si>
  <si>
    <t>22536000161</t>
  </si>
  <si>
    <t>с Маресево</t>
  </si>
  <si>
    <t>22536000166</t>
  </si>
  <si>
    <t>с Медяна</t>
  </si>
  <si>
    <t>22536000171</t>
  </si>
  <si>
    <t>д Пошатово</t>
  </si>
  <si>
    <t>22536000176</t>
  </si>
  <si>
    <t>с Акулинино</t>
  </si>
  <si>
    <t>22536000181</t>
  </si>
  <si>
    <t>22536000186</t>
  </si>
  <si>
    <t>с Большая Мажарка</t>
  </si>
  <si>
    <t>22536000191</t>
  </si>
  <si>
    <t>д Буяновка</t>
  </si>
  <si>
    <t>22536000196</t>
  </si>
  <si>
    <t>д Загарино</t>
  </si>
  <si>
    <t>22536000201</t>
  </si>
  <si>
    <t>с Китово</t>
  </si>
  <si>
    <t>22536000206</t>
  </si>
  <si>
    <t>д Княжевка</t>
  </si>
  <si>
    <t>22536000211</t>
  </si>
  <si>
    <t>д Лукьяновка</t>
  </si>
  <si>
    <t>22536000216</t>
  </si>
  <si>
    <t>д Малая Мажарка</t>
  </si>
  <si>
    <t>22536000221</t>
  </si>
  <si>
    <t>д Марьевка</t>
  </si>
  <si>
    <t>22536000226</t>
  </si>
  <si>
    <t>п Работник</t>
  </si>
  <si>
    <t>22536000231</t>
  </si>
  <si>
    <t>с Салганы</t>
  </si>
  <si>
    <t>22536000236</t>
  </si>
  <si>
    <t>с Федоровка</t>
  </si>
  <si>
    <t>22536000241</t>
  </si>
  <si>
    <t>22536000246</t>
  </si>
  <si>
    <t>д Абрамово</t>
  </si>
  <si>
    <t>22536000251</t>
  </si>
  <si>
    <t>22536000256</t>
  </si>
  <si>
    <t>с Ерпелево</t>
  </si>
  <si>
    <t>22536000261</t>
  </si>
  <si>
    <t>д Лизинка</t>
  </si>
  <si>
    <t>22536000266</t>
  </si>
  <si>
    <t>д Михайловка</t>
  </si>
  <si>
    <t>22536000271</t>
  </si>
  <si>
    <t>д Орловка</t>
  </si>
  <si>
    <t>22536000276</t>
  </si>
  <si>
    <t>д Родионовка</t>
  </si>
  <si>
    <t>22536000281</t>
  </si>
  <si>
    <t>с Сарга</t>
  </si>
  <si>
    <t>22536000286</t>
  </si>
  <si>
    <t>с Семеновка</t>
  </si>
  <si>
    <t>22536000291</t>
  </si>
  <si>
    <t>д Актуково</t>
  </si>
  <si>
    <t>22536000296</t>
  </si>
  <si>
    <t>д Антяровка</t>
  </si>
  <si>
    <t>22536000301</t>
  </si>
  <si>
    <t>д Кадомка</t>
  </si>
  <si>
    <t>22536000306</t>
  </si>
  <si>
    <t>д Красный Яр</t>
  </si>
  <si>
    <t>22536000311</t>
  </si>
  <si>
    <t>д Кузьминка</t>
  </si>
  <si>
    <t>22536000316</t>
  </si>
  <si>
    <t>д Овечий Овраг</t>
  </si>
  <si>
    <t>22536000321</t>
  </si>
  <si>
    <t>с Чембилей</t>
  </si>
  <si>
    <t>22537000001</t>
  </si>
  <si>
    <t>г Кстово</t>
  </si>
  <si>
    <t>22537000106</t>
  </si>
  <si>
    <t>22537000111</t>
  </si>
  <si>
    <t>п.ст Анкудиновка</t>
  </si>
  <si>
    <t>22537000116</t>
  </si>
  <si>
    <t>д Афонино</t>
  </si>
  <si>
    <t>22537000121</t>
  </si>
  <si>
    <t>22537000126</t>
  </si>
  <si>
    <t>д Никульское</t>
  </si>
  <si>
    <t>22537000131</t>
  </si>
  <si>
    <t>д Утечино</t>
  </si>
  <si>
    <t>22537000136</t>
  </si>
  <si>
    <t>с Безводное</t>
  </si>
  <si>
    <t>22537000141</t>
  </si>
  <si>
    <t>с Великий Враг</t>
  </si>
  <si>
    <t>22537000146</t>
  </si>
  <si>
    <t>22537000151</t>
  </si>
  <si>
    <t>д Михальчиково</t>
  </si>
  <si>
    <t>22537000156</t>
  </si>
  <si>
    <t>д Муханово</t>
  </si>
  <si>
    <t>22537000161</t>
  </si>
  <si>
    <t>д Подвалиха</t>
  </si>
  <si>
    <t>22537000166</t>
  </si>
  <si>
    <t>с Ближнее Борисово</t>
  </si>
  <si>
    <t>22537000171</t>
  </si>
  <si>
    <t>с Вязовка</t>
  </si>
  <si>
    <t>22537000176</t>
  </si>
  <si>
    <t>п Дружный</t>
  </si>
  <si>
    <t>22537000181</t>
  </si>
  <si>
    <t>д Митино</t>
  </si>
  <si>
    <t>22537000186</t>
  </si>
  <si>
    <t>д Румянцево</t>
  </si>
  <si>
    <t>22537000191</t>
  </si>
  <si>
    <t>с Большая Ельня</t>
  </si>
  <si>
    <t>22537000196</t>
  </si>
  <si>
    <t>п Ждановский</t>
  </si>
  <si>
    <t>22537000201</t>
  </si>
  <si>
    <t>д Крутая</t>
  </si>
  <si>
    <t>22537000206</t>
  </si>
  <si>
    <t>д Малая Ельня</t>
  </si>
  <si>
    <t>22537000211</t>
  </si>
  <si>
    <t>д Опалиха</t>
  </si>
  <si>
    <t>22537000216</t>
  </si>
  <si>
    <t>д Ржавка</t>
  </si>
  <si>
    <t>22537000221</t>
  </si>
  <si>
    <t>с Федяково</t>
  </si>
  <si>
    <t>22537000226</t>
  </si>
  <si>
    <t>д Фроловское</t>
  </si>
  <si>
    <t>22537000231</t>
  </si>
  <si>
    <t>п Черемисский</t>
  </si>
  <si>
    <t>22537000236</t>
  </si>
  <si>
    <t>д Черемисское</t>
  </si>
  <si>
    <t>22537000241</t>
  </si>
  <si>
    <t>с Большое Мокрое</t>
  </si>
  <si>
    <t>22537000246</t>
  </si>
  <si>
    <t>22537000251</t>
  </si>
  <si>
    <t>д Зелецино</t>
  </si>
  <si>
    <t>22537000256</t>
  </si>
  <si>
    <t>д Кривая Шелокша</t>
  </si>
  <si>
    <t>22537000261</t>
  </si>
  <si>
    <t>д Новая Деревня</t>
  </si>
  <si>
    <t>22537000266</t>
  </si>
  <si>
    <t>д Новая Пунерь</t>
  </si>
  <si>
    <t>22537000271</t>
  </si>
  <si>
    <t>с Новые Ключищи</t>
  </si>
  <si>
    <t>22537000276</t>
  </si>
  <si>
    <t>с Семеть</t>
  </si>
  <si>
    <t>22537000281</t>
  </si>
  <si>
    <t>д Чаглава</t>
  </si>
  <si>
    <t>22537000286</t>
  </si>
  <si>
    <t>с Варварское</t>
  </si>
  <si>
    <t>22537000291</t>
  </si>
  <si>
    <t>д Голошубиха</t>
  </si>
  <si>
    <t>22537000296</t>
  </si>
  <si>
    <t>д Горяньково</t>
  </si>
  <si>
    <t>22537000301</t>
  </si>
  <si>
    <t>д Долгая Поляна</t>
  </si>
  <si>
    <t>22537000306</t>
  </si>
  <si>
    <t>с Завражная Слобода</t>
  </si>
  <si>
    <t>22537000311</t>
  </si>
  <si>
    <t>с Запрудное</t>
  </si>
  <si>
    <t>22537000316</t>
  </si>
  <si>
    <t>с Кадницы</t>
  </si>
  <si>
    <t>22537000321</t>
  </si>
  <si>
    <t>д Калинино</t>
  </si>
  <si>
    <t>22537000326</t>
  </si>
  <si>
    <t>д Кувардино</t>
  </si>
  <si>
    <t>22537000331</t>
  </si>
  <si>
    <t>п Ленинская Слобода</t>
  </si>
  <si>
    <t>22537000336</t>
  </si>
  <si>
    <t>д Семенищи</t>
  </si>
  <si>
    <t>22537000341</t>
  </si>
  <si>
    <t>с Шава</t>
  </si>
  <si>
    <t>22537000346</t>
  </si>
  <si>
    <t>д Ветчак</t>
  </si>
  <si>
    <t>22537000351</t>
  </si>
  <si>
    <t>д Карабатово</t>
  </si>
  <si>
    <t>22537000356</t>
  </si>
  <si>
    <t>д Караулово</t>
  </si>
  <si>
    <t>22537000361</t>
  </si>
  <si>
    <t>д Новоликеево</t>
  </si>
  <si>
    <t>22537000366</t>
  </si>
  <si>
    <t>д Починок / Входит в состав административно-территориального образования Новоликеевский сельсовет</t>
  </si>
  <si>
    <t>22537000371</t>
  </si>
  <si>
    <t>д Студенец</t>
  </si>
  <si>
    <t>22537000376</t>
  </si>
  <si>
    <t>д Толстобино</t>
  </si>
  <si>
    <t>22537000381</t>
  </si>
  <si>
    <t>д Волчиха</t>
  </si>
  <si>
    <t>22537000386</t>
  </si>
  <si>
    <t>22537000391</t>
  </si>
  <si>
    <t>п Искра</t>
  </si>
  <si>
    <t>22537000396</t>
  </si>
  <si>
    <t>д Козловка / Входит в состав административно-территориального образования Прокошевский сельсовет</t>
  </si>
  <si>
    <t>22537000401</t>
  </si>
  <si>
    <t>д Конновка</t>
  </si>
  <si>
    <t>22537000406</t>
  </si>
  <si>
    <t>д Красногорка / Входит в состав административно-территориального образования Прокошевский сельсовет</t>
  </si>
  <si>
    <t>22537000411</t>
  </si>
  <si>
    <t>д Красноселово</t>
  </si>
  <si>
    <t>22537000416</t>
  </si>
  <si>
    <t>с Ляписи</t>
  </si>
  <si>
    <t>22537000421</t>
  </si>
  <si>
    <t>д Попадейка</t>
  </si>
  <si>
    <t>22537000426</t>
  </si>
  <si>
    <t>д Прокошево</t>
  </si>
  <si>
    <t>22537000431</t>
  </si>
  <si>
    <t>д Семенцево</t>
  </si>
  <si>
    <t>22537000436</t>
  </si>
  <si>
    <t>22537000441</t>
  </si>
  <si>
    <t>с Толмачево</t>
  </si>
  <si>
    <t>22537000446</t>
  </si>
  <si>
    <t>д Цедень</t>
  </si>
  <si>
    <t>22537000451</t>
  </si>
  <si>
    <t>д Шерменево</t>
  </si>
  <si>
    <t>22537000456</t>
  </si>
  <si>
    <t>д Абатурово</t>
  </si>
  <si>
    <t>22537000461</t>
  </si>
  <si>
    <t>с Ачапное</t>
  </si>
  <si>
    <t>22537000466</t>
  </si>
  <si>
    <t>п Волжский</t>
  </si>
  <si>
    <t>22537000471</t>
  </si>
  <si>
    <t>с Луговой Борок</t>
  </si>
  <si>
    <t>22537000476</t>
  </si>
  <si>
    <t>22537000481</t>
  </si>
  <si>
    <t>с Работки</t>
  </si>
  <si>
    <t>22537000486</t>
  </si>
  <si>
    <t>д Слопинец</t>
  </si>
  <si>
    <t>22537000491</t>
  </si>
  <si>
    <t>с Татинец</t>
  </si>
  <si>
    <t>22537000496</t>
  </si>
  <si>
    <t>д Чеченино</t>
  </si>
  <si>
    <t>22537000501</t>
  </si>
  <si>
    <t>д Козловка / Входит в состав административно-территориального образования Ройкинский сельсовет</t>
  </si>
  <si>
    <t>22537000506</t>
  </si>
  <si>
    <t>п Культура</t>
  </si>
  <si>
    <t>22537000511</t>
  </si>
  <si>
    <t>п Опытный</t>
  </si>
  <si>
    <t>22537000516</t>
  </si>
  <si>
    <t>22537000521</t>
  </si>
  <si>
    <t>п Садовский</t>
  </si>
  <si>
    <t>22537000526</t>
  </si>
  <si>
    <t>п Селекционной станции</t>
  </si>
  <si>
    <t>22537000531</t>
  </si>
  <si>
    <t>д Горный Борок</t>
  </si>
  <si>
    <t>22537000536</t>
  </si>
  <si>
    <t>д Подлесово</t>
  </si>
  <si>
    <t>22537000541</t>
  </si>
  <si>
    <t>с Слободское</t>
  </si>
  <si>
    <t>22537000546</t>
  </si>
  <si>
    <t>22537000551</t>
  </si>
  <si>
    <t>д Шмойлово</t>
  </si>
  <si>
    <t>22537000556</t>
  </si>
  <si>
    <t>с Вередеево</t>
  </si>
  <si>
    <t>22537000561</t>
  </si>
  <si>
    <t>д Вершинино</t>
  </si>
  <si>
    <t>22537000566</t>
  </si>
  <si>
    <t>22537000571</t>
  </si>
  <si>
    <t>с Выездное</t>
  </si>
  <si>
    <t>22537000576</t>
  </si>
  <si>
    <t>д Грязновка</t>
  </si>
  <si>
    <t>22537000581</t>
  </si>
  <si>
    <t>22537000586</t>
  </si>
  <si>
    <t>д Келейниково</t>
  </si>
  <si>
    <t>22537000591</t>
  </si>
  <si>
    <t>д Красногорка / Входит в состав административно-территориального образования Чернухинский сельсовет</t>
  </si>
  <si>
    <t>22537000596</t>
  </si>
  <si>
    <t>д Лапшлей</t>
  </si>
  <si>
    <t>22537000601</t>
  </si>
  <si>
    <t>д Майдан</t>
  </si>
  <si>
    <t>22537000606</t>
  </si>
  <si>
    <t>д Мешиха</t>
  </si>
  <si>
    <t>22537000611</t>
  </si>
  <si>
    <t>д Новониколаевка</t>
  </si>
  <si>
    <t>22537000616</t>
  </si>
  <si>
    <t>д Старые Ключищи</t>
  </si>
  <si>
    <t>22537000621</t>
  </si>
  <si>
    <t>22537000626</t>
  </si>
  <si>
    <t>с Шелокша</t>
  </si>
  <si>
    <t>22537000631</t>
  </si>
  <si>
    <t>д Большое Лебедево</t>
  </si>
  <si>
    <t>22537000636</t>
  </si>
  <si>
    <t>22537000641</t>
  </si>
  <si>
    <t>д Игрищи</t>
  </si>
  <si>
    <t>22537000646</t>
  </si>
  <si>
    <t>с Игумново</t>
  </si>
  <si>
    <t>22537000651</t>
  </si>
  <si>
    <t>22537000656</t>
  </si>
  <si>
    <t>д Крутец</t>
  </si>
  <si>
    <t>22537000661</t>
  </si>
  <si>
    <t>д Лавровка</t>
  </si>
  <si>
    <t>22537000666</t>
  </si>
  <si>
    <t>с Лопатищи</t>
  </si>
  <si>
    <t>22537000671</t>
  </si>
  <si>
    <t>д Починок / Входит в состав административно-территориального образования Чернышихинский сельсовет</t>
  </si>
  <si>
    <t>22537000676</t>
  </si>
  <si>
    <t>д Прокошевка</t>
  </si>
  <si>
    <t>22537000681</t>
  </si>
  <si>
    <t>22537000686</t>
  </si>
  <si>
    <t>д Соколищи</t>
  </si>
  <si>
    <t>22537000691</t>
  </si>
  <si>
    <t>с Соколово</t>
  </si>
  <si>
    <t>22537000696</t>
  </si>
  <si>
    <t>22537000701</t>
  </si>
  <si>
    <t>22537000706</t>
  </si>
  <si>
    <t>с Чернышиха</t>
  </si>
  <si>
    <t>22539000001</t>
  </si>
  <si>
    <t>г Лукоянов</t>
  </si>
  <si>
    <t>22539000053</t>
  </si>
  <si>
    <t>рп им Степана Разина</t>
  </si>
  <si>
    <t>22539000106</t>
  </si>
  <si>
    <t>с Ульяново</t>
  </si>
  <si>
    <t>22539000111</t>
  </si>
  <si>
    <t>д Бутская</t>
  </si>
  <si>
    <t>22539000116</t>
  </si>
  <si>
    <t>п Кузнецкий / Входит в состав административно-территориального образования рп им. Степана Разина</t>
  </si>
  <si>
    <t>22539000121</t>
  </si>
  <si>
    <t>п Курилиха</t>
  </si>
  <si>
    <t>22539000126</t>
  </si>
  <si>
    <t>д Курлей</t>
  </si>
  <si>
    <t>22539000131</t>
  </si>
  <si>
    <t>с Новомихайловка</t>
  </si>
  <si>
    <t>22539000136</t>
  </si>
  <si>
    <t>22539000141</t>
  </si>
  <si>
    <t>п Панзелка</t>
  </si>
  <si>
    <t>22539000146</t>
  </si>
  <si>
    <t>с Печи</t>
  </si>
  <si>
    <t>22539000151</t>
  </si>
  <si>
    <t>с Покровка</t>
  </si>
  <si>
    <t>22539000156</t>
  </si>
  <si>
    <t>22539000161</t>
  </si>
  <si>
    <t>с Санки</t>
  </si>
  <si>
    <t>22539000166</t>
  </si>
  <si>
    <t>п Средний</t>
  </si>
  <si>
    <t>22539000171</t>
  </si>
  <si>
    <t>с Большая Аря</t>
  </si>
  <si>
    <t>22539000176</t>
  </si>
  <si>
    <t>д Докучаево</t>
  </si>
  <si>
    <t>22539000181</t>
  </si>
  <si>
    <t>д Крапивка</t>
  </si>
  <si>
    <t>22539000186</t>
  </si>
  <si>
    <t>22539000191</t>
  </si>
  <si>
    <t>с Никулино</t>
  </si>
  <si>
    <t>22539000196</t>
  </si>
  <si>
    <t>22539000201</t>
  </si>
  <si>
    <t>с Пичингуши</t>
  </si>
  <si>
    <t>22539000206</t>
  </si>
  <si>
    <t>с Саврасово</t>
  </si>
  <si>
    <t>22539000211</t>
  </si>
  <si>
    <t>д Тетюши</t>
  </si>
  <si>
    <t>22539000216</t>
  </si>
  <si>
    <t>с Чиргуши</t>
  </si>
  <si>
    <t>22539000221</t>
  </si>
  <si>
    <t>п Белецкий</t>
  </si>
  <si>
    <t>22539000226</t>
  </si>
  <si>
    <t>с Большое Маресьево</t>
  </si>
  <si>
    <t>22539000231</t>
  </si>
  <si>
    <t>с Елфимово</t>
  </si>
  <si>
    <t>22539000236</t>
  </si>
  <si>
    <t>п Карповка</t>
  </si>
  <si>
    <t>22539000241</t>
  </si>
  <si>
    <t>с Кельдюшево</t>
  </si>
  <si>
    <t>22539000246</t>
  </si>
  <si>
    <t>с Красная Поляна</t>
  </si>
  <si>
    <t>22539000251</t>
  </si>
  <si>
    <t>д Малая Васильевка</t>
  </si>
  <si>
    <t>22539000256</t>
  </si>
  <si>
    <t>с Малая Поляна</t>
  </si>
  <si>
    <t>22539000261</t>
  </si>
  <si>
    <t>с Нехорошево</t>
  </si>
  <si>
    <t>22539000266</t>
  </si>
  <si>
    <t>д Веселейка</t>
  </si>
  <si>
    <t>22539000271</t>
  </si>
  <si>
    <t>д Григорьевка</t>
  </si>
  <si>
    <t>22539000276</t>
  </si>
  <si>
    <t>с Иванцево</t>
  </si>
  <si>
    <t>22539000281</t>
  </si>
  <si>
    <t>д Красная Горка</t>
  </si>
  <si>
    <t>22539000286</t>
  </si>
  <si>
    <t>с Кудеярово</t>
  </si>
  <si>
    <t>22539000291</t>
  </si>
  <si>
    <t>п Кузнецкий / Входит в состав административно-территориального образования Кудеяровский сельсовет</t>
  </si>
  <si>
    <t>22539000296</t>
  </si>
  <si>
    <t>с Романовка</t>
  </si>
  <si>
    <t>22539000301</t>
  </si>
  <si>
    <t>22539000306</t>
  </si>
  <si>
    <t>22539000311</t>
  </si>
  <si>
    <t>22539000316</t>
  </si>
  <si>
    <t>с Гаврилово</t>
  </si>
  <si>
    <t>22539000321</t>
  </si>
  <si>
    <t>с Крюковка</t>
  </si>
  <si>
    <t>22539000326</t>
  </si>
  <si>
    <t>22539000331</t>
  </si>
  <si>
    <t>с Неверово</t>
  </si>
  <si>
    <t>22539000336</t>
  </si>
  <si>
    <t>с Перемчалки</t>
  </si>
  <si>
    <t>22539000341</t>
  </si>
  <si>
    <t>22539000346</t>
  </si>
  <si>
    <t>с Чуфарово</t>
  </si>
  <si>
    <t>22539000351</t>
  </si>
  <si>
    <t>с Большое Мамлеево</t>
  </si>
  <si>
    <t>22539000356</t>
  </si>
  <si>
    <t>22539000361</t>
  </si>
  <si>
    <t>22539000366</t>
  </si>
  <si>
    <t>п Гарской</t>
  </si>
  <si>
    <t>22539000371</t>
  </si>
  <si>
    <t>п Городок</t>
  </si>
  <si>
    <t>22539000376</t>
  </si>
  <si>
    <t>с Малое Мамлеево</t>
  </si>
  <si>
    <t>22539000381</t>
  </si>
  <si>
    <t>с Мерлиновка</t>
  </si>
  <si>
    <t>22539000386</t>
  </si>
  <si>
    <t>д Надежинка</t>
  </si>
  <si>
    <t>22539000391</t>
  </si>
  <si>
    <t>с Николай Дар</t>
  </si>
  <si>
    <t>22539000396</t>
  </si>
  <si>
    <t>п Новая Москва</t>
  </si>
  <si>
    <t>22539000401</t>
  </si>
  <si>
    <t>д Скородумовка</t>
  </si>
  <si>
    <t>22539000406</t>
  </si>
  <si>
    <t>с Тольский Майдан</t>
  </si>
  <si>
    <t>22539000411</t>
  </si>
  <si>
    <t>22539000416</t>
  </si>
  <si>
    <t>с Атингеево</t>
  </si>
  <si>
    <t>22539000421</t>
  </si>
  <si>
    <t>с Мессинговка</t>
  </si>
  <si>
    <t>22539000426</t>
  </si>
  <si>
    <t>22539000431</t>
  </si>
  <si>
    <t>с Новый Майдан</t>
  </si>
  <si>
    <t>22539000436</t>
  </si>
  <si>
    <t>с Поя</t>
  </si>
  <si>
    <t>22539000441</t>
  </si>
  <si>
    <t>с Салдаманов Майдан</t>
  </si>
  <si>
    <t>22539000446</t>
  </si>
  <si>
    <t>с Салдаманово</t>
  </si>
  <si>
    <t>22539000451</t>
  </si>
  <si>
    <t>22539000456</t>
  </si>
  <si>
    <t>с Шандрово</t>
  </si>
  <si>
    <t>22540000001</t>
  </si>
  <si>
    <t>г Лысково</t>
  </si>
  <si>
    <t>22540000106</t>
  </si>
  <si>
    <t>д Головково</t>
  </si>
  <si>
    <t>22540000111</t>
  </si>
  <si>
    <t>п Анатольевка</t>
  </si>
  <si>
    <t>22540000116</t>
  </si>
  <si>
    <t>с Бармино</t>
  </si>
  <si>
    <t>22540000121</t>
  </si>
  <si>
    <t>с Варганы</t>
  </si>
  <si>
    <t>22540000126</t>
  </si>
  <si>
    <t>22540000131</t>
  </si>
  <si>
    <t>с Берендеевка</t>
  </si>
  <si>
    <t>22540000136</t>
  </si>
  <si>
    <t>22540000141</t>
  </si>
  <si>
    <t>22540000146</t>
  </si>
  <si>
    <t>22540000151</t>
  </si>
  <si>
    <t>22540000156</t>
  </si>
  <si>
    <t>д Казыевка</t>
  </si>
  <si>
    <t>22540000161</t>
  </si>
  <si>
    <t>с Каменка</t>
  </si>
  <si>
    <t>22540000166</t>
  </si>
  <si>
    <t>п Лывы</t>
  </si>
  <si>
    <t>22540000171</t>
  </si>
  <si>
    <t>с Петровка</t>
  </si>
  <si>
    <t>22540000176</t>
  </si>
  <si>
    <t>с Саурово</t>
  </si>
  <si>
    <t>22540000181</t>
  </si>
  <si>
    <t>п Старатель</t>
  </si>
  <si>
    <t>22540000186</t>
  </si>
  <si>
    <t>п Богородское</t>
  </si>
  <si>
    <t>22540000191</t>
  </si>
  <si>
    <t>п Бор</t>
  </si>
  <si>
    <t>22540000196</t>
  </si>
  <si>
    <t>с Валки</t>
  </si>
  <si>
    <t>22540000201</t>
  </si>
  <si>
    <t>с Великовское</t>
  </si>
  <si>
    <t>22540000206</t>
  </si>
  <si>
    <t>п Верхний Красный Яр</t>
  </si>
  <si>
    <t>22540000211</t>
  </si>
  <si>
    <t>п Керженский</t>
  </si>
  <si>
    <t>22540000216</t>
  </si>
  <si>
    <t>с Комариха</t>
  </si>
  <si>
    <t>22540000221</t>
  </si>
  <si>
    <t>п Макарьево</t>
  </si>
  <si>
    <t>22540000226</t>
  </si>
  <si>
    <t>с Нижний Красный Яр</t>
  </si>
  <si>
    <t>22540000231</t>
  </si>
  <si>
    <t>с Сельская Маза</t>
  </si>
  <si>
    <t>22540000236</t>
  </si>
  <si>
    <t>д Хохолевка</t>
  </si>
  <si>
    <t>22540000241</t>
  </si>
  <si>
    <t>д Черная Маза</t>
  </si>
  <si>
    <t>22540000246</t>
  </si>
  <si>
    <t>д Баранниково</t>
  </si>
  <si>
    <t>22540000251</t>
  </si>
  <si>
    <t>д Белавино</t>
  </si>
  <si>
    <t>22540000256</t>
  </si>
  <si>
    <t>22540000261</t>
  </si>
  <si>
    <t>с Большое Шипилово</t>
  </si>
  <si>
    <t>22540000266</t>
  </si>
  <si>
    <t>с Ермолино</t>
  </si>
  <si>
    <t>22540000271</t>
  </si>
  <si>
    <t>с Кириково</t>
  </si>
  <si>
    <t>22540000276</t>
  </si>
  <si>
    <t>с Красная Лука</t>
  </si>
  <si>
    <t>22540000281</t>
  </si>
  <si>
    <t>д Летнево</t>
  </si>
  <si>
    <t>22540000286</t>
  </si>
  <si>
    <t>с Ляпуны</t>
  </si>
  <si>
    <t>22540000291</t>
  </si>
  <si>
    <t>с Малое Шипилово</t>
  </si>
  <si>
    <t>22540000296</t>
  </si>
  <si>
    <t>д Монари</t>
  </si>
  <si>
    <t>22540000301</t>
  </si>
  <si>
    <t>д Уварово</t>
  </si>
  <si>
    <t>22540000306</t>
  </si>
  <si>
    <t>д Бахмут</t>
  </si>
  <si>
    <t>22540000311</t>
  </si>
  <si>
    <t>д Брюханово</t>
  </si>
  <si>
    <t>22540000316</t>
  </si>
  <si>
    <t>с Дубенщино</t>
  </si>
  <si>
    <t>22540000321</t>
  </si>
  <si>
    <t>22540000326</t>
  </si>
  <si>
    <t>д Елевка</t>
  </si>
  <si>
    <t>22540000331</t>
  </si>
  <si>
    <t>с Кисловка</t>
  </si>
  <si>
    <t>22540000336</t>
  </si>
  <si>
    <t>д Кожино</t>
  </si>
  <si>
    <t>22540000341</t>
  </si>
  <si>
    <t>с Колычево</t>
  </si>
  <si>
    <t>22540000346</t>
  </si>
  <si>
    <t>д Крестьянка</t>
  </si>
  <si>
    <t>22540000351</t>
  </si>
  <si>
    <t>д Лыткино</t>
  </si>
  <si>
    <t>22540000356</t>
  </si>
  <si>
    <t>п Нива</t>
  </si>
  <si>
    <t>22540000361</t>
  </si>
  <si>
    <t>с Окинино</t>
  </si>
  <si>
    <t>22540000366</t>
  </si>
  <si>
    <t>22540000371</t>
  </si>
  <si>
    <t>д Саревка</t>
  </si>
  <si>
    <t>22540000376</t>
  </si>
  <si>
    <t>с Семово</t>
  </si>
  <si>
    <t>22540000381</t>
  </si>
  <si>
    <t>д Сумкино</t>
  </si>
  <si>
    <t>22540000386</t>
  </si>
  <si>
    <t>22540000391</t>
  </si>
  <si>
    <t>с Черемиска</t>
  </si>
  <si>
    <t>22540000396</t>
  </si>
  <si>
    <t>с Юркино</t>
  </si>
  <si>
    <t>22540000401</t>
  </si>
  <si>
    <t>с Асташиха</t>
  </si>
  <si>
    <t>22540000406</t>
  </si>
  <si>
    <t>с Белозериха</t>
  </si>
  <si>
    <t>22540000411</t>
  </si>
  <si>
    <t>22540000416</t>
  </si>
  <si>
    <t>д Ерзовка</t>
  </si>
  <si>
    <t>22540000421</t>
  </si>
  <si>
    <t>п Красновидово</t>
  </si>
  <si>
    <t>22540000426</t>
  </si>
  <si>
    <t>с Красный Оселок</t>
  </si>
  <si>
    <t>22540000431</t>
  </si>
  <si>
    <t>п Крестьянка</t>
  </si>
  <si>
    <t>22540000436</t>
  </si>
  <si>
    <t>п Новинки</t>
  </si>
  <si>
    <t>22540000441</t>
  </si>
  <si>
    <t>п Очаиха</t>
  </si>
  <si>
    <t>22540000446</t>
  </si>
  <si>
    <t>с Просек</t>
  </si>
  <si>
    <t>22540000451</t>
  </si>
  <si>
    <t>п Вадимовка</t>
  </si>
  <si>
    <t>22540000456</t>
  </si>
  <si>
    <t>д Валава</t>
  </si>
  <si>
    <t>22540000461</t>
  </si>
  <si>
    <t>д Гугино</t>
  </si>
  <si>
    <t>22540000466</t>
  </si>
  <si>
    <t>п Друг Крестьянина</t>
  </si>
  <si>
    <t>22540000471</t>
  </si>
  <si>
    <t>д Княжиха</t>
  </si>
  <si>
    <t>22540000476</t>
  </si>
  <si>
    <t>д Кокореково</t>
  </si>
  <si>
    <t>22540000481</t>
  </si>
  <si>
    <t>д Коноплянка</t>
  </si>
  <si>
    <t>22540000486</t>
  </si>
  <si>
    <t>с Коробиха</t>
  </si>
  <si>
    <t>22540000491</t>
  </si>
  <si>
    <t>д Курбатиха</t>
  </si>
  <si>
    <t>22540000496</t>
  </si>
  <si>
    <t>д Лебедиха</t>
  </si>
  <si>
    <t>22540000501</t>
  </si>
  <si>
    <t>с Леньково</t>
  </si>
  <si>
    <t>22540000506</t>
  </si>
  <si>
    <t>22540000511</t>
  </si>
  <si>
    <t>22540000516</t>
  </si>
  <si>
    <t>с Негоново</t>
  </si>
  <si>
    <t>22540000521</t>
  </si>
  <si>
    <t>22540000526</t>
  </si>
  <si>
    <t>д Перелетиха</t>
  </si>
  <si>
    <t>22540000531</t>
  </si>
  <si>
    <t>д Петриха</t>
  </si>
  <si>
    <t>22540000536</t>
  </si>
  <si>
    <t>с Плотинское</t>
  </si>
  <si>
    <t>22540000541</t>
  </si>
  <si>
    <t>с Преснецово</t>
  </si>
  <si>
    <t>22540000546</t>
  </si>
  <si>
    <t>с Ратунино</t>
  </si>
  <si>
    <t>22540000551</t>
  </si>
  <si>
    <t>д Стрелка</t>
  </si>
  <si>
    <t>22540000556</t>
  </si>
  <si>
    <t>д Сущево</t>
  </si>
  <si>
    <t>22540000561</t>
  </si>
  <si>
    <t>п Труд</t>
  </si>
  <si>
    <t>22540000566</t>
  </si>
  <si>
    <t>22540000571</t>
  </si>
  <si>
    <t>с Чистое Поле</t>
  </si>
  <si>
    <t>22540000576</t>
  </si>
  <si>
    <t>с Исады</t>
  </si>
  <si>
    <t>22540000581</t>
  </si>
  <si>
    <t>д Лысая Гора</t>
  </si>
  <si>
    <t>22540000586</t>
  </si>
  <si>
    <t>д Неверово</t>
  </si>
  <si>
    <t>22540000591</t>
  </si>
  <si>
    <t>с Окишино</t>
  </si>
  <si>
    <t>22540000596</t>
  </si>
  <si>
    <t>с Трофимово</t>
  </si>
  <si>
    <t>22540000601</t>
  </si>
  <si>
    <t>д Ушаковка</t>
  </si>
  <si>
    <t>22540000606</t>
  </si>
  <si>
    <t>д Яблонка</t>
  </si>
  <si>
    <t>22542000001</t>
  </si>
  <si>
    <t>г Павлово</t>
  </si>
  <si>
    <t>22542000003</t>
  </si>
  <si>
    <t>г Ворсма</t>
  </si>
  <si>
    <t>22542000005</t>
  </si>
  <si>
    <t>г Горбатов</t>
  </si>
  <si>
    <t>22542000053</t>
  </si>
  <si>
    <t>рп Тумботино</t>
  </si>
  <si>
    <t>22542000106</t>
  </si>
  <si>
    <t>д Борок</t>
  </si>
  <si>
    <t>22542000111</t>
  </si>
  <si>
    <t>д Верхнее Кожухово</t>
  </si>
  <si>
    <t>22542000116</t>
  </si>
  <si>
    <t>д Лисенки</t>
  </si>
  <si>
    <t>22542000121</t>
  </si>
  <si>
    <t>д Мещера</t>
  </si>
  <si>
    <t>22542000126</t>
  </si>
  <si>
    <t>д Мунькино</t>
  </si>
  <si>
    <t>22542000131</t>
  </si>
  <si>
    <t>д Нижнее Кожухово</t>
  </si>
  <si>
    <t>22542000136</t>
  </si>
  <si>
    <t>д Низково</t>
  </si>
  <si>
    <t>22542000141</t>
  </si>
  <si>
    <t>с Окулово</t>
  </si>
  <si>
    <t>22542000146</t>
  </si>
  <si>
    <t>д Пестряково</t>
  </si>
  <si>
    <t>22542000151</t>
  </si>
  <si>
    <t>д Погорелка</t>
  </si>
  <si>
    <t>22542000156</t>
  </si>
  <si>
    <t>22542000161</t>
  </si>
  <si>
    <t>д Попадьино</t>
  </si>
  <si>
    <t>22542000166</t>
  </si>
  <si>
    <t>22542000171</t>
  </si>
  <si>
    <t>22542000176</t>
  </si>
  <si>
    <t>с Чмутово</t>
  </si>
  <si>
    <t>22542000181</t>
  </si>
  <si>
    <t>д Чубалово</t>
  </si>
  <si>
    <t>22542000186</t>
  </si>
  <si>
    <t>д Бабасово</t>
  </si>
  <si>
    <t>22542000191</t>
  </si>
  <si>
    <t>д Большое Окское</t>
  </si>
  <si>
    <t>22542000196</t>
  </si>
  <si>
    <t>22542000201</t>
  </si>
  <si>
    <t>д Козловка</t>
  </si>
  <si>
    <t>22542000206</t>
  </si>
  <si>
    <t>д Малое Окское</t>
  </si>
  <si>
    <t>22542000211</t>
  </si>
  <si>
    <t>д Новое Щербинино</t>
  </si>
  <si>
    <t>22542000216</t>
  </si>
  <si>
    <t>д Самойловка</t>
  </si>
  <si>
    <t>22542000221</t>
  </si>
  <si>
    <t>д Санницы</t>
  </si>
  <si>
    <t>22542000226</t>
  </si>
  <si>
    <t>д Старое Щербинино</t>
  </si>
  <si>
    <t>22542000231</t>
  </si>
  <si>
    <t>д Степаньково</t>
  </si>
  <si>
    <t>22542000236</t>
  </si>
  <si>
    <t>д Шульгино</t>
  </si>
  <si>
    <t>22542000241</t>
  </si>
  <si>
    <t>д Щелково</t>
  </si>
  <si>
    <t>22542000246</t>
  </si>
  <si>
    <t>д Щепачиха</t>
  </si>
  <si>
    <t>22542000251</t>
  </si>
  <si>
    <t>с Абабково</t>
  </si>
  <si>
    <t>22542000256</t>
  </si>
  <si>
    <t>д Гомзово</t>
  </si>
  <si>
    <t>22542000261</t>
  </si>
  <si>
    <t>д Жестелево</t>
  </si>
  <si>
    <t>22542000266</t>
  </si>
  <si>
    <t>д Захарово</t>
  </si>
  <si>
    <t>22542000271</t>
  </si>
  <si>
    <t>д Касаново</t>
  </si>
  <si>
    <t>22542000276</t>
  </si>
  <si>
    <t>д Комарово</t>
  </si>
  <si>
    <t>22542000281</t>
  </si>
  <si>
    <t>д Малая Тарка</t>
  </si>
  <si>
    <t>22542000286</t>
  </si>
  <si>
    <t>д Медвежье</t>
  </si>
  <si>
    <t>22542000291</t>
  </si>
  <si>
    <t>п Молодежный</t>
  </si>
  <si>
    <t>22542000296</t>
  </si>
  <si>
    <t>д Аксентьево</t>
  </si>
  <si>
    <t>22542000301</t>
  </si>
  <si>
    <t>д Бандино</t>
  </si>
  <si>
    <t>22542000306</t>
  </si>
  <si>
    <t>д Большое Иголкино</t>
  </si>
  <si>
    <t>22542000311</t>
  </si>
  <si>
    <t>д Бужерово</t>
  </si>
  <si>
    <t>22542000316</t>
  </si>
  <si>
    <t>д Вакулово</t>
  </si>
  <si>
    <t>22542000321</t>
  </si>
  <si>
    <t>с Вареж</t>
  </si>
  <si>
    <t>22542000326</t>
  </si>
  <si>
    <t>д Выборково</t>
  </si>
  <si>
    <t>22542000331</t>
  </si>
  <si>
    <t>д Горбаново</t>
  </si>
  <si>
    <t>22542000336</t>
  </si>
  <si>
    <t>22542000341</t>
  </si>
  <si>
    <t>д Кряжи</t>
  </si>
  <si>
    <t>22542000346</t>
  </si>
  <si>
    <t>д Липовицы</t>
  </si>
  <si>
    <t>22542000351</t>
  </si>
  <si>
    <t>д Лохани</t>
  </si>
  <si>
    <t>22542000356</t>
  </si>
  <si>
    <t>д Максаково</t>
  </si>
  <si>
    <t>22542000361</t>
  </si>
  <si>
    <t>с Малое Иголкино</t>
  </si>
  <si>
    <t>22542000366</t>
  </si>
  <si>
    <t>д Михалицы</t>
  </si>
  <si>
    <t>22542000371</t>
  </si>
  <si>
    <t>д Мошково</t>
  </si>
  <si>
    <t>22542000376</t>
  </si>
  <si>
    <t>22542000381</t>
  </si>
  <si>
    <t>д Пурка</t>
  </si>
  <si>
    <t>22542000386</t>
  </si>
  <si>
    <t>д Чирьево</t>
  </si>
  <si>
    <t>22542000391</t>
  </si>
  <si>
    <t>д Чирятьево</t>
  </si>
  <si>
    <t>22542000396</t>
  </si>
  <si>
    <t>д Шамшилово</t>
  </si>
  <si>
    <t>22542000401</t>
  </si>
  <si>
    <t>д Юрьевец</t>
  </si>
  <si>
    <t>22542000406</t>
  </si>
  <si>
    <t>с Грудцино</t>
  </si>
  <si>
    <t>22542000411</t>
  </si>
  <si>
    <t>д Долотково</t>
  </si>
  <si>
    <t>22542000416</t>
  </si>
  <si>
    <t>д Дуброво</t>
  </si>
  <si>
    <t>22542000421</t>
  </si>
  <si>
    <t>д Кишкино</t>
  </si>
  <si>
    <t>22542000426</t>
  </si>
  <si>
    <t>с Фроловское</t>
  </si>
  <si>
    <t>22542000431</t>
  </si>
  <si>
    <t>д Чудиново</t>
  </si>
  <si>
    <t>22542000436</t>
  </si>
  <si>
    <t>с Большое Давыдово</t>
  </si>
  <si>
    <t>22542000441</t>
  </si>
  <si>
    <t>с Большое Мартово</t>
  </si>
  <si>
    <t>22542000446</t>
  </si>
  <si>
    <t>д Булатниково</t>
  </si>
  <si>
    <t>22542000451</t>
  </si>
  <si>
    <t>с Детково</t>
  </si>
  <si>
    <t>22542000456</t>
  </si>
  <si>
    <t>д Лаптево</t>
  </si>
  <si>
    <t>22542000461</t>
  </si>
  <si>
    <t>д Малое Мартово</t>
  </si>
  <si>
    <t>22542000466</t>
  </si>
  <si>
    <t>д Мордовское</t>
  </si>
  <si>
    <t>22542000471</t>
  </si>
  <si>
    <t>д Чернеево</t>
  </si>
  <si>
    <t>22542000476</t>
  </si>
  <si>
    <t>22542000481</t>
  </si>
  <si>
    <t>с Ярымово</t>
  </si>
  <si>
    <t>22542000486</t>
  </si>
  <si>
    <t>д Ворвань</t>
  </si>
  <si>
    <t>22542000491</t>
  </si>
  <si>
    <t>д Кишемское</t>
  </si>
  <si>
    <t>22542000496</t>
  </si>
  <si>
    <t>22542000501</t>
  </si>
  <si>
    <t>д Рыбино</t>
  </si>
  <si>
    <t>22542000506</t>
  </si>
  <si>
    <t>д Ясенцы</t>
  </si>
  <si>
    <t>22542000511</t>
  </si>
  <si>
    <t>22542000516</t>
  </si>
  <si>
    <t>д Амачкино</t>
  </si>
  <si>
    <t>22542000521</t>
  </si>
  <si>
    <t>д Долгово</t>
  </si>
  <si>
    <t>22542000526</t>
  </si>
  <si>
    <t>д Завалищи</t>
  </si>
  <si>
    <t>22542000531</t>
  </si>
  <si>
    <t>д Заплатино</t>
  </si>
  <si>
    <t>22542000536</t>
  </si>
  <si>
    <t>д Крюки</t>
  </si>
  <si>
    <t>22542000541</t>
  </si>
  <si>
    <t>22542000546</t>
  </si>
  <si>
    <t>д Молявино</t>
  </si>
  <si>
    <t>22542000551</t>
  </si>
  <si>
    <t>с Таремское</t>
  </si>
  <si>
    <t>22542000556</t>
  </si>
  <si>
    <t>д Шепелево</t>
  </si>
  <si>
    <t>22545000051</t>
  </si>
  <si>
    <t>рп Пильна</t>
  </si>
  <si>
    <t>22545000106</t>
  </si>
  <si>
    <t>п Ваньково</t>
  </si>
  <si>
    <t>22545000111</t>
  </si>
  <si>
    <t>п Алексеевка</t>
  </si>
  <si>
    <t>22545000116</t>
  </si>
  <si>
    <t>п рзд Андосово</t>
  </si>
  <si>
    <t>22545000121</t>
  </si>
  <si>
    <t>д Ащериха</t>
  </si>
  <si>
    <t>22545000126</t>
  </si>
  <si>
    <t>с Большое Андосово</t>
  </si>
  <si>
    <t>22545000131</t>
  </si>
  <si>
    <t>п Буденовка</t>
  </si>
  <si>
    <t>22545000136</t>
  </si>
  <si>
    <t>22545000141</t>
  </si>
  <si>
    <t>22545000146</t>
  </si>
  <si>
    <t>д Заря</t>
  </si>
  <si>
    <t>22545000151</t>
  </si>
  <si>
    <t>с Малое Андосово</t>
  </si>
  <si>
    <t>22545000156</t>
  </si>
  <si>
    <t>с Ожгибовка</t>
  </si>
  <si>
    <t>22545000161</t>
  </si>
  <si>
    <t>с Соколиха</t>
  </si>
  <si>
    <t>22545000166</t>
  </si>
  <si>
    <t>с Старинское</t>
  </si>
  <si>
    <t>22545000171</t>
  </si>
  <si>
    <t>с Столбищи</t>
  </si>
  <si>
    <t>22545000176</t>
  </si>
  <si>
    <t>д Ясная Поляна</t>
  </si>
  <si>
    <t>22545000181</t>
  </si>
  <si>
    <t>с Бортсурманы</t>
  </si>
  <si>
    <t>22545000186</t>
  </si>
  <si>
    <t>22545000191</t>
  </si>
  <si>
    <t>д Рословка</t>
  </si>
  <si>
    <t>22545000196</t>
  </si>
  <si>
    <t>22545000201</t>
  </si>
  <si>
    <t>д Ялма</t>
  </si>
  <si>
    <t>22545000206</t>
  </si>
  <si>
    <t>с Алисаново</t>
  </si>
  <si>
    <t>22545000211</t>
  </si>
  <si>
    <t>22545000216</t>
  </si>
  <si>
    <t>д Беловка</t>
  </si>
  <si>
    <t>22545000221</t>
  </si>
  <si>
    <t>с Болобоново</t>
  </si>
  <si>
    <t>22545000226</t>
  </si>
  <si>
    <t>д Большая Александровка</t>
  </si>
  <si>
    <t>22545000231</t>
  </si>
  <si>
    <t>д Борщиково</t>
  </si>
  <si>
    <t>22545000236</t>
  </si>
  <si>
    <t>с Деяново</t>
  </si>
  <si>
    <t>22545000241</t>
  </si>
  <si>
    <t>д Левашовка</t>
  </si>
  <si>
    <t>22545000246</t>
  </si>
  <si>
    <t>с Мальцево</t>
  </si>
  <si>
    <t>22545000251</t>
  </si>
  <si>
    <t>д Озеровка</t>
  </si>
  <si>
    <t>22545000256</t>
  </si>
  <si>
    <t>д Плетниха</t>
  </si>
  <si>
    <t>22545000261</t>
  </si>
  <si>
    <t>д Романовка</t>
  </si>
  <si>
    <t>22545000266</t>
  </si>
  <si>
    <t>д Тимофеевка</t>
  </si>
  <si>
    <t>22545000271</t>
  </si>
  <si>
    <t>д Ульяновка</t>
  </si>
  <si>
    <t>22545000276</t>
  </si>
  <si>
    <t>с Красная Горка</t>
  </si>
  <si>
    <t>22545000281</t>
  </si>
  <si>
    <t>22545000286</t>
  </si>
  <si>
    <t>с Курмыш</t>
  </si>
  <si>
    <t>22545000291</t>
  </si>
  <si>
    <t>п Новое Жилище</t>
  </si>
  <si>
    <t>22545000296</t>
  </si>
  <si>
    <t>с Бакшандино</t>
  </si>
  <si>
    <t>22545000301</t>
  </si>
  <si>
    <t>22545000306</t>
  </si>
  <si>
    <t>22545000311</t>
  </si>
  <si>
    <t>22545000316</t>
  </si>
  <si>
    <t>д Новоникольское</t>
  </si>
  <si>
    <t>22545000321</t>
  </si>
  <si>
    <t>22545000326</t>
  </si>
  <si>
    <t>с Арьевка</t>
  </si>
  <si>
    <t>22545000331</t>
  </si>
  <si>
    <t>д Добровольевка</t>
  </si>
  <si>
    <t>22545000336</t>
  </si>
  <si>
    <t>с Лисья Поляна</t>
  </si>
  <si>
    <t>22545000341</t>
  </si>
  <si>
    <t>д Межное-Майдан</t>
  </si>
  <si>
    <t>22545000346</t>
  </si>
  <si>
    <t>с Можаров Майдан</t>
  </si>
  <si>
    <t>22545000351</t>
  </si>
  <si>
    <t>д Рыхловка</t>
  </si>
  <si>
    <t>22545000356</t>
  </si>
  <si>
    <t>д Саранка</t>
  </si>
  <si>
    <t>22545000361</t>
  </si>
  <si>
    <t>д Шахово</t>
  </si>
  <si>
    <t>22545000366</t>
  </si>
  <si>
    <t>с Куликовка</t>
  </si>
  <si>
    <t>22545000371</t>
  </si>
  <si>
    <t>с Новомочалеи</t>
  </si>
  <si>
    <t>22545000376</t>
  </si>
  <si>
    <t>с Старомочалеи</t>
  </si>
  <si>
    <t>22545000381</t>
  </si>
  <si>
    <t>с Калиновка</t>
  </si>
  <si>
    <t>22545000386</t>
  </si>
  <si>
    <t>с Петряксы</t>
  </si>
  <si>
    <t>22545000391</t>
  </si>
  <si>
    <t>д Архангеловка</t>
  </si>
  <si>
    <t>22545000396</t>
  </si>
  <si>
    <t>с Балеевка</t>
  </si>
  <si>
    <t>22545000401</t>
  </si>
  <si>
    <t>д Борнуково</t>
  </si>
  <si>
    <t>22545000406</t>
  </si>
  <si>
    <t>22545000411</t>
  </si>
  <si>
    <t>с Кисленка</t>
  </si>
  <si>
    <t>22545000416</t>
  </si>
  <si>
    <t>с Княжиха</t>
  </si>
  <si>
    <t>22545000421</t>
  </si>
  <si>
    <t>с Мамешево</t>
  </si>
  <si>
    <t>22545000426</t>
  </si>
  <si>
    <t>с Тенекаево</t>
  </si>
  <si>
    <t>22545000431</t>
  </si>
  <si>
    <t>с Юморга</t>
  </si>
  <si>
    <t>22545000436</t>
  </si>
  <si>
    <t>с Барятино</t>
  </si>
  <si>
    <t>22545000441</t>
  </si>
  <si>
    <t>д Карачары</t>
  </si>
  <si>
    <t>22545000446</t>
  </si>
  <si>
    <t>д Лекаревка</t>
  </si>
  <si>
    <t>22545000451</t>
  </si>
  <si>
    <t>с Наваты</t>
  </si>
  <si>
    <t>22545000456</t>
  </si>
  <si>
    <t>с Озерки</t>
  </si>
  <si>
    <t>22545000461</t>
  </si>
  <si>
    <t>с Языково</t>
  </si>
  <si>
    <t>22546000101</t>
  </si>
  <si>
    <t>с Починки</t>
  </si>
  <si>
    <t>22546000106</t>
  </si>
  <si>
    <t>п Арзинка</t>
  </si>
  <si>
    <t>22546000111</t>
  </si>
  <si>
    <t>п Борисовский</t>
  </si>
  <si>
    <t>22546000116</t>
  </si>
  <si>
    <t>с Василев Майдан</t>
  </si>
  <si>
    <t>22546000121</t>
  </si>
  <si>
    <t>п Емельяновский</t>
  </si>
  <si>
    <t>22546000126</t>
  </si>
  <si>
    <t>п Лобан</t>
  </si>
  <si>
    <t>22546000131</t>
  </si>
  <si>
    <t>п Широковский</t>
  </si>
  <si>
    <t>22546000136</t>
  </si>
  <si>
    <t>с Василевка</t>
  </si>
  <si>
    <t>22546000141</t>
  </si>
  <si>
    <t>с Никитино</t>
  </si>
  <si>
    <t>22546000146</t>
  </si>
  <si>
    <t>с Шагаево</t>
  </si>
  <si>
    <t>22546000151</t>
  </si>
  <si>
    <t>с Шишадеево</t>
  </si>
  <si>
    <t>22546000156</t>
  </si>
  <si>
    <t>с Кочкурово</t>
  </si>
  <si>
    <t>22546000161</t>
  </si>
  <si>
    <t>п Новониколаевский</t>
  </si>
  <si>
    <t>22546000166</t>
  </si>
  <si>
    <t>с Пеля-Казенная</t>
  </si>
  <si>
    <t>22546000171</t>
  </si>
  <si>
    <t>с Саитовка</t>
  </si>
  <si>
    <t>22546000176</t>
  </si>
  <si>
    <t>с Дивеев Усад</t>
  </si>
  <si>
    <t>22546000181</t>
  </si>
  <si>
    <t>22546000186</t>
  </si>
  <si>
    <t>д Наталинка</t>
  </si>
  <si>
    <t>22546000191</t>
  </si>
  <si>
    <t>д Рудня</t>
  </si>
  <si>
    <t>22546000196</t>
  </si>
  <si>
    <t>п Старина</t>
  </si>
  <si>
    <t>22546000201</t>
  </si>
  <si>
    <t>п Ясная Поляна</t>
  </si>
  <si>
    <t>22546000206</t>
  </si>
  <si>
    <t>с Азрапино</t>
  </si>
  <si>
    <t>22546000211</t>
  </si>
  <si>
    <t>22546000216</t>
  </si>
  <si>
    <t>д Виноградовка</t>
  </si>
  <si>
    <t>22546000221</t>
  </si>
  <si>
    <t>д Воздвиженка</t>
  </si>
  <si>
    <t>22546000226</t>
  </si>
  <si>
    <t>п Кобыленка</t>
  </si>
  <si>
    <t>22546000231</t>
  </si>
  <si>
    <t>п Коммунар</t>
  </si>
  <si>
    <t>22546000236</t>
  </si>
  <si>
    <t>с Константиновка</t>
  </si>
  <si>
    <t>22546000241</t>
  </si>
  <si>
    <t>22546000246</t>
  </si>
  <si>
    <t>с Наруксово</t>
  </si>
  <si>
    <t>22546000251</t>
  </si>
  <si>
    <t>22546000256</t>
  </si>
  <si>
    <t>с Новониколаевка</t>
  </si>
  <si>
    <t>22546000261</t>
  </si>
  <si>
    <t>д Новотроицкое</t>
  </si>
  <si>
    <t>22546000266</t>
  </si>
  <si>
    <t>22546000271</t>
  </si>
  <si>
    <t>д Садовка</t>
  </si>
  <si>
    <t>22546000276</t>
  </si>
  <si>
    <t>с Учуево-Майдан</t>
  </si>
  <si>
    <t>22546000281</t>
  </si>
  <si>
    <t>с Акаево</t>
  </si>
  <si>
    <t>22546000286</t>
  </si>
  <si>
    <t>д Анютино</t>
  </si>
  <si>
    <t>22546000291</t>
  </si>
  <si>
    <t>д Взовка</t>
  </si>
  <si>
    <t>22546000296</t>
  </si>
  <si>
    <t>с Вьюшкино</t>
  </si>
  <si>
    <t>22546000301</t>
  </si>
  <si>
    <t>с Журавлиха</t>
  </si>
  <si>
    <t>22546000306</t>
  </si>
  <si>
    <t>с Ивашевка</t>
  </si>
  <si>
    <t>22546000311</t>
  </si>
  <si>
    <t>22546000316</t>
  </si>
  <si>
    <t>с Любимово</t>
  </si>
  <si>
    <t>22546000321</t>
  </si>
  <si>
    <t>п Новоалексеевский</t>
  </si>
  <si>
    <t>22546000326</t>
  </si>
  <si>
    <t>с Панкратово</t>
  </si>
  <si>
    <t>22546000331</t>
  </si>
  <si>
    <t>с Пеля-Хованская</t>
  </si>
  <si>
    <t>22546000336</t>
  </si>
  <si>
    <t>с Симбухово</t>
  </si>
  <si>
    <t>22546000341</t>
  </si>
  <si>
    <t>п Ягодный</t>
  </si>
  <si>
    <t>22546000346</t>
  </si>
  <si>
    <t>с Дуброво</t>
  </si>
  <si>
    <t>22546000351</t>
  </si>
  <si>
    <t>д Зеленая Роща</t>
  </si>
  <si>
    <t>22546000356</t>
  </si>
  <si>
    <t>д Кармалей</t>
  </si>
  <si>
    <t>22546000361</t>
  </si>
  <si>
    <t>с Новоспасское</t>
  </si>
  <si>
    <t>22546000366</t>
  </si>
  <si>
    <t>п Осинки</t>
  </si>
  <si>
    <t>22546000371</t>
  </si>
  <si>
    <t>п Пенькозавода</t>
  </si>
  <si>
    <t>22546000376</t>
  </si>
  <si>
    <t>с Тагаево</t>
  </si>
  <si>
    <t>22546000381</t>
  </si>
  <si>
    <t>п Каменка</t>
  </si>
  <si>
    <t>22546000386</t>
  </si>
  <si>
    <t>п Круглый</t>
  </si>
  <si>
    <t>22546000391</t>
  </si>
  <si>
    <t>п Ленгуши</t>
  </si>
  <si>
    <t>22546000396</t>
  </si>
  <si>
    <t>с Мадаево</t>
  </si>
  <si>
    <t>22546000401</t>
  </si>
  <si>
    <t>с Малая Пуза</t>
  </si>
  <si>
    <t>22546000406</t>
  </si>
  <si>
    <t>п Масалки</t>
  </si>
  <si>
    <t>22546000411</t>
  </si>
  <si>
    <t>с Новая Березовка</t>
  </si>
  <si>
    <t>22546000416</t>
  </si>
  <si>
    <t>с Новое Урюпино</t>
  </si>
  <si>
    <t>22546000421</t>
  </si>
  <si>
    <t>с Пахотный Усад</t>
  </si>
  <si>
    <t>22546000426</t>
  </si>
  <si>
    <t>с Пузская Слобода</t>
  </si>
  <si>
    <t>22546000431</t>
  </si>
  <si>
    <t>с Ризоватово</t>
  </si>
  <si>
    <t>22546000436</t>
  </si>
  <si>
    <t>с Роганиха</t>
  </si>
  <si>
    <t>22546000441</t>
  </si>
  <si>
    <t>с Суворовка</t>
  </si>
  <si>
    <t>22546000446</t>
  </si>
  <si>
    <t>с Сырятино</t>
  </si>
  <si>
    <t>22546000451</t>
  </si>
  <si>
    <t>с Байково</t>
  </si>
  <si>
    <t>22546000456</t>
  </si>
  <si>
    <t>п Журавлиха</t>
  </si>
  <si>
    <t>22546000461</t>
  </si>
  <si>
    <t>22546000466</t>
  </si>
  <si>
    <t>п Муравей</t>
  </si>
  <si>
    <t>22546000471</t>
  </si>
  <si>
    <t>п Осиновка</t>
  </si>
  <si>
    <t>22546000476</t>
  </si>
  <si>
    <t>п Сырятинский</t>
  </si>
  <si>
    <t>22546000481</t>
  </si>
  <si>
    <t>п Ужовка</t>
  </si>
  <si>
    <t>22546000486</t>
  </si>
  <si>
    <t>с Ужово</t>
  </si>
  <si>
    <t>22548000001</t>
  </si>
  <si>
    <t>г Сергач</t>
  </si>
  <si>
    <t>22548000106</t>
  </si>
  <si>
    <t>22548000111</t>
  </si>
  <si>
    <t>п рзд Тарталей</t>
  </si>
  <si>
    <t>22548000116</t>
  </si>
  <si>
    <t>22548000121</t>
  </si>
  <si>
    <t>с Андреевка</t>
  </si>
  <si>
    <t>22548000126</t>
  </si>
  <si>
    <t>с Борисовка</t>
  </si>
  <si>
    <t>22548000131</t>
  </si>
  <si>
    <t>д Братцевка</t>
  </si>
  <si>
    <t>22548000136</t>
  </si>
  <si>
    <t>22548000141</t>
  </si>
  <si>
    <t>с Воскресенское</t>
  </si>
  <si>
    <t>22548000146</t>
  </si>
  <si>
    <t>д Всесвятское</t>
  </si>
  <si>
    <t>22548000151</t>
  </si>
  <si>
    <t>д Вьюн</t>
  </si>
  <si>
    <t>22548000156</t>
  </si>
  <si>
    <t>с Качалово</t>
  </si>
  <si>
    <t>22548000161</t>
  </si>
  <si>
    <t>с Лещеевка</t>
  </si>
  <si>
    <t>22548000166</t>
  </si>
  <si>
    <t>с Мигино</t>
  </si>
  <si>
    <t>22548000171</t>
  </si>
  <si>
    <t>22548000176</t>
  </si>
  <si>
    <t>д Покров-Полянка</t>
  </si>
  <si>
    <t>22548000181</t>
  </si>
  <si>
    <t>д Свириповка</t>
  </si>
  <si>
    <t>22548000186</t>
  </si>
  <si>
    <t>д Севастьяновка</t>
  </si>
  <si>
    <t>22548000191</t>
  </si>
  <si>
    <t>с Сосновка</t>
  </si>
  <si>
    <t>22548000196</t>
  </si>
  <si>
    <t>22548000201</t>
  </si>
  <si>
    <t>д Усовка</t>
  </si>
  <si>
    <t>22548000206</t>
  </si>
  <si>
    <t>с Шеменеевка</t>
  </si>
  <si>
    <t>22548000211</t>
  </si>
  <si>
    <t>с Акузово</t>
  </si>
  <si>
    <t>22548000216</t>
  </si>
  <si>
    <t>с Ачка</t>
  </si>
  <si>
    <t>22548000221</t>
  </si>
  <si>
    <t>д Воргониха</t>
  </si>
  <si>
    <t>22548000226</t>
  </si>
  <si>
    <t>22548000231</t>
  </si>
  <si>
    <t>22548000236</t>
  </si>
  <si>
    <t>д Крутовражка</t>
  </si>
  <si>
    <t>22548000241</t>
  </si>
  <si>
    <t>д Палатка</t>
  </si>
  <si>
    <t>22548000246</t>
  </si>
  <si>
    <t>д Поварня</t>
  </si>
  <si>
    <t>22548000251</t>
  </si>
  <si>
    <t>22548000256</t>
  </si>
  <si>
    <t>с Анда</t>
  </si>
  <si>
    <t>22548000261</t>
  </si>
  <si>
    <t>с Березня</t>
  </si>
  <si>
    <t>22548000266</t>
  </si>
  <si>
    <t>22548000271</t>
  </si>
  <si>
    <t>с Кузьминка</t>
  </si>
  <si>
    <t>22548000276</t>
  </si>
  <si>
    <t>с Грибаново</t>
  </si>
  <si>
    <t>22548000281</t>
  </si>
  <si>
    <t>с Игнатово</t>
  </si>
  <si>
    <t>22548000286</t>
  </si>
  <si>
    <t>с Камкино</t>
  </si>
  <si>
    <t>22548000291</t>
  </si>
  <si>
    <t>с Луговое</t>
  </si>
  <si>
    <t>22548000296</t>
  </si>
  <si>
    <t>д Погорелов Майдан</t>
  </si>
  <si>
    <t>22548000301</t>
  </si>
  <si>
    <t>с Кочко-Пожарки</t>
  </si>
  <si>
    <t>22548000306</t>
  </si>
  <si>
    <t>с Абаимово</t>
  </si>
  <si>
    <t>22548000311</t>
  </si>
  <si>
    <t>д Анучино</t>
  </si>
  <si>
    <t>22548000316</t>
  </si>
  <si>
    <t>с Еропкино</t>
  </si>
  <si>
    <t>22548000321</t>
  </si>
  <si>
    <t>с Кошкарово</t>
  </si>
  <si>
    <t>22548000326</t>
  </si>
  <si>
    <t>22548000331</t>
  </si>
  <si>
    <t>д Мамешево</t>
  </si>
  <si>
    <t>22548000336</t>
  </si>
  <si>
    <t>д Павловка</t>
  </si>
  <si>
    <t>22548000341</t>
  </si>
  <si>
    <t>с Пица</t>
  </si>
  <si>
    <t>22548000346</t>
  </si>
  <si>
    <t>22548000351</t>
  </si>
  <si>
    <t>с Яново</t>
  </si>
  <si>
    <t>22548000356</t>
  </si>
  <si>
    <t>с Пожарки</t>
  </si>
  <si>
    <t>22548000361</t>
  </si>
  <si>
    <t>22548000366</t>
  </si>
  <si>
    <t>22548000371</t>
  </si>
  <si>
    <t>с Старая Березовка</t>
  </si>
  <si>
    <t>22548000376</t>
  </si>
  <si>
    <t>д Быковка</t>
  </si>
  <si>
    <t>22548000381</t>
  </si>
  <si>
    <t>д Коровинка</t>
  </si>
  <si>
    <t>22548000386</t>
  </si>
  <si>
    <t>22548000391</t>
  </si>
  <si>
    <t>д Красная Пустынь</t>
  </si>
  <si>
    <t>22548000396</t>
  </si>
  <si>
    <t>22548000401</t>
  </si>
  <si>
    <t>д Малое Ключево</t>
  </si>
  <si>
    <t>22548000406</t>
  </si>
  <si>
    <t>с Мокрый Майдан</t>
  </si>
  <si>
    <t>22548000411</t>
  </si>
  <si>
    <t>д Рогановка</t>
  </si>
  <si>
    <t>22548000416</t>
  </si>
  <si>
    <t>с Толба</t>
  </si>
  <si>
    <t>22548000421</t>
  </si>
  <si>
    <t>с Шубино</t>
  </si>
  <si>
    <t>22549000101</t>
  </si>
  <si>
    <t>с Сеченово</t>
  </si>
  <si>
    <t>22549000106</t>
  </si>
  <si>
    <t>22549000111</t>
  </si>
  <si>
    <t>с Алферьево</t>
  </si>
  <si>
    <t>22549000116</t>
  </si>
  <si>
    <t>д Баженовка</t>
  </si>
  <si>
    <t>22549000121</t>
  </si>
  <si>
    <t>с Бахаревка</t>
  </si>
  <si>
    <t>22549000126</t>
  </si>
  <si>
    <t>д Бахметьевка</t>
  </si>
  <si>
    <t>22549000131</t>
  </si>
  <si>
    <t>д Бегичево</t>
  </si>
  <si>
    <t>22549000136</t>
  </si>
  <si>
    <t>с Богатиловка</t>
  </si>
  <si>
    <t>22549000141</t>
  </si>
  <si>
    <t>с Болтинка</t>
  </si>
  <si>
    <t>22549000146</t>
  </si>
  <si>
    <t>с Болховское</t>
  </si>
  <si>
    <t>22549000151</t>
  </si>
  <si>
    <t>22549000156</t>
  </si>
  <si>
    <t>22549000161</t>
  </si>
  <si>
    <t>с Васильевка</t>
  </si>
  <si>
    <t>22549000166</t>
  </si>
  <si>
    <t>с Верхнее Талызино</t>
  </si>
  <si>
    <t>22549000171</t>
  </si>
  <si>
    <t>22549000176</t>
  </si>
  <si>
    <t>д Завидовка</t>
  </si>
  <si>
    <t>22549000181</t>
  </si>
  <si>
    <t>22549000186</t>
  </si>
  <si>
    <t>с Ильинка</t>
  </si>
  <si>
    <t>22549000191</t>
  </si>
  <si>
    <t>д Кикинка</t>
  </si>
  <si>
    <t>22549000196</t>
  </si>
  <si>
    <t>д Княжуха</t>
  </si>
  <si>
    <t>22549000201</t>
  </si>
  <si>
    <t>с Кочетовка</t>
  </si>
  <si>
    <t>22549000206</t>
  </si>
  <si>
    <t>с Красное</t>
  </si>
  <si>
    <t>22549000211</t>
  </si>
  <si>
    <t>с Красный Остров</t>
  </si>
  <si>
    <t>22549000216</t>
  </si>
  <si>
    <t>22549000221</t>
  </si>
  <si>
    <t>с Левашовка</t>
  </si>
  <si>
    <t>22549000226</t>
  </si>
  <si>
    <t>22549000231</t>
  </si>
  <si>
    <t>д Малинов Куст</t>
  </si>
  <si>
    <t>22549000236</t>
  </si>
  <si>
    <t>с Мамлейка</t>
  </si>
  <si>
    <t>22549000241</t>
  </si>
  <si>
    <t>с Митин Враг</t>
  </si>
  <si>
    <t>22549000246</t>
  </si>
  <si>
    <t>с Митрополье</t>
  </si>
  <si>
    <t>22549000251</t>
  </si>
  <si>
    <t>22549000256</t>
  </si>
  <si>
    <t>д Моревка</t>
  </si>
  <si>
    <t>22549000261</t>
  </si>
  <si>
    <t>с Мурзицы</t>
  </si>
  <si>
    <t>22549000266</t>
  </si>
  <si>
    <t>с Мяндровка</t>
  </si>
  <si>
    <t>22549000271</t>
  </si>
  <si>
    <t>22549000276</t>
  </si>
  <si>
    <t>22549000281</t>
  </si>
  <si>
    <t>д Обуховка</t>
  </si>
  <si>
    <t>22549000286</t>
  </si>
  <si>
    <t>д Ратманово</t>
  </si>
  <si>
    <t>22549000291</t>
  </si>
  <si>
    <t>с Ратово</t>
  </si>
  <si>
    <t>22549000296</t>
  </si>
  <si>
    <t>с Рогожка</t>
  </si>
  <si>
    <t>22549000301</t>
  </si>
  <si>
    <t>д Ручьи</t>
  </si>
  <si>
    <t>22549000306</t>
  </si>
  <si>
    <t>с Сарбаево</t>
  </si>
  <si>
    <t>22549000311</t>
  </si>
  <si>
    <t>д Синяковка</t>
  </si>
  <si>
    <t>22549000316</t>
  </si>
  <si>
    <t>с Скрипино</t>
  </si>
  <si>
    <t>22549000321</t>
  </si>
  <si>
    <t>д Старая Назаровка</t>
  </si>
  <si>
    <t>22549000326</t>
  </si>
  <si>
    <t>22549000331</t>
  </si>
  <si>
    <t>п Талызинского свх</t>
  </si>
  <si>
    <t>22549000336</t>
  </si>
  <si>
    <t>п Теплостанского свх</t>
  </si>
  <si>
    <t>22549000341</t>
  </si>
  <si>
    <t>с Торговое Талызино</t>
  </si>
  <si>
    <t>22549000346</t>
  </si>
  <si>
    <t>с Чадаевка</t>
  </si>
  <si>
    <t>22549000351</t>
  </si>
  <si>
    <t>с Шемарино</t>
  </si>
  <si>
    <t>22549000356</t>
  </si>
  <si>
    <t>д Шуваловка</t>
  </si>
  <si>
    <t>22549000361</t>
  </si>
  <si>
    <t>с Ясное</t>
  </si>
  <si>
    <t>22550000051</t>
  </si>
  <si>
    <t>рп Сосновское</t>
  </si>
  <si>
    <t>22550000106</t>
  </si>
  <si>
    <t>д Батманово</t>
  </si>
  <si>
    <t>22550000111</t>
  </si>
  <si>
    <t>с Виткулово</t>
  </si>
  <si>
    <t>22550000116</t>
  </si>
  <si>
    <t>22550000121</t>
  </si>
  <si>
    <t>с Глядково</t>
  </si>
  <si>
    <t>22550000126</t>
  </si>
  <si>
    <t>д Лачиново</t>
  </si>
  <si>
    <t>22550000131</t>
  </si>
  <si>
    <t>д Макасово</t>
  </si>
  <si>
    <t>22550000136</t>
  </si>
  <si>
    <t>22550000141</t>
  </si>
  <si>
    <t>д Сергейцево</t>
  </si>
  <si>
    <t>22550000146</t>
  </si>
  <si>
    <t>с Созоново</t>
  </si>
  <si>
    <t>22550000151</t>
  </si>
  <si>
    <t>с Сурулово</t>
  </si>
  <si>
    <t>22550000156</t>
  </si>
  <si>
    <t>с Давыдково</t>
  </si>
  <si>
    <t>22550000161</t>
  </si>
  <si>
    <t>22550000166</t>
  </si>
  <si>
    <t>д Никулино</t>
  </si>
  <si>
    <t>22550000171</t>
  </si>
  <si>
    <t>22550000176</t>
  </si>
  <si>
    <t>д Большие Гривы</t>
  </si>
  <si>
    <t>22550000181</t>
  </si>
  <si>
    <t>с Елизарово</t>
  </si>
  <si>
    <t>22550000186</t>
  </si>
  <si>
    <t>22550000191</t>
  </si>
  <si>
    <t>д Кайдалово</t>
  </si>
  <si>
    <t>22550000196</t>
  </si>
  <si>
    <t>22550000201</t>
  </si>
  <si>
    <t>д Клещариха</t>
  </si>
  <si>
    <t>22550000206</t>
  </si>
  <si>
    <t>22550000211</t>
  </si>
  <si>
    <t>д Малые Гривы</t>
  </si>
  <si>
    <t>22550000216</t>
  </si>
  <si>
    <t>с Настино</t>
  </si>
  <si>
    <t>22550000221</t>
  </si>
  <si>
    <t>22550000226</t>
  </si>
  <si>
    <t>22550000231</t>
  </si>
  <si>
    <t>д Боловино</t>
  </si>
  <si>
    <t>22550000236</t>
  </si>
  <si>
    <t>с Крутые</t>
  </si>
  <si>
    <t>22550000241</t>
  </si>
  <si>
    <t>д Леухово</t>
  </si>
  <si>
    <t>22550000246</t>
  </si>
  <si>
    <t>д Масленка</t>
  </si>
  <si>
    <t>22550000251</t>
  </si>
  <si>
    <t>с Матюшево</t>
  </si>
  <si>
    <t>22550000256</t>
  </si>
  <si>
    <t>д Рыльково</t>
  </si>
  <si>
    <t>22550000261</t>
  </si>
  <si>
    <t>д Сиуха</t>
  </si>
  <si>
    <t>22550000266</t>
  </si>
  <si>
    <t>д Стечкино</t>
  </si>
  <si>
    <t>22550000271</t>
  </si>
  <si>
    <t>д Шишово</t>
  </si>
  <si>
    <t>22550000276</t>
  </si>
  <si>
    <t>д Каргашино</t>
  </si>
  <si>
    <t>22550000281</t>
  </si>
  <si>
    <t>22550000286</t>
  </si>
  <si>
    <t>д Меледино</t>
  </si>
  <si>
    <t>22550000291</t>
  </si>
  <si>
    <t>22550000296</t>
  </si>
  <si>
    <t>с Панино</t>
  </si>
  <si>
    <t>22550000301</t>
  </si>
  <si>
    <t>д Рагозино</t>
  </si>
  <si>
    <t>22550000306</t>
  </si>
  <si>
    <t>д Филюково</t>
  </si>
  <si>
    <t>22550000311</t>
  </si>
  <si>
    <t>с Венец</t>
  </si>
  <si>
    <t>22550000316</t>
  </si>
  <si>
    <t>д Вилейка</t>
  </si>
  <si>
    <t>22550000321</t>
  </si>
  <si>
    <t>д Залесье</t>
  </si>
  <si>
    <t>22550000326</t>
  </si>
  <si>
    <t>с Лесуново</t>
  </si>
  <si>
    <t>22550000331</t>
  </si>
  <si>
    <t>22550000336</t>
  </si>
  <si>
    <t>22550000341</t>
  </si>
  <si>
    <t>с Николаевка</t>
  </si>
  <si>
    <t>22550000346</t>
  </si>
  <si>
    <t>22550000351</t>
  </si>
  <si>
    <t>с Рожок</t>
  </si>
  <si>
    <t>22550000356</t>
  </si>
  <si>
    <t>с Бочиха</t>
  </si>
  <si>
    <t>22550000361</t>
  </si>
  <si>
    <t>с Селитьба</t>
  </si>
  <si>
    <t>22550000366</t>
  </si>
  <si>
    <t>с Бараново</t>
  </si>
  <si>
    <t>22550000371</t>
  </si>
  <si>
    <t>д Батуриха</t>
  </si>
  <si>
    <t>22550000376</t>
  </si>
  <si>
    <t>д Горки</t>
  </si>
  <si>
    <t>22550000381</t>
  </si>
  <si>
    <t>д Драчево</t>
  </si>
  <si>
    <t>22550000386</t>
  </si>
  <si>
    <t>22550000391</t>
  </si>
  <si>
    <t>д Искадьево</t>
  </si>
  <si>
    <t>22550000396</t>
  </si>
  <si>
    <t>22550000401</t>
  </si>
  <si>
    <t>д Лушниково</t>
  </si>
  <si>
    <t>22550000406</t>
  </si>
  <si>
    <t>с Пашигорьево</t>
  </si>
  <si>
    <t>22550000411</t>
  </si>
  <si>
    <t>д Пияичное</t>
  </si>
  <si>
    <t>22550000416</t>
  </si>
  <si>
    <t>д Полянское</t>
  </si>
  <si>
    <t>22550000421</t>
  </si>
  <si>
    <t>д Турково</t>
  </si>
  <si>
    <t>22550000426</t>
  </si>
  <si>
    <t>с Яковское</t>
  </si>
  <si>
    <t>22551000101</t>
  </si>
  <si>
    <t>22551000106</t>
  </si>
  <si>
    <t>с Базлово</t>
  </si>
  <si>
    <t>22551000111</t>
  </si>
  <si>
    <t>д Ишеево</t>
  </si>
  <si>
    <t>22551000116</t>
  </si>
  <si>
    <t>д Тукай</t>
  </si>
  <si>
    <t>22551000121</t>
  </si>
  <si>
    <t>д Бутениха</t>
  </si>
  <si>
    <t>22551000126</t>
  </si>
  <si>
    <t>с Вазьянка</t>
  </si>
  <si>
    <t>22551000131</t>
  </si>
  <si>
    <t>22551000136</t>
  </si>
  <si>
    <t>п Дюжаковка</t>
  </si>
  <si>
    <t>22551000141</t>
  </si>
  <si>
    <t>п Красные Мары</t>
  </si>
  <si>
    <t>22551000146</t>
  </si>
  <si>
    <t>с Низовка</t>
  </si>
  <si>
    <t>22551000151</t>
  </si>
  <si>
    <t>с Прудищи</t>
  </si>
  <si>
    <t>22551000156</t>
  </si>
  <si>
    <t>д Саблуково</t>
  </si>
  <si>
    <t>22551000161</t>
  </si>
  <si>
    <t>22551000166</t>
  </si>
  <si>
    <t>д Старое Дружково</t>
  </si>
  <si>
    <t>22551000171</t>
  </si>
  <si>
    <t>д Борковка</t>
  </si>
  <si>
    <t>22551000176</t>
  </si>
  <si>
    <t>с Бронский Ватрас</t>
  </si>
  <si>
    <t>22551000181</t>
  </si>
  <si>
    <t>с Высокий Оселок</t>
  </si>
  <si>
    <t>22551000186</t>
  </si>
  <si>
    <t>22551000191</t>
  </si>
  <si>
    <t>с Долгое Поле</t>
  </si>
  <si>
    <t>22551000196</t>
  </si>
  <si>
    <t>д Малое Сущево</t>
  </si>
  <si>
    <t>22551000201</t>
  </si>
  <si>
    <t>22551000206</t>
  </si>
  <si>
    <t>д Новое Дружково</t>
  </si>
  <si>
    <t>22551000211</t>
  </si>
  <si>
    <t>п Раков</t>
  </si>
  <si>
    <t>22551000216</t>
  </si>
  <si>
    <t>д Сыромятниково</t>
  </si>
  <si>
    <t>22551000221</t>
  </si>
  <si>
    <t>22551000226</t>
  </si>
  <si>
    <t>д Кирилловка</t>
  </si>
  <si>
    <t>22551000231</t>
  </si>
  <si>
    <t>с Красный Ватрас</t>
  </si>
  <si>
    <t>22551000236</t>
  </si>
  <si>
    <t>с Латышиха</t>
  </si>
  <si>
    <t>22551000241</t>
  </si>
  <si>
    <t>с Новый Усад</t>
  </si>
  <si>
    <t>22551000246</t>
  </si>
  <si>
    <t>д Петровка</t>
  </si>
  <si>
    <t>22551000251</t>
  </si>
  <si>
    <t>с Солониха</t>
  </si>
  <si>
    <t>22551000256</t>
  </si>
  <si>
    <t>с Тубанаевка</t>
  </si>
  <si>
    <t>22551000261</t>
  </si>
  <si>
    <t>22551000266</t>
  </si>
  <si>
    <t>22551000271</t>
  </si>
  <si>
    <t>с Русское Маклаково</t>
  </si>
  <si>
    <t>22551000276</t>
  </si>
  <si>
    <t>с Татарское Маклаково</t>
  </si>
  <si>
    <t>22551000281</t>
  </si>
  <si>
    <t>22551000286</t>
  </si>
  <si>
    <t>с Большое Сущево</t>
  </si>
  <si>
    <t>22551000291</t>
  </si>
  <si>
    <t>22551000296</t>
  </si>
  <si>
    <t>с Масловка</t>
  </si>
  <si>
    <t>22551000301</t>
  </si>
  <si>
    <t>22551000306</t>
  </si>
  <si>
    <t>с Антоново</t>
  </si>
  <si>
    <t>22551000311</t>
  </si>
  <si>
    <t>с Быковы Горы</t>
  </si>
  <si>
    <t>22551000316</t>
  </si>
  <si>
    <t>д Турбанка</t>
  </si>
  <si>
    <t>22552000051</t>
  </si>
  <si>
    <t>рп Тонкино</t>
  </si>
  <si>
    <t>22552000106</t>
  </si>
  <si>
    <t>д Двоеглазово</t>
  </si>
  <si>
    <t>22552000111</t>
  </si>
  <si>
    <t>д Елховка</t>
  </si>
  <si>
    <t>22552000116</t>
  </si>
  <si>
    <t>22552000121</t>
  </si>
  <si>
    <t>д Ломное</t>
  </si>
  <si>
    <t>22552000126</t>
  </si>
  <si>
    <t>д Новое Тонкино</t>
  </si>
  <si>
    <t>22552000131</t>
  </si>
  <si>
    <t>д Швецкое</t>
  </si>
  <si>
    <t>22552000136</t>
  </si>
  <si>
    <t>починок Алешино</t>
  </si>
  <si>
    <t>22552000141</t>
  </si>
  <si>
    <t>с Бердники</t>
  </si>
  <si>
    <t>22552000146</t>
  </si>
  <si>
    <t>д Большое Аверино</t>
  </si>
  <si>
    <t>22552000151</t>
  </si>
  <si>
    <t>д Большое Ларионово</t>
  </si>
  <si>
    <t>22552000156</t>
  </si>
  <si>
    <t>д Вая</t>
  </si>
  <si>
    <t>22552000161</t>
  </si>
  <si>
    <t>д Виктория</t>
  </si>
  <si>
    <t>22552000166</t>
  </si>
  <si>
    <t>22552000171</t>
  </si>
  <si>
    <t>д Восточное Егоровское</t>
  </si>
  <si>
    <t>22552000176</t>
  </si>
  <si>
    <t>д Зайчики</t>
  </si>
  <si>
    <t>22552000181</t>
  </si>
  <si>
    <t>22552000186</t>
  </si>
  <si>
    <t>д Ковернинское</t>
  </si>
  <si>
    <t>22552000191</t>
  </si>
  <si>
    <t>22552000196</t>
  </si>
  <si>
    <t>д Малое Ларионово</t>
  </si>
  <si>
    <t>22552000201</t>
  </si>
  <si>
    <t>д Малое Сидорово</t>
  </si>
  <si>
    <t>22552000206</t>
  </si>
  <si>
    <t>д Мартяхино</t>
  </si>
  <si>
    <t>22552000211</t>
  </si>
  <si>
    <t>д Отары</t>
  </si>
  <si>
    <t>22552000216</t>
  </si>
  <si>
    <t>д Плотниково</t>
  </si>
  <si>
    <t>22552000221</t>
  </si>
  <si>
    <t>д Простоквашино</t>
  </si>
  <si>
    <t>22552000226</t>
  </si>
  <si>
    <t>22552000231</t>
  </si>
  <si>
    <t>д Фомин Ручей</t>
  </si>
  <si>
    <t>22552000236</t>
  </si>
  <si>
    <t>д Худобабково</t>
  </si>
  <si>
    <t>22552000241</t>
  </si>
  <si>
    <t>д Ашкельдино</t>
  </si>
  <si>
    <t>22552000246</t>
  </si>
  <si>
    <t>д Безводное</t>
  </si>
  <si>
    <t>22552000251</t>
  </si>
  <si>
    <t>д Большие Зеленые Луга</t>
  </si>
  <si>
    <t>22552000256</t>
  </si>
  <si>
    <t>с Большое Сидорово</t>
  </si>
  <si>
    <t>22552000261</t>
  </si>
  <si>
    <t>с Большое Содомово</t>
  </si>
  <si>
    <t>22552000266</t>
  </si>
  <si>
    <t>д Бычки</t>
  </si>
  <si>
    <t>22552000271</t>
  </si>
  <si>
    <t>д Горный Ключ</t>
  </si>
  <si>
    <t>22552000276</t>
  </si>
  <si>
    <t>22552000281</t>
  </si>
  <si>
    <t>д Ипатово</t>
  </si>
  <si>
    <t>22552000286</t>
  </si>
  <si>
    <t>д Китанино</t>
  </si>
  <si>
    <t>22552000291</t>
  </si>
  <si>
    <t>д Крошилово</t>
  </si>
  <si>
    <t>22552000296</t>
  </si>
  <si>
    <t>22552000301</t>
  </si>
  <si>
    <t>д Набатово</t>
  </si>
  <si>
    <t>22552000306</t>
  </si>
  <si>
    <t>д Набережное</t>
  </si>
  <si>
    <t>22552000311</t>
  </si>
  <si>
    <t>с Пахутино</t>
  </si>
  <si>
    <t>22552000316</t>
  </si>
  <si>
    <t>д Прытково</t>
  </si>
  <si>
    <t>22552000321</t>
  </si>
  <si>
    <t>д Хвойное</t>
  </si>
  <si>
    <t>22552000326</t>
  </si>
  <si>
    <t>д Чердаки</t>
  </si>
  <si>
    <t>22552000331</t>
  </si>
  <si>
    <t>д Алешино</t>
  </si>
  <si>
    <t>22552000336</t>
  </si>
  <si>
    <t>22552000341</t>
  </si>
  <si>
    <t>д Буйское</t>
  </si>
  <si>
    <t>22552000346</t>
  </si>
  <si>
    <t>22552000351</t>
  </si>
  <si>
    <t>22552000356</t>
  </si>
  <si>
    <t>д Кодочиги</t>
  </si>
  <si>
    <t>22552000361</t>
  </si>
  <si>
    <t>д Колчино</t>
  </si>
  <si>
    <t>22552000366</t>
  </si>
  <si>
    <t>д Коржавино</t>
  </si>
  <si>
    <t>22552000371</t>
  </si>
  <si>
    <t>д Николаевское</t>
  </si>
  <si>
    <t>22552000376</t>
  </si>
  <si>
    <t>д Окунево</t>
  </si>
  <si>
    <t>22552000381</t>
  </si>
  <si>
    <t>д Рамень</t>
  </si>
  <si>
    <t>22552000386</t>
  </si>
  <si>
    <t>д Селезни</t>
  </si>
  <si>
    <t>22552000391</t>
  </si>
  <si>
    <t>д Старые Краи</t>
  </si>
  <si>
    <t>22552000396</t>
  </si>
  <si>
    <t>д Типайки</t>
  </si>
  <si>
    <t>22552000401</t>
  </si>
  <si>
    <t>д Большое Долгополово</t>
  </si>
  <si>
    <t>22552000406</t>
  </si>
  <si>
    <t>п Верхний Церквинский</t>
  </si>
  <si>
    <t>22552000411</t>
  </si>
  <si>
    <t>д Викуловское</t>
  </si>
  <si>
    <t>22552000416</t>
  </si>
  <si>
    <t>д Катайское</t>
  </si>
  <si>
    <t>22552000421</t>
  </si>
  <si>
    <t>д Коротенское</t>
  </si>
  <si>
    <t>22552000426</t>
  </si>
  <si>
    <t>д Корыпалово</t>
  </si>
  <si>
    <t>22552000431</t>
  </si>
  <si>
    <t>д Котоминское</t>
  </si>
  <si>
    <t>22552000436</t>
  </si>
  <si>
    <t>д Крошиловское</t>
  </si>
  <si>
    <t>22552000441</t>
  </si>
  <si>
    <t>д Малое Зубово</t>
  </si>
  <si>
    <t>22552000446</t>
  </si>
  <si>
    <t>д Малое Тарасово</t>
  </si>
  <si>
    <t>22552000451</t>
  </si>
  <si>
    <t>д Малые Зеленые Луга</t>
  </si>
  <si>
    <t>22552000456</t>
  </si>
  <si>
    <t>д Михайлов Полом</t>
  </si>
  <si>
    <t>22552000461</t>
  </si>
  <si>
    <t>д Никитин Завод</t>
  </si>
  <si>
    <t>22552000466</t>
  </si>
  <si>
    <t>д Носовское</t>
  </si>
  <si>
    <t>22552000471</t>
  </si>
  <si>
    <t>с Пакали</t>
  </si>
  <si>
    <t>22552000476</t>
  </si>
  <si>
    <t>д Пеньки</t>
  </si>
  <si>
    <t>22552000481</t>
  </si>
  <si>
    <t>с Полянское</t>
  </si>
  <si>
    <t>22552000486</t>
  </si>
  <si>
    <t>д Рожниха</t>
  </si>
  <si>
    <t>22552000491</t>
  </si>
  <si>
    <t>д Романовы Пруды</t>
  </si>
  <si>
    <t>22552000496</t>
  </si>
  <si>
    <t>д Рыбное</t>
  </si>
  <si>
    <t>22552000501</t>
  </si>
  <si>
    <t>д Старое Котомино</t>
  </si>
  <si>
    <t>22552000506</t>
  </si>
  <si>
    <t>д Степановское</t>
  </si>
  <si>
    <t>22552000511</t>
  </si>
  <si>
    <t>д Трошково</t>
  </si>
  <si>
    <t>22552000516</t>
  </si>
  <si>
    <t>д Ядровское</t>
  </si>
  <si>
    <t>22553000051</t>
  </si>
  <si>
    <t>рп Тоншаево</t>
  </si>
  <si>
    <t>22553000056</t>
  </si>
  <si>
    <t>рп Пижма</t>
  </si>
  <si>
    <t>22553000061</t>
  </si>
  <si>
    <t>рп Шайгино</t>
  </si>
  <si>
    <t>22553000106</t>
  </si>
  <si>
    <t>д Большая Куверба</t>
  </si>
  <si>
    <t>22553000111</t>
  </si>
  <si>
    <t>д Втюринское</t>
  </si>
  <si>
    <t>22553000116</t>
  </si>
  <si>
    <t>д Горинцы</t>
  </si>
  <si>
    <t>22553000121</t>
  </si>
  <si>
    <t>д Енаево</t>
  </si>
  <si>
    <t>22553000126</t>
  </si>
  <si>
    <t>д Крутогор</t>
  </si>
  <si>
    <t>22553000131</t>
  </si>
  <si>
    <t>д Кузьминское</t>
  </si>
  <si>
    <t>22553000136</t>
  </si>
  <si>
    <t>д Маяки</t>
  </si>
  <si>
    <t>22553000141</t>
  </si>
  <si>
    <t>д Пурлы</t>
  </si>
  <si>
    <t>22553000146</t>
  </si>
  <si>
    <t>д Трошонки</t>
  </si>
  <si>
    <t>22553000151</t>
  </si>
  <si>
    <t>д Фадеево</t>
  </si>
  <si>
    <t>22553000156</t>
  </si>
  <si>
    <t>д Ширта</t>
  </si>
  <si>
    <t>22553000161</t>
  </si>
  <si>
    <t>д Янгарка</t>
  </si>
  <si>
    <t>22553000166</t>
  </si>
  <si>
    <t>д Большие Луги</t>
  </si>
  <si>
    <t>22553000171</t>
  </si>
  <si>
    <t>д Большой Лом</t>
  </si>
  <si>
    <t>22553000176</t>
  </si>
  <si>
    <t>д Вича</t>
  </si>
  <si>
    <t>22553000181</t>
  </si>
  <si>
    <t>д Зотово</t>
  </si>
  <si>
    <t>22553000186</t>
  </si>
  <si>
    <t>п Кировский</t>
  </si>
  <si>
    <t>22553000191</t>
  </si>
  <si>
    <t>д Красное Александровское</t>
  </si>
  <si>
    <t>22553000196</t>
  </si>
  <si>
    <t>д Куженер</t>
  </si>
  <si>
    <t>22553000201</t>
  </si>
  <si>
    <t>22553000206</t>
  </si>
  <si>
    <t>д Малое Тоншаево</t>
  </si>
  <si>
    <t>22553000211</t>
  </si>
  <si>
    <t>д Малые Луги</t>
  </si>
  <si>
    <t>22553000216</t>
  </si>
  <si>
    <t>д Ошары</t>
  </si>
  <si>
    <t>22553000221</t>
  </si>
  <si>
    <t>д Средние Луги</t>
  </si>
  <si>
    <t>22553000226</t>
  </si>
  <si>
    <t>д Трифоново</t>
  </si>
  <si>
    <t>22553000231</t>
  </si>
  <si>
    <t>д Фирстово</t>
  </si>
  <si>
    <t>22553000236</t>
  </si>
  <si>
    <t>д Юленурка</t>
  </si>
  <si>
    <t>22553000241</t>
  </si>
  <si>
    <t>д Березята</t>
  </si>
  <si>
    <t>22553000246</t>
  </si>
  <si>
    <t>д Воскресенское</t>
  </si>
  <si>
    <t>22553000251</t>
  </si>
  <si>
    <t>д Гагаринское</t>
  </si>
  <si>
    <t>22553000256</t>
  </si>
  <si>
    <t>д Малокаменское</t>
  </si>
  <si>
    <t>22553000261</t>
  </si>
  <si>
    <t>д Малый Лом</t>
  </si>
  <si>
    <t>22553000266</t>
  </si>
  <si>
    <t>д Матвеевское</t>
  </si>
  <si>
    <t>22553000271</t>
  </si>
  <si>
    <t>д Трехречье</t>
  </si>
  <si>
    <t>22553000276</t>
  </si>
  <si>
    <t>д Черный Курнуж</t>
  </si>
  <si>
    <t>22553000281</t>
  </si>
  <si>
    <t>д Большая Лумарь</t>
  </si>
  <si>
    <t>22553000286</t>
  </si>
  <si>
    <t>22553000291</t>
  </si>
  <si>
    <t>д Ломина</t>
  </si>
  <si>
    <t>22553000296</t>
  </si>
  <si>
    <t>д Малая Лумарь</t>
  </si>
  <si>
    <t>22553000301</t>
  </si>
  <si>
    <t>д Мирянга</t>
  </si>
  <si>
    <t>22553000306</t>
  </si>
  <si>
    <t>д Писари</t>
  </si>
  <si>
    <t>22553000311</t>
  </si>
  <si>
    <t>д Шатташкем</t>
  </si>
  <si>
    <t>22553000316</t>
  </si>
  <si>
    <t>п Южный</t>
  </si>
  <si>
    <t>22553000321</t>
  </si>
  <si>
    <t>д Большие Ашкаты</t>
  </si>
  <si>
    <t>22553000326</t>
  </si>
  <si>
    <t>с Вякшенер</t>
  </si>
  <si>
    <t>22553000331</t>
  </si>
  <si>
    <t>д Дупляки</t>
  </si>
  <si>
    <t>22553000336</t>
  </si>
  <si>
    <t>д Ивановское 1-е</t>
  </si>
  <si>
    <t>22553000341</t>
  </si>
  <si>
    <t>д Малые Ашкаты</t>
  </si>
  <si>
    <t>22553000346</t>
  </si>
  <si>
    <t>д Письменер</t>
  </si>
  <si>
    <t>22553000351</t>
  </si>
  <si>
    <t>с Письменер</t>
  </si>
  <si>
    <t>22553000356</t>
  </si>
  <si>
    <t>д Большая Пустошка</t>
  </si>
  <si>
    <t>22553000361</t>
  </si>
  <si>
    <t>д Сухой Овраг</t>
  </si>
  <si>
    <t>22553000366</t>
  </si>
  <si>
    <t>д Большой Буреполом</t>
  </si>
  <si>
    <t>22553000371</t>
  </si>
  <si>
    <t>д Большой Одошнур</t>
  </si>
  <si>
    <t>22553000376</t>
  </si>
  <si>
    <t>п Буреполом</t>
  </si>
  <si>
    <t>22553000381</t>
  </si>
  <si>
    <t>д Малый Буреполом</t>
  </si>
  <si>
    <t>22553000386</t>
  </si>
  <si>
    <t>д Малый Одошнур</t>
  </si>
  <si>
    <t>22553000391</t>
  </si>
  <si>
    <t>п Шерстки</t>
  </si>
  <si>
    <t>22553000396</t>
  </si>
  <si>
    <t>д Веселово</t>
  </si>
  <si>
    <t>22553000401</t>
  </si>
  <si>
    <t>д Ворожцово</t>
  </si>
  <si>
    <t>22553000406</t>
  </si>
  <si>
    <t>д Заошминцы</t>
  </si>
  <si>
    <t>22553000411</t>
  </si>
  <si>
    <t>22553000416</t>
  </si>
  <si>
    <t>д Крутик</t>
  </si>
  <si>
    <t>22553000421</t>
  </si>
  <si>
    <t>д Кузенер</t>
  </si>
  <si>
    <t>22553000426</t>
  </si>
  <si>
    <t>22553000431</t>
  </si>
  <si>
    <t>с Ошминское</t>
  </si>
  <si>
    <t>22553000436</t>
  </si>
  <si>
    <t>д Шименер</t>
  </si>
  <si>
    <t>22553000441</t>
  </si>
  <si>
    <t>д Шукшум</t>
  </si>
  <si>
    <t>22553000446</t>
  </si>
  <si>
    <t>п лесоучастка Арбинский</t>
  </si>
  <si>
    <t>22553000451</t>
  </si>
  <si>
    <t>д Большие Селки</t>
  </si>
  <si>
    <t>22553000456</t>
  </si>
  <si>
    <t>д Колдырята</t>
  </si>
  <si>
    <t>22553000461</t>
  </si>
  <si>
    <t>д Луговка</t>
  </si>
  <si>
    <t>22553000466</t>
  </si>
  <si>
    <t>д Малые Селки</t>
  </si>
  <si>
    <t>22553000471</t>
  </si>
  <si>
    <t>д Пекшик</t>
  </si>
  <si>
    <t>22553000476</t>
  </si>
  <si>
    <t>д Плащенер</t>
  </si>
  <si>
    <t>22553000481</t>
  </si>
  <si>
    <t>д Ромачи</t>
  </si>
  <si>
    <t>22553000486</t>
  </si>
  <si>
    <t>д Шимбуй</t>
  </si>
  <si>
    <t>22554000001</t>
  </si>
  <si>
    <t>г Урень</t>
  </si>
  <si>
    <t>22554000053</t>
  </si>
  <si>
    <t>рп Арья</t>
  </si>
  <si>
    <t>22554000106</t>
  </si>
  <si>
    <t>д Артамоново</t>
  </si>
  <si>
    <t>22554000111</t>
  </si>
  <si>
    <t>п Сосновка</t>
  </si>
  <si>
    <t>22554000121</t>
  </si>
  <si>
    <t>п Атазик</t>
  </si>
  <si>
    <t>22554000126</t>
  </si>
  <si>
    <t>д Багрец</t>
  </si>
  <si>
    <t>22554000131</t>
  </si>
  <si>
    <t>22554000136</t>
  </si>
  <si>
    <t>д Большая Арья</t>
  </si>
  <si>
    <t>22554000141</t>
  </si>
  <si>
    <t>д Кочешково</t>
  </si>
  <si>
    <t>22554000146</t>
  </si>
  <si>
    <t>д Максимовка</t>
  </si>
  <si>
    <t>22554000151</t>
  </si>
  <si>
    <t>д Малая Арья</t>
  </si>
  <si>
    <t>22554000156</t>
  </si>
  <si>
    <t>д Малая Малиновка</t>
  </si>
  <si>
    <t>22554000161</t>
  </si>
  <si>
    <t>д Свищево</t>
  </si>
  <si>
    <t>22554000166</t>
  </si>
  <si>
    <t>д Тарбеево</t>
  </si>
  <si>
    <t>22554000171</t>
  </si>
  <si>
    <t>д Фоминское</t>
  </si>
  <si>
    <t>22554000176</t>
  </si>
  <si>
    <t>22554000181</t>
  </si>
  <si>
    <t>д Большая Елховка</t>
  </si>
  <si>
    <t>22554000186</t>
  </si>
  <si>
    <t>д Большая Шалега</t>
  </si>
  <si>
    <t>22554000191</t>
  </si>
  <si>
    <t>д Большое Песочное</t>
  </si>
  <si>
    <t>22554000196</t>
  </si>
  <si>
    <t>д Малая Елховка</t>
  </si>
  <si>
    <t>22554000201</t>
  </si>
  <si>
    <t>22554000206</t>
  </si>
  <si>
    <t>д Суходол</t>
  </si>
  <si>
    <t>22554000211</t>
  </si>
  <si>
    <t>д Титково</t>
  </si>
  <si>
    <t>22554000216</t>
  </si>
  <si>
    <t>п при рзд Шалега</t>
  </si>
  <si>
    <t>22554000221</t>
  </si>
  <si>
    <t>22554000226</t>
  </si>
  <si>
    <t>22554000231</t>
  </si>
  <si>
    <t>д Безбородово</t>
  </si>
  <si>
    <t>22554000236</t>
  </si>
  <si>
    <t>д Большая Ворошиловка</t>
  </si>
  <si>
    <t>22554000241</t>
  </si>
  <si>
    <t>д Большая Орлиха</t>
  </si>
  <si>
    <t>22554000246</t>
  </si>
  <si>
    <t>д Большое Кириллово</t>
  </si>
  <si>
    <t>22554000251</t>
  </si>
  <si>
    <t>д Большое Непряхино</t>
  </si>
  <si>
    <t>22554000256</t>
  </si>
  <si>
    <t>д Большое Никитино</t>
  </si>
  <si>
    <t>22554000261</t>
  </si>
  <si>
    <t>д Большой Терсень</t>
  </si>
  <si>
    <t>22554000266</t>
  </si>
  <si>
    <t>д Веденино</t>
  </si>
  <si>
    <t>22554000271</t>
  </si>
  <si>
    <t>д Дианово</t>
  </si>
  <si>
    <t>22554000276</t>
  </si>
  <si>
    <t>д Заливная Усадьба</t>
  </si>
  <si>
    <t>22554000281</t>
  </si>
  <si>
    <t>д Малое Кириллово</t>
  </si>
  <si>
    <t>22554000286</t>
  </si>
  <si>
    <t>д Малое Непряхино</t>
  </si>
  <si>
    <t>22554000291</t>
  </si>
  <si>
    <t>д Малый Терсень</t>
  </si>
  <si>
    <t>22554000296</t>
  </si>
  <si>
    <t>д Палашино</t>
  </si>
  <si>
    <t>22554000301</t>
  </si>
  <si>
    <t>д Пискуны</t>
  </si>
  <si>
    <t>22554000306</t>
  </si>
  <si>
    <t>22554000311</t>
  </si>
  <si>
    <t>д Серово</t>
  </si>
  <si>
    <t>22554000316</t>
  </si>
  <si>
    <t>д Спиридоново</t>
  </si>
  <si>
    <t>22554000321</t>
  </si>
  <si>
    <t>д Холкино</t>
  </si>
  <si>
    <t>22554000326</t>
  </si>
  <si>
    <t>д Вязовая</t>
  </si>
  <si>
    <t>22554000331</t>
  </si>
  <si>
    <t>д Девушкино</t>
  </si>
  <si>
    <t>22554000336</t>
  </si>
  <si>
    <t>д Копылиха</t>
  </si>
  <si>
    <t>22554000341</t>
  </si>
  <si>
    <t>22554000346</t>
  </si>
  <si>
    <t>д Семеново-Шурань</t>
  </si>
  <si>
    <t>22554000351</t>
  </si>
  <si>
    <t>д Щелочиха</t>
  </si>
  <si>
    <t>22554000356</t>
  </si>
  <si>
    <t>с Большое Горево</t>
  </si>
  <si>
    <t>22554000361</t>
  </si>
  <si>
    <t>д Большое Панфилово</t>
  </si>
  <si>
    <t>22554000366</t>
  </si>
  <si>
    <t>починок Демидовский</t>
  </si>
  <si>
    <t>22554000371</t>
  </si>
  <si>
    <t>22554000376</t>
  </si>
  <si>
    <t>д Малое Горево</t>
  </si>
  <si>
    <t>22554000381</t>
  </si>
  <si>
    <t>д Опушкино</t>
  </si>
  <si>
    <t>22554000386</t>
  </si>
  <si>
    <t>починок Парамоновский</t>
  </si>
  <si>
    <t>22554000391</t>
  </si>
  <si>
    <t>починок Половинный</t>
  </si>
  <si>
    <t>22554000396</t>
  </si>
  <si>
    <t>починок Понуровский</t>
  </si>
  <si>
    <t>22554000401</t>
  </si>
  <si>
    <t>починок Рамешинский</t>
  </si>
  <si>
    <t>22554000406</t>
  </si>
  <si>
    <t>22554000411</t>
  </si>
  <si>
    <t>д Рябково</t>
  </si>
  <si>
    <t>22554000416</t>
  </si>
  <si>
    <t>починок Тиховодовский</t>
  </si>
  <si>
    <t>22554000421</t>
  </si>
  <si>
    <t>д Тулага</t>
  </si>
  <si>
    <t>22554000426</t>
  </si>
  <si>
    <t>с Большое Карпово</t>
  </si>
  <si>
    <t>22554000431</t>
  </si>
  <si>
    <t>д Кудряшино</t>
  </si>
  <si>
    <t>22554000436</t>
  </si>
  <si>
    <t>д Шароновка</t>
  </si>
  <si>
    <t>22554000441</t>
  </si>
  <si>
    <t>д Шитово</t>
  </si>
  <si>
    <t>22554000446</t>
  </si>
  <si>
    <t>д Баженово</t>
  </si>
  <si>
    <t>22554000451</t>
  </si>
  <si>
    <t>22554000456</t>
  </si>
  <si>
    <t>д Большая Козляна</t>
  </si>
  <si>
    <t>22554000461</t>
  </si>
  <si>
    <t>22554000466</t>
  </si>
  <si>
    <t>с Карпуниха</t>
  </si>
  <si>
    <t>22554000471</t>
  </si>
  <si>
    <t>д Малая Карпуниха</t>
  </si>
  <si>
    <t>22554000476</t>
  </si>
  <si>
    <t>починок Павловский</t>
  </si>
  <si>
    <t>22554000481</t>
  </si>
  <si>
    <t>д Петряево</t>
  </si>
  <si>
    <t>22554000486</t>
  </si>
  <si>
    <t>д Содомово</t>
  </si>
  <si>
    <t>22554000491</t>
  </si>
  <si>
    <t>д Тулажка</t>
  </si>
  <si>
    <t>22554000496</t>
  </si>
  <si>
    <t>д Фитилево</t>
  </si>
  <si>
    <t>22554000501</t>
  </si>
  <si>
    <t>д Целегородка</t>
  </si>
  <si>
    <t>22554000506</t>
  </si>
  <si>
    <t>с Большой Красногор</t>
  </si>
  <si>
    <t>22554000511</t>
  </si>
  <si>
    <t>22554000516</t>
  </si>
  <si>
    <t>д Дерино</t>
  </si>
  <si>
    <t>22554000521</t>
  </si>
  <si>
    <t>д Локтево</t>
  </si>
  <si>
    <t>22554000526</t>
  </si>
  <si>
    <t>д Плаксово</t>
  </si>
  <si>
    <t>22554000531</t>
  </si>
  <si>
    <t>22554000536</t>
  </si>
  <si>
    <t>д Стреляжка</t>
  </si>
  <si>
    <t>22554000541</t>
  </si>
  <si>
    <t>22554000546</t>
  </si>
  <si>
    <t>п Лесокомбината</t>
  </si>
  <si>
    <t>22554000551</t>
  </si>
  <si>
    <t>д Минеево</t>
  </si>
  <si>
    <t>22554000556</t>
  </si>
  <si>
    <t>с Черное</t>
  </si>
  <si>
    <t>22554000561</t>
  </si>
  <si>
    <t>д Красный Октябрь</t>
  </si>
  <si>
    <t>22554000566</t>
  </si>
  <si>
    <t>д Малое Песочное</t>
  </si>
  <si>
    <t>22554000571</t>
  </si>
  <si>
    <t>д Мальково</t>
  </si>
  <si>
    <t>22554000576</t>
  </si>
  <si>
    <t>п Обход</t>
  </si>
  <si>
    <t>22554000581</t>
  </si>
  <si>
    <t>22554000586</t>
  </si>
  <si>
    <t>д Савино</t>
  </si>
  <si>
    <t>22554000591</t>
  </si>
  <si>
    <t>д Стафеево</t>
  </si>
  <si>
    <t>22554000596</t>
  </si>
  <si>
    <t>д Широково</t>
  </si>
  <si>
    <t>22554000601</t>
  </si>
  <si>
    <t>22554000606</t>
  </si>
  <si>
    <t>д Большое Лопатино</t>
  </si>
  <si>
    <t>22554000611</t>
  </si>
  <si>
    <t>д Забегаиха</t>
  </si>
  <si>
    <t>22554000616</t>
  </si>
  <si>
    <t>д Кондобаево</t>
  </si>
  <si>
    <t>22554000621</t>
  </si>
  <si>
    <t>22554000626</t>
  </si>
  <si>
    <t>д Малафеево</t>
  </si>
  <si>
    <t>22554000631</t>
  </si>
  <si>
    <t>д Малое Лопатино</t>
  </si>
  <si>
    <t>22554000636</t>
  </si>
  <si>
    <t>д Подгузково</t>
  </si>
  <si>
    <t>22554000641</t>
  </si>
  <si>
    <t>с Семеново</t>
  </si>
  <si>
    <t>22554000646</t>
  </si>
  <si>
    <t>д Федотово</t>
  </si>
  <si>
    <t>22554000651</t>
  </si>
  <si>
    <t>д Хмелево</t>
  </si>
  <si>
    <t>22554000656</t>
  </si>
  <si>
    <t>д Большая Малиновка</t>
  </si>
  <si>
    <t>22554000661</t>
  </si>
  <si>
    <t>д Буренино</t>
  </si>
  <si>
    <t>22554000666</t>
  </si>
  <si>
    <t>д Мокроносово</t>
  </si>
  <si>
    <t>22554000671</t>
  </si>
  <si>
    <t>с Темта</t>
  </si>
  <si>
    <t>22554000676</t>
  </si>
  <si>
    <t>22554000681</t>
  </si>
  <si>
    <t>д Малое Климово</t>
  </si>
  <si>
    <t>22554000686</t>
  </si>
  <si>
    <t>22554000691</t>
  </si>
  <si>
    <t>22554000696</t>
  </si>
  <si>
    <t>п Уста</t>
  </si>
  <si>
    <t>22554000701</t>
  </si>
  <si>
    <t>22554000706</t>
  </si>
  <si>
    <t>д Шерстниха</t>
  </si>
  <si>
    <t>22556000051</t>
  </si>
  <si>
    <t>рп Шаранга</t>
  </si>
  <si>
    <t>22556000106</t>
  </si>
  <si>
    <t>д Большой Рейчваж</t>
  </si>
  <si>
    <t>22556000111</t>
  </si>
  <si>
    <t>д Куршаково</t>
  </si>
  <si>
    <t>22556000116</t>
  </si>
  <si>
    <t>д Малый Рейчваж</t>
  </si>
  <si>
    <t>22556000121</t>
  </si>
  <si>
    <t>с Большая Рудка</t>
  </si>
  <si>
    <t>22556000126</t>
  </si>
  <si>
    <t>д Глубоково</t>
  </si>
  <si>
    <t>22556000131</t>
  </si>
  <si>
    <t>д Глушково</t>
  </si>
  <si>
    <t>22556000136</t>
  </si>
  <si>
    <t>д Загуляево</t>
  </si>
  <si>
    <t>22556000141</t>
  </si>
  <si>
    <t>д Зыково</t>
  </si>
  <si>
    <t>22556000146</t>
  </si>
  <si>
    <t>д Ивановские</t>
  </si>
  <si>
    <t>22556000151</t>
  </si>
  <si>
    <t>д Клюжево</t>
  </si>
  <si>
    <t>22556000156</t>
  </si>
  <si>
    <t>с Кугланур</t>
  </si>
  <si>
    <t>22556000161</t>
  </si>
  <si>
    <t>д Куракино</t>
  </si>
  <si>
    <t>22556000166</t>
  </si>
  <si>
    <t>д Никольские</t>
  </si>
  <si>
    <t>22556000171</t>
  </si>
  <si>
    <t>д Перчеваж</t>
  </si>
  <si>
    <t>22556000176</t>
  </si>
  <si>
    <t>д Пестово</t>
  </si>
  <si>
    <t>22556000181</t>
  </si>
  <si>
    <t>д Рудаково</t>
  </si>
  <si>
    <t>22556000186</t>
  </si>
  <si>
    <t>д Рудомучакш</t>
  </si>
  <si>
    <t>22556000191</t>
  </si>
  <si>
    <t>22556000196</t>
  </si>
  <si>
    <t>д Смирново</t>
  </si>
  <si>
    <t>22556000201</t>
  </si>
  <si>
    <t>д Старостино</t>
  </si>
  <si>
    <t>22556000206</t>
  </si>
  <si>
    <t>д Арзаматово</t>
  </si>
  <si>
    <t>22556000211</t>
  </si>
  <si>
    <t>с Большое Устинское</t>
  </si>
  <si>
    <t>22556000216</t>
  </si>
  <si>
    <t>22556000221</t>
  </si>
  <si>
    <t>д Малиновские</t>
  </si>
  <si>
    <t>22556000226</t>
  </si>
  <si>
    <t>д Туманур</t>
  </si>
  <si>
    <t>22556000231</t>
  </si>
  <si>
    <t>п лесоучастка Уста</t>
  </si>
  <si>
    <t>22556000236</t>
  </si>
  <si>
    <t>д Чалпайки</t>
  </si>
  <si>
    <t>22556000241</t>
  </si>
  <si>
    <t>д Чура</t>
  </si>
  <si>
    <t>22556000246</t>
  </si>
  <si>
    <t>д Зинки</t>
  </si>
  <si>
    <t>22556000251</t>
  </si>
  <si>
    <t>22556000256</t>
  </si>
  <si>
    <t>д Козлянур</t>
  </si>
  <si>
    <t>22556000261</t>
  </si>
  <si>
    <t>д Красновка</t>
  </si>
  <si>
    <t>22556000266</t>
  </si>
  <si>
    <t>д Кудрявка</t>
  </si>
  <si>
    <t>22556000271</t>
  </si>
  <si>
    <t>с Кушнур</t>
  </si>
  <si>
    <t>22556000276</t>
  </si>
  <si>
    <t>д Первое Гусево</t>
  </si>
  <si>
    <t>22556000281</t>
  </si>
  <si>
    <t>д Преображенка</t>
  </si>
  <si>
    <t>22556000286</t>
  </si>
  <si>
    <t>д Рогожники</t>
  </si>
  <si>
    <t>22556000291</t>
  </si>
  <si>
    <t>д Бахтино</t>
  </si>
  <si>
    <t>22556000296</t>
  </si>
  <si>
    <t>д Большие Килимары</t>
  </si>
  <si>
    <t>22556000301</t>
  </si>
  <si>
    <t>д Большое Доброво</t>
  </si>
  <si>
    <t>22556000306</t>
  </si>
  <si>
    <t>д Верхнее Самойлово</t>
  </si>
  <si>
    <t>22556000311</t>
  </si>
  <si>
    <t>д Ермолино</t>
  </si>
  <si>
    <t>22556000316</t>
  </si>
  <si>
    <t>д Коммунар</t>
  </si>
  <si>
    <t>22556000321</t>
  </si>
  <si>
    <t>д Королево</t>
  </si>
  <si>
    <t>22556000326</t>
  </si>
  <si>
    <t>22556000331</t>
  </si>
  <si>
    <t>д Куклино</t>
  </si>
  <si>
    <t>22556000336</t>
  </si>
  <si>
    <t>д Малое Зверево</t>
  </si>
  <si>
    <t>22556000341</t>
  </si>
  <si>
    <t>д Малые Килимары</t>
  </si>
  <si>
    <t>22556000346</t>
  </si>
  <si>
    <t>22556000351</t>
  </si>
  <si>
    <t>д Москвино</t>
  </si>
  <si>
    <t>22556000356</t>
  </si>
  <si>
    <t>д Нижнее Самойлово</t>
  </si>
  <si>
    <t>22556000361</t>
  </si>
  <si>
    <t>д Первое Кузнецово</t>
  </si>
  <si>
    <t>22556000366</t>
  </si>
  <si>
    <t>д Поздеево</t>
  </si>
  <si>
    <t>22556000371</t>
  </si>
  <si>
    <t>д Посташ</t>
  </si>
  <si>
    <t>22556000376</t>
  </si>
  <si>
    <t>с Роженцово</t>
  </si>
  <si>
    <t>22556000381</t>
  </si>
  <si>
    <t>д Свинцово</t>
  </si>
  <si>
    <t>22556000386</t>
  </si>
  <si>
    <t>22556000391</t>
  </si>
  <si>
    <t>д Фоминские</t>
  </si>
  <si>
    <t>22556000396</t>
  </si>
  <si>
    <t>д Шалагино</t>
  </si>
  <si>
    <t>22556000401</t>
  </si>
  <si>
    <t>д Барышники</t>
  </si>
  <si>
    <t>22556000406</t>
  </si>
  <si>
    <t>д Вторые Николаевские</t>
  </si>
  <si>
    <t>22556000411</t>
  </si>
  <si>
    <t>д Керганы</t>
  </si>
  <si>
    <t>22556000416</t>
  </si>
  <si>
    <t>д Копытенки</t>
  </si>
  <si>
    <t>22556000421</t>
  </si>
  <si>
    <t>д Курзеня</t>
  </si>
  <si>
    <t>22556000426</t>
  </si>
  <si>
    <t>д Новоселово</t>
  </si>
  <si>
    <t>22556000431</t>
  </si>
  <si>
    <t>п Пиштань</t>
  </si>
  <si>
    <t>22556000436</t>
  </si>
  <si>
    <t>с Старая Рудка</t>
  </si>
  <si>
    <t>22556000441</t>
  </si>
  <si>
    <t>д Суслово</t>
  </si>
  <si>
    <t>22556000446</t>
  </si>
  <si>
    <t>д Сысуи</t>
  </si>
  <si>
    <t>22556000451</t>
  </si>
  <si>
    <t>д Танайка</t>
  </si>
  <si>
    <t>22556000456</t>
  </si>
  <si>
    <t>д Торопово</t>
  </si>
  <si>
    <t>22556000461</t>
  </si>
  <si>
    <t>д Чезганы</t>
  </si>
  <si>
    <t>22556000466</t>
  </si>
  <si>
    <t>д Щекотово</t>
  </si>
  <si>
    <t>22556000471</t>
  </si>
  <si>
    <t>д Второе Гусево</t>
  </si>
  <si>
    <t>22556000476</t>
  </si>
  <si>
    <t>д Качеево</t>
  </si>
  <si>
    <t>22556000481</t>
  </si>
  <si>
    <t>д Лоскутово</t>
  </si>
  <si>
    <t>22556000486</t>
  </si>
  <si>
    <t>д Макарково</t>
  </si>
  <si>
    <t>22556000491</t>
  </si>
  <si>
    <t>д Марс</t>
  </si>
  <si>
    <t>22556000496</t>
  </si>
  <si>
    <t>д Морозово</t>
  </si>
  <si>
    <t>22556000501</t>
  </si>
  <si>
    <t>д Мосуново</t>
  </si>
  <si>
    <t>22556000506</t>
  </si>
  <si>
    <t>д Пайдушево</t>
  </si>
  <si>
    <t>22556000511</t>
  </si>
  <si>
    <t>д Полозово</t>
  </si>
  <si>
    <t>22556000516</t>
  </si>
  <si>
    <t>д Туманка</t>
  </si>
  <si>
    <t>22556000521</t>
  </si>
  <si>
    <t>д Чемоданово</t>
  </si>
  <si>
    <t>22556000526</t>
  </si>
  <si>
    <t>д Черномуж</t>
  </si>
  <si>
    <t>22556000531</t>
  </si>
  <si>
    <t>д Астанчурга</t>
  </si>
  <si>
    <t>22556000536</t>
  </si>
  <si>
    <t>22556000541</t>
  </si>
  <si>
    <t>д Лежнино</t>
  </si>
  <si>
    <t>22556000546</t>
  </si>
  <si>
    <t>д Макаровские</t>
  </si>
  <si>
    <t>22556000551</t>
  </si>
  <si>
    <t>д Малая Уста</t>
  </si>
  <si>
    <t>22556000556</t>
  </si>
  <si>
    <t>д Тишкино</t>
  </si>
  <si>
    <t>22556000561</t>
  </si>
  <si>
    <t>д Тунемер</t>
  </si>
  <si>
    <t>22556000566</t>
  </si>
  <si>
    <t>с Щенники</t>
  </si>
  <si>
    <t>22557000051</t>
  </si>
  <si>
    <t>рп Шатки</t>
  </si>
  <si>
    <t>22557000053</t>
  </si>
  <si>
    <t>рп Лесогорск</t>
  </si>
  <si>
    <t>22557000106</t>
  </si>
  <si>
    <t>п участка № 3 свх "Власть Советов"</t>
  </si>
  <si>
    <t>22557000111</t>
  </si>
  <si>
    <t>п Александровский</t>
  </si>
  <si>
    <t>22557000116</t>
  </si>
  <si>
    <t>с Алемаево</t>
  </si>
  <si>
    <t>22557000121</t>
  </si>
  <si>
    <t>д Анненково</t>
  </si>
  <si>
    <t>22557000126</t>
  </si>
  <si>
    <t>с Архангельское</t>
  </si>
  <si>
    <t>22557000131</t>
  </si>
  <si>
    <t>п Богдановка</t>
  </si>
  <si>
    <t>22557000136</t>
  </si>
  <si>
    <t>с Большие Печерки</t>
  </si>
  <si>
    <t>22557000141</t>
  </si>
  <si>
    <t>с Бритово</t>
  </si>
  <si>
    <t>22557000146</t>
  </si>
  <si>
    <t>с Быков Майдан</t>
  </si>
  <si>
    <t>22557000151</t>
  </si>
  <si>
    <t>22557000156</t>
  </si>
  <si>
    <t>с Вечкусово</t>
  </si>
  <si>
    <t>22557000161</t>
  </si>
  <si>
    <t>22557000166</t>
  </si>
  <si>
    <t>д Гаврилово</t>
  </si>
  <si>
    <t>22557000171</t>
  </si>
  <si>
    <t>22557000176</t>
  </si>
  <si>
    <t>п Знаменский</t>
  </si>
  <si>
    <t>22557000181</t>
  </si>
  <si>
    <t>с Измайлово</t>
  </si>
  <si>
    <t>22557000186</t>
  </si>
  <si>
    <t>с Калапино</t>
  </si>
  <si>
    <t>22557000191</t>
  </si>
  <si>
    <t>п Калиновка</t>
  </si>
  <si>
    <t>22557000196</t>
  </si>
  <si>
    <t>с Кардавиль</t>
  </si>
  <si>
    <t>22557000201</t>
  </si>
  <si>
    <t>с Кержемок</t>
  </si>
  <si>
    <t>22557000206</t>
  </si>
  <si>
    <t>с Кирманы</t>
  </si>
  <si>
    <t>22557000211</t>
  </si>
  <si>
    <t>22557000216</t>
  </si>
  <si>
    <t>с Корино</t>
  </si>
  <si>
    <t>22557000221</t>
  </si>
  <si>
    <t>с Костянка</t>
  </si>
  <si>
    <t>22557000226</t>
  </si>
  <si>
    <t>22557000231</t>
  </si>
  <si>
    <t>22557000236</t>
  </si>
  <si>
    <t>д Красные Выселки</t>
  </si>
  <si>
    <t>22557000241</t>
  </si>
  <si>
    <t>п Красный Бор</t>
  </si>
  <si>
    <t>22557000246</t>
  </si>
  <si>
    <t>22557000251</t>
  </si>
  <si>
    <t>п.ст Лесогорск</t>
  </si>
  <si>
    <t>22557000256</t>
  </si>
  <si>
    <t>п Лесозавод</t>
  </si>
  <si>
    <t>22557000261</t>
  </si>
  <si>
    <t>с Луканово</t>
  </si>
  <si>
    <t>22557000266</t>
  </si>
  <si>
    <t>с Малая Якшень</t>
  </si>
  <si>
    <t>22557000271</t>
  </si>
  <si>
    <t>д Малые Печерки</t>
  </si>
  <si>
    <t>22557000276</t>
  </si>
  <si>
    <t>22557000281</t>
  </si>
  <si>
    <t>с Михайловка</t>
  </si>
  <si>
    <t>22557000286</t>
  </si>
  <si>
    <t>с Неледино</t>
  </si>
  <si>
    <t>22557000291</t>
  </si>
  <si>
    <t>22557000296</t>
  </si>
  <si>
    <t>с Новое Иванцево</t>
  </si>
  <si>
    <t>22557000301</t>
  </si>
  <si>
    <t>22557000306</t>
  </si>
  <si>
    <t>с Паново</t>
  </si>
  <si>
    <t>22557000311</t>
  </si>
  <si>
    <t>с Пасьяново</t>
  </si>
  <si>
    <t>22557000316</t>
  </si>
  <si>
    <t>п Покровка</t>
  </si>
  <si>
    <t>22557000321</t>
  </si>
  <si>
    <t>с Понетаевка</t>
  </si>
  <si>
    <t>22557000326</t>
  </si>
  <si>
    <t>22557000331</t>
  </si>
  <si>
    <t>с Путятино</t>
  </si>
  <si>
    <t>22557000336</t>
  </si>
  <si>
    <t>22557000341</t>
  </si>
  <si>
    <t>д Свербино</t>
  </si>
  <si>
    <t>22557000346</t>
  </si>
  <si>
    <t>п Светлогорск</t>
  </si>
  <si>
    <t>22557000351</t>
  </si>
  <si>
    <t>п Свободный Труд</t>
  </si>
  <si>
    <t>22557000356</t>
  </si>
  <si>
    <t>с Силино</t>
  </si>
  <si>
    <t>22557000361</t>
  </si>
  <si>
    <t>д Силинский Майдан</t>
  </si>
  <si>
    <t>22557000366</t>
  </si>
  <si>
    <t>22557000371</t>
  </si>
  <si>
    <t>п Сосновый Бор</t>
  </si>
  <si>
    <t>22557000376</t>
  </si>
  <si>
    <t>22557000381</t>
  </si>
  <si>
    <t>с Старое Иванцево</t>
  </si>
  <si>
    <t>22557000386</t>
  </si>
  <si>
    <t>с Тоузаково</t>
  </si>
  <si>
    <t>22557000391</t>
  </si>
  <si>
    <t>д Трянгуши</t>
  </si>
  <si>
    <t>22557000396</t>
  </si>
  <si>
    <t>д Уланки</t>
  </si>
  <si>
    <t>22557000401</t>
  </si>
  <si>
    <t>с Хирино</t>
  </si>
  <si>
    <t>22557000406</t>
  </si>
  <si>
    <t>п Хиринские Выселки</t>
  </si>
  <si>
    <t>22557000411</t>
  </si>
  <si>
    <t>д Чапары</t>
  </si>
  <si>
    <t>22557000416</t>
  </si>
  <si>
    <t>п Чистое Поле</t>
  </si>
  <si>
    <t>22557000421</t>
  </si>
  <si>
    <t>с Шарапово</t>
  </si>
  <si>
    <t>22557000426</t>
  </si>
  <si>
    <t>22701000001</t>
  </si>
  <si>
    <t>г Нижний Новгород</t>
  </si>
  <si>
    <t>22701000056</t>
  </si>
  <si>
    <t>кп Зеленый Город</t>
  </si>
  <si>
    <t>22701000106</t>
  </si>
  <si>
    <t>п Березовая Пойма</t>
  </si>
  <si>
    <t>22701000111</t>
  </si>
  <si>
    <t>д Бешенцево</t>
  </si>
  <si>
    <t>22701000116</t>
  </si>
  <si>
    <t>д Ближнеконстантиново</t>
  </si>
  <si>
    <t>22701000121</t>
  </si>
  <si>
    <t>22701000126</t>
  </si>
  <si>
    <t>п Луч</t>
  </si>
  <si>
    <t>22701000131</t>
  </si>
  <si>
    <t>д Ляхово</t>
  </si>
  <si>
    <t>22701000136</t>
  </si>
  <si>
    <t>д Мордвинцево</t>
  </si>
  <si>
    <t>22701000141</t>
  </si>
  <si>
    <t>22701000146</t>
  </si>
  <si>
    <t>22701000151</t>
  </si>
  <si>
    <t>22701000156</t>
  </si>
  <si>
    <t>сл Подновье</t>
  </si>
  <si>
    <t>22701000161</t>
  </si>
  <si>
    <t>п учхоза "Пригородный"</t>
  </si>
  <si>
    <t>22701000166</t>
  </si>
  <si>
    <t>22701000171</t>
  </si>
  <si>
    <t>22701000176</t>
  </si>
  <si>
    <t>п Кудьма</t>
  </si>
  <si>
    <t>22701000181</t>
  </si>
  <si>
    <t>д Кусаковка</t>
  </si>
  <si>
    <t>22701000186</t>
  </si>
  <si>
    <t>д Новопавловка</t>
  </si>
  <si>
    <t>22701000191</t>
  </si>
  <si>
    <t>д Ромашково</t>
  </si>
  <si>
    <t>22701000196</t>
  </si>
  <si>
    <t>д Сартаково</t>
  </si>
  <si>
    <t>22703000001</t>
  </si>
  <si>
    <t>г Арзамас</t>
  </si>
  <si>
    <t>22703000053</t>
  </si>
  <si>
    <t>рп Выездное</t>
  </si>
  <si>
    <t>22703000106</t>
  </si>
  <si>
    <t>с Абрамово</t>
  </si>
  <si>
    <t>22703000111</t>
  </si>
  <si>
    <t>д Балахониха</t>
  </si>
  <si>
    <t>22703000116</t>
  </si>
  <si>
    <t>п Балахониха</t>
  </si>
  <si>
    <t>22703000121</t>
  </si>
  <si>
    <t>д Бебяево</t>
  </si>
  <si>
    <t>22703000126</t>
  </si>
  <si>
    <t>с Беговатово</t>
  </si>
  <si>
    <t>22703000131</t>
  </si>
  <si>
    <t>д Белозерье</t>
  </si>
  <si>
    <t>22703000136</t>
  </si>
  <si>
    <t>22703000141</t>
  </si>
  <si>
    <t>с Бестужево</t>
  </si>
  <si>
    <t>22703000146</t>
  </si>
  <si>
    <t>с Большое Туманово</t>
  </si>
  <si>
    <t>22703000151</t>
  </si>
  <si>
    <t>с Булдаково</t>
  </si>
  <si>
    <t>22703000156</t>
  </si>
  <si>
    <t>22703000161</t>
  </si>
  <si>
    <t>с Васильев Враг</t>
  </si>
  <si>
    <t>22703000166</t>
  </si>
  <si>
    <t>д Вацкое</t>
  </si>
  <si>
    <t>22703000171</t>
  </si>
  <si>
    <t>с Веригино</t>
  </si>
  <si>
    <t>22703000176</t>
  </si>
  <si>
    <t>с Верижки</t>
  </si>
  <si>
    <t>22703000181</t>
  </si>
  <si>
    <t>22703000186</t>
  </si>
  <si>
    <t>с Виняево</t>
  </si>
  <si>
    <t>22703000191</t>
  </si>
  <si>
    <t>с Водоватово</t>
  </si>
  <si>
    <t>22703000196</t>
  </si>
  <si>
    <t>22703000201</t>
  </si>
  <si>
    <t>с Волчиха</t>
  </si>
  <si>
    <t>22703000206</t>
  </si>
  <si>
    <t>с Волчихинский Майдан</t>
  </si>
  <si>
    <t>22703000211</t>
  </si>
  <si>
    <t>с Вторусское</t>
  </si>
  <si>
    <t>22703000216</t>
  </si>
  <si>
    <t>д Забелино</t>
  </si>
  <si>
    <t>22703000221</t>
  </si>
  <si>
    <t>с Замятино</t>
  </si>
  <si>
    <t>22703000226</t>
  </si>
  <si>
    <t>22703000231</t>
  </si>
  <si>
    <t>д Исупово</t>
  </si>
  <si>
    <t>22703000236</t>
  </si>
  <si>
    <t>22703000241</t>
  </si>
  <si>
    <t>22703000246</t>
  </si>
  <si>
    <t>с Кирилловка</t>
  </si>
  <si>
    <t>22703000251</t>
  </si>
  <si>
    <t>с Кичанзино</t>
  </si>
  <si>
    <t>22703000256</t>
  </si>
  <si>
    <t>д Князевка</t>
  </si>
  <si>
    <t>22703000261</t>
  </si>
  <si>
    <t>с Ковакса</t>
  </si>
  <si>
    <t>22703000266</t>
  </si>
  <si>
    <t>с Кожино</t>
  </si>
  <si>
    <t>22703000271</t>
  </si>
  <si>
    <t>д Кокаревка</t>
  </si>
  <si>
    <t>22703000276</t>
  </si>
  <si>
    <t>с Костылиха</t>
  </si>
  <si>
    <t>22703000281</t>
  </si>
  <si>
    <t>п.ст Костылиха</t>
  </si>
  <si>
    <t>22703000286</t>
  </si>
  <si>
    <t>с Котиха</t>
  </si>
  <si>
    <t>22703000291</t>
  </si>
  <si>
    <t>д Красная Поляна</t>
  </si>
  <si>
    <t>22703000296</t>
  </si>
  <si>
    <t>22703000301</t>
  </si>
  <si>
    <t>22703000306</t>
  </si>
  <si>
    <t>с Кузьмин Усад</t>
  </si>
  <si>
    <t>22703000311</t>
  </si>
  <si>
    <t>с Ленинское</t>
  </si>
  <si>
    <t>22703000316</t>
  </si>
  <si>
    <t>д Лидовка</t>
  </si>
  <si>
    <t>22703000321</t>
  </si>
  <si>
    <t>с Ломовка</t>
  </si>
  <si>
    <t>22703000326</t>
  </si>
  <si>
    <t>п Ломовка</t>
  </si>
  <si>
    <t>22703000331</t>
  </si>
  <si>
    <t>д Малое Туманово</t>
  </si>
  <si>
    <t>22703000336</t>
  </si>
  <si>
    <t>22703000341</t>
  </si>
  <si>
    <t>с Медынцево</t>
  </si>
  <si>
    <t>22703000346</t>
  </si>
  <si>
    <t>д Меньщиково</t>
  </si>
  <si>
    <t>22703000351</t>
  </si>
  <si>
    <t>д Мерлино</t>
  </si>
  <si>
    <t>22703000356</t>
  </si>
  <si>
    <t>с Морозовка</t>
  </si>
  <si>
    <t>22703000361</t>
  </si>
  <si>
    <t>с Мотовилово</t>
  </si>
  <si>
    <t>22703000366</t>
  </si>
  <si>
    <t>с Наумовка</t>
  </si>
  <si>
    <t>22703000371</t>
  </si>
  <si>
    <t>22703000376</t>
  </si>
  <si>
    <t>д Новая Слобода</t>
  </si>
  <si>
    <t>22703000381</t>
  </si>
  <si>
    <t>22703000386</t>
  </si>
  <si>
    <t>22703000391</t>
  </si>
  <si>
    <t>22703000396</t>
  </si>
  <si>
    <t>22703000401</t>
  </si>
  <si>
    <t>д Охлопково</t>
  </si>
  <si>
    <t>22703000406</t>
  </si>
  <si>
    <t>с Панфилово</t>
  </si>
  <si>
    <t>22703000411</t>
  </si>
  <si>
    <t>с Пешелань</t>
  </si>
  <si>
    <t>22703000416</t>
  </si>
  <si>
    <t>п Пешелань</t>
  </si>
  <si>
    <t>22703000421</t>
  </si>
  <si>
    <t>с Питер</t>
  </si>
  <si>
    <t>22703000426</t>
  </si>
  <si>
    <t>д Пиявочное</t>
  </si>
  <si>
    <t>22703000431</t>
  </si>
  <si>
    <t>22703000436</t>
  </si>
  <si>
    <t>с Пологовка</t>
  </si>
  <si>
    <t>22703000441</t>
  </si>
  <si>
    <t>п.ст Пологовка</t>
  </si>
  <si>
    <t>22703000446</t>
  </si>
  <si>
    <t>п Поляна</t>
  </si>
  <si>
    <t>22703000451</t>
  </si>
  <si>
    <t>п Пошатово</t>
  </si>
  <si>
    <t>22703000456</t>
  </si>
  <si>
    <t>с Протопоповка</t>
  </si>
  <si>
    <t>22703000461</t>
  </si>
  <si>
    <t>с Пустынь</t>
  </si>
  <si>
    <t>22703000466</t>
  </si>
  <si>
    <t>с Пушкарка</t>
  </si>
  <si>
    <t>22703000471</t>
  </si>
  <si>
    <t>с Пятницы</t>
  </si>
  <si>
    <t>22703000476</t>
  </si>
  <si>
    <t>с Рождественский Майдан</t>
  </si>
  <si>
    <t>22703000481</t>
  </si>
  <si>
    <t>с Саблуково</t>
  </si>
  <si>
    <t>22703000486</t>
  </si>
  <si>
    <t>д Сады</t>
  </si>
  <si>
    <t>22703000491</t>
  </si>
  <si>
    <t>д Сальниково</t>
  </si>
  <si>
    <t>22703000496</t>
  </si>
  <si>
    <t>п Свобода</t>
  </si>
  <si>
    <t>22703000501</t>
  </si>
  <si>
    <t>д Свободная</t>
  </si>
  <si>
    <t>22703000506</t>
  </si>
  <si>
    <t>с Селема</t>
  </si>
  <si>
    <t>22703000511</t>
  </si>
  <si>
    <t>с Селякино</t>
  </si>
  <si>
    <t>22703000516</t>
  </si>
  <si>
    <t>22703000521</t>
  </si>
  <si>
    <t>с Скорятино</t>
  </si>
  <si>
    <t>22703000526</t>
  </si>
  <si>
    <t>п.ст Слезавка</t>
  </si>
  <si>
    <t>22703000531</t>
  </si>
  <si>
    <t>с Слизнево</t>
  </si>
  <si>
    <t>22703000536</t>
  </si>
  <si>
    <t>п Соловейка</t>
  </si>
  <si>
    <t>22703000541</t>
  </si>
  <si>
    <t>п Старая Пустынь</t>
  </si>
  <si>
    <t>22703000546</t>
  </si>
  <si>
    <t>с Степаново</t>
  </si>
  <si>
    <t>22703000551</t>
  </si>
  <si>
    <t>д Судеб</t>
  </si>
  <si>
    <t>22703000556</t>
  </si>
  <si>
    <t>д Тамаевка</t>
  </si>
  <si>
    <t>22703000561</t>
  </si>
  <si>
    <t>п рзд Трактовый</t>
  </si>
  <si>
    <t>22703000566</t>
  </si>
  <si>
    <t>п Троицкий Скит</t>
  </si>
  <si>
    <t>22703000571</t>
  </si>
  <si>
    <t>д Успенское 1-е</t>
  </si>
  <si>
    <t>22703000576</t>
  </si>
  <si>
    <t>д Успенское 2-е</t>
  </si>
  <si>
    <t>22703000581</t>
  </si>
  <si>
    <t>с Хватовка</t>
  </si>
  <si>
    <t>22703000586</t>
  </si>
  <si>
    <t>п Черемас</t>
  </si>
  <si>
    <t>22703000591</t>
  </si>
  <si>
    <t>22703000596</t>
  </si>
  <si>
    <t>с Четвертаково</t>
  </si>
  <si>
    <t>22703000601</t>
  </si>
  <si>
    <t>д Чуварлейка</t>
  </si>
  <si>
    <t>22703000611</t>
  </si>
  <si>
    <t>с Шатовка</t>
  </si>
  <si>
    <t>22703000616</t>
  </si>
  <si>
    <t>п 2-го участка свх "Шатовский"</t>
  </si>
  <si>
    <t>22703000621</t>
  </si>
  <si>
    <t>22703000626</t>
  </si>
  <si>
    <t>с Шерстино</t>
  </si>
  <si>
    <t>22704000001</t>
  </si>
  <si>
    <t>г Саров</t>
  </si>
  <si>
    <t>22712000001</t>
  </si>
  <si>
    <t>г Бор</t>
  </si>
  <si>
    <t>22712000106</t>
  </si>
  <si>
    <t>д Белкино</t>
  </si>
  <si>
    <t>22712000108</t>
  </si>
  <si>
    <t>22712000110</t>
  </si>
  <si>
    <t>д Богдашево</t>
  </si>
  <si>
    <t>22712000112</t>
  </si>
  <si>
    <t>22712000114</t>
  </si>
  <si>
    <t>д Васильково</t>
  </si>
  <si>
    <t>22712000116</t>
  </si>
  <si>
    <t>22712000118</t>
  </si>
  <si>
    <t>22712000120</t>
  </si>
  <si>
    <t>д Дроздово</t>
  </si>
  <si>
    <t>22712000122</t>
  </si>
  <si>
    <t>д Елькино</t>
  </si>
  <si>
    <t>22712000124</t>
  </si>
  <si>
    <t>д Запрудное</t>
  </si>
  <si>
    <t>22712000126</t>
  </si>
  <si>
    <t>д Зуево</t>
  </si>
  <si>
    <t>22712000128</t>
  </si>
  <si>
    <t>22712000130</t>
  </si>
  <si>
    <t>с Кантаурово</t>
  </si>
  <si>
    <t>22712000132</t>
  </si>
  <si>
    <t>22712000134</t>
  </si>
  <si>
    <t>д Косарево</t>
  </si>
  <si>
    <t>22712000136</t>
  </si>
  <si>
    <t>22712000138</t>
  </si>
  <si>
    <t>д Лебяжье</t>
  </si>
  <si>
    <t>22712000140</t>
  </si>
  <si>
    <t>д Линдо-Пустынь</t>
  </si>
  <si>
    <t>22712000142</t>
  </si>
  <si>
    <t>д Линдо-Усад</t>
  </si>
  <si>
    <t>22712000144</t>
  </si>
  <si>
    <t>д Малое Ситниково</t>
  </si>
  <si>
    <t>22712000146</t>
  </si>
  <si>
    <t>22712000148</t>
  </si>
  <si>
    <t>22712000150</t>
  </si>
  <si>
    <t>22712000152</t>
  </si>
  <si>
    <t>д Нагаево</t>
  </si>
  <si>
    <t>22712000154</t>
  </si>
  <si>
    <t>22712000156</t>
  </si>
  <si>
    <t>д Никольское</t>
  </si>
  <si>
    <t>22712000158</t>
  </si>
  <si>
    <t>д Оголихино</t>
  </si>
  <si>
    <t>22712000160</t>
  </si>
  <si>
    <t>д Охлобыстино</t>
  </si>
  <si>
    <t>22712000162</t>
  </si>
  <si>
    <t>22712000164</t>
  </si>
  <si>
    <t>д Петухово</t>
  </si>
  <si>
    <t>22712000166</t>
  </si>
  <si>
    <t>д Подкопайки</t>
  </si>
  <si>
    <t>22712000168</t>
  </si>
  <si>
    <t>д Подрезово</t>
  </si>
  <si>
    <t>22712000170</t>
  </si>
  <si>
    <t>22712000172</t>
  </si>
  <si>
    <t>д Приклонное</t>
  </si>
  <si>
    <t>22712000174</t>
  </si>
  <si>
    <t>д Рекшино</t>
  </si>
  <si>
    <t>22712000176</t>
  </si>
  <si>
    <t>д Санда</t>
  </si>
  <si>
    <t>22712000178</t>
  </si>
  <si>
    <t>22712000180</t>
  </si>
  <si>
    <t>д Соколово</t>
  </si>
  <si>
    <t>22712000182</t>
  </si>
  <si>
    <t>д Соловково</t>
  </si>
  <si>
    <t>22712000184</t>
  </si>
  <si>
    <t>22712000186</t>
  </si>
  <si>
    <t>д Сырохватово</t>
  </si>
  <si>
    <t>22712000188</t>
  </si>
  <si>
    <t>д Тайное</t>
  </si>
  <si>
    <t>22712000190</t>
  </si>
  <si>
    <t>д Тюрино</t>
  </si>
  <si>
    <t>22712000192</t>
  </si>
  <si>
    <t>д Узлово</t>
  </si>
  <si>
    <t>22712000194</t>
  </si>
  <si>
    <t>д Ульяново</t>
  </si>
  <si>
    <t>22712000196</t>
  </si>
  <si>
    <t>22712000198</t>
  </si>
  <si>
    <t>д Филипповское</t>
  </si>
  <si>
    <t>22712000200</t>
  </si>
  <si>
    <t>д Шлыково</t>
  </si>
  <si>
    <t>22712000202</t>
  </si>
  <si>
    <t>п Шпалозавода</t>
  </si>
  <si>
    <t>22712000204</t>
  </si>
  <si>
    <t>д Шубино</t>
  </si>
  <si>
    <t>22712000206</t>
  </si>
  <si>
    <t>д Яблонное</t>
  </si>
  <si>
    <t>22712000208</t>
  </si>
  <si>
    <t>д Апраксино</t>
  </si>
  <si>
    <t>22712000210</t>
  </si>
  <si>
    <t>22712000212</t>
  </si>
  <si>
    <t>22712000214</t>
  </si>
  <si>
    <t>д Большое Уткино</t>
  </si>
  <si>
    <t>22712000216</t>
  </si>
  <si>
    <t>д Варначево</t>
  </si>
  <si>
    <t>22712000218</t>
  </si>
  <si>
    <t>22712000220</t>
  </si>
  <si>
    <t>22712000222</t>
  </si>
  <si>
    <t>22712000224</t>
  </si>
  <si>
    <t>д Горелово</t>
  </si>
  <si>
    <t>22712000226</t>
  </si>
  <si>
    <t>с Городищи</t>
  </si>
  <si>
    <t>22712000228</t>
  </si>
  <si>
    <t>22712000230</t>
  </si>
  <si>
    <t>22712000232</t>
  </si>
  <si>
    <t>д Ежово</t>
  </si>
  <si>
    <t>22712000234</t>
  </si>
  <si>
    <t>22712000236</t>
  </si>
  <si>
    <t>д Ивановское</t>
  </si>
  <si>
    <t>22712000238</t>
  </si>
  <si>
    <t>д Ивонькино</t>
  </si>
  <si>
    <t>22712000240</t>
  </si>
  <si>
    <t>д Ильинское</t>
  </si>
  <si>
    <t>22712000242</t>
  </si>
  <si>
    <t>п Керженец</t>
  </si>
  <si>
    <t>22712000244</t>
  </si>
  <si>
    <t>д Княжево</t>
  </si>
  <si>
    <t>22712000246</t>
  </si>
  <si>
    <t>д Кольцово</t>
  </si>
  <si>
    <t>22712000248</t>
  </si>
  <si>
    <t>д Коринка</t>
  </si>
  <si>
    <t>22712000250</t>
  </si>
  <si>
    <t>д Красная Слобода</t>
  </si>
  <si>
    <t>22712000252</t>
  </si>
  <si>
    <t>22712000254</t>
  </si>
  <si>
    <t>22712000256</t>
  </si>
  <si>
    <t>22712000258</t>
  </si>
  <si>
    <t>д Макарово</t>
  </si>
  <si>
    <t>22712000260</t>
  </si>
  <si>
    <t>д Малое Уткино</t>
  </si>
  <si>
    <t>22712000262</t>
  </si>
  <si>
    <t>д Мякотинское</t>
  </si>
  <si>
    <t>22712000264</t>
  </si>
  <si>
    <t>22712000266</t>
  </si>
  <si>
    <t>д Оманово</t>
  </si>
  <si>
    <t>22712000268</t>
  </si>
  <si>
    <t>22712000270</t>
  </si>
  <si>
    <t>д Останкино</t>
  </si>
  <si>
    <t>22712000272</t>
  </si>
  <si>
    <t>д Пикино</t>
  </si>
  <si>
    <t>22712000274</t>
  </si>
  <si>
    <t>д Пикинские Гривы</t>
  </si>
  <si>
    <t>22712000276</t>
  </si>
  <si>
    <t>п Пионерский</t>
  </si>
  <si>
    <t>22712000278</t>
  </si>
  <si>
    <t>д Побегайки</t>
  </si>
  <si>
    <t>22712000280</t>
  </si>
  <si>
    <t>22712000282</t>
  </si>
  <si>
    <t>д Потемино</t>
  </si>
  <si>
    <t>22712000284</t>
  </si>
  <si>
    <t>п Приречный</t>
  </si>
  <si>
    <t>22712000286</t>
  </si>
  <si>
    <t>с Развилье</t>
  </si>
  <si>
    <t>22712000288</t>
  </si>
  <si>
    <t>д Разгуляйки</t>
  </si>
  <si>
    <t>22712000290</t>
  </si>
  <si>
    <t>22712000292</t>
  </si>
  <si>
    <t>22712000294</t>
  </si>
  <si>
    <t>д Сверчково</t>
  </si>
  <si>
    <t>22712000296</t>
  </si>
  <si>
    <t>д Свободное</t>
  </si>
  <si>
    <t>22712000298</t>
  </si>
  <si>
    <t>д Селищи</t>
  </si>
  <si>
    <t>22712000300</t>
  </si>
  <si>
    <t>д Сунгурово</t>
  </si>
  <si>
    <t>22712000302</t>
  </si>
  <si>
    <t>22712000304</t>
  </si>
  <si>
    <t>д Трубниково</t>
  </si>
  <si>
    <t>22712000306</t>
  </si>
  <si>
    <t>д Чистяки</t>
  </si>
  <si>
    <t>22712000308</t>
  </si>
  <si>
    <t>д Шерстнево</t>
  </si>
  <si>
    <t>22712000310</t>
  </si>
  <si>
    <t>д Шехонка</t>
  </si>
  <si>
    <t>22712000312</t>
  </si>
  <si>
    <t>д Юрасово</t>
  </si>
  <si>
    <t>22712000314</t>
  </si>
  <si>
    <t>22712000316</t>
  </si>
  <si>
    <t>д Архипово</t>
  </si>
  <si>
    <t>22712000318</t>
  </si>
  <si>
    <t>д Афанасовка</t>
  </si>
  <si>
    <t>22712000320</t>
  </si>
  <si>
    <t>д Афанасово</t>
  </si>
  <si>
    <t>22712000322</t>
  </si>
  <si>
    <t>22712000324</t>
  </si>
  <si>
    <t>д Большая Захватиха</t>
  </si>
  <si>
    <t>22712000326</t>
  </si>
  <si>
    <t>д Большие Литвинки</t>
  </si>
  <si>
    <t>22712000328</t>
  </si>
  <si>
    <t>д Большое Покровское</t>
  </si>
  <si>
    <t>22712000330</t>
  </si>
  <si>
    <t>д Борисово</t>
  </si>
  <si>
    <t>22712000332</t>
  </si>
  <si>
    <t>д Боровица</t>
  </si>
  <si>
    <t>22712000334</t>
  </si>
  <si>
    <t>22712000336</t>
  </si>
  <si>
    <t>22712000338</t>
  </si>
  <si>
    <t>д Бузуйки</t>
  </si>
  <si>
    <t>22712000340</t>
  </si>
  <si>
    <t>22712000342</t>
  </si>
  <si>
    <t>д Быстрое</t>
  </si>
  <si>
    <t>22712000344</t>
  </si>
  <si>
    <t>д Валки</t>
  </si>
  <si>
    <t>22712000346</t>
  </si>
  <si>
    <t>д Верхнее</t>
  </si>
  <si>
    <t>22712000348</t>
  </si>
  <si>
    <t>22712000350</t>
  </si>
  <si>
    <t>22712000352</t>
  </si>
  <si>
    <t>22712000354</t>
  </si>
  <si>
    <t>22712000356</t>
  </si>
  <si>
    <t>д Вяловское</t>
  </si>
  <si>
    <t>22712000358</t>
  </si>
  <si>
    <t>д Ганино</t>
  </si>
  <si>
    <t>22712000360</t>
  </si>
  <si>
    <t>д Глазовка</t>
  </si>
  <si>
    <t>22712000362</t>
  </si>
  <si>
    <t>22712000364</t>
  </si>
  <si>
    <t>д Доенки</t>
  </si>
  <si>
    <t>22712000366</t>
  </si>
  <si>
    <t>д Дресвино</t>
  </si>
  <si>
    <t>22712000368</t>
  </si>
  <si>
    <t>с Дрюково</t>
  </si>
  <si>
    <t>22712000370</t>
  </si>
  <si>
    <t>22712000372</t>
  </si>
  <si>
    <t>д Журавли</t>
  </si>
  <si>
    <t>22712000374</t>
  </si>
  <si>
    <t>д Завражное</t>
  </si>
  <si>
    <t>22712000376</t>
  </si>
  <si>
    <t>д Залесная</t>
  </si>
  <si>
    <t>22712000378</t>
  </si>
  <si>
    <t>22712000380</t>
  </si>
  <si>
    <t>22712000382</t>
  </si>
  <si>
    <t>22712000384</t>
  </si>
  <si>
    <t>22712000386</t>
  </si>
  <si>
    <t>д Зинькино</t>
  </si>
  <si>
    <t>22712000388</t>
  </si>
  <si>
    <t>д Зоренки</t>
  </si>
  <si>
    <t>22712000390</t>
  </si>
  <si>
    <t>д Зрилки</t>
  </si>
  <si>
    <t>22712000392</t>
  </si>
  <si>
    <t>22712000394</t>
  </si>
  <si>
    <t>д Клеево</t>
  </si>
  <si>
    <t>22712000396</t>
  </si>
  <si>
    <t>д Клинцово</t>
  </si>
  <si>
    <t>22712000398</t>
  </si>
  <si>
    <t>д Коврово</t>
  </si>
  <si>
    <t>22712000400</t>
  </si>
  <si>
    <t>д Корелка</t>
  </si>
  <si>
    <t>22712000402</t>
  </si>
  <si>
    <t>22712000404</t>
  </si>
  <si>
    <t>д Красногорка</t>
  </si>
  <si>
    <t>22712000406</t>
  </si>
  <si>
    <t>д Красноярье</t>
  </si>
  <si>
    <t>22712000408</t>
  </si>
  <si>
    <t>д Кресты</t>
  </si>
  <si>
    <t>22712000410</t>
  </si>
  <si>
    <t>д Кривцово</t>
  </si>
  <si>
    <t>22712000412</t>
  </si>
  <si>
    <t>д Круглое</t>
  </si>
  <si>
    <t>22712000414</t>
  </si>
  <si>
    <t>22712000416</t>
  </si>
  <si>
    <t>22712000418</t>
  </si>
  <si>
    <t>д Кунавино</t>
  </si>
  <si>
    <t>22712000420</t>
  </si>
  <si>
    <t>с Линда</t>
  </si>
  <si>
    <t>22712000422</t>
  </si>
  <si>
    <t>д Лискино</t>
  </si>
  <si>
    <t>22712000424</t>
  </si>
  <si>
    <t>д Лунино</t>
  </si>
  <si>
    <t>22712000426</t>
  </si>
  <si>
    <t>д Малая Захватиха</t>
  </si>
  <si>
    <t>22712000428</t>
  </si>
  <si>
    <t>д Малое Покровское</t>
  </si>
  <si>
    <t>22712000430</t>
  </si>
  <si>
    <t>д Малые Литвинки</t>
  </si>
  <si>
    <t>22712000432</t>
  </si>
  <si>
    <t>д Мамакино</t>
  </si>
  <si>
    <t>22712000434</t>
  </si>
  <si>
    <t>д Матюшки</t>
  </si>
  <si>
    <t>22712000436</t>
  </si>
  <si>
    <t>д Милютино</t>
  </si>
  <si>
    <t>22712000438</t>
  </si>
  <si>
    <t>д Митюшино</t>
  </si>
  <si>
    <t>22712000440</t>
  </si>
  <si>
    <t>д Молостово</t>
  </si>
  <si>
    <t>22712000442</t>
  </si>
  <si>
    <t>д Мордвинки</t>
  </si>
  <si>
    <t>22712000444</t>
  </si>
  <si>
    <t>22712000446</t>
  </si>
  <si>
    <t>д Некрасово</t>
  </si>
  <si>
    <t>22712000448</t>
  </si>
  <si>
    <t>д Николино-Кулига</t>
  </si>
  <si>
    <t>22712000450</t>
  </si>
  <si>
    <t>22712000452</t>
  </si>
  <si>
    <t>д Ножово</t>
  </si>
  <si>
    <t>22712000454</t>
  </si>
  <si>
    <t>д Обмелюхино</t>
  </si>
  <si>
    <t>22712000456</t>
  </si>
  <si>
    <t>д Одинцы</t>
  </si>
  <si>
    <t>22712000458</t>
  </si>
  <si>
    <t>д Орешки</t>
  </si>
  <si>
    <t>22712000460</t>
  </si>
  <si>
    <t>д Осинки</t>
  </si>
  <si>
    <t>22712000462</t>
  </si>
  <si>
    <t>д Остреево</t>
  </si>
  <si>
    <t>22712000464</t>
  </si>
  <si>
    <t>22712000466</t>
  </si>
  <si>
    <t>д Пирогово</t>
  </si>
  <si>
    <t>22712000468</t>
  </si>
  <si>
    <t>д Плахино</t>
  </si>
  <si>
    <t>22712000470</t>
  </si>
  <si>
    <t>д Подлужки</t>
  </si>
  <si>
    <t>22712000472</t>
  </si>
  <si>
    <t>22712000474</t>
  </si>
  <si>
    <t>д Разливайки</t>
  </si>
  <si>
    <t>22712000476</t>
  </si>
  <si>
    <t>д Родимиха</t>
  </si>
  <si>
    <t>22712000478</t>
  </si>
  <si>
    <t>д Рябчиково</t>
  </si>
  <si>
    <t>22712000480</t>
  </si>
  <si>
    <t>д Святица</t>
  </si>
  <si>
    <t>22712000482</t>
  </si>
  <si>
    <t>д Скородумки</t>
  </si>
  <si>
    <t>22712000484</t>
  </si>
  <si>
    <t>д Слободское</t>
  </si>
  <si>
    <t>22712000486</t>
  </si>
  <si>
    <t>д Смышляйки</t>
  </si>
  <si>
    <t>22712000488</t>
  </si>
  <si>
    <t>д Соломатки</t>
  </si>
  <si>
    <t>22712000490</t>
  </si>
  <si>
    <t>22712000492</t>
  </si>
  <si>
    <t>п свх "Сормовский Пролетарий"</t>
  </si>
  <si>
    <t>22712000494</t>
  </si>
  <si>
    <t>д Сысаиха</t>
  </si>
  <si>
    <t>22712000496</t>
  </si>
  <si>
    <t>д Тузеево</t>
  </si>
  <si>
    <t>22712000498</t>
  </si>
  <si>
    <t>д Тюлени</t>
  </si>
  <si>
    <t>22712000500</t>
  </si>
  <si>
    <t>22712000502</t>
  </si>
  <si>
    <t>д Филимонцево</t>
  </si>
  <si>
    <t>22712000504</t>
  </si>
  <si>
    <t>д Хвалынки</t>
  </si>
  <si>
    <t>22712000506</t>
  </si>
  <si>
    <t>22712000508</t>
  </si>
  <si>
    <t>д Хрипуново</t>
  </si>
  <si>
    <t>22712000510</t>
  </si>
  <si>
    <t>д Чернолесская Пустынь</t>
  </si>
  <si>
    <t>22712000512</t>
  </si>
  <si>
    <t>22712000514</t>
  </si>
  <si>
    <t>22712000516</t>
  </si>
  <si>
    <t>22712000518</t>
  </si>
  <si>
    <t>22712000520</t>
  </si>
  <si>
    <t>п Березовский</t>
  </si>
  <si>
    <t>22712000522</t>
  </si>
  <si>
    <t>д Блохино</t>
  </si>
  <si>
    <t>22712000524</t>
  </si>
  <si>
    <t>п Большеорловское</t>
  </si>
  <si>
    <t>22712000526</t>
  </si>
  <si>
    <t>п Ватомский</t>
  </si>
  <si>
    <t>22712000528</t>
  </si>
  <si>
    <t>п Вяз</t>
  </si>
  <si>
    <t>22712000530</t>
  </si>
  <si>
    <t>22712000532</t>
  </si>
  <si>
    <t>д Заскочиха</t>
  </si>
  <si>
    <t>22712000534</t>
  </si>
  <si>
    <t>22712000536</t>
  </si>
  <si>
    <t>22712000538</t>
  </si>
  <si>
    <t>д Межуйки</t>
  </si>
  <si>
    <t>22712000540</t>
  </si>
  <si>
    <t>д Орлово</t>
  </si>
  <si>
    <t>22712000542</t>
  </si>
  <si>
    <t>п Орловский</t>
  </si>
  <si>
    <t>22712000544</t>
  </si>
  <si>
    <t>с Останкино</t>
  </si>
  <si>
    <t>22712000546</t>
  </si>
  <si>
    <t>д Пионерское</t>
  </si>
  <si>
    <t>22712000548</t>
  </si>
  <si>
    <t>п Рустай</t>
  </si>
  <si>
    <t>22712000550</t>
  </si>
  <si>
    <t>22712000552</t>
  </si>
  <si>
    <t>п Чернозерье</t>
  </si>
  <si>
    <t>22712000554</t>
  </si>
  <si>
    <t>22712000556</t>
  </si>
  <si>
    <t>д Жуковка</t>
  </si>
  <si>
    <t>22712000558</t>
  </si>
  <si>
    <t>п Память Парижской Коммуны</t>
  </si>
  <si>
    <t>22712000560</t>
  </si>
  <si>
    <t>д Блины</t>
  </si>
  <si>
    <t>22712000562</t>
  </si>
  <si>
    <t>д Боярское</t>
  </si>
  <si>
    <t>22712000564</t>
  </si>
  <si>
    <t>д Бурнаково</t>
  </si>
  <si>
    <t>22712000566</t>
  </si>
  <si>
    <t>д Ваганьково</t>
  </si>
  <si>
    <t>22712000568</t>
  </si>
  <si>
    <t>д Ватома</t>
  </si>
  <si>
    <t>22712000570</t>
  </si>
  <si>
    <t>д Вернягово</t>
  </si>
  <si>
    <t>22712000572</t>
  </si>
  <si>
    <t>д Владимирово</t>
  </si>
  <si>
    <t>22712000574</t>
  </si>
  <si>
    <t>22712000576</t>
  </si>
  <si>
    <t>д Глазково</t>
  </si>
  <si>
    <t>22712000578</t>
  </si>
  <si>
    <t>д Дуплево</t>
  </si>
  <si>
    <t>22712000580</t>
  </si>
  <si>
    <t>д Елевая</t>
  </si>
  <si>
    <t>22712000582</t>
  </si>
  <si>
    <t>д Елисино</t>
  </si>
  <si>
    <t>22712000584</t>
  </si>
  <si>
    <t>д Заборье</t>
  </si>
  <si>
    <t>22712000586</t>
  </si>
  <si>
    <t>22712000588</t>
  </si>
  <si>
    <t>д Колобово</t>
  </si>
  <si>
    <t>22712000590</t>
  </si>
  <si>
    <t>22712000592</t>
  </si>
  <si>
    <t>д Куземино</t>
  </si>
  <si>
    <t>22712000594</t>
  </si>
  <si>
    <t>22712000596</t>
  </si>
  <si>
    <t>д Матвеевка</t>
  </si>
  <si>
    <t>22712000598</t>
  </si>
  <si>
    <t>22712000600</t>
  </si>
  <si>
    <t>22712000602</t>
  </si>
  <si>
    <t>22712000604</t>
  </si>
  <si>
    <t>22712000606</t>
  </si>
  <si>
    <t>д Пумра</t>
  </si>
  <si>
    <t>22712000608</t>
  </si>
  <si>
    <t>д Путьково</t>
  </si>
  <si>
    <t>22712000610</t>
  </si>
  <si>
    <t>22712000612</t>
  </si>
  <si>
    <t>д Рожново</t>
  </si>
  <si>
    <t>22712000614</t>
  </si>
  <si>
    <t>22712000616</t>
  </si>
  <si>
    <t>22712000618</t>
  </si>
  <si>
    <t>22712000620</t>
  </si>
  <si>
    <t>22712000622</t>
  </si>
  <si>
    <t>д Сошники</t>
  </si>
  <si>
    <t>22712000624</t>
  </si>
  <si>
    <t>д Торчилово</t>
  </si>
  <si>
    <t>22712000626</t>
  </si>
  <si>
    <t>д Тушнино</t>
  </si>
  <si>
    <t>22712000628</t>
  </si>
  <si>
    <t>22712000630</t>
  </si>
  <si>
    <t>д Ушенино</t>
  </si>
  <si>
    <t>22712000632</t>
  </si>
  <si>
    <t>22712000634</t>
  </si>
  <si>
    <t>п Чистое Борское</t>
  </si>
  <si>
    <t>22712000636</t>
  </si>
  <si>
    <t>22712000638</t>
  </si>
  <si>
    <t>д Боталово</t>
  </si>
  <si>
    <t>22712000640</t>
  </si>
  <si>
    <t>д Власово</t>
  </si>
  <si>
    <t>22712000642</t>
  </si>
  <si>
    <t>п Глубинный</t>
  </si>
  <si>
    <t>22712000644</t>
  </si>
  <si>
    <t>д Грязново</t>
  </si>
  <si>
    <t>22712000646</t>
  </si>
  <si>
    <t>п Железнодорожный</t>
  </si>
  <si>
    <t>22712000648</t>
  </si>
  <si>
    <t>д Золотово</t>
  </si>
  <si>
    <t>22712000650</t>
  </si>
  <si>
    <t>22712000652</t>
  </si>
  <si>
    <t>д Квасово</t>
  </si>
  <si>
    <t>22712000654</t>
  </si>
  <si>
    <t>п.ст Киселиха</t>
  </si>
  <si>
    <t>22712000656</t>
  </si>
  <si>
    <t>22712000658</t>
  </si>
  <si>
    <t>22712000660</t>
  </si>
  <si>
    <t>д Мыс</t>
  </si>
  <si>
    <t>22712000662</t>
  </si>
  <si>
    <t>п Нагорный</t>
  </si>
  <si>
    <t>22712000664</t>
  </si>
  <si>
    <t>п Ситники</t>
  </si>
  <si>
    <t>22712000666</t>
  </si>
  <si>
    <t>22712000668</t>
  </si>
  <si>
    <t>д Софроново</t>
  </si>
  <si>
    <t>22712000670</t>
  </si>
  <si>
    <t>д Страхово</t>
  </si>
  <si>
    <t>22712000672</t>
  </si>
  <si>
    <t>д Тайново</t>
  </si>
  <si>
    <t>22712000674</t>
  </si>
  <si>
    <t>д Телятьево</t>
  </si>
  <si>
    <t>22712000676</t>
  </si>
  <si>
    <t>д Темряшино</t>
  </si>
  <si>
    <t>22712000678</t>
  </si>
  <si>
    <t>д Хрущево</t>
  </si>
  <si>
    <t>22712000680</t>
  </si>
  <si>
    <t>22712000682</t>
  </si>
  <si>
    <t>д Вязилка</t>
  </si>
  <si>
    <t>22712000684</t>
  </si>
  <si>
    <t>д Городное</t>
  </si>
  <si>
    <t>22712000686</t>
  </si>
  <si>
    <t>22712000688</t>
  </si>
  <si>
    <t>22712000690</t>
  </si>
  <si>
    <t>22712000692</t>
  </si>
  <si>
    <t>д Нечаево</t>
  </si>
  <si>
    <t>22712000694</t>
  </si>
  <si>
    <t>22712000696</t>
  </si>
  <si>
    <t>22712000698</t>
  </si>
  <si>
    <t>д Плотинка</t>
  </si>
  <si>
    <t>22712000700</t>
  </si>
  <si>
    <t>с Селищи</t>
  </si>
  <si>
    <t>22712000702</t>
  </si>
  <si>
    <t>д Тугарино</t>
  </si>
  <si>
    <t>22712000704</t>
  </si>
  <si>
    <t>с Ямново</t>
  </si>
  <si>
    <t>22715000001</t>
  </si>
  <si>
    <t>г Выкса</t>
  </si>
  <si>
    <t>22715000056</t>
  </si>
  <si>
    <t>рп Ближне-Песочное</t>
  </si>
  <si>
    <t>22715000061</t>
  </si>
  <si>
    <t>рп Виля</t>
  </si>
  <si>
    <t>22715000066</t>
  </si>
  <si>
    <t>рп Досчатое</t>
  </si>
  <si>
    <t>22715000071</t>
  </si>
  <si>
    <t>рп Шиморское</t>
  </si>
  <si>
    <t>22715000106</t>
  </si>
  <si>
    <t>с Борковка</t>
  </si>
  <si>
    <t>22715000111</t>
  </si>
  <si>
    <t>д Грязная</t>
  </si>
  <si>
    <t>22715000116</t>
  </si>
  <si>
    <t>с Верхняя Верея</t>
  </si>
  <si>
    <t>22715000121</t>
  </si>
  <si>
    <t>д Норковка</t>
  </si>
  <si>
    <t>22715000126</t>
  </si>
  <si>
    <t>п Рожновский</t>
  </si>
  <si>
    <t>22715000131</t>
  </si>
  <si>
    <t>с Сноведь</t>
  </si>
  <si>
    <t>22715000136</t>
  </si>
  <si>
    <t>п Фирюсиха</t>
  </si>
  <si>
    <t>22715000141</t>
  </si>
  <si>
    <t>п Бакин</t>
  </si>
  <si>
    <t>22715000146</t>
  </si>
  <si>
    <t>п Внутренний</t>
  </si>
  <si>
    <t>22715000151</t>
  </si>
  <si>
    <t>с Нижняя Верея</t>
  </si>
  <si>
    <t>22715000156</t>
  </si>
  <si>
    <t>п Озерный</t>
  </si>
  <si>
    <t>22715000161</t>
  </si>
  <si>
    <t>п Пристанское</t>
  </si>
  <si>
    <t>22715000166</t>
  </si>
  <si>
    <t>22715000171</t>
  </si>
  <si>
    <t>д Тамболес</t>
  </si>
  <si>
    <t>22715000176</t>
  </si>
  <si>
    <t>с Мотмос</t>
  </si>
  <si>
    <t>22715000181</t>
  </si>
  <si>
    <t>п Ризадеевский</t>
  </si>
  <si>
    <t>22715000186</t>
  </si>
  <si>
    <t>п Боевой</t>
  </si>
  <si>
    <t>22715000191</t>
  </si>
  <si>
    <t>д Гагарская</t>
  </si>
  <si>
    <t>22715000196</t>
  </si>
  <si>
    <t>д Дальнепесочная</t>
  </si>
  <si>
    <t>22715000201</t>
  </si>
  <si>
    <t>п Димара</t>
  </si>
  <si>
    <t>22715000211</t>
  </si>
  <si>
    <t>д Илькино</t>
  </si>
  <si>
    <t>22715000216</t>
  </si>
  <si>
    <t>п Красное Солнце</t>
  </si>
  <si>
    <t>22715000221</t>
  </si>
  <si>
    <t>22715000226</t>
  </si>
  <si>
    <t>п Мяря</t>
  </si>
  <si>
    <t>22715000231</t>
  </si>
  <si>
    <t>22715000236</t>
  </si>
  <si>
    <t>с Новодмитриевка</t>
  </si>
  <si>
    <t>22715000241</t>
  </si>
  <si>
    <t>п Ореховка</t>
  </si>
  <si>
    <t>22715000246</t>
  </si>
  <si>
    <t>д Осиповка</t>
  </si>
  <si>
    <t>22715000251</t>
  </si>
  <si>
    <t>22715000256</t>
  </si>
  <si>
    <t>с Полдеревка</t>
  </si>
  <si>
    <t>22715000261</t>
  </si>
  <si>
    <t>д Пустошка</t>
  </si>
  <si>
    <t>22715000266</t>
  </si>
  <si>
    <t>с Семилово</t>
  </si>
  <si>
    <t>22715000271</t>
  </si>
  <si>
    <t>д Старая Деревня</t>
  </si>
  <si>
    <t>22715000276</t>
  </si>
  <si>
    <t>п Тайга</t>
  </si>
  <si>
    <t>22715000281</t>
  </si>
  <si>
    <t>п Унор</t>
  </si>
  <si>
    <t>22715000286</t>
  </si>
  <si>
    <t>22715000291</t>
  </si>
  <si>
    <t>с Чупалейка</t>
  </si>
  <si>
    <t>22715000296</t>
  </si>
  <si>
    <t>п Шернавка</t>
  </si>
  <si>
    <t>22715000301</t>
  </si>
  <si>
    <t>п Ягодка</t>
  </si>
  <si>
    <t>22715000306</t>
  </si>
  <si>
    <t>п Дружба</t>
  </si>
  <si>
    <t>22715000311</t>
  </si>
  <si>
    <t>д Змейка</t>
  </si>
  <si>
    <t>22715000316</t>
  </si>
  <si>
    <t>с Туртапка</t>
  </si>
  <si>
    <t>22719000051</t>
  </si>
  <si>
    <t>рп Воротынец</t>
  </si>
  <si>
    <t>22719000056</t>
  </si>
  <si>
    <t>рп Васильсурск</t>
  </si>
  <si>
    <t>22719000103</t>
  </si>
  <si>
    <t>сл Хмелевка</t>
  </si>
  <si>
    <t>22719000106</t>
  </si>
  <si>
    <t>с Белавка</t>
  </si>
  <si>
    <t>22719000109</t>
  </si>
  <si>
    <t>с Березов Майдан</t>
  </si>
  <si>
    <t>22719000112</t>
  </si>
  <si>
    <t>22719000115</t>
  </si>
  <si>
    <t>п Кузьмияр</t>
  </si>
  <si>
    <t>22719000118</t>
  </si>
  <si>
    <t>с Ахпаевка</t>
  </si>
  <si>
    <t>22719000121</t>
  </si>
  <si>
    <t>с Быковка</t>
  </si>
  <si>
    <t>22719000124</t>
  </si>
  <si>
    <t>22719000127</t>
  </si>
  <si>
    <t>22719000130</t>
  </si>
  <si>
    <t>с Львово</t>
  </si>
  <si>
    <t>22719000133</t>
  </si>
  <si>
    <t>22719000136</t>
  </si>
  <si>
    <t>22719000139</t>
  </si>
  <si>
    <t>д Сарайки</t>
  </si>
  <si>
    <t>22719000142</t>
  </si>
  <si>
    <t>с Михайловское</t>
  </si>
  <si>
    <t>22719000145</t>
  </si>
  <si>
    <t>с Разнежье</t>
  </si>
  <si>
    <t>22719000148</t>
  </si>
  <si>
    <t>с Елвашка</t>
  </si>
  <si>
    <t>22719000151</t>
  </si>
  <si>
    <t>п Красный Восток</t>
  </si>
  <si>
    <t>22719000154</t>
  </si>
  <si>
    <t>п Красные Языки</t>
  </si>
  <si>
    <t>22719000157</t>
  </si>
  <si>
    <t>22719000160</t>
  </si>
  <si>
    <t>п Новая Жизнь</t>
  </si>
  <si>
    <t>22719000163</t>
  </si>
  <si>
    <t>с Огнев-Майдан</t>
  </si>
  <si>
    <t>22719000166</t>
  </si>
  <si>
    <t>22719000169</t>
  </si>
  <si>
    <t>с Покров-Майдан</t>
  </si>
  <si>
    <t>22719000172</t>
  </si>
  <si>
    <t>п Юрты</t>
  </si>
  <si>
    <t>22719000175</t>
  </si>
  <si>
    <t>п Казанский</t>
  </si>
  <si>
    <t>22719000178</t>
  </si>
  <si>
    <t>п Калиновец</t>
  </si>
  <si>
    <t>22719000181</t>
  </si>
  <si>
    <t>п Лысая Гора</t>
  </si>
  <si>
    <t>22719000184</t>
  </si>
  <si>
    <t>с Осинки</t>
  </si>
  <si>
    <t>22719000187</t>
  </si>
  <si>
    <t>с Отары</t>
  </si>
  <si>
    <t>22719000190</t>
  </si>
  <si>
    <t>п Петровский</t>
  </si>
  <si>
    <t>22719000193</t>
  </si>
  <si>
    <t>п Сосенки</t>
  </si>
  <si>
    <t>22719000196</t>
  </si>
  <si>
    <t>п Шереметьево</t>
  </si>
  <si>
    <t>22719000199</t>
  </si>
  <si>
    <t>д Агрофенино</t>
  </si>
  <si>
    <t>22719000202</t>
  </si>
  <si>
    <t>22719000205</t>
  </si>
  <si>
    <t>с Ивановка</t>
  </si>
  <si>
    <t>22719000208</t>
  </si>
  <si>
    <t>с Кекино</t>
  </si>
  <si>
    <t>22719000211</t>
  </si>
  <si>
    <t>д Ледырь</t>
  </si>
  <si>
    <t>22719000214</t>
  </si>
  <si>
    <t>п Нефедиха</t>
  </si>
  <si>
    <t>22719000217</t>
  </si>
  <si>
    <t>22719000220</t>
  </si>
  <si>
    <t>22719000223</t>
  </si>
  <si>
    <t>с Семьяны</t>
  </si>
  <si>
    <t>22719000226</t>
  </si>
  <si>
    <t>д Староникольское</t>
  </si>
  <si>
    <t>22719000229</t>
  </si>
  <si>
    <t>д Тришкино</t>
  </si>
  <si>
    <t>22719000232</t>
  </si>
  <si>
    <t>с Шокино</t>
  </si>
  <si>
    <t>22719000235</t>
  </si>
  <si>
    <t>д Белогорка</t>
  </si>
  <si>
    <t>22719000238</t>
  </si>
  <si>
    <t>д Карповка</t>
  </si>
  <si>
    <t>22719000241</t>
  </si>
  <si>
    <t>п Приволжский</t>
  </si>
  <si>
    <t>22719000244</t>
  </si>
  <si>
    <t>с Сомовка</t>
  </si>
  <si>
    <t>22719000247</t>
  </si>
  <si>
    <t>с Фокино</t>
  </si>
  <si>
    <t>22719000250</t>
  </si>
  <si>
    <t>п Алексеевский</t>
  </si>
  <si>
    <t>22719000253</t>
  </si>
  <si>
    <t>д Варварино</t>
  </si>
  <si>
    <t>22719000256</t>
  </si>
  <si>
    <t>д Калитка</t>
  </si>
  <si>
    <t>22719000259</t>
  </si>
  <si>
    <t>с Криуши</t>
  </si>
  <si>
    <t>22719000262</t>
  </si>
  <si>
    <t>22719000265</t>
  </si>
  <si>
    <t>с Чугуны</t>
  </si>
  <si>
    <t>22719000268</t>
  </si>
  <si>
    <t>22721000001</t>
  </si>
  <si>
    <t>г Дзержинск</t>
  </si>
  <si>
    <t>22721000061</t>
  </si>
  <si>
    <t>рп Горбатовка</t>
  </si>
  <si>
    <t>22721000106</t>
  </si>
  <si>
    <t>п Бабино</t>
  </si>
  <si>
    <t>22721000108</t>
  </si>
  <si>
    <t>п Гавриловка</t>
  </si>
  <si>
    <t>22721000111</t>
  </si>
  <si>
    <t>п Гнилицкие Дворики</t>
  </si>
  <si>
    <t>22721000115</t>
  </si>
  <si>
    <t>п Желнино</t>
  </si>
  <si>
    <t>22721000116</t>
  </si>
  <si>
    <t>п Игумново</t>
  </si>
  <si>
    <t>22721000121</t>
  </si>
  <si>
    <t>п Колодкино</t>
  </si>
  <si>
    <t>22721000126</t>
  </si>
  <si>
    <t>п Лесная Поляна</t>
  </si>
  <si>
    <t>22721000131</t>
  </si>
  <si>
    <t>кордон Лесной</t>
  </si>
  <si>
    <t>22721000136</t>
  </si>
  <si>
    <t>п Петряевка</t>
  </si>
  <si>
    <t>22721000141</t>
  </si>
  <si>
    <t>п Пыра</t>
  </si>
  <si>
    <t>22721000146</t>
  </si>
  <si>
    <t>22721000151</t>
  </si>
  <si>
    <t>п Строителей</t>
  </si>
  <si>
    <t>22721000156</t>
  </si>
  <si>
    <t>п Юрьевец</t>
  </si>
  <si>
    <t>22727000001</t>
  </si>
  <si>
    <t>г Кулебаки</t>
  </si>
  <si>
    <t>22727000061</t>
  </si>
  <si>
    <t>рп Гремячево</t>
  </si>
  <si>
    <t>22727000102</t>
  </si>
  <si>
    <t>п Молочной фермы</t>
  </si>
  <si>
    <t>22727000103</t>
  </si>
  <si>
    <t>п Велетьма</t>
  </si>
  <si>
    <t>22727000105</t>
  </si>
  <si>
    <t>22727000108</t>
  </si>
  <si>
    <t>22727000111</t>
  </si>
  <si>
    <t>д Горбачиха</t>
  </si>
  <si>
    <t>22727000114</t>
  </si>
  <si>
    <t>22727000117</t>
  </si>
  <si>
    <t>д Новая Саваслейка</t>
  </si>
  <si>
    <t>22727000120</t>
  </si>
  <si>
    <t>с Саваслейка</t>
  </si>
  <si>
    <t>22727000123</t>
  </si>
  <si>
    <t>д Благовещенка</t>
  </si>
  <si>
    <t>22727000126</t>
  </si>
  <si>
    <t>22727000129</t>
  </si>
  <si>
    <t>п Красновка</t>
  </si>
  <si>
    <t>22727000132</t>
  </si>
  <si>
    <t>д Красный Родник</t>
  </si>
  <si>
    <t>22727000135</t>
  </si>
  <si>
    <t>п Кутузовка</t>
  </si>
  <si>
    <t>22727000138</t>
  </si>
  <si>
    <t>п Лесозавода</t>
  </si>
  <si>
    <t>22727000141</t>
  </si>
  <si>
    <t>22727000144</t>
  </si>
  <si>
    <t>д Пушлей</t>
  </si>
  <si>
    <t>22727000147</t>
  </si>
  <si>
    <t>д Серебрянка</t>
  </si>
  <si>
    <t>22727000150</t>
  </si>
  <si>
    <t>22727000153</t>
  </si>
  <si>
    <t>д Тумалейка</t>
  </si>
  <si>
    <t>22727000156</t>
  </si>
  <si>
    <t>д Шилокшлей</t>
  </si>
  <si>
    <t>22727000159</t>
  </si>
  <si>
    <t>22727000162</t>
  </si>
  <si>
    <t>д Меляево</t>
  </si>
  <si>
    <t>22727000165</t>
  </si>
  <si>
    <t>с Теплово</t>
  </si>
  <si>
    <t>22727000168</t>
  </si>
  <si>
    <t>с Шилокша</t>
  </si>
  <si>
    <t>22727000171</t>
  </si>
  <si>
    <t>п Ульище</t>
  </si>
  <si>
    <t>22730000001</t>
  </si>
  <si>
    <t>г Навашино</t>
  </si>
  <si>
    <t>22730000102</t>
  </si>
  <si>
    <t>д Безверниково</t>
  </si>
  <si>
    <t>22730000105</t>
  </si>
  <si>
    <t>д Бельтеевка</t>
  </si>
  <si>
    <t>22730000108</t>
  </si>
  <si>
    <t>с Большое Окулово</t>
  </si>
  <si>
    <t>22730000111</t>
  </si>
  <si>
    <t>п рзд Велетьма</t>
  </si>
  <si>
    <t>22730000114</t>
  </si>
  <si>
    <t>д Волосово</t>
  </si>
  <si>
    <t>22730000117</t>
  </si>
  <si>
    <t>д Горицы</t>
  </si>
  <si>
    <t>22730000120</t>
  </si>
  <si>
    <t>д Князево</t>
  </si>
  <si>
    <t>22730000123</t>
  </si>
  <si>
    <t>д Малое Окулово</t>
  </si>
  <si>
    <t>22730000126</t>
  </si>
  <si>
    <t>с Новошино</t>
  </si>
  <si>
    <t>22730000129</t>
  </si>
  <si>
    <t>д Ольховка</t>
  </si>
  <si>
    <t>22730000132</t>
  </si>
  <si>
    <t>д Покров</t>
  </si>
  <si>
    <t>22730000135</t>
  </si>
  <si>
    <t>п рзд Приокский</t>
  </si>
  <si>
    <t>22730000138</t>
  </si>
  <si>
    <t>с Сонино</t>
  </si>
  <si>
    <t>22730000141</t>
  </si>
  <si>
    <t>д Угольное</t>
  </si>
  <si>
    <t>22730000144</t>
  </si>
  <si>
    <t>д Ярцево</t>
  </si>
  <si>
    <t>22730000147</t>
  </si>
  <si>
    <t>д Бобровка</t>
  </si>
  <si>
    <t>22730000150</t>
  </si>
  <si>
    <t>д Валтово</t>
  </si>
  <si>
    <t>22730000153</t>
  </si>
  <si>
    <t>п рзд Валтово</t>
  </si>
  <si>
    <t>22730000156</t>
  </si>
  <si>
    <t>д Кистаново</t>
  </si>
  <si>
    <t>22730000159</t>
  </si>
  <si>
    <t>д Левино</t>
  </si>
  <si>
    <t>22730000162</t>
  </si>
  <si>
    <t>п Масловское</t>
  </si>
  <si>
    <t>22730000165</t>
  </si>
  <si>
    <t>п Мещерское</t>
  </si>
  <si>
    <t>22730000168</t>
  </si>
  <si>
    <t>с Натальино</t>
  </si>
  <si>
    <t>22730000171</t>
  </si>
  <si>
    <t>д Пустынь</t>
  </si>
  <si>
    <t>22730000174</t>
  </si>
  <si>
    <t>22730000177</t>
  </si>
  <si>
    <t>д Родяково</t>
  </si>
  <si>
    <t>22730000180</t>
  </si>
  <si>
    <t>д Румасово</t>
  </si>
  <si>
    <t>22730000183</t>
  </si>
  <si>
    <t>д Салавирь</t>
  </si>
  <si>
    <t>22730000186</t>
  </si>
  <si>
    <t>д Степурино</t>
  </si>
  <si>
    <t>22730000189</t>
  </si>
  <si>
    <t>п Степурино</t>
  </si>
  <si>
    <t>22730000192</t>
  </si>
  <si>
    <t>д Анцифрово</t>
  </si>
  <si>
    <t>22730000195</t>
  </si>
  <si>
    <t>с Дедово</t>
  </si>
  <si>
    <t>22730000198</t>
  </si>
  <si>
    <t>с Ефаново</t>
  </si>
  <si>
    <t>22730000201</t>
  </si>
  <si>
    <t>д Ефремово</t>
  </si>
  <si>
    <t>22730000204</t>
  </si>
  <si>
    <t>д Кондраково</t>
  </si>
  <si>
    <t>22730000207</t>
  </si>
  <si>
    <t>д Корниловка</t>
  </si>
  <si>
    <t>22730000210</t>
  </si>
  <si>
    <t>с Коробково</t>
  </si>
  <si>
    <t>22730000213</t>
  </si>
  <si>
    <t>22730000216</t>
  </si>
  <si>
    <t>д Кутарино</t>
  </si>
  <si>
    <t>22730000219</t>
  </si>
  <si>
    <t>д Малышево</t>
  </si>
  <si>
    <t>22730000222</t>
  </si>
  <si>
    <t>д Мартюшиха</t>
  </si>
  <si>
    <t>22730000225</t>
  </si>
  <si>
    <t>с Монаково</t>
  </si>
  <si>
    <t>22730000228</t>
  </si>
  <si>
    <t>22730000231</t>
  </si>
  <si>
    <t>с Поздняково</t>
  </si>
  <si>
    <t>22730000234</t>
  </si>
  <si>
    <t>д Родиониха</t>
  </si>
  <si>
    <t>22730000237</t>
  </si>
  <si>
    <t>с Спас-Седчено</t>
  </si>
  <si>
    <t>22730000240</t>
  </si>
  <si>
    <t>п Судострой</t>
  </si>
  <si>
    <t>22730000243</t>
  </si>
  <si>
    <t>д Трудовик</t>
  </si>
  <si>
    <t>22730000246</t>
  </si>
  <si>
    <t>с Чудь</t>
  </si>
  <si>
    <t>22730000249</t>
  </si>
  <si>
    <t>п Теша</t>
  </si>
  <si>
    <t>22734000001</t>
  </si>
  <si>
    <t>г Первомайск</t>
  </si>
  <si>
    <t>22734000056</t>
  </si>
  <si>
    <t>рп Сатис</t>
  </si>
  <si>
    <t>22734000106</t>
  </si>
  <si>
    <t>д Аксел</t>
  </si>
  <si>
    <t>22734000111</t>
  </si>
  <si>
    <t>д Алатырь</t>
  </si>
  <si>
    <t>22734000116</t>
  </si>
  <si>
    <t>с Бабино</t>
  </si>
  <si>
    <t>22734000121</t>
  </si>
  <si>
    <t>д Берещино</t>
  </si>
  <si>
    <t>22734000126</t>
  </si>
  <si>
    <t>п Берещино</t>
  </si>
  <si>
    <t>22734000131</t>
  </si>
  <si>
    <t>с Большой Макателем</t>
  </si>
  <si>
    <t>22734000136</t>
  </si>
  <si>
    <t>д Верзиляй</t>
  </si>
  <si>
    <t>22734000141</t>
  </si>
  <si>
    <t>д Гремячка</t>
  </si>
  <si>
    <t>22734000146</t>
  </si>
  <si>
    <t>22734000151</t>
  </si>
  <si>
    <t>д Елев Враг</t>
  </si>
  <si>
    <t>22734000156</t>
  </si>
  <si>
    <t>22734000161</t>
  </si>
  <si>
    <t>п Кавказского лесничества</t>
  </si>
  <si>
    <t>22734000166</t>
  </si>
  <si>
    <t>д Каналгуши</t>
  </si>
  <si>
    <t>22734000171</t>
  </si>
  <si>
    <t>д Комкино</t>
  </si>
  <si>
    <t>22734000176</t>
  </si>
  <si>
    <t>22734000181</t>
  </si>
  <si>
    <t>п Корсаково</t>
  </si>
  <si>
    <t>22734000186</t>
  </si>
  <si>
    <t>с Кошелиха</t>
  </si>
  <si>
    <t>22734000191</t>
  </si>
  <si>
    <t>д Крамзинка</t>
  </si>
  <si>
    <t>22734000196</t>
  </si>
  <si>
    <t>с Лапша</t>
  </si>
  <si>
    <t>22734000201</t>
  </si>
  <si>
    <t>п Лахма</t>
  </si>
  <si>
    <t>22734000206</t>
  </si>
  <si>
    <t>22734000211</t>
  </si>
  <si>
    <t>д Мазь</t>
  </si>
  <si>
    <t>22734000216</t>
  </si>
  <si>
    <t>22734000221</t>
  </si>
  <si>
    <t>с Малый Макателем</t>
  </si>
  <si>
    <t>22734000226</t>
  </si>
  <si>
    <t>с Нелей</t>
  </si>
  <si>
    <t>22734000231</t>
  </si>
  <si>
    <t>22734000236</t>
  </si>
  <si>
    <t>п Никольский</t>
  </si>
  <si>
    <t>22734000241</t>
  </si>
  <si>
    <t>с Обухово</t>
  </si>
  <si>
    <t>22734000246</t>
  </si>
  <si>
    <t>с Пандас</t>
  </si>
  <si>
    <t>22734000251</t>
  </si>
  <si>
    <t>п Пески</t>
  </si>
  <si>
    <t>22734000256</t>
  </si>
  <si>
    <t>22734000261</t>
  </si>
  <si>
    <t>22734000266</t>
  </si>
  <si>
    <t>п Пурьев</t>
  </si>
  <si>
    <t>22734000271</t>
  </si>
  <si>
    <t>п Пушкино</t>
  </si>
  <si>
    <t>22734000276</t>
  </si>
  <si>
    <t>п Рогожинский</t>
  </si>
  <si>
    <t>22734000281</t>
  </si>
  <si>
    <t>с Русиново</t>
  </si>
  <si>
    <t>22734000286</t>
  </si>
  <si>
    <t>п Симанский</t>
  </si>
  <si>
    <t>22734000291</t>
  </si>
  <si>
    <t>п Стеклянный</t>
  </si>
  <si>
    <t>22734000296</t>
  </si>
  <si>
    <t>22734000301</t>
  </si>
  <si>
    <t>с Шутилово</t>
  </si>
  <si>
    <t>22734000306</t>
  </si>
  <si>
    <t>с Хозино</t>
  </si>
  <si>
    <t>22734000311</t>
  </si>
  <si>
    <t>с Худошино</t>
  </si>
  <si>
    <t>22734000316</t>
  </si>
  <si>
    <t>д Цыгановка</t>
  </si>
  <si>
    <t>22737000001</t>
  </si>
  <si>
    <t>г Семенов</t>
  </si>
  <si>
    <t>22737000056</t>
  </si>
  <si>
    <t>рп Сухобезводное</t>
  </si>
  <si>
    <t>22737000106</t>
  </si>
  <si>
    <t>д Березовый Овраг</t>
  </si>
  <si>
    <t>22737000110</t>
  </si>
  <si>
    <t>д Большая Чамра</t>
  </si>
  <si>
    <t>22737000114</t>
  </si>
  <si>
    <t>22737000118</t>
  </si>
  <si>
    <t>д Максимиха</t>
  </si>
  <si>
    <t>22737000122</t>
  </si>
  <si>
    <t>д Малая Чамра</t>
  </si>
  <si>
    <t>22737000126</t>
  </si>
  <si>
    <t>д Олониха</t>
  </si>
  <si>
    <t>22737000130</t>
  </si>
  <si>
    <t>д Сухобезводное</t>
  </si>
  <si>
    <t>22737000134</t>
  </si>
  <si>
    <t>22737000138</t>
  </si>
  <si>
    <t>д Беласовка</t>
  </si>
  <si>
    <t>22737000142</t>
  </si>
  <si>
    <t>д Богоявление</t>
  </si>
  <si>
    <t>22737000146</t>
  </si>
  <si>
    <t>д Дорофеиха</t>
  </si>
  <si>
    <t>22737000150</t>
  </si>
  <si>
    <t>д Елисеево</t>
  </si>
  <si>
    <t>22737000154</t>
  </si>
  <si>
    <t>п Каменный Овраг</t>
  </si>
  <si>
    <t>22737000158</t>
  </si>
  <si>
    <t>22737000162</t>
  </si>
  <si>
    <t>д Кириллово</t>
  </si>
  <si>
    <t>22737000166</t>
  </si>
  <si>
    <t>д Кондратьево</t>
  </si>
  <si>
    <t>22737000170</t>
  </si>
  <si>
    <t>д Мошна</t>
  </si>
  <si>
    <t>22737000174</t>
  </si>
  <si>
    <t>д Озеро</t>
  </si>
  <si>
    <t>22737000178</t>
  </si>
  <si>
    <t>22737000182</t>
  </si>
  <si>
    <t>22737000186</t>
  </si>
  <si>
    <t>д Трегубово</t>
  </si>
  <si>
    <t>22737000190</t>
  </si>
  <si>
    <t>д Якимиха</t>
  </si>
  <si>
    <t>22737000194</t>
  </si>
  <si>
    <t>22737000198</t>
  </si>
  <si>
    <t>д Боковая</t>
  </si>
  <si>
    <t>22737000202</t>
  </si>
  <si>
    <t>д Большая Погорелка</t>
  </si>
  <si>
    <t>22737000206</t>
  </si>
  <si>
    <t>д Дуплишка</t>
  </si>
  <si>
    <t>22737000210</t>
  </si>
  <si>
    <t>д Люнда-Шипово</t>
  </si>
  <si>
    <t>22737000214</t>
  </si>
  <si>
    <t>д Малая Овсянка</t>
  </si>
  <si>
    <t>22737000218</t>
  </si>
  <si>
    <t>д Малая Покровка</t>
  </si>
  <si>
    <t>22737000222</t>
  </si>
  <si>
    <t>22737000226</t>
  </si>
  <si>
    <t>д Новодмитриевка</t>
  </si>
  <si>
    <t>22737000230</t>
  </si>
  <si>
    <t>д Новопетровка</t>
  </si>
  <si>
    <t>22737000234</t>
  </si>
  <si>
    <t>д Овсянка</t>
  </si>
  <si>
    <t>22737000238</t>
  </si>
  <si>
    <t>22737000242</t>
  </si>
  <si>
    <t>д Рубцы</t>
  </si>
  <si>
    <t>22737000246</t>
  </si>
  <si>
    <t>22737000250</t>
  </si>
  <si>
    <t>д Шалдежка</t>
  </si>
  <si>
    <t>22737000254</t>
  </si>
  <si>
    <t>д Анниковка</t>
  </si>
  <si>
    <t>22737000258</t>
  </si>
  <si>
    <t>д Бутаки</t>
  </si>
  <si>
    <t>22737000262</t>
  </si>
  <si>
    <t>д Донское</t>
  </si>
  <si>
    <t>22737000266</t>
  </si>
  <si>
    <t>д Елистратиха</t>
  </si>
  <si>
    <t>22737000270</t>
  </si>
  <si>
    <t>д Журавижное</t>
  </si>
  <si>
    <t>22737000274</t>
  </si>
  <si>
    <t>д Зарубино</t>
  </si>
  <si>
    <t>22737000278</t>
  </si>
  <si>
    <t>22737000282</t>
  </si>
  <si>
    <t>22737000286</t>
  </si>
  <si>
    <t>22737000290</t>
  </si>
  <si>
    <t>22737000294</t>
  </si>
  <si>
    <t>22737000298</t>
  </si>
  <si>
    <t>д Перелаз</t>
  </si>
  <si>
    <t>22737000302</t>
  </si>
  <si>
    <t>д Полом</t>
  </si>
  <si>
    <t>22737000306</t>
  </si>
  <si>
    <t>д Починок Крутых</t>
  </si>
  <si>
    <t>22737000310</t>
  </si>
  <si>
    <t>22737000314</t>
  </si>
  <si>
    <t>д Татарка</t>
  </si>
  <si>
    <t>22737000318</t>
  </si>
  <si>
    <t>д Улангерь</t>
  </si>
  <si>
    <t>22737000322</t>
  </si>
  <si>
    <t>д Фундриково</t>
  </si>
  <si>
    <t>22737000326</t>
  </si>
  <si>
    <t>д Яндовы</t>
  </si>
  <si>
    <t>22737000330</t>
  </si>
  <si>
    <t>д Афанасьево</t>
  </si>
  <si>
    <t>22737000334</t>
  </si>
  <si>
    <t>22737000338</t>
  </si>
  <si>
    <t>д Доенкино</t>
  </si>
  <si>
    <t>22737000342</t>
  </si>
  <si>
    <t>п Ивановский</t>
  </si>
  <si>
    <t>22737000346</t>
  </si>
  <si>
    <t>с Ильино-Заборское</t>
  </si>
  <si>
    <t>22737000350</t>
  </si>
  <si>
    <t>д Плесо</t>
  </si>
  <si>
    <t>22737000354</t>
  </si>
  <si>
    <t>д Большие Пруды</t>
  </si>
  <si>
    <t>22737000358</t>
  </si>
  <si>
    <t>д Большое Зиновьево</t>
  </si>
  <si>
    <t>22737000362</t>
  </si>
  <si>
    <t>22737000366</t>
  </si>
  <si>
    <t>д Демьяновка</t>
  </si>
  <si>
    <t>22737000370</t>
  </si>
  <si>
    <t>д Елфимово</t>
  </si>
  <si>
    <t>22737000374</t>
  </si>
  <si>
    <t>д Ларионово</t>
  </si>
  <si>
    <t>22737000378</t>
  </si>
  <si>
    <t>д Малое Зиновьево</t>
  </si>
  <si>
    <t>22737000382</t>
  </si>
  <si>
    <t>д Малые Пруды</t>
  </si>
  <si>
    <t>22737000386</t>
  </si>
  <si>
    <t>22737000390</t>
  </si>
  <si>
    <t>д Рождественское</t>
  </si>
  <si>
    <t>22737000394</t>
  </si>
  <si>
    <t>д Роньжино</t>
  </si>
  <si>
    <t>22737000398</t>
  </si>
  <si>
    <t>д Трефилиха</t>
  </si>
  <si>
    <t>22737000402</t>
  </si>
  <si>
    <t>д Федориха</t>
  </si>
  <si>
    <t>22737000406</t>
  </si>
  <si>
    <t>22737000410</t>
  </si>
  <si>
    <t>д Большое Васильево</t>
  </si>
  <si>
    <t>22737000414</t>
  </si>
  <si>
    <t>д Деяново</t>
  </si>
  <si>
    <t>22737000418</t>
  </si>
  <si>
    <t>д Дьяково</t>
  </si>
  <si>
    <t>22737000422</t>
  </si>
  <si>
    <t>д Жужелка</t>
  </si>
  <si>
    <t>22737000426</t>
  </si>
  <si>
    <t>п Зеленый</t>
  </si>
  <si>
    <t>22737000430</t>
  </si>
  <si>
    <t>д Колосково</t>
  </si>
  <si>
    <t>22737000434</t>
  </si>
  <si>
    <t>д Медведево</t>
  </si>
  <si>
    <t>22737000438</t>
  </si>
  <si>
    <t>22737000442</t>
  </si>
  <si>
    <t>22737000446</t>
  </si>
  <si>
    <t>22737000450</t>
  </si>
  <si>
    <t>22737000454</t>
  </si>
  <si>
    <t>22737000458</t>
  </si>
  <si>
    <t>22737000462</t>
  </si>
  <si>
    <t>22737000466</t>
  </si>
  <si>
    <t>д Демиха</t>
  </si>
  <si>
    <t>22737000470</t>
  </si>
  <si>
    <t>22737000474</t>
  </si>
  <si>
    <t>д Клышино</t>
  </si>
  <si>
    <t>22737000478</t>
  </si>
  <si>
    <t>22737000482</t>
  </si>
  <si>
    <t>с Красные Усады</t>
  </si>
  <si>
    <t>22737000486</t>
  </si>
  <si>
    <t>д Крутой Овраг</t>
  </si>
  <si>
    <t>22737000490</t>
  </si>
  <si>
    <t>22737000494</t>
  </si>
  <si>
    <t>22737000498</t>
  </si>
  <si>
    <t>д Огибное</t>
  </si>
  <si>
    <t>22737000502</t>
  </si>
  <si>
    <t>22737000506</t>
  </si>
  <si>
    <t>д Питий Овраг</t>
  </si>
  <si>
    <t>22737000510</t>
  </si>
  <si>
    <t>д Поломное</t>
  </si>
  <si>
    <t>22737000514</t>
  </si>
  <si>
    <t>д Пятницкое</t>
  </si>
  <si>
    <t>22737000518</t>
  </si>
  <si>
    <t>д Рыжково</t>
  </si>
  <si>
    <t>22737000522</t>
  </si>
  <si>
    <t>д Токарево</t>
  </si>
  <si>
    <t>22737000526</t>
  </si>
  <si>
    <t>22737000530</t>
  </si>
  <si>
    <t>п Фанерное</t>
  </si>
  <si>
    <t>22737000534</t>
  </si>
  <si>
    <t>22737000538</t>
  </si>
  <si>
    <t>22737000542</t>
  </si>
  <si>
    <t>д Чибирь</t>
  </si>
  <si>
    <t>22737000546</t>
  </si>
  <si>
    <t>д Яковка</t>
  </si>
  <si>
    <t>22737000550</t>
  </si>
  <si>
    <t>д Большая Дуброва</t>
  </si>
  <si>
    <t>22737000554</t>
  </si>
  <si>
    <t>22737000558</t>
  </si>
  <si>
    <t>д Еремино</t>
  </si>
  <si>
    <t>22737000562</t>
  </si>
  <si>
    <t>22737000566</t>
  </si>
  <si>
    <t>д Клопиха</t>
  </si>
  <si>
    <t>22737000570</t>
  </si>
  <si>
    <t>22737000574</t>
  </si>
  <si>
    <t>д Малая Дуброва</t>
  </si>
  <si>
    <t>22737000578</t>
  </si>
  <si>
    <t>д Пафнутово</t>
  </si>
  <si>
    <t>22737000582</t>
  </si>
  <si>
    <t>22737000586</t>
  </si>
  <si>
    <t>д Плюхино</t>
  </si>
  <si>
    <t>22737000590</t>
  </si>
  <si>
    <t>д Сапы</t>
  </si>
  <si>
    <t>22737000594</t>
  </si>
  <si>
    <t>д Труново</t>
  </si>
  <si>
    <t>22737000598</t>
  </si>
  <si>
    <t>22737000602</t>
  </si>
  <si>
    <t>22737000606</t>
  </si>
  <si>
    <t>22737000610</t>
  </si>
  <si>
    <t>22737000614</t>
  </si>
  <si>
    <t>22737000618</t>
  </si>
  <si>
    <t>д Заево</t>
  </si>
  <si>
    <t>22737000622</t>
  </si>
  <si>
    <t>д Здорово</t>
  </si>
  <si>
    <t>22737000626</t>
  </si>
  <si>
    <t>д Каравайки</t>
  </si>
  <si>
    <t>22737000630</t>
  </si>
  <si>
    <t>д Корельское</t>
  </si>
  <si>
    <t>22737000634</t>
  </si>
  <si>
    <t>22737000638</t>
  </si>
  <si>
    <t>д Кулагино</t>
  </si>
  <si>
    <t>22737000642</t>
  </si>
  <si>
    <t>д Лазаревка</t>
  </si>
  <si>
    <t>22737000646</t>
  </si>
  <si>
    <t>22737000650</t>
  </si>
  <si>
    <t>п.ст Осинки</t>
  </si>
  <si>
    <t>22737000654</t>
  </si>
  <si>
    <t>д Совинское</t>
  </si>
  <si>
    <t>22737000658</t>
  </si>
  <si>
    <t>д Тарасиха</t>
  </si>
  <si>
    <t>22737000662</t>
  </si>
  <si>
    <t>п.ст Тарасиха</t>
  </si>
  <si>
    <t>22737000666</t>
  </si>
  <si>
    <t>д Успенье</t>
  </si>
  <si>
    <t>22737000670</t>
  </si>
  <si>
    <t>д Шарино</t>
  </si>
  <si>
    <t>22737000674</t>
  </si>
  <si>
    <t>д Шарпано</t>
  </si>
  <si>
    <t>22737000678</t>
  </si>
  <si>
    <t>22737000682</t>
  </si>
  <si>
    <t>д Аристово</t>
  </si>
  <si>
    <t>22737000686</t>
  </si>
  <si>
    <t>д Большое Оленево</t>
  </si>
  <si>
    <t>22737000690</t>
  </si>
  <si>
    <t>22737000694</t>
  </si>
  <si>
    <t>д Двудельное</t>
  </si>
  <si>
    <t>22737000698</t>
  </si>
  <si>
    <t>22737000702</t>
  </si>
  <si>
    <t>22737000706</t>
  </si>
  <si>
    <t>д Кожиха</t>
  </si>
  <si>
    <t>22737000710</t>
  </si>
  <si>
    <t>22737000714</t>
  </si>
  <si>
    <t>22737000718</t>
  </si>
  <si>
    <t>д Красное Плесо</t>
  </si>
  <si>
    <t>22737000722</t>
  </si>
  <si>
    <t>п Лещево</t>
  </si>
  <si>
    <t>22737000726</t>
  </si>
  <si>
    <t>22737000730</t>
  </si>
  <si>
    <t>д Лыково</t>
  </si>
  <si>
    <t>22737000734</t>
  </si>
  <si>
    <t>22737000738</t>
  </si>
  <si>
    <t>д Малое Оленево</t>
  </si>
  <si>
    <t>22737000742</t>
  </si>
  <si>
    <t>22737000746</t>
  </si>
  <si>
    <t>22737000750</t>
  </si>
  <si>
    <t>д Паромово</t>
  </si>
  <si>
    <t>22737000754</t>
  </si>
  <si>
    <t>с Светлое</t>
  </si>
  <si>
    <t>22737000758</t>
  </si>
  <si>
    <t>д Святицы</t>
  </si>
  <si>
    <t>22737000762</t>
  </si>
  <si>
    <t>д Сутырь</t>
  </si>
  <si>
    <t>22737000766</t>
  </si>
  <si>
    <t>д Телки</t>
  </si>
  <si>
    <t>22737000770</t>
  </si>
  <si>
    <t>д Феофаниха</t>
  </si>
  <si>
    <t>22737000774</t>
  </si>
  <si>
    <t>22737000778</t>
  </si>
  <si>
    <t>д Хахалы</t>
  </si>
  <si>
    <t>22737000782</t>
  </si>
  <si>
    <t>д Хомутово</t>
  </si>
  <si>
    <t>22737000786</t>
  </si>
  <si>
    <t>22737000790</t>
  </si>
  <si>
    <t>22737000794</t>
  </si>
  <si>
    <t>д Большая Дмитриевка</t>
  </si>
  <si>
    <t>22737000798</t>
  </si>
  <si>
    <t>д Быдреевка</t>
  </si>
  <si>
    <t>22737000802</t>
  </si>
  <si>
    <t>д Взвоз</t>
  </si>
  <si>
    <t>22737000806</t>
  </si>
  <si>
    <t>22737000810</t>
  </si>
  <si>
    <t>22737000814</t>
  </si>
  <si>
    <t>22737000818</t>
  </si>
  <si>
    <t>д Клушино</t>
  </si>
  <si>
    <t>22737000822</t>
  </si>
  <si>
    <t>22737000826</t>
  </si>
  <si>
    <t>д Малая Дмитриевка</t>
  </si>
  <si>
    <t>22737000830</t>
  </si>
  <si>
    <t>22737000834</t>
  </si>
  <si>
    <t>д Мериново</t>
  </si>
  <si>
    <t>22737000838</t>
  </si>
  <si>
    <t>22737000842</t>
  </si>
  <si>
    <t>д Озерочная</t>
  </si>
  <si>
    <t>22737000846</t>
  </si>
  <si>
    <t>22737000850</t>
  </si>
  <si>
    <t>22737000854</t>
  </si>
  <si>
    <t>д Пыдрей</t>
  </si>
  <si>
    <t>22737000858</t>
  </si>
  <si>
    <t>д Софиловка</t>
  </si>
  <si>
    <t>22737000862</t>
  </si>
  <si>
    <t>д Шалдеж</t>
  </si>
  <si>
    <t>22739000001</t>
  </si>
  <si>
    <t>г Перевоз</t>
  </si>
  <si>
    <t>22739000102</t>
  </si>
  <si>
    <t>п им Дзержинского</t>
  </si>
  <si>
    <t>22739000105</t>
  </si>
  <si>
    <t>с Мармыжи</t>
  </si>
  <si>
    <t>22739000108</t>
  </si>
  <si>
    <t>22739000111</t>
  </si>
  <si>
    <t>с Ревезень</t>
  </si>
  <si>
    <t>22739000114</t>
  </si>
  <si>
    <t>п Смородиха</t>
  </si>
  <si>
    <t>22739000117</t>
  </si>
  <si>
    <t>п Шильниково</t>
  </si>
  <si>
    <t>22739000120</t>
  </si>
  <si>
    <t>с Большие Кемары</t>
  </si>
  <si>
    <t>22739000123</t>
  </si>
  <si>
    <t>с Дубское</t>
  </si>
  <si>
    <t>22739000126</t>
  </si>
  <si>
    <t>д Малые Кемары</t>
  </si>
  <si>
    <t>22739000129</t>
  </si>
  <si>
    <t>д Чепас</t>
  </si>
  <si>
    <t>22739000132</t>
  </si>
  <si>
    <t>д Балахна</t>
  </si>
  <si>
    <t>22739000135</t>
  </si>
  <si>
    <t>с Ичалки</t>
  </si>
  <si>
    <t>22739000138</t>
  </si>
  <si>
    <t>22739000141</t>
  </si>
  <si>
    <t>с Корсаково</t>
  </si>
  <si>
    <t>22739000144</t>
  </si>
  <si>
    <t>22739000147</t>
  </si>
  <si>
    <t>с Пилекшево</t>
  </si>
  <si>
    <t>22739000150</t>
  </si>
  <si>
    <t>с Сунеево</t>
  </si>
  <si>
    <t>22739000153</t>
  </si>
  <si>
    <t>22739000156</t>
  </si>
  <si>
    <t>п Гари</t>
  </si>
  <si>
    <t>22739000159</t>
  </si>
  <si>
    <t>22739000162</t>
  </si>
  <si>
    <t>п Зеленуха</t>
  </si>
  <si>
    <t>22739000165</t>
  </si>
  <si>
    <t>22739000168</t>
  </si>
  <si>
    <t>д Крутое</t>
  </si>
  <si>
    <t>22739000171</t>
  </si>
  <si>
    <t>22739000174</t>
  </si>
  <si>
    <t>с Палец</t>
  </si>
  <si>
    <t>22739000177</t>
  </si>
  <si>
    <t>п Широкий</t>
  </si>
  <si>
    <t>22739000180</t>
  </si>
  <si>
    <t>д Беляниха</t>
  </si>
  <si>
    <t>22739000183</t>
  </si>
  <si>
    <t>22739000186</t>
  </si>
  <si>
    <t>с Гридино</t>
  </si>
  <si>
    <t>22739000189</t>
  </si>
  <si>
    <t>22739000192</t>
  </si>
  <si>
    <t>д Киселиха</t>
  </si>
  <si>
    <t>22739000195</t>
  </si>
  <si>
    <t>22739000198</t>
  </si>
  <si>
    <t>д Нерослиха</t>
  </si>
  <si>
    <t>22739000201</t>
  </si>
  <si>
    <t>22739000204</t>
  </si>
  <si>
    <t>д Сквозново</t>
  </si>
  <si>
    <t>22739000207</t>
  </si>
  <si>
    <t>с Танайково</t>
  </si>
  <si>
    <t>22739000210</t>
  </si>
  <si>
    <t>д Фатьянково</t>
  </si>
  <si>
    <t>22739000213</t>
  </si>
  <si>
    <t>с Шпилево</t>
  </si>
  <si>
    <t>22739000216</t>
  </si>
  <si>
    <t>с Горышкино</t>
  </si>
  <si>
    <t>22739000219</t>
  </si>
  <si>
    <t>22739000222</t>
  </si>
  <si>
    <t>с Тилинино</t>
  </si>
  <si>
    <t>22739000225</t>
  </si>
  <si>
    <t>с Шершово</t>
  </si>
  <si>
    <t>22739000228</t>
  </si>
  <si>
    <t>с Ягодное</t>
  </si>
  <si>
    <t>22739000231</t>
  </si>
  <si>
    <t>с Вельдеманово</t>
  </si>
  <si>
    <t>22739000234</t>
  </si>
  <si>
    <t>с Выжлеи</t>
  </si>
  <si>
    <t>22739000237</t>
  </si>
  <si>
    <t>д Заключная</t>
  </si>
  <si>
    <t>22739000240</t>
  </si>
  <si>
    <t>п Зименки</t>
  </si>
  <si>
    <t>22739000243</t>
  </si>
  <si>
    <t>22739000246</t>
  </si>
  <si>
    <t>22739000249</t>
  </si>
  <si>
    <t>22739000252</t>
  </si>
  <si>
    <t>22739000255</t>
  </si>
  <si>
    <t>д Чергать</t>
  </si>
  <si>
    <t>22749000051</t>
  </si>
  <si>
    <t>рп Сокольское</t>
  </si>
  <si>
    <t>22749000102</t>
  </si>
  <si>
    <t>д Баево</t>
  </si>
  <si>
    <t>22749000104</t>
  </si>
  <si>
    <t>д Блудово</t>
  </si>
  <si>
    <t>22749000107</t>
  </si>
  <si>
    <t>22749000110</t>
  </si>
  <si>
    <t>д Богословка</t>
  </si>
  <si>
    <t>22749000113</t>
  </si>
  <si>
    <t>д Бочажное</t>
  </si>
  <si>
    <t>22749000116</t>
  </si>
  <si>
    <t>п Валовский Хутор</t>
  </si>
  <si>
    <t>22749000119</t>
  </si>
  <si>
    <t>д Ведерница</t>
  </si>
  <si>
    <t>22749000122</t>
  </si>
  <si>
    <t>д Вилеж</t>
  </si>
  <si>
    <t>22749000125</t>
  </si>
  <si>
    <t>д Выделка</t>
  </si>
  <si>
    <t>22749000128</t>
  </si>
  <si>
    <t>22749000131</t>
  </si>
  <si>
    <t>д Данильчик</t>
  </si>
  <si>
    <t>22749000134</t>
  </si>
  <si>
    <t>22749000137</t>
  </si>
  <si>
    <t>д Дрямово</t>
  </si>
  <si>
    <t>22749000140</t>
  </si>
  <si>
    <t>д Дупленки</t>
  </si>
  <si>
    <t>22749000143</t>
  </si>
  <si>
    <t>д Жабье</t>
  </si>
  <si>
    <t>22749000146</t>
  </si>
  <si>
    <t>22749000149</t>
  </si>
  <si>
    <t>22749000152</t>
  </si>
  <si>
    <t>п Ильинка</t>
  </si>
  <si>
    <t>22749000155</t>
  </si>
  <si>
    <t>д Ильинка</t>
  </si>
  <si>
    <t>22749000158</t>
  </si>
  <si>
    <t>д Ильино</t>
  </si>
  <si>
    <t>22749000161</t>
  </si>
  <si>
    <t>д Килешино</t>
  </si>
  <si>
    <t>22749000164</t>
  </si>
  <si>
    <t>д Ковригино</t>
  </si>
  <si>
    <t>22749000167</t>
  </si>
  <si>
    <t>22749000170</t>
  </si>
  <si>
    <t>д Коперино</t>
  </si>
  <si>
    <t>22749000173</t>
  </si>
  <si>
    <t>д Корчагово</t>
  </si>
  <si>
    <t>22749000176</t>
  </si>
  <si>
    <t>д Кошкино</t>
  </si>
  <si>
    <t>22749000179</t>
  </si>
  <si>
    <t>22749000182</t>
  </si>
  <si>
    <t>п Куртюга</t>
  </si>
  <si>
    <t>22749000185</t>
  </si>
  <si>
    <t>22749000188</t>
  </si>
  <si>
    <t>п Летняя База</t>
  </si>
  <si>
    <t>22749000191</t>
  </si>
  <si>
    <t>д Ломня</t>
  </si>
  <si>
    <t>22749000194</t>
  </si>
  <si>
    <t>д Мизгирево</t>
  </si>
  <si>
    <t>22749000197</t>
  </si>
  <si>
    <t>д Миленочки</t>
  </si>
  <si>
    <t>22749000200</t>
  </si>
  <si>
    <t>22749000203</t>
  </si>
  <si>
    <t>22749000206</t>
  </si>
  <si>
    <t>д Настасьино</t>
  </si>
  <si>
    <t>22749000209</t>
  </si>
  <si>
    <t>п Новая Шомохта</t>
  </si>
  <si>
    <t>22749000212</t>
  </si>
  <si>
    <t>д Новые Короли</t>
  </si>
  <si>
    <t>22749000215</t>
  </si>
  <si>
    <t>с Пелегово</t>
  </si>
  <si>
    <t>22749000218</t>
  </si>
  <si>
    <t>с Покров-Валы</t>
  </si>
  <si>
    <t>22749000221</t>
  </si>
  <si>
    <t>д Потахино</t>
  </si>
  <si>
    <t>22749000224</t>
  </si>
  <si>
    <t>д Починок</t>
  </si>
  <si>
    <t>22749000227</t>
  </si>
  <si>
    <t>д Притыкино</t>
  </si>
  <si>
    <t>22749000230</t>
  </si>
  <si>
    <t>д Пушкарево</t>
  </si>
  <si>
    <t>22749000233</t>
  </si>
  <si>
    <t>д Родинка</t>
  </si>
  <si>
    <t>22749000236</t>
  </si>
  <si>
    <t>д Рошвенская</t>
  </si>
  <si>
    <t>22749000239</t>
  </si>
  <si>
    <t>22749000242</t>
  </si>
  <si>
    <t>22749000245</t>
  </si>
  <si>
    <t>д Селянцево</t>
  </si>
  <si>
    <t>22749000248</t>
  </si>
  <si>
    <t>22749000251</t>
  </si>
  <si>
    <t>22749000254</t>
  </si>
  <si>
    <t>22749000257</t>
  </si>
  <si>
    <t>п Софронова Пожня</t>
  </si>
  <si>
    <t>22749000260</t>
  </si>
  <si>
    <t>д Уланово</t>
  </si>
  <si>
    <t>22749000263</t>
  </si>
  <si>
    <t>22749000266</t>
  </si>
  <si>
    <t>с Цыкино</t>
  </si>
  <si>
    <t>22749000269</t>
  </si>
  <si>
    <t>д Чакрыгино</t>
  </si>
  <si>
    <t>22749000272</t>
  </si>
  <si>
    <t>д Черепаново</t>
  </si>
  <si>
    <t>22749000275</t>
  </si>
  <si>
    <t>д Шелухино</t>
  </si>
  <si>
    <t>22749000278</t>
  </si>
  <si>
    <t>22749000281</t>
  </si>
  <si>
    <t>д Юрково</t>
  </si>
  <si>
    <t>22749000284</t>
  </si>
  <si>
    <t>22749000287</t>
  </si>
  <si>
    <t>д Якунино</t>
  </si>
  <si>
    <t>22749000290</t>
  </si>
  <si>
    <t>д Ятово</t>
  </si>
  <si>
    <t>22749000293</t>
  </si>
  <si>
    <t>д Абакумово</t>
  </si>
  <si>
    <t>22749000296</t>
  </si>
  <si>
    <t>д Аверино</t>
  </si>
  <si>
    <t>22749000299</t>
  </si>
  <si>
    <t>22749000302</t>
  </si>
  <si>
    <t>22749000305</t>
  </si>
  <si>
    <t>22749000308</t>
  </si>
  <si>
    <t>22749000311</t>
  </si>
  <si>
    <t>д Балуево</t>
  </si>
  <si>
    <t>22749000314</t>
  </si>
  <si>
    <t>д Белынь</t>
  </si>
  <si>
    <t>22749000317</t>
  </si>
  <si>
    <t>д Беляевка</t>
  </si>
  <si>
    <t>22749000320</t>
  </si>
  <si>
    <t>22749000323</t>
  </si>
  <si>
    <t>д Беляиха</t>
  </si>
  <si>
    <t>22749000326</t>
  </si>
  <si>
    <t>д Беляйцево</t>
  </si>
  <si>
    <t>22749000329</t>
  </si>
  <si>
    <t>д Березово</t>
  </si>
  <si>
    <t>22749000332</t>
  </si>
  <si>
    <t>д Бессоново</t>
  </si>
  <si>
    <t>22749000335</t>
  </si>
  <si>
    <t>22749000338</t>
  </si>
  <si>
    <t>д Боженки</t>
  </si>
  <si>
    <t>22749000341</t>
  </si>
  <si>
    <t>д Болваницы</t>
  </si>
  <si>
    <t>22749000344</t>
  </si>
  <si>
    <t>д Болотково</t>
  </si>
  <si>
    <t>22749000347</t>
  </si>
  <si>
    <t>д Боровково</t>
  </si>
  <si>
    <t>22749000350</t>
  </si>
  <si>
    <t>22749000353</t>
  </si>
  <si>
    <t>д Бочкари</t>
  </si>
  <si>
    <t>22749000356</t>
  </si>
  <si>
    <t>с Бочкари</t>
  </si>
  <si>
    <t>22749000359</t>
  </si>
  <si>
    <t>22749000362</t>
  </si>
  <si>
    <t>д Бурмакино</t>
  </si>
  <si>
    <t>22749000365</t>
  </si>
  <si>
    <t>22749000368</t>
  </si>
  <si>
    <t>с Быково</t>
  </si>
  <si>
    <t>22749000371</t>
  </si>
  <si>
    <t>д Векшино</t>
  </si>
  <si>
    <t>22749000374</t>
  </si>
  <si>
    <t>с Воскресенье</t>
  </si>
  <si>
    <t>22749000377</t>
  </si>
  <si>
    <t>22749000380</t>
  </si>
  <si>
    <t>д Вязовики</t>
  </si>
  <si>
    <t>22749000383</t>
  </si>
  <si>
    <t>д Галицкая</t>
  </si>
  <si>
    <t>22749000386</t>
  </si>
  <si>
    <t>22749000389</t>
  </si>
  <si>
    <t>22749000392</t>
  </si>
  <si>
    <t>с Георгиевское</t>
  </si>
  <si>
    <t>22749000395</t>
  </si>
  <si>
    <t>д Герасимово</t>
  </si>
  <si>
    <t>22749000398</t>
  </si>
  <si>
    <t>д Германиха</t>
  </si>
  <si>
    <t>22749000401</t>
  </si>
  <si>
    <t>д Голосово</t>
  </si>
  <si>
    <t>22749000404</t>
  </si>
  <si>
    <t>22749000407</t>
  </si>
  <si>
    <t>д Горшки</t>
  </si>
  <si>
    <t>22749000410</t>
  </si>
  <si>
    <t>22749000413</t>
  </si>
  <si>
    <t>д Дейцево</t>
  </si>
  <si>
    <t>22749000416</t>
  </si>
  <si>
    <t>д Демаки</t>
  </si>
  <si>
    <t>22749000419</t>
  </si>
  <si>
    <t>д Деушиха</t>
  </si>
  <si>
    <t>22749000422</t>
  </si>
  <si>
    <t>22749000425</t>
  </si>
  <si>
    <t>д Дресвищи</t>
  </si>
  <si>
    <t>22749000428</t>
  </si>
  <si>
    <t>д Дрябино</t>
  </si>
  <si>
    <t>22749000431</t>
  </si>
  <si>
    <t>д Еголево</t>
  </si>
  <si>
    <t>22749000434</t>
  </si>
  <si>
    <t>д Желудиха</t>
  </si>
  <si>
    <t>22749000437</t>
  </si>
  <si>
    <t>д Жиделиха</t>
  </si>
  <si>
    <t>22749000440</t>
  </si>
  <si>
    <t>22749000443</t>
  </si>
  <si>
    <t>д Затвердяево</t>
  </si>
  <si>
    <t>22749000446</t>
  </si>
  <si>
    <t>д Зубариха</t>
  </si>
  <si>
    <t>22749000449</t>
  </si>
  <si>
    <t>22749000452</t>
  </si>
  <si>
    <t>22749000455</t>
  </si>
  <si>
    <t>д Исаково</t>
  </si>
  <si>
    <t>22749000458</t>
  </si>
  <si>
    <t>д Ковернино</t>
  </si>
  <si>
    <t>22749000461</t>
  </si>
  <si>
    <t>д Кокорино</t>
  </si>
  <si>
    <t>22749000464</t>
  </si>
  <si>
    <t>д Колобовка</t>
  </si>
  <si>
    <t>22749000467</t>
  </si>
  <si>
    <t>д Копытово</t>
  </si>
  <si>
    <t>22749000470</t>
  </si>
  <si>
    <t>д Корноухово</t>
  </si>
  <si>
    <t>22749000473</t>
  </si>
  <si>
    <t>22749000476</t>
  </si>
  <si>
    <t>д Косоурка</t>
  </si>
  <si>
    <t>22749000479</t>
  </si>
  <si>
    <t>д Костериха</t>
  </si>
  <si>
    <t>22749000482</t>
  </si>
  <si>
    <t>д Кострово</t>
  </si>
  <si>
    <t>22749000485</t>
  </si>
  <si>
    <t>д Круты</t>
  </si>
  <si>
    <t>22749000488</t>
  </si>
  <si>
    <t>д Кужемячиха</t>
  </si>
  <si>
    <t>22749000491</t>
  </si>
  <si>
    <t>д Кузино</t>
  </si>
  <si>
    <t>22749000494</t>
  </si>
  <si>
    <t>22749000497</t>
  </si>
  <si>
    <t>д Лысеево</t>
  </si>
  <si>
    <t>22749000500</t>
  </si>
  <si>
    <t>д Лягайцево</t>
  </si>
  <si>
    <t>22749000503</t>
  </si>
  <si>
    <t>22749000506</t>
  </si>
  <si>
    <t>д Маракушино</t>
  </si>
  <si>
    <t>22749000509</t>
  </si>
  <si>
    <t>д Мармыжево</t>
  </si>
  <si>
    <t>22749000512</t>
  </si>
  <si>
    <t>22749000515</t>
  </si>
  <si>
    <t>д Митинская</t>
  </si>
  <si>
    <t>22749000518</t>
  </si>
  <si>
    <t>д Молчаново</t>
  </si>
  <si>
    <t>22749000521</t>
  </si>
  <si>
    <t>22749000524</t>
  </si>
  <si>
    <t>д Мутовкино</t>
  </si>
  <si>
    <t>22749000527</t>
  </si>
  <si>
    <t>22749000530</t>
  </si>
  <si>
    <t>д Овсяники</t>
  </si>
  <si>
    <t>22749000533</t>
  </si>
  <si>
    <t>д Парниково</t>
  </si>
  <si>
    <t>22749000536</t>
  </si>
  <si>
    <t>22749000539</t>
  </si>
  <si>
    <t>22749000542</t>
  </si>
  <si>
    <t>д Поплевино</t>
  </si>
  <si>
    <t>22749000545</t>
  </si>
  <si>
    <t>22749000548</t>
  </si>
  <si>
    <t>д Резаново</t>
  </si>
  <si>
    <t>22749000551</t>
  </si>
  <si>
    <t>д Решетники</t>
  </si>
  <si>
    <t>22749000554</t>
  </si>
  <si>
    <t>д Ряполиха</t>
  </si>
  <si>
    <t>22749000557</t>
  </si>
  <si>
    <t>д Сельское</t>
  </si>
  <si>
    <t>22749000560</t>
  </si>
  <si>
    <t>д Сенники</t>
  </si>
  <si>
    <t>22749000563</t>
  </si>
  <si>
    <t>д Сидорово</t>
  </si>
  <si>
    <t>22749000566</t>
  </si>
  <si>
    <t>22749000569</t>
  </si>
  <si>
    <t>д Соличное</t>
  </si>
  <si>
    <t>22749000572</t>
  </si>
  <si>
    <t>д Солунино</t>
  </si>
  <si>
    <t>22749000575</t>
  </si>
  <si>
    <t>22749000578</t>
  </si>
  <si>
    <t>22749000581</t>
  </si>
  <si>
    <t>22749000584</t>
  </si>
  <si>
    <t>д Таратыщево</t>
  </si>
  <si>
    <t>22749000587</t>
  </si>
  <si>
    <t>22749000590</t>
  </si>
  <si>
    <t>д Ушибиха</t>
  </si>
  <si>
    <t>22749000593</t>
  </si>
  <si>
    <t>22749000596</t>
  </si>
  <si>
    <t>22749000599</t>
  </si>
  <si>
    <t>д Фефелиха</t>
  </si>
  <si>
    <t>22749000602</t>
  </si>
  <si>
    <t>д Хмелевка</t>
  </si>
  <si>
    <t>22749000605</t>
  </si>
  <si>
    <t>д Хойлово</t>
  </si>
  <si>
    <t>22749000608</t>
  </si>
  <si>
    <t>д Хухарево</t>
  </si>
  <si>
    <t>22749000611</t>
  </si>
  <si>
    <t>д Чечетки</t>
  </si>
  <si>
    <t>22749000614</t>
  </si>
  <si>
    <t>д Шилыхово</t>
  </si>
  <si>
    <t>22749000617</t>
  </si>
  <si>
    <t>д Ширмакша</t>
  </si>
  <si>
    <t>22749000620</t>
  </si>
  <si>
    <t>д Шкулево</t>
  </si>
  <si>
    <t>22749000623</t>
  </si>
  <si>
    <t>д Щипакино</t>
  </si>
  <si>
    <t>22749000626</t>
  </si>
  <si>
    <t>д Щипаново</t>
  </si>
  <si>
    <t>22749000629</t>
  </si>
  <si>
    <t>д Якунькино</t>
  </si>
  <si>
    <t>22749000632</t>
  </si>
  <si>
    <t>д Яндовищи</t>
  </si>
  <si>
    <t>22749000635</t>
  </si>
  <si>
    <t>д Ямное</t>
  </si>
  <si>
    <t>22749000638</t>
  </si>
  <si>
    <t>д Абрашкино</t>
  </si>
  <si>
    <t>22749000641</t>
  </si>
  <si>
    <t>д Бардино</t>
  </si>
  <si>
    <t>22749000644</t>
  </si>
  <si>
    <t>22749000647</t>
  </si>
  <si>
    <t>22749000650</t>
  </si>
  <si>
    <t>д Бунегино</t>
  </si>
  <si>
    <t>22749000653</t>
  </si>
  <si>
    <t>д Валгусово</t>
  </si>
  <si>
    <t>22749000656</t>
  </si>
  <si>
    <t>22749000659</t>
  </si>
  <si>
    <t>22749000662</t>
  </si>
  <si>
    <t>д Гоголино</t>
  </si>
  <si>
    <t>22749000665</t>
  </si>
  <si>
    <t>д Добрыниха</t>
  </si>
  <si>
    <t>22749000668</t>
  </si>
  <si>
    <t>с Дорофеево</t>
  </si>
  <si>
    <t>22749000671</t>
  </si>
  <si>
    <t>д Дудкино</t>
  </si>
  <si>
    <t>22749000674</t>
  </si>
  <si>
    <t>22749000677</t>
  </si>
  <si>
    <t>д Жгилево</t>
  </si>
  <si>
    <t>22749000680</t>
  </si>
  <si>
    <t>д Желваково</t>
  </si>
  <si>
    <t>22749000683</t>
  </si>
  <si>
    <t>п Запашка</t>
  </si>
  <si>
    <t>22749000686</t>
  </si>
  <si>
    <t>д Заполенка</t>
  </si>
  <si>
    <t>22749000689</t>
  </si>
  <si>
    <t>д Иваньково</t>
  </si>
  <si>
    <t>22749000692</t>
  </si>
  <si>
    <t>д Игумново</t>
  </si>
  <si>
    <t>22749000695</t>
  </si>
  <si>
    <t>д Каверзино</t>
  </si>
  <si>
    <t>22749000698</t>
  </si>
  <si>
    <t>д Каргино</t>
  </si>
  <si>
    <t>22749000701</t>
  </si>
  <si>
    <t>22749000704</t>
  </si>
  <si>
    <t>д Красный Бор</t>
  </si>
  <si>
    <t>22749000707</t>
  </si>
  <si>
    <t>22749000710</t>
  </si>
  <si>
    <t>д Коренево</t>
  </si>
  <si>
    <t>22749000713</t>
  </si>
  <si>
    <t>д Коряковец</t>
  </si>
  <si>
    <t>22749000716</t>
  </si>
  <si>
    <t>д Кривово</t>
  </si>
  <si>
    <t>22749000719</t>
  </si>
  <si>
    <t>д Кропотово</t>
  </si>
  <si>
    <t>22749000722</t>
  </si>
  <si>
    <t>22749000725</t>
  </si>
  <si>
    <t>д Малое Сокольское</t>
  </si>
  <si>
    <t>22749000728</t>
  </si>
  <si>
    <t>с Мамонтово</t>
  </si>
  <si>
    <t>22749000731</t>
  </si>
  <si>
    <t>д Миленки</t>
  </si>
  <si>
    <t>22749000734</t>
  </si>
  <si>
    <t>д Митронино</t>
  </si>
  <si>
    <t>22749000737</t>
  </si>
  <si>
    <t>д Мурзино</t>
  </si>
  <si>
    <t>22749000740</t>
  </si>
  <si>
    <t>22749000743</t>
  </si>
  <si>
    <t>д Оловягино</t>
  </si>
  <si>
    <t>22749000746</t>
  </si>
  <si>
    <t>22749000749</t>
  </si>
  <si>
    <t>22749000752</t>
  </si>
  <si>
    <t>д Порботное</t>
  </si>
  <si>
    <t>22749000755</t>
  </si>
  <si>
    <t>22749000758</t>
  </si>
  <si>
    <t>22749000761</t>
  </si>
  <si>
    <t>д Пылайкино</t>
  </si>
  <si>
    <t>22749000764</t>
  </si>
  <si>
    <t>д Реброво</t>
  </si>
  <si>
    <t>22749000767</t>
  </si>
  <si>
    <t>22749000770</t>
  </si>
  <si>
    <t>д Сафониха</t>
  </si>
  <si>
    <t>22749000773</t>
  </si>
  <si>
    <t>д Синобрилово</t>
  </si>
  <si>
    <t>22749000776</t>
  </si>
  <si>
    <t>д Слободки</t>
  </si>
  <si>
    <t>22749000779</t>
  </si>
  <si>
    <t>д Солищи</t>
  </si>
  <si>
    <t>22749000782</t>
  </si>
  <si>
    <t>д Тараканово</t>
  </si>
  <si>
    <t>22749000785</t>
  </si>
  <si>
    <t>д Теленково</t>
  </si>
  <si>
    <t>22749000788</t>
  </si>
  <si>
    <t>д Трушино</t>
  </si>
  <si>
    <t>22749000791</t>
  </si>
  <si>
    <t>22749000794</t>
  </si>
  <si>
    <t>д Хапаево</t>
  </si>
  <si>
    <t>22749000797</t>
  </si>
  <si>
    <t>д Хмельничное</t>
  </si>
  <si>
    <t>22749000800</t>
  </si>
  <si>
    <t>д Чибисово</t>
  </si>
  <si>
    <t>22749000803</t>
  </si>
  <si>
    <t>д Чубариха</t>
  </si>
  <si>
    <t>22749000806</t>
  </si>
  <si>
    <t>22749000809</t>
  </si>
  <si>
    <t>д Шевелево</t>
  </si>
  <si>
    <t>22749000812</t>
  </si>
  <si>
    <t>д Шероново</t>
  </si>
  <si>
    <t>22749000815</t>
  </si>
  <si>
    <t>22749000818</t>
  </si>
  <si>
    <t>д Шумкино</t>
  </si>
  <si>
    <t>22749000821</t>
  </si>
  <si>
    <t>д Шуравино</t>
  </si>
  <si>
    <t>22749000824</t>
  </si>
  <si>
    <t>д Юркино</t>
  </si>
  <si>
    <t>22755000001</t>
  </si>
  <si>
    <t>г Чкаловск</t>
  </si>
  <si>
    <t>22755000102</t>
  </si>
  <si>
    <t>22755000105</t>
  </si>
  <si>
    <t>д Бегучево</t>
  </si>
  <si>
    <t>22755000108</t>
  </si>
  <si>
    <t>с Белое</t>
  </si>
  <si>
    <t>22755000111</t>
  </si>
  <si>
    <t>д Белозеры</t>
  </si>
  <si>
    <t>22755000114</t>
  </si>
  <si>
    <t>д Берьково</t>
  </si>
  <si>
    <t>22755000117</t>
  </si>
  <si>
    <t>22755000120</t>
  </si>
  <si>
    <t>д Большое Варакино</t>
  </si>
  <si>
    <t>22755000123</t>
  </si>
  <si>
    <t>22755000126</t>
  </si>
  <si>
    <t>д Бровницы</t>
  </si>
  <si>
    <t>22755000129</t>
  </si>
  <si>
    <t>22755000132</t>
  </si>
  <si>
    <t>д Букашево</t>
  </si>
  <si>
    <t>22755000135</t>
  </si>
  <si>
    <t>д Ванисово</t>
  </si>
  <si>
    <t>22755000138</t>
  </si>
  <si>
    <t>д Варлашево</t>
  </si>
  <si>
    <t>22755000141</t>
  </si>
  <si>
    <t>22755000144</t>
  </si>
  <si>
    <t>д Великово</t>
  </si>
  <si>
    <t>22755000147</t>
  </si>
  <si>
    <t>д Ганиха</t>
  </si>
  <si>
    <t>22755000150</t>
  </si>
  <si>
    <t>д Гладыши</t>
  </si>
  <si>
    <t>22755000153</t>
  </si>
  <si>
    <t>д Грибово</t>
  </si>
  <si>
    <t>22755000156</t>
  </si>
  <si>
    <t>22755000159</t>
  </si>
  <si>
    <t>д Елино</t>
  </si>
  <si>
    <t>22755000162</t>
  </si>
  <si>
    <t>д Занино</t>
  </si>
  <si>
    <t>22755000165</t>
  </si>
  <si>
    <t>д Здемерово</t>
  </si>
  <si>
    <t>22755000168</t>
  </si>
  <si>
    <t>д Игошино</t>
  </si>
  <si>
    <t>22755000171</t>
  </si>
  <si>
    <t>д Ильдово</t>
  </si>
  <si>
    <t>22755000174</t>
  </si>
  <si>
    <t>д Каблуково</t>
  </si>
  <si>
    <t>22755000177</t>
  </si>
  <si>
    <t>д Карпуниха</t>
  </si>
  <si>
    <t>22755000180</t>
  </si>
  <si>
    <t>д Карпушкино</t>
  </si>
  <si>
    <t>22755000183</t>
  </si>
  <si>
    <t>д Кирино</t>
  </si>
  <si>
    <t>22755000186</t>
  </si>
  <si>
    <t>д Косьмягино</t>
  </si>
  <si>
    <t>22755000189</t>
  </si>
  <si>
    <t>22755000192</t>
  </si>
  <si>
    <t>д Лакомкино</t>
  </si>
  <si>
    <t>22755000195</t>
  </si>
  <si>
    <t>22755000198</t>
  </si>
  <si>
    <t>д Луговая</t>
  </si>
  <si>
    <t>22755000201</t>
  </si>
  <si>
    <t>д Лутошкино</t>
  </si>
  <si>
    <t>22755000204</t>
  </si>
  <si>
    <t>д Малое Варакино</t>
  </si>
  <si>
    <t>22755000207</t>
  </si>
  <si>
    <t>д Мякотино</t>
  </si>
  <si>
    <t>22755000210</t>
  </si>
  <si>
    <t>22755000213</t>
  </si>
  <si>
    <t>с Новинки</t>
  </si>
  <si>
    <t>22755000216</t>
  </si>
  <si>
    <t>22755000219</t>
  </si>
  <si>
    <t>д Палкино</t>
  </si>
  <si>
    <t>22755000222</t>
  </si>
  <si>
    <t>д Перхурово</t>
  </si>
  <si>
    <t>22755000225</t>
  </si>
  <si>
    <t>д Петрунино</t>
  </si>
  <si>
    <t>22755000228</t>
  </si>
  <si>
    <t>д Ревикино</t>
  </si>
  <si>
    <t>22755000231</t>
  </si>
  <si>
    <t>22755000234</t>
  </si>
  <si>
    <t>д Самсыгино</t>
  </si>
  <si>
    <t>22755000237</t>
  </si>
  <si>
    <t>22755000240</t>
  </si>
  <si>
    <t>с Сицкое</t>
  </si>
  <si>
    <t>22755000243</t>
  </si>
  <si>
    <t>д Смыкушиха</t>
  </si>
  <si>
    <t>22755000246</t>
  </si>
  <si>
    <t>22755000249</t>
  </si>
  <si>
    <t>д Степучево</t>
  </si>
  <si>
    <t>22755000252</t>
  </si>
  <si>
    <t>д Страшево</t>
  </si>
  <si>
    <t>22755000255</t>
  </si>
  <si>
    <t>д Стрепехово</t>
  </si>
  <si>
    <t>22755000258</t>
  </si>
  <si>
    <t>д Сумино</t>
  </si>
  <si>
    <t>22755000261</t>
  </si>
  <si>
    <t>22755000264</t>
  </si>
  <si>
    <t>д Фирсово</t>
  </si>
  <si>
    <t>22755000267</t>
  </si>
  <si>
    <t>д Харенки</t>
  </si>
  <si>
    <t>22755000270</t>
  </si>
  <si>
    <t>22755000273</t>
  </si>
  <si>
    <t>22755000276</t>
  </si>
  <si>
    <t>с Вершилово</t>
  </si>
  <si>
    <t>22755000279</t>
  </si>
  <si>
    <t>22755000282</t>
  </si>
  <si>
    <t>п при рзд Зайково</t>
  </si>
  <si>
    <t>22755000285</t>
  </si>
  <si>
    <t>22755000288</t>
  </si>
  <si>
    <t>22755000291</t>
  </si>
  <si>
    <t>22755000294</t>
  </si>
  <si>
    <t>22755000297</t>
  </si>
  <si>
    <t>д Милино</t>
  </si>
  <si>
    <t>22755000300</t>
  </si>
  <si>
    <t>п при рзд Мухлово</t>
  </si>
  <si>
    <t>22755000303</t>
  </si>
  <si>
    <t>22755000306</t>
  </si>
  <si>
    <t>д Пройма</t>
  </si>
  <si>
    <t>22755000309</t>
  </si>
  <si>
    <t>22755000312</t>
  </si>
  <si>
    <t>д Скорынино</t>
  </si>
  <si>
    <t>22755000315</t>
  </si>
  <si>
    <t>п Старая Казарма</t>
  </si>
  <si>
    <t>22755000318</t>
  </si>
  <si>
    <t>с Тимонькино</t>
  </si>
  <si>
    <t>22755000321</t>
  </si>
  <si>
    <t>д Трофаново</t>
  </si>
  <si>
    <t>22755000324</t>
  </si>
  <si>
    <t>д Урково</t>
  </si>
  <si>
    <t>22755000327</t>
  </si>
  <si>
    <t>д Шеховская</t>
  </si>
  <si>
    <t>22755000330</t>
  </si>
  <si>
    <t>с Катунки</t>
  </si>
  <si>
    <t>22755000333</t>
  </si>
  <si>
    <t>д Алеево</t>
  </si>
  <si>
    <t>22755000336</t>
  </si>
  <si>
    <t>д Апалихино</t>
  </si>
  <si>
    <t>22755000339</t>
  </si>
  <si>
    <t>д Бабаино</t>
  </si>
  <si>
    <t>22755000342</t>
  </si>
  <si>
    <t>д Балахнино</t>
  </si>
  <si>
    <t>22755000345</t>
  </si>
  <si>
    <t>д Белово</t>
  </si>
  <si>
    <t>22755000348</t>
  </si>
  <si>
    <t>д Ваулино</t>
  </si>
  <si>
    <t>22755000351</t>
  </si>
  <si>
    <t>д Вашкино</t>
  </si>
  <si>
    <t>22755000354</t>
  </si>
  <si>
    <t>22755000357</t>
  </si>
  <si>
    <t>22755000360</t>
  </si>
  <si>
    <t>22755000363</t>
  </si>
  <si>
    <t>22755000366</t>
  </si>
  <si>
    <t>д Задняя</t>
  </si>
  <si>
    <t>22755000369</t>
  </si>
  <si>
    <t>22755000372</t>
  </si>
  <si>
    <t>22755000375</t>
  </si>
  <si>
    <t>д Кастихино</t>
  </si>
  <si>
    <t>22755000378</t>
  </si>
  <si>
    <t>д Кириха</t>
  </si>
  <si>
    <t>22755000381</t>
  </si>
  <si>
    <t>д Киселево</t>
  </si>
  <si>
    <t>22755000384</t>
  </si>
  <si>
    <t>д Кораблево</t>
  </si>
  <si>
    <t>22755000387</t>
  </si>
  <si>
    <t>22755000390</t>
  </si>
  <si>
    <t>д Котельницы</t>
  </si>
  <si>
    <t>22755000393</t>
  </si>
  <si>
    <t>22755000396</t>
  </si>
  <si>
    <t>д Кутячево</t>
  </si>
  <si>
    <t>22755000399</t>
  </si>
  <si>
    <t>д Лазариха</t>
  </si>
  <si>
    <t>22755000402</t>
  </si>
  <si>
    <t>д Лукинки</t>
  </si>
  <si>
    <t>22755000405</t>
  </si>
  <si>
    <t>22755000408</t>
  </si>
  <si>
    <t>22755000411</t>
  </si>
  <si>
    <t>д Павелково</t>
  </si>
  <si>
    <t>22755000414</t>
  </si>
  <si>
    <t>д Погудкино</t>
  </si>
  <si>
    <t>22755000417</t>
  </si>
  <si>
    <t>д Полубенки</t>
  </si>
  <si>
    <t>22755000420</t>
  </si>
  <si>
    <t>22755000423</t>
  </si>
  <si>
    <t>д Рылково</t>
  </si>
  <si>
    <t>22755000426</t>
  </si>
  <si>
    <t>д Сабукино</t>
  </si>
  <si>
    <t>22755000429</t>
  </si>
  <si>
    <t>д Санагирево</t>
  </si>
  <si>
    <t>22755000432</t>
  </si>
  <si>
    <t>д Сапаниха</t>
  </si>
  <si>
    <t>22755000435</t>
  </si>
  <si>
    <t>д Сенничиха</t>
  </si>
  <si>
    <t>22755000438</t>
  </si>
  <si>
    <t>22755000441</t>
  </si>
  <si>
    <t>22755000444</t>
  </si>
  <si>
    <t>д Таборы</t>
  </si>
  <si>
    <t>22755000447</t>
  </si>
  <si>
    <t>д Хвостиха</t>
  </si>
  <si>
    <t>22755000450</t>
  </si>
  <si>
    <t>д Хмелино</t>
  </si>
  <si>
    <t>22755000453</t>
  </si>
  <si>
    <t>д Чернильниково</t>
  </si>
  <si>
    <t>22755000456</t>
  </si>
  <si>
    <t>22755000459</t>
  </si>
  <si>
    <t>22755000462</t>
  </si>
  <si>
    <t>22755000465</t>
  </si>
  <si>
    <t>д Беседы</t>
  </si>
  <si>
    <t>22755000468</t>
  </si>
  <si>
    <t>д Бессониха</t>
  </si>
  <si>
    <t>22755000471</t>
  </si>
  <si>
    <t>д Большое Рябинино</t>
  </si>
  <si>
    <t>22755000474</t>
  </si>
  <si>
    <t>д Бральгино</t>
  </si>
  <si>
    <t>22755000477</t>
  </si>
  <si>
    <t>д Высокая</t>
  </si>
  <si>
    <t>22755000480</t>
  </si>
  <si>
    <t>д Горбово</t>
  </si>
  <si>
    <t>22755000483</t>
  </si>
  <si>
    <t>д Горянское</t>
  </si>
  <si>
    <t>22755000486</t>
  </si>
  <si>
    <t>д Губцево</t>
  </si>
  <si>
    <t>22755000489</t>
  </si>
  <si>
    <t>д Зелебиха</t>
  </si>
  <si>
    <t>22755000492</t>
  </si>
  <si>
    <t>д Зельево</t>
  </si>
  <si>
    <t>22755000495</t>
  </si>
  <si>
    <t>22755000498</t>
  </si>
  <si>
    <t>д Карабасиха</t>
  </si>
  <si>
    <t>22755000501</t>
  </si>
  <si>
    <t>д Климотино</t>
  </si>
  <si>
    <t>22755000504</t>
  </si>
  <si>
    <t>д Колганово</t>
  </si>
  <si>
    <t>22755000507</t>
  </si>
  <si>
    <t>22755000510</t>
  </si>
  <si>
    <t>22755000513</t>
  </si>
  <si>
    <t>22755000516</t>
  </si>
  <si>
    <t>д Кукомоино</t>
  </si>
  <si>
    <t>22755000519</t>
  </si>
  <si>
    <t>д Кулаево</t>
  </si>
  <si>
    <t>22755000522</t>
  </si>
  <si>
    <t>22755000525</t>
  </si>
  <si>
    <t>22755000528</t>
  </si>
  <si>
    <t>д Либежево</t>
  </si>
  <si>
    <t>22755000531</t>
  </si>
  <si>
    <t>д Лопатиха</t>
  </si>
  <si>
    <t>22755000534</t>
  </si>
  <si>
    <t>д Малая</t>
  </si>
  <si>
    <t>22755000537</t>
  </si>
  <si>
    <t>д Малое Рябинино</t>
  </si>
  <si>
    <t>22755000540</t>
  </si>
  <si>
    <t>22755000543</t>
  </si>
  <si>
    <t>д Медниково</t>
  </si>
  <si>
    <t>22755000546</t>
  </si>
  <si>
    <t>д Митениха</t>
  </si>
  <si>
    <t>22755000549</t>
  </si>
  <si>
    <t>д Мишнево</t>
  </si>
  <si>
    <t>22755000552</t>
  </si>
  <si>
    <t>22755000555</t>
  </si>
  <si>
    <t>д Окорково</t>
  </si>
  <si>
    <t>22755000558</t>
  </si>
  <si>
    <t>д Осокино</t>
  </si>
  <si>
    <t>22755000561</t>
  </si>
  <si>
    <t>22755000564</t>
  </si>
  <si>
    <t>д Плясицино</t>
  </si>
  <si>
    <t>22755000567</t>
  </si>
  <si>
    <t>д Подшибалкино</t>
  </si>
  <si>
    <t>22755000570</t>
  </si>
  <si>
    <t>д Попцово</t>
  </si>
  <si>
    <t>22755000573</t>
  </si>
  <si>
    <t>22755000576</t>
  </si>
  <si>
    <t>22755000579</t>
  </si>
  <si>
    <t>22755000582</t>
  </si>
  <si>
    <t>д Харламово</t>
  </si>
  <si>
    <t>22755000585</t>
  </si>
  <si>
    <t>22755000588</t>
  </si>
  <si>
    <t>д Черенино</t>
  </si>
  <si>
    <t>22755000591</t>
  </si>
  <si>
    <t>д Черницы</t>
  </si>
  <si>
    <t>22755000594</t>
  </si>
  <si>
    <t>д Шестово</t>
  </si>
  <si>
    <t>22755000597</t>
  </si>
  <si>
    <t>22755000600</t>
  </si>
  <si>
    <t>д Яблоново</t>
  </si>
  <si>
    <t>22755000603</t>
  </si>
  <si>
    <t>22755000606</t>
  </si>
  <si>
    <t>д Барышиха</t>
  </si>
  <si>
    <t>22755000609</t>
  </si>
  <si>
    <t>22755000612</t>
  </si>
  <si>
    <t>д Боброво</t>
  </si>
  <si>
    <t>22755000615</t>
  </si>
  <si>
    <t>д Бородулино</t>
  </si>
  <si>
    <t>22755000618</t>
  </si>
  <si>
    <t>д Веретеново</t>
  </si>
  <si>
    <t>22755000621</t>
  </si>
  <si>
    <t>22755000624</t>
  </si>
  <si>
    <t>д Голышево</t>
  </si>
  <si>
    <t>22755000627</t>
  </si>
  <si>
    <t>д Гребнево</t>
  </si>
  <si>
    <t>22755000630</t>
  </si>
  <si>
    <t>22755000633</t>
  </si>
  <si>
    <t>22755000636</t>
  </si>
  <si>
    <t>22755000639</t>
  </si>
  <si>
    <t>д Косяково</t>
  </si>
  <si>
    <t>22755000642</t>
  </si>
  <si>
    <t>п Левино</t>
  </si>
  <si>
    <t>22755000645</t>
  </si>
  <si>
    <t>д Малое Чухово</t>
  </si>
  <si>
    <t>22755000648</t>
  </si>
  <si>
    <t>22755000651</t>
  </si>
  <si>
    <t>22755000657</t>
  </si>
  <si>
    <t>д Осташино</t>
  </si>
  <si>
    <t>22755000660</t>
  </si>
  <si>
    <t>22755000663</t>
  </si>
  <si>
    <t>с Пурех</t>
  </si>
  <si>
    <t>22755000666</t>
  </si>
  <si>
    <t>д Пырьево</t>
  </si>
  <si>
    <t>22755000669</t>
  </si>
  <si>
    <t>22755000672</t>
  </si>
  <si>
    <t>22755000675</t>
  </si>
  <si>
    <t>д Смольево</t>
  </si>
  <si>
    <t>22755000678</t>
  </si>
  <si>
    <t>22755000681</t>
  </si>
  <si>
    <t>д Тяжелухино</t>
  </si>
  <si>
    <t>22755000684</t>
  </si>
  <si>
    <t>22755000687</t>
  </si>
  <si>
    <t>д Фомино</t>
  </si>
  <si>
    <t>22755000690</t>
  </si>
  <si>
    <t>п Школьный</t>
  </si>
  <si>
    <t>22755000693</t>
  </si>
  <si>
    <t>22755000696</t>
  </si>
  <si>
    <t>д Большое Якунино</t>
  </si>
  <si>
    <t>22755000699</t>
  </si>
  <si>
    <t>д Вашеево</t>
  </si>
  <si>
    <t>22755000702</t>
  </si>
  <si>
    <t>22755000705</t>
  </si>
  <si>
    <t>22755000708</t>
  </si>
  <si>
    <t>д Железово</t>
  </si>
  <si>
    <t>22755000711</t>
  </si>
  <si>
    <t>д Загоскино</t>
  </si>
  <si>
    <t>22755000714</t>
  </si>
  <si>
    <t>22755000717</t>
  </si>
  <si>
    <t>22755000720</t>
  </si>
  <si>
    <t>22755000723</t>
  </si>
  <si>
    <t>22755000726</t>
  </si>
  <si>
    <t>д Малое Якунино</t>
  </si>
  <si>
    <t>22755000729</t>
  </si>
  <si>
    <t>д Мишино</t>
  </si>
  <si>
    <t>22755000732</t>
  </si>
  <si>
    <t>22755000735</t>
  </si>
  <si>
    <t>д Подожгино</t>
  </si>
  <si>
    <t>22755000738</t>
  </si>
  <si>
    <t>д Поросятево</t>
  </si>
  <si>
    <t>22755000741</t>
  </si>
  <si>
    <t>22755000744</t>
  </si>
  <si>
    <t>д Просоль</t>
  </si>
  <si>
    <t>22755000747</t>
  </si>
  <si>
    <t>22755000750</t>
  </si>
  <si>
    <t>с Соломаты</t>
  </si>
  <si>
    <t>22755000753</t>
  </si>
  <si>
    <t>22755000756</t>
  </si>
  <si>
    <t>д Умники</t>
  </si>
  <si>
    <t>22755000759</t>
  </si>
  <si>
    <t>д Федена</t>
  </si>
  <si>
    <t>22755000762</t>
  </si>
  <si>
    <t>д Хохары</t>
  </si>
  <si>
    <t>22755000765</t>
  </si>
  <si>
    <t>д Шиблово</t>
  </si>
  <si>
    <t>22755000768</t>
  </si>
  <si>
    <t>д Шинино</t>
  </si>
  <si>
    <t>22755000771</t>
  </si>
  <si>
    <t>22755000774</t>
  </si>
  <si>
    <t>д Шмели</t>
  </si>
  <si>
    <t>22755000777</t>
  </si>
  <si>
    <t>д Щетинино</t>
  </si>
  <si>
    <t>22755000780</t>
  </si>
  <si>
    <t>д Ягодная</t>
  </si>
  <si>
    <t>22755000783</t>
  </si>
  <si>
    <t>с Чистое</t>
  </si>
  <si>
    <t>22758000001</t>
  </si>
  <si>
    <t>г Шахунья</t>
  </si>
  <si>
    <t>22758000056</t>
  </si>
  <si>
    <t>рп Вахтан</t>
  </si>
  <si>
    <t>22758000061</t>
  </si>
  <si>
    <t>рп Сява</t>
  </si>
  <si>
    <t>22758000106</t>
  </si>
  <si>
    <t>д Доронькино</t>
  </si>
  <si>
    <t>22758000111</t>
  </si>
  <si>
    <t>п Новосявский</t>
  </si>
  <si>
    <t>22758000116</t>
  </si>
  <si>
    <t>22758000121</t>
  </si>
  <si>
    <t>д Акаты</t>
  </si>
  <si>
    <t>22758000126</t>
  </si>
  <si>
    <t>22758000131</t>
  </si>
  <si>
    <t>д Большие Белолуги</t>
  </si>
  <si>
    <t>22758000136</t>
  </si>
  <si>
    <t>д Большие Кулики</t>
  </si>
  <si>
    <t>22758000141</t>
  </si>
  <si>
    <t>починок Гусевский</t>
  </si>
  <si>
    <t>22758000146</t>
  </si>
  <si>
    <t>д Гусельники</t>
  </si>
  <si>
    <t>22758000151</t>
  </si>
  <si>
    <t>д Зотики</t>
  </si>
  <si>
    <t>22758000156</t>
  </si>
  <si>
    <t>д Коновод</t>
  </si>
  <si>
    <t>22758000161</t>
  </si>
  <si>
    <t>д Красный Май</t>
  </si>
  <si>
    <t>22758000166</t>
  </si>
  <si>
    <t>д Лебедевка</t>
  </si>
  <si>
    <t>22758000171</t>
  </si>
  <si>
    <t>д Малые Белолуги</t>
  </si>
  <si>
    <t>22758000176</t>
  </si>
  <si>
    <t>22758000181</t>
  </si>
  <si>
    <t>д Мелешиха</t>
  </si>
  <si>
    <t>22758000186</t>
  </si>
  <si>
    <t>д Новоселовка</t>
  </si>
  <si>
    <t>22758000191</t>
  </si>
  <si>
    <t>22758000196</t>
  </si>
  <si>
    <t>д Полетайки</t>
  </si>
  <si>
    <t>22758000201</t>
  </si>
  <si>
    <t>п Полетайки</t>
  </si>
  <si>
    <t>22758000206</t>
  </si>
  <si>
    <t>д Пристанское</t>
  </si>
  <si>
    <t>22758000211</t>
  </si>
  <si>
    <t>д Санталы</t>
  </si>
  <si>
    <t>22758000216</t>
  </si>
  <si>
    <t>д Синчуваж</t>
  </si>
  <si>
    <t>22758000221</t>
  </si>
  <si>
    <t>22758000226</t>
  </si>
  <si>
    <t>д Шерстни</t>
  </si>
  <si>
    <t>22758000231</t>
  </si>
  <si>
    <t>с Шерстни</t>
  </si>
  <si>
    <t>22758000236</t>
  </si>
  <si>
    <t>д Щербаж</t>
  </si>
  <si>
    <t>22758000241</t>
  </si>
  <si>
    <t>д Андрианово</t>
  </si>
  <si>
    <t>22758000246</t>
  </si>
  <si>
    <t>д Дыхалиха</t>
  </si>
  <si>
    <t>22758000251</t>
  </si>
  <si>
    <t>22758000256</t>
  </si>
  <si>
    <t>д Малая Березовка</t>
  </si>
  <si>
    <t>22758000261</t>
  </si>
  <si>
    <t>д Мартыниха</t>
  </si>
  <si>
    <t>22758000266</t>
  </si>
  <si>
    <t>д Момзино</t>
  </si>
  <si>
    <t>22758000271</t>
  </si>
  <si>
    <t>д Муравьево</t>
  </si>
  <si>
    <t>22758000276</t>
  </si>
  <si>
    <t>д Наплавино</t>
  </si>
  <si>
    <t>22758000281</t>
  </si>
  <si>
    <t>д Соромотная</t>
  </si>
  <si>
    <t>22758000286</t>
  </si>
  <si>
    <t>22758000291</t>
  </si>
  <si>
    <t>д Алехановцы</t>
  </si>
  <si>
    <t>22758000296</t>
  </si>
  <si>
    <t>с Большое Широкое</t>
  </si>
  <si>
    <t>22758000301</t>
  </si>
  <si>
    <t>22758000306</t>
  </si>
  <si>
    <t>д Верхняя Каменка</t>
  </si>
  <si>
    <t>22758000311</t>
  </si>
  <si>
    <t>д Верхняя Сосновка</t>
  </si>
  <si>
    <t>22758000316</t>
  </si>
  <si>
    <t>22758000321</t>
  </si>
  <si>
    <t>д Ефтино</t>
  </si>
  <si>
    <t>22758000326</t>
  </si>
  <si>
    <t>д Заовражье</t>
  </si>
  <si>
    <t>22758000331</t>
  </si>
  <si>
    <t>д Зубанья</t>
  </si>
  <si>
    <t>22758000336</t>
  </si>
  <si>
    <t>п.ст Зубанья</t>
  </si>
  <si>
    <t>22758000341</t>
  </si>
  <si>
    <t>д Ильинки</t>
  </si>
  <si>
    <t>22758000346</t>
  </si>
  <si>
    <t>д Караваиха</t>
  </si>
  <si>
    <t>22758000351</t>
  </si>
  <si>
    <t>д Клин</t>
  </si>
  <si>
    <t>22758000356</t>
  </si>
  <si>
    <t>22758000361</t>
  </si>
  <si>
    <t>22758000366</t>
  </si>
  <si>
    <t>22758000371</t>
  </si>
  <si>
    <t>22758000376</t>
  </si>
  <si>
    <t>д Лубянцы</t>
  </si>
  <si>
    <t>22758000381</t>
  </si>
  <si>
    <t>п Луговой</t>
  </si>
  <si>
    <t>22758000386</t>
  </si>
  <si>
    <t>п Лужайки</t>
  </si>
  <si>
    <t>22758000391</t>
  </si>
  <si>
    <t>д Малая Полдневая</t>
  </si>
  <si>
    <t>22758000396</t>
  </si>
  <si>
    <t>д Малая Пристань</t>
  </si>
  <si>
    <t>22758000401</t>
  </si>
  <si>
    <t>д Малая Темта</t>
  </si>
  <si>
    <t>22758000406</t>
  </si>
  <si>
    <t>д Мирониха</t>
  </si>
  <si>
    <t>22758000411</t>
  </si>
  <si>
    <t>починок Морозовский</t>
  </si>
  <si>
    <t>22758000416</t>
  </si>
  <si>
    <t>д Никитиха</t>
  </si>
  <si>
    <t>22758000421</t>
  </si>
  <si>
    <t>д Нужата</t>
  </si>
  <si>
    <t>22758000426</t>
  </si>
  <si>
    <t>д Одинцово</t>
  </si>
  <si>
    <t>22758000431</t>
  </si>
  <si>
    <t>д Отлом</t>
  </si>
  <si>
    <t>22758000436</t>
  </si>
  <si>
    <t>д Петухи</t>
  </si>
  <si>
    <t>22758000441</t>
  </si>
  <si>
    <t>д Поликарп</t>
  </si>
  <si>
    <t>22758000446</t>
  </si>
  <si>
    <t>22758000451</t>
  </si>
  <si>
    <t>22758000456</t>
  </si>
  <si>
    <t>22758000461</t>
  </si>
  <si>
    <t>д Тарасята</t>
  </si>
  <si>
    <t>22758000466</t>
  </si>
  <si>
    <t>д Тюрики</t>
  </si>
  <si>
    <t>22758000471</t>
  </si>
  <si>
    <t>22758000476</t>
  </si>
  <si>
    <t>д Харламовцы</t>
  </si>
  <si>
    <t>22758000481</t>
  </si>
  <si>
    <t>д Хлыстовка</t>
  </si>
  <si>
    <t>22758000486</t>
  </si>
  <si>
    <t>22758000491</t>
  </si>
  <si>
    <t>д Шахунья</t>
  </si>
  <si>
    <t>22758000496</t>
  </si>
  <si>
    <t>д Щекотилово</t>
  </si>
  <si>
    <t>22758000501</t>
  </si>
  <si>
    <t>д Январи</t>
  </si>
  <si>
    <t>22758000506</t>
  </si>
  <si>
    <t>д Аверята</t>
  </si>
  <si>
    <t>22758000511</t>
  </si>
  <si>
    <t>22758000516</t>
  </si>
  <si>
    <t>22758000521</t>
  </si>
  <si>
    <t>д Канава</t>
  </si>
  <si>
    <t>22758000526</t>
  </si>
  <si>
    <t>д Красная Речка</t>
  </si>
  <si>
    <t>22758000531</t>
  </si>
  <si>
    <t>22758000536</t>
  </si>
  <si>
    <t>починок Малиновский</t>
  </si>
  <si>
    <t>22758000541</t>
  </si>
  <si>
    <t>д Малое Рыбаково</t>
  </si>
  <si>
    <t>22758000546</t>
  </si>
  <si>
    <t>починок Николаевский</t>
  </si>
  <si>
    <t>22758000551</t>
  </si>
  <si>
    <t>д Туманино</t>
  </si>
  <si>
    <t>22758000556</t>
  </si>
  <si>
    <t>починок Тюленский</t>
  </si>
  <si>
    <t>22758000561</t>
  </si>
  <si>
    <t>д Фадька</t>
  </si>
  <si>
    <t>22758000566</t>
  </si>
  <si>
    <t>22758000571</t>
  </si>
  <si>
    <t>п Шестериково</t>
  </si>
  <si>
    <t>22758000576</t>
  </si>
  <si>
    <t>д Берестянка</t>
  </si>
  <si>
    <t>22758000581</t>
  </si>
  <si>
    <t>д Большая Музя</t>
  </si>
  <si>
    <t>22758000586</t>
  </si>
  <si>
    <t>д Большая Свеча</t>
  </si>
  <si>
    <t>22758000591</t>
  </si>
  <si>
    <t>д Большие Ломы</t>
  </si>
  <si>
    <t>22758000596</t>
  </si>
  <si>
    <t>д Большое Матвеево</t>
  </si>
  <si>
    <t>22758000601</t>
  </si>
  <si>
    <t>д Большое Павлово</t>
  </si>
  <si>
    <t>22758000606</t>
  </si>
  <si>
    <t>д Вахтана</t>
  </si>
  <si>
    <t>22758000611</t>
  </si>
  <si>
    <t>д Вахтан-Рачки</t>
  </si>
  <si>
    <t>22758000616</t>
  </si>
  <si>
    <t>д Верховская</t>
  </si>
  <si>
    <t>22758000621</t>
  </si>
  <si>
    <t>с Верховское</t>
  </si>
  <si>
    <t>22758000626</t>
  </si>
  <si>
    <t>22758000631</t>
  </si>
  <si>
    <t>с Извал</t>
  </si>
  <si>
    <t>22758000636</t>
  </si>
  <si>
    <t>д Каменник</t>
  </si>
  <si>
    <t>22758000641</t>
  </si>
  <si>
    <t>д Колпаки</t>
  </si>
  <si>
    <t>22758000646</t>
  </si>
  <si>
    <t>д Красносельское</t>
  </si>
  <si>
    <t>22758000651</t>
  </si>
  <si>
    <t>22758000656</t>
  </si>
  <si>
    <t>22758000661</t>
  </si>
  <si>
    <t>д Левашово</t>
  </si>
  <si>
    <t>22758000666</t>
  </si>
  <si>
    <t>22758000671</t>
  </si>
  <si>
    <t>д Лубяна</t>
  </si>
  <si>
    <t>22758000676</t>
  </si>
  <si>
    <t>д Малая Музя</t>
  </si>
  <si>
    <t>22758000681</t>
  </si>
  <si>
    <t>22758000686</t>
  </si>
  <si>
    <t>д Малое Павлово</t>
  </si>
  <si>
    <t>22758000691</t>
  </si>
  <si>
    <t>д Малое Петрово</t>
  </si>
  <si>
    <t>22758000696</t>
  </si>
  <si>
    <t>д Малое Шорино</t>
  </si>
  <si>
    <t>22758000701</t>
  </si>
  <si>
    <t>д Малый Извал</t>
  </si>
  <si>
    <t>22758000706</t>
  </si>
  <si>
    <t>д Мураиха</t>
  </si>
  <si>
    <t>22758000711</t>
  </si>
  <si>
    <t>22758000716</t>
  </si>
  <si>
    <t>д Назарово</t>
  </si>
  <si>
    <t>22758000721</t>
  </si>
  <si>
    <t>д Новая Речка</t>
  </si>
  <si>
    <t>22758000726</t>
  </si>
  <si>
    <t>д Половинная</t>
  </si>
  <si>
    <t>22758000731</t>
  </si>
  <si>
    <t>д Половинный Овраг</t>
  </si>
  <si>
    <t>22758000736</t>
  </si>
  <si>
    <t>д Пронос</t>
  </si>
  <si>
    <t>22758000741</t>
  </si>
  <si>
    <t>22758000746</t>
  </si>
  <si>
    <t>д Сальма</t>
  </si>
  <si>
    <t>22758000751</t>
  </si>
  <si>
    <t>22758000756</t>
  </si>
  <si>
    <t>д Скородумово</t>
  </si>
  <si>
    <t>22758000761</t>
  </si>
  <si>
    <t>22758000766</t>
  </si>
  <si>
    <t>22758000771</t>
  </si>
  <si>
    <t>д Тумбалиха</t>
  </si>
  <si>
    <t>22758000776</t>
  </si>
  <si>
    <t>22758000781</t>
  </si>
  <si>
    <t>с Хмелевицы</t>
  </si>
  <si>
    <t>31705104</t>
  </si>
  <si>
    <t>АНО "Парк мастеров Нижполиграф"</t>
  </si>
  <si>
    <t>5260471963</t>
  </si>
  <si>
    <t>526001001</t>
  </si>
  <si>
    <t>производство (некомбинированная выработка)+передача+сбыт</t>
  </si>
  <si>
    <t>Некомбинированная выработка :: Сбыт :: Передача</t>
  </si>
  <si>
    <t>/Тепловая энергия/Производство/Некомбинированная выработка :: /Тепловая энергия/Сбыт :: /Тепловая энергия/Передача</t>
  </si>
  <si>
    <t>08-06-2020 00:00:00</t>
  </si>
  <si>
    <t>26358477</t>
  </si>
  <si>
    <t>АО "170 РЗ СОП"</t>
  </si>
  <si>
    <t>5262240714</t>
  </si>
  <si>
    <t>526201001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</si>
  <si>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</si>
  <si>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</si>
  <si>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</si>
  <si>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</si>
  <si>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</si>
  <si>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</si>
  <si>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</si>
  <si>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</si>
  <si>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</si>
  <si>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</si>
  <si>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</si>
  <si>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</si>
  <si>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</si>
  <si>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</si>
  <si>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</si>
  <si>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</si>
  <si>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</si>
  <si>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производство (некомбинированная выработка)</t>
  </si>
  <si>
    <t>Некомбинированная выработка</t>
  </si>
  <si>
    <t>/Тепловая энергия/Производство/Некомбинированная выработка</t>
  </si>
  <si>
    <t>Передача+Сбыт</t>
  </si>
  <si>
    <t>Сбыт :: Передача</t>
  </si>
  <si>
    <t>/Тепловая энергия/Сбыт :: /Тепловая энергия/Передача</t>
  </si>
  <si>
    <t>26358464</t>
  </si>
  <si>
    <t>АО "ВОЛГА-ФЛОТ"</t>
  </si>
  <si>
    <t>5260902190</t>
  </si>
  <si>
    <t>31314742</t>
  </si>
  <si>
    <t>АО "ВЫКСАТЕПЛОЭНЕРГО"</t>
  </si>
  <si>
    <t>5247055114</t>
  </si>
  <si>
    <t>производство (некомбинированная выработка)+сбыт</t>
  </si>
  <si>
    <t>Некомбинированная выработка :: Сбыт</t>
  </si>
  <si>
    <t>/Тепловая энергия/Производство/Некомбинированная выработка :: /Тепловая энергия/Сбыт</t>
  </si>
  <si>
    <t>26373593</t>
  </si>
  <si>
    <t>АО "Волга"</t>
  </si>
  <si>
    <t>5244009279</t>
  </si>
  <si>
    <t>524401001</t>
  </si>
  <si>
    <t>производство комбинированная выработка</t>
  </si>
  <si>
    <t>Комбинированная выработка :: Некомбинированная выработка :: Сбыт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</si>
  <si>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энергия/Сбыт :: /Тепловая энергия/Передача</t>
  </si>
  <si>
    <t>Теплоноситель - Сбыт :: Производство :: Передача</t>
  </si>
  <si>
    <t>Сбыт :: Производство :: Передача</t>
  </si>
  <si>
    <t>/Теплоноситель/Сбыт :: /Теплоноситель/Производство :: /Теплоноситель/Передача</t>
  </si>
  <si>
    <t>26358364</t>
  </si>
  <si>
    <t>АО "Гидроагрегат"</t>
  </si>
  <si>
    <t>5252000470</t>
  </si>
  <si>
    <t>525201001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</si>
  <si>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</si>
  <si>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</si>
  <si>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</si>
  <si>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</si>
  <si>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</si>
  <si>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</si>
  <si>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</si>
  <si>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</si>
  <si>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</si>
  <si>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</si>
  <si>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</si>
  <si>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</si>
  <si>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</si>
  <si>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</si>
  <si>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</si>
  <si>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</si>
  <si>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</si>
  <si>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</si>
  <si>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</si>
  <si>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</si>
  <si>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26555546</t>
  </si>
  <si>
    <t>АО "Завод "Труд"</t>
  </si>
  <si>
    <t>5261005718</t>
  </si>
  <si>
    <t>526101001</t>
  </si>
  <si>
    <t>26358281</t>
  </si>
  <si>
    <t>АО "ЛЕГМАШ"</t>
  </si>
  <si>
    <t>5243001862</t>
  </si>
  <si>
    <t>производство (некомбинированная выработка)+передача</t>
  </si>
  <si>
    <t>Некомбинированная выработка :: Передача</t>
  </si>
  <si>
    <t>/Тепловая энергия/Производство/Некомбинированная выработка :: /Тепловая энергия/Передача</t>
  </si>
  <si>
    <t>27-10-1992 00:00:00</t>
  </si>
  <si>
    <t>26358393</t>
  </si>
  <si>
    <t>АО "МЕЛЬИНВЕСТ"</t>
  </si>
  <si>
    <t>5257003490</t>
  </si>
  <si>
    <t>26358385</t>
  </si>
  <si>
    <t>АО "Международный Аэропорт Нижний Новгород"</t>
  </si>
  <si>
    <t>5256045754</t>
  </si>
  <si>
    <t>525601001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</si>
  <si>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</si>
  <si>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</si>
  <si>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</si>
  <si>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</si>
  <si>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</si>
  <si>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</si>
  <si>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</si>
  <si>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</si>
  <si>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</si>
  <si>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</si>
  <si>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</si>
  <si>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</si>
  <si>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</si>
  <si>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</si>
  <si>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26358466</t>
  </si>
  <si>
    <t>АО "НИТЕЛ"</t>
  </si>
  <si>
    <t>5261001745</t>
  </si>
  <si>
    <t>29-10-1992 00:00:00</t>
  </si>
  <si>
    <t>26358394</t>
  </si>
  <si>
    <t>АО "НМЖК"</t>
  </si>
  <si>
    <t>5257003806</t>
  </si>
  <si>
    <t>26358469</t>
  </si>
  <si>
    <t>АО "ННПО имени М.В. Фрунзе"</t>
  </si>
  <si>
    <t>5261077695</t>
  </si>
  <si>
    <t>15-08-2011 00:00:00</t>
  </si>
  <si>
    <t>30841129</t>
  </si>
  <si>
    <t>АО "НОКК"</t>
  </si>
  <si>
    <t>5260267654</t>
  </si>
  <si>
    <t>Теплоноситель - Производство</t>
  </si>
  <si>
    <t>/Теплоноситель/Производство</t>
  </si>
  <si>
    <t>31023931</t>
  </si>
  <si>
    <t>АО "НОКК" (Балахнинский филиал)</t>
  </si>
  <si>
    <t>524443001</t>
  </si>
  <si>
    <t>Комбинированная выработка :: Некомбинированная выработка :: Передача</t>
  </si>
  <si>
    <t>/Тепловая энергия/Производство/Комбинированная выработка :: /Тепловая энергия/Производство/Некомбинированная выработка :: /Тепловая энергия/Передача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</si>
  <si>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</si>
  <si>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</si>
  <si>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</si>
  <si>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</si>
  <si>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</si>
  <si>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</si>
  <si>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</si>
  <si>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</si>
  <si>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</si>
  <si>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</si>
  <si>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</si>
  <si>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522843001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</si>
  <si>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</si>
  <si>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</si>
  <si>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</si>
  <si>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</si>
  <si>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</si>
  <si>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</si>
  <si>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26358399</t>
  </si>
  <si>
    <t>АО "Нормаль"</t>
  </si>
  <si>
    <t>5257005345</t>
  </si>
  <si>
    <t>26555359</t>
  </si>
  <si>
    <t>АО "СГК"</t>
  </si>
  <si>
    <t>5254082550</t>
  </si>
  <si>
    <t>525401001</t>
  </si>
  <si>
    <t>Комбинированная выработка</t>
  </si>
  <si>
    <t>/Тепловая энергия/Производство/Комбинированная выработка</t>
  </si>
  <si>
    <t>26322331</t>
  </si>
  <si>
    <t>АО "СИБУР-НЕФТЕХИМ"</t>
  </si>
  <si>
    <t>5249051203</t>
  </si>
  <si>
    <t>26555361</t>
  </si>
  <si>
    <t>АО "СТСК"</t>
  </si>
  <si>
    <t>5254082630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</si>
  <si>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</si>
  <si>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</si>
  <si>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</si>
  <si>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</si>
  <si>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</si>
  <si>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</si>
  <si>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</si>
  <si>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</si>
  <si>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</si>
  <si>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</si>
  <si>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</si>
  <si>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</si>
  <si>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</si>
  <si>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</si>
  <si>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</si>
  <si>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522801001</t>
  </si>
  <si>
    <t>26358282</t>
  </si>
  <si>
    <t>АО АНПП "ТЕМП-АВИА"</t>
  </si>
  <si>
    <t>5243001887</t>
  </si>
  <si>
    <t>23-07-1998 00:00:00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</si>
  <si>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</si>
  <si>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</si>
  <si>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</si>
  <si>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</si>
  <si>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</si>
  <si>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</si>
  <si>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</si>
  <si>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</si>
  <si>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28148693</t>
  </si>
  <si>
    <t>АО хладокомбинат "Заречный"</t>
  </si>
  <si>
    <t>5258000780</t>
  </si>
  <si>
    <t>26358136</t>
  </si>
  <si>
    <t>БОГОЯВЛЕНСКОЕ МУМППЖКХ</t>
  </si>
  <si>
    <t>5215010375</t>
  </si>
  <si>
    <t>521501001</t>
  </si>
  <si>
    <t>26-02-2025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</si>
  <si>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</si>
  <si>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</si>
  <si>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</si>
  <si>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</si>
  <si>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</si>
  <si>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</si>
  <si>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</si>
  <si>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</si>
  <si>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26358166</t>
  </si>
  <si>
    <t>ГБПОУ ЛПК</t>
  </si>
  <si>
    <t>5221004309</t>
  </si>
  <si>
    <t>522101001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</si>
  <si>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</si>
  <si>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</si>
  <si>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</si>
  <si>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</si>
  <si>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</si>
  <si>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</si>
  <si>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</si>
  <si>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</si>
  <si>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</si>
  <si>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</si>
  <si>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</si>
  <si>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</si>
  <si>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</si>
  <si>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</si>
  <si>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</si>
  <si>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</si>
  <si>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</si>
  <si>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</si>
  <si>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</si>
  <si>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</si>
  <si>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</si>
  <si>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</si>
  <si>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</si>
  <si>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</si>
  <si>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</si>
  <si>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</si>
  <si>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Теплоноситель - Производство :: Передача</t>
  </si>
  <si>
    <t>Производство :: Передача</t>
  </si>
  <si>
    <t>/Теплоноситель/Производство :: /Теплоноситель/Передача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</si>
  <si>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</si>
  <si>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</si>
  <si>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</si>
  <si>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</si>
  <si>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</si>
  <si>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</si>
  <si>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</si>
  <si>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</si>
  <si>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</si>
  <si>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</si>
  <si>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</si>
  <si>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</si>
  <si>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</si>
  <si>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24-01-2025 00:00:00</t>
  </si>
  <si>
    <t>26322355</t>
  </si>
  <si>
    <t>ЗАО "Концерн "Термаль"</t>
  </si>
  <si>
    <t>5261017382</t>
  </si>
  <si>
    <t>26358416</t>
  </si>
  <si>
    <t>ЗАО "Энерго групп"</t>
  </si>
  <si>
    <t>5258050559</t>
  </si>
  <si>
    <t>/Тепловая энергия/Сбыт</t>
  </si>
  <si>
    <t>/Тепловая энергия/Передача</t>
  </si>
  <si>
    <t>26358476</t>
  </si>
  <si>
    <t>ЗАО МЗ "РИЛС"</t>
  </si>
  <si>
    <t>5262020719</t>
  </si>
  <si>
    <t>28870867</t>
  </si>
  <si>
    <t>ИП Копытова Н.В.</t>
  </si>
  <si>
    <t>523903931595</t>
  </si>
  <si>
    <t>отсутствует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</si>
  <si>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</si>
  <si>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</si>
  <si>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</si>
  <si>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</si>
  <si>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</si>
  <si>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</si>
  <si>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Теплоноситель - Передача</t>
  </si>
  <si>
    <t>/Теплоноситель/Передача</t>
  </si>
  <si>
    <t>28868794</t>
  </si>
  <si>
    <t>ИП Чурашев Михаил Юрьевич</t>
  </si>
  <si>
    <t>525616836221</t>
  </si>
  <si>
    <t>27713249</t>
  </si>
  <si>
    <t>Лысковский филиал ООО "Арзамасское ПО "Автопровод"</t>
  </si>
  <si>
    <t>522202001</t>
  </si>
  <si>
    <t>31691473</t>
  </si>
  <si>
    <t>МБУК "ЦКС"</t>
  </si>
  <si>
    <t>5209003972</t>
  </si>
  <si>
    <t>520901001</t>
  </si>
  <si>
    <t>26551350</t>
  </si>
  <si>
    <t>МОУ Белышевская школа</t>
  </si>
  <si>
    <t>5209004278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</si>
  <si>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</si>
  <si>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</si>
  <si>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</si>
  <si>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</si>
  <si>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</si>
  <si>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</si>
  <si>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</si>
  <si>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</si>
  <si>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</si>
  <si>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</si>
  <si>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</si>
  <si>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</si>
  <si>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</si>
  <si>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</si>
  <si>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</si>
  <si>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</si>
  <si>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</si>
  <si>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</si>
  <si>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</si>
  <si>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</si>
  <si>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</si>
  <si>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</si>
  <si>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</si>
  <si>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</si>
  <si>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</si>
  <si>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</si>
  <si>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27965842</t>
  </si>
  <si>
    <t>МП ЖКХ "Планета"</t>
  </si>
  <si>
    <t>5249012187</t>
  </si>
  <si>
    <t>12-08-2024 00:00:00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</si>
  <si>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</si>
  <si>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</si>
  <si>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</si>
  <si>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</si>
  <si>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</si>
  <si>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</si>
  <si>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</si>
  <si>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</si>
  <si>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</si>
  <si>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</si>
  <si>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</si>
  <si>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</si>
  <si>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</si>
  <si>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</si>
  <si>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</si>
  <si>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</si>
  <si>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</si>
  <si>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</si>
  <si>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</si>
  <si>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</si>
  <si>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</si>
  <si>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</si>
  <si>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</si>
  <si>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</si>
  <si>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</si>
  <si>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</si>
  <si>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28447754</t>
  </si>
  <si>
    <t>МУП "Городской Водоканал"</t>
  </si>
  <si>
    <t>5250058789</t>
  </si>
  <si>
    <t>525001001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</si>
  <si>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</si>
  <si>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</si>
  <si>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</si>
  <si>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</si>
  <si>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</si>
  <si>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</si>
  <si>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</si>
  <si>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</si>
  <si>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</si>
  <si>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</si>
  <si>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</si>
  <si>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</si>
  <si>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</si>
  <si>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</si>
  <si>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</si>
  <si>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04-10-2024 00:00:00</t>
  </si>
  <si>
    <t>26358331</t>
  </si>
  <si>
    <t>МУП "ЖКХ Зиняковское"</t>
  </si>
  <si>
    <t>5248015700</t>
  </si>
  <si>
    <t>26358329</t>
  </si>
  <si>
    <t>МУП "ЖКХ Кумохинское"</t>
  </si>
  <si>
    <t>5248015682</t>
  </si>
  <si>
    <t>01-11-2024 00:00:00</t>
  </si>
  <si>
    <t>28147903</t>
  </si>
  <si>
    <t>МУП "ЖКХ Лысковского района"</t>
  </si>
  <si>
    <t>5222070569</t>
  </si>
  <si>
    <t>522201001</t>
  </si>
  <si>
    <t>26358335</t>
  </si>
  <si>
    <t>МУП "ЖКХ Мошковское"</t>
  </si>
  <si>
    <t>5248015756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</si>
  <si>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</si>
  <si>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</si>
  <si>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</si>
  <si>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</si>
  <si>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</si>
  <si>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</si>
  <si>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</si>
  <si>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26552168</t>
  </si>
  <si>
    <t>МУП "КОМУНЭНЕРГО"</t>
  </si>
  <si>
    <t>5238006336</t>
  </si>
  <si>
    <t>523801001</t>
  </si>
  <si>
    <t>30354230</t>
  </si>
  <si>
    <t>МУП "КОНЕВО"</t>
  </si>
  <si>
    <t>5244029437</t>
  </si>
  <si>
    <t>23-05-2025 00:00:00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</si>
  <si>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</si>
  <si>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</si>
  <si>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</si>
  <si>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</si>
  <si>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</si>
  <si>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</si>
  <si>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</si>
  <si>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</si>
  <si>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</si>
  <si>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</si>
  <si>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</si>
  <si>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</si>
  <si>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31205512</t>
  </si>
  <si>
    <t>МУП "РАЙТОПСБЫТ"</t>
  </si>
  <si>
    <t>5226013120</t>
  </si>
  <si>
    <t>522601001</t>
  </si>
  <si>
    <t>30382083</t>
  </si>
  <si>
    <t>МУП "СЕВЕРНОЕ ЖКХ"</t>
  </si>
  <si>
    <t>5207016670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</si>
  <si>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</si>
  <si>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</si>
  <si>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</si>
  <si>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</si>
  <si>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</si>
  <si>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</si>
  <si>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</si>
  <si>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16-06-2025 00:00:00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</si>
  <si>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</si>
  <si>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</si>
  <si>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</si>
  <si>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</si>
  <si>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</si>
  <si>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</si>
  <si>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</si>
  <si>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</si>
  <si>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</si>
  <si>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</si>
  <si>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26358221</t>
  </si>
  <si>
    <t>МУП "Теплоэнергия-1"</t>
  </si>
  <si>
    <t>5231004851</t>
  </si>
  <si>
    <t>26358231</t>
  </si>
  <si>
    <t>МУП "Тонкинские теплосети"</t>
  </si>
  <si>
    <t>5233002810</t>
  </si>
  <si>
    <t>523301001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</si>
  <si>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</si>
  <si>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</si>
  <si>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</si>
  <si>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</si>
  <si>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</si>
  <si>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</si>
  <si>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</si>
  <si>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</si>
  <si>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</si>
  <si>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</si>
  <si>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30872197</t>
  </si>
  <si>
    <t>МУП «КОММУНРЕСУРС КРАСНОБАКОВСКОГО МУНИЦИПАЛЬНОГО ОКРУГА»</t>
  </si>
  <si>
    <t>5219383900</t>
  </si>
  <si>
    <t>521901001</t>
  </si>
  <si>
    <t>02-08-2016 00:00:00</t>
  </si>
  <si>
    <t>26358255</t>
  </si>
  <si>
    <t>МУП «ЧКАЛОВСКЭНЕРГОРЕСУРС»</t>
  </si>
  <si>
    <t>5236002390</t>
  </si>
  <si>
    <t>523601001</t>
  </si>
  <si>
    <t>31258650</t>
  </si>
  <si>
    <t>МУП ВАРНАВИНСКОГО МУНИЦИПАЛЬНОГО ОКРУГА «ТЕПЛОСНАБЖЕНИЕ»</t>
  </si>
  <si>
    <t>5207016782</t>
  </si>
  <si>
    <t>27577563</t>
  </si>
  <si>
    <t>МУП ЖКХ</t>
  </si>
  <si>
    <t>5237002949</t>
  </si>
  <si>
    <t>523701001</t>
  </si>
  <si>
    <t>26373417</t>
  </si>
  <si>
    <t>МУП ЖКХ "Водоканал"</t>
  </si>
  <si>
    <t>5212007342</t>
  </si>
  <si>
    <t>521201001</t>
  </si>
  <si>
    <t>26373427</t>
  </si>
  <si>
    <t>МУП ЖКХ "Жилсервис" Володарского района</t>
  </si>
  <si>
    <t>5214007997</t>
  </si>
  <si>
    <t>10-06-2003 00:00:00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</si>
  <si>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</si>
  <si>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</si>
  <si>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</si>
  <si>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</si>
  <si>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</si>
  <si>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</si>
  <si>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</si>
  <si>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16-05-2024 00:00:00</t>
  </si>
  <si>
    <t>26553600</t>
  </si>
  <si>
    <t>МУП ЖКХ Григоровского сельсовета</t>
  </si>
  <si>
    <t>5204001467</t>
  </si>
  <si>
    <t>15-10-2024 00:00:00</t>
  </si>
  <si>
    <t>26358297</t>
  </si>
  <si>
    <t>МУП ЖКХ С. КАМЕНКИ</t>
  </si>
  <si>
    <t>5245007965</t>
  </si>
  <si>
    <t>524501001</t>
  </si>
  <si>
    <t>26358091</t>
  </si>
  <si>
    <t>МУП ЖКХ п. Советский</t>
  </si>
  <si>
    <t>5204002319</t>
  </si>
  <si>
    <t>26358426</t>
  </si>
  <si>
    <t>ННГАСУ</t>
  </si>
  <si>
    <t>5260002707</t>
  </si>
  <si>
    <t>26358474</t>
  </si>
  <si>
    <t>ННГУ</t>
  </si>
  <si>
    <t>5262004442</t>
  </si>
  <si>
    <t>31774925</t>
  </si>
  <si>
    <t>НПАП № 1 - филиал АО "Нижегородпассажиравтотранс"</t>
  </si>
  <si>
    <t>5260497721</t>
  </si>
  <si>
    <t>526343001</t>
  </si>
  <si>
    <t>26555250</t>
  </si>
  <si>
    <t>НПАП № 1 - филиал ГП "Нижегородпассажиравтотранс"</t>
  </si>
  <si>
    <t>5260000192</t>
  </si>
  <si>
    <t>525703001</t>
  </si>
  <si>
    <t>19-11-2024 00:00:00</t>
  </si>
  <si>
    <t>31774265</t>
  </si>
  <si>
    <t>НПАП № 2 - филиал АО "Нижегородпассажиравтотранс"</t>
  </si>
  <si>
    <t>26555257</t>
  </si>
  <si>
    <t>НПАП № 2 - филиал ГП "Нижегородпассажиравтотранс"</t>
  </si>
  <si>
    <t>525802001</t>
  </si>
  <si>
    <t>26358400</t>
  </si>
  <si>
    <t>ОАО "ВВПКП "Оборонпромкомплекс"</t>
  </si>
  <si>
    <t>5257007173</t>
  </si>
  <si>
    <t>26569255</t>
  </si>
  <si>
    <t>ОАО "Керма"</t>
  </si>
  <si>
    <t>5250001581</t>
  </si>
  <si>
    <t>26555652</t>
  </si>
  <si>
    <t>ОАО "Оргсинтез"</t>
  </si>
  <si>
    <t>5259008239</t>
  </si>
  <si>
    <t>27566914</t>
  </si>
  <si>
    <t>ОАО "Силикатный завод №1"</t>
  </si>
  <si>
    <t>5263008721</t>
  </si>
  <si>
    <t>26358214</t>
  </si>
  <si>
    <t>ОАО "УК ЖКХ Сергачского района"</t>
  </si>
  <si>
    <t>5229007213</t>
  </si>
  <si>
    <t>522901001</t>
  </si>
  <si>
    <t>31612515</t>
  </si>
  <si>
    <t>ОБЩЕСТВО С ОГРАНИЧЕННОЙ ОТВЕТСТВЕННОСТЬЮ "ТЕПЛОТРЕЙД-НН"</t>
  </si>
  <si>
    <t>5263148447</t>
  </si>
  <si>
    <t>31531172</t>
  </si>
  <si>
    <t>ООО "АКАДЕМКОМФОРТ"</t>
  </si>
  <si>
    <t>5250073836</t>
  </si>
  <si>
    <t>26358389</t>
  </si>
  <si>
    <t>ООО "Автозаводская ТЭЦ"</t>
  </si>
  <si>
    <t>5256049357</t>
  </si>
  <si>
    <t>Комбинированная выработка :: Некомбинированная выработка</t>
  </si>
  <si>
    <t>/Тепловая энергия/Производство/Комбинированная выработка :: /Тепловая энергия/Производство/Некомбинированная выработка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</si>
  <si>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</si>
  <si>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</si>
  <si>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</si>
  <si>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</si>
  <si>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</si>
  <si>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28460925</t>
  </si>
  <si>
    <t>ООО "БТГ"</t>
  </si>
  <si>
    <t>5246043620</t>
  </si>
  <si>
    <t>31618550</t>
  </si>
  <si>
    <t>ООО "БУГРОВСКИЕ МЕЛЬНИЦЫ"</t>
  </si>
  <si>
    <t>5259154060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</si>
  <si>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</si>
  <si>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</si>
  <si>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</si>
  <si>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</si>
  <si>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</si>
  <si>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</si>
  <si>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</si>
  <si>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</si>
  <si>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</si>
  <si>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</si>
  <si>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</si>
  <si>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</si>
  <si>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</si>
  <si>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31187851</t>
  </si>
  <si>
    <t>ООО "ВОЛГАРЕСУРС"</t>
  </si>
  <si>
    <t>5244031394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</si>
  <si>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</si>
  <si>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</si>
  <si>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</si>
  <si>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</si>
  <si>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</si>
  <si>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</si>
  <si>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</si>
  <si>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</si>
  <si>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</si>
  <si>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</si>
  <si>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</si>
  <si>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</si>
  <si>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</si>
  <si>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</si>
  <si>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</si>
  <si>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</si>
  <si>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30385011</t>
  </si>
  <si>
    <t>ООО "Гранит"</t>
  </si>
  <si>
    <t>5260182440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</si>
  <si>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</si>
  <si>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</si>
  <si>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</si>
  <si>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</si>
  <si>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</si>
  <si>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</si>
  <si>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</si>
  <si>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</si>
  <si>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</si>
  <si>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</si>
  <si>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</si>
  <si>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</si>
  <si>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</si>
  <si>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31306641</t>
  </si>
  <si>
    <t>ООО "ИНЖЕНЕРНЫЙ ЦЕНТР"</t>
  </si>
  <si>
    <t>5246053330</t>
  </si>
  <si>
    <t>03-04-2019 00:00:00</t>
  </si>
  <si>
    <t>28821602</t>
  </si>
  <si>
    <t>ООО "Интер"</t>
  </si>
  <si>
    <t>5250060280</t>
  </si>
  <si>
    <t>26358471</t>
  </si>
  <si>
    <t>ООО "КЛАСС ПЛЮС"</t>
  </si>
  <si>
    <t>5261106233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</si>
  <si>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</si>
  <si>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</si>
  <si>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</si>
  <si>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</si>
  <si>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</si>
  <si>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</si>
  <si>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</si>
  <si>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31193752</t>
  </si>
  <si>
    <t>ООО "КЭР - Генерация"</t>
  </si>
  <si>
    <t>1655229925</t>
  </si>
  <si>
    <t>166101001</t>
  </si>
  <si>
    <t>12-09-2018 00:00:00</t>
  </si>
  <si>
    <t>28043750</t>
  </si>
  <si>
    <t>ООО "Княгининский Стройгаз"</t>
  </si>
  <si>
    <t>5217003648</t>
  </si>
  <si>
    <t>28455154</t>
  </si>
  <si>
    <t>ООО "Коммунсервис"</t>
  </si>
  <si>
    <t>5235007356</t>
  </si>
  <si>
    <t>31350312</t>
  </si>
  <si>
    <t>ООО "МНУЦ ВТИ"</t>
  </si>
  <si>
    <t>7709956215</t>
  </si>
  <si>
    <t>770901001</t>
  </si>
  <si>
    <t>26555644</t>
  </si>
  <si>
    <t>ООО "НЗ "СТАРТ"</t>
  </si>
  <si>
    <t>5262154550</t>
  </si>
  <si>
    <t>23-08-2006 00:00:00</t>
  </si>
  <si>
    <t>31752648</t>
  </si>
  <si>
    <t>ООО "НИЖЕГОРОДЕЦ ВОСТОК"</t>
  </si>
  <si>
    <t>5257164835</t>
  </si>
  <si>
    <t>Теплоноситель - Сбыт :: Производство</t>
  </si>
  <si>
    <t>Сбыт :: Производство</t>
  </si>
  <si>
    <t>/Теплоноситель/Сбыт :: /Теплоноситель/Производство</t>
  </si>
  <si>
    <t>27567031</t>
  </si>
  <si>
    <t>ООО "НОРМА"</t>
  </si>
  <si>
    <t>5261015233</t>
  </si>
  <si>
    <t>19-12-2008 00:00:00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</si>
  <si>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</si>
  <si>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</si>
  <si>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</si>
  <si>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</si>
  <si>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</si>
  <si>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</si>
  <si>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</si>
  <si>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</si>
  <si>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</si>
  <si>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</si>
  <si>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</si>
  <si>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</si>
  <si>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</si>
  <si>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</si>
  <si>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</si>
  <si>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</si>
  <si>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</si>
  <si>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</si>
  <si>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</si>
  <si>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</si>
  <si>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</si>
  <si>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</si>
  <si>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</si>
  <si>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</si>
  <si>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</si>
  <si>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</si>
  <si>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</si>
  <si>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31684742</t>
  </si>
  <si>
    <t>ООО "ПРОМТЕХ"</t>
  </si>
  <si>
    <t>5243040815</t>
  </si>
  <si>
    <t>31728851</t>
  </si>
  <si>
    <t>ООО "ПРОМЭЛ-СВЯЗЬ"</t>
  </si>
  <si>
    <t>5258035046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</si>
  <si>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</si>
  <si>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</si>
  <si>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</si>
  <si>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</si>
  <si>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</si>
  <si>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</si>
  <si>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28951517</t>
  </si>
  <si>
    <t>ООО "Поволжье - Ресурс"</t>
  </si>
  <si>
    <t>5209005539</t>
  </si>
  <si>
    <t>27719695</t>
  </si>
  <si>
    <t>ООО "ПримаЭнерго"</t>
  </si>
  <si>
    <t>5259069383</t>
  </si>
  <si>
    <t>26651300</t>
  </si>
  <si>
    <t>ООО "ПрофТепло"</t>
  </si>
  <si>
    <t>5202007216</t>
  </si>
  <si>
    <t>520201001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</si>
  <si>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</si>
  <si>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</si>
  <si>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</si>
  <si>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</si>
  <si>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</si>
  <si>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</si>
  <si>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</si>
  <si>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</si>
  <si>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</si>
  <si>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</si>
  <si>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</si>
  <si>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</si>
  <si>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</si>
  <si>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30884490</t>
  </si>
  <si>
    <t>ООО "РУССКИЙ СТАНДАРТ"</t>
  </si>
  <si>
    <t>5260403297</t>
  </si>
  <si>
    <t>12-01-2015 00:00:00</t>
  </si>
  <si>
    <t>31624417</t>
  </si>
  <si>
    <t>ООО "СЕВЕРНЫЕ КОММУНАЛЬНЫЕ СЕТИ"</t>
  </si>
  <si>
    <t>5235007589</t>
  </si>
  <si>
    <t>31763775</t>
  </si>
  <si>
    <t>ООО "СЗ "Глоракс Центр"</t>
  </si>
  <si>
    <t>9729281081</t>
  </si>
  <si>
    <t>772901001</t>
  </si>
  <si>
    <t>31770370</t>
  </si>
  <si>
    <t>ООО "СК "КУЛИБИН"</t>
  </si>
  <si>
    <t>5249173667</t>
  </si>
  <si>
    <t>31222003</t>
  </si>
  <si>
    <t>ООО "СПЕЦИАЛИЗИРОВАННЫЙ ЗАСТРОЙЩИК "СПЕКТР"</t>
  </si>
  <si>
    <t>7716643855</t>
  </si>
  <si>
    <t>773401001</t>
  </si>
  <si>
    <t>31773750</t>
  </si>
  <si>
    <t>ООО "СТЕНД-БАЙ"</t>
  </si>
  <si>
    <t>5257183732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</si>
  <si>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</si>
  <si>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</si>
  <si>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</si>
  <si>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</si>
  <si>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</si>
  <si>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</si>
  <si>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</si>
  <si>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</si>
  <si>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</si>
  <si>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</si>
  <si>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</si>
  <si>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</si>
  <si>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</si>
  <si>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</si>
  <si>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</si>
  <si>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</si>
  <si>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</si>
  <si>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</si>
  <si>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</si>
  <si>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</si>
  <si>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</si>
  <si>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27322384</t>
  </si>
  <si>
    <t>ООО "Сухобезводнинское ЖКХ"</t>
  </si>
  <si>
    <t>5228056070</t>
  </si>
  <si>
    <t>31196714</t>
  </si>
  <si>
    <t>ООО "ТЕПЛО ПЛЮС"</t>
  </si>
  <si>
    <t>5261113456</t>
  </si>
  <si>
    <t>31753882</t>
  </si>
  <si>
    <t>ООО "ТЕПЛОДАР"</t>
  </si>
  <si>
    <t>5248046627</t>
  </si>
  <si>
    <t>31386831</t>
  </si>
  <si>
    <t>ООО "ТЕПЛОСТРОЙ"</t>
  </si>
  <si>
    <t>5260386637</t>
  </si>
  <si>
    <t>31614648</t>
  </si>
  <si>
    <t>ООО "ТЕХНОЛОГИКА"</t>
  </si>
  <si>
    <t>5249172857</t>
  </si>
  <si>
    <t>30376603</t>
  </si>
  <si>
    <t>ООО "ТК "Ждановский"</t>
  </si>
  <si>
    <t>5250047473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</si>
  <si>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</si>
  <si>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</si>
  <si>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</si>
  <si>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</si>
  <si>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</si>
  <si>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</si>
  <si>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</si>
  <si>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</si>
  <si>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</si>
  <si>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</si>
  <si>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</si>
  <si>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</si>
  <si>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</si>
  <si>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</si>
  <si>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</si>
  <si>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</si>
  <si>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</si>
  <si>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</si>
  <si>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</si>
  <si>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</si>
  <si>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</si>
  <si>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</si>
  <si>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</si>
  <si>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</si>
  <si>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</si>
  <si>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</si>
  <si>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</si>
  <si>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</si>
  <si>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</si>
  <si>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31520267</t>
  </si>
  <si>
    <t>ООО "УК ТЭСК"</t>
  </si>
  <si>
    <t>7730254681</t>
  </si>
  <si>
    <t>773001001</t>
  </si>
  <si>
    <t>31615793</t>
  </si>
  <si>
    <t>ООО "ФЕНИКС"</t>
  </si>
  <si>
    <t>5244029349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</si>
  <si>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</si>
  <si>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</si>
  <si>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</si>
  <si>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</si>
  <si>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</si>
  <si>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</si>
  <si>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</si>
  <si>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</si>
  <si>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</si>
  <si>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30437014</t>
  </si>
  <si>
    <t>ООО "ЭКОТЕПЛОСЕРВИС-КСТОВО"</t>
  </si>
  <si>
    <t>5260393708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</si>
  <si>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</si>
  <si>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</si>
  <si>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</si>
  <si>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</si>
  <si>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</si>
  <si>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</si>
  <si>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</si>
  <si>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</si>
  <si>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</si>
  <si>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</si>
  <si>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</si>
  <si>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</si>
  <si>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</si>
  <si>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</si>
  <si>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</si>
  <si>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</si>
  <si>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31762492</t>
  </si>
  <si>
    <t>ООО «Бугровские мельницы»</t>
  </si>
  <si>
    <t>5260495869</t>
  </si>
  <si>
    <t>26358378</t>
  </si>
  <si>
    <t>ООО Агрофирма "Павловская"</t>
  </si>
  <si>
    <t>5252011169</t>
  </si>
  <si>
    <t>26506413</t>
  </si>
  <si>
    <t>ООО НПО "Мехинструмент"</t>
  </si>
  <si>
    <t>5252024087</t>
  </si>
  <si>
    <t>28875534</t>
  </si>
  <si>
    <t>ООО ПКФ "ТЕПЛО"</t>
  </si>
  <si>
    <t>5251009953</t>
  </si>
  <si>
    <t>525101001</t>
  </si>
  <si>
    <t>31061810</t>
  </si>
  <si>
    <t>ООО СЗ "КАПИТАЛ-МЕНЕДЖМЕНТ"</t>
  </si>
  <si>
    <t>5258135717</t>
  </si>
  <si>
    <t>26358079</t>
  </si>
  <si>
    <t>ООО ФИРМА "МУХТОЛОВСКАЯ СПЕЦОДЕЖДА"</t>
  </si>
  <si>
    <t>5201000867</t>
  </si>
  <si>
    <t>31390562</t>
  </si>
  <si>
    <t>ООО"КС-ТВК"</t>
  </si>
  <si>
    <t>5244014078</t>
  </si>
  <si>
    <t>26358459</t>
  </si>
  <si>
    <t>ПАО "ЗИП"</t>
  </si>
  <si>
    <t>5260900066</t>
  </si>
  <si>
    <t>05-09-2006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</si>
  <si>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</si>
  <si>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</si>
  <si>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</si>
  <si>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</si>
  <si>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</si>
  <si>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</si>
  <si>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26358171</t>
  </si>
  <si>
    <t>ПАО "ЛЭТЗ"</t>
  </si>
  <si>
    <t>5222000882</t>
  </si>
  <si>
    <t>31596848</t>
  </si>
  <si>
    <t>ПАО "ОАК"</t>
  </si>
  <si>
    <t>7708619320</t>
  </si>
  <si>
    <t>770501001</t>
  </si>
  <si>
    <t>26380702</t>
  </si>
  <si>
    <t>ПАО "ПАВЛОВСКИЙ АВТОБУС"</t>
  </si>
  <si>
    <t>5252000350</t>
  </si>
  <si>
    <t>26358361</t>
  </si>
  <si>
    <t>ПАО "Павловский завод им.Кирова"</t>
  </si>
  <si>
    <t>5252000382</t>
  </si>
  <si>
    <t>27805620</t>
  </si>
  <si>
    <t>ПО "Техсервис"</t>
  </si>
  <si>
    <t>5219005665</t>
  </si>
  <si>
    <t>31724888</t>
  </si>
  <si>
    <t>Прудовское МУП ЖКХ</t>
  </si>
  <si>
    <t>5228059000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</si>
  <si>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</si>
  <si>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</si>
  <si>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</si>
  <si>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</si>
  <si>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</si>
  <si>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</si>
  <si>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521801001</t>
  </si>
  <si>
    <t>27372109</t>
  </si>
  <si>
    <t>Суроватихинское МУМПЖКХ</t>
  </si>
  <si>
    <t>5215000722</t>
  </si>
  <si>
    <t>31612520</t>
  </si>
  <si>
    <t>УФСБ РОССИИ ПО НИЖЕГОРОДСКОЙ ОБЛАСТИ</t>
  </si>
  <si>
    <t>5260051260</t>
  </si>
  <si>
    <t>31025414</t>
  </si>
  <si>
    <t>ФГБУ "ЦЖКУ" МИНОБОРОНЫ РОССИИ</t>
  </si>
  <si>
    <t>7729314745</t>
  </si>
  <si>
    <t>526245001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</si>
  <si>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</si>
  <si>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</si>
  <si>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</si>
  <si>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</si>
  <si>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</si>
  <si>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</si>
  <si>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</si>
  <si>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</si>
  <si>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</si>
  <si>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</si>
  <si>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</si>
  <si>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</si>
  <si>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</si>
  <si>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</si>
  <si>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</si>
  <si>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</si>
  <si>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</si>
  <si>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</si>
  <si>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</si>
  <si>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</si>
  <si>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</si>
  <si>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</si>
  <si>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</si>
  <si>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</si>
  <si>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</si>
  <si>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</si>
  <si>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</si>
  <si>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28942868</t>
  </si>
  <si>
    <t>Филиал "Нижегородский" ПАО "Т ПЛЮС"</t>
  </si>
  <si>
    <t>6315376946</t>
  </si>
  <si>
    <t>526043001</t>
  </si>
  <si>
    <t>Комбинированная выработка :: Сбыт :: Передача</t>
  </si>
  <si>
    <t>/Тепловая энергия/Производство/Комбинированная выработка :: /Тепловая энергия/Сбыт :: /Тепловая энергия/Передача</t>
  </si>
  <si>
    <t>26358439</t>
  </si>
  <si>
    <t>Филиал ООО "Газпром трансгаз Нижний Новгород" - Семеновское ЛПУ МГ</t>
  </si>
  <si>
    <t>5260080007</t>
  </si>
  <si>
    <t>522802001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</si>
  <si>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</si>
  <si>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</si>
  <si>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</si>
  <si>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</si>
  <si>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</si>
  <si>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</si>
  <si>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НСРФ</t>
  </si>
  <si>
    <t>ОКТМР</t>
  </si>
  <si>
    <t>ВД (OLD)</t>
  </si>
  <si>
    <t>ВД (COMBO)</t>
  </si>
  <si>
    <t>ВД (PATH)</t>
  </si>
  <si>
    <t>Дата последнего обновления реестра организаций: 09.09.2025 10:29:58</t>
  </si>
  <si>
    <t>FIND_OGRN_ASSIST_URL</t>
  </si>
  <si>
    <t>https://egrul.nalog.ru/</t>
  </si>
  <si>
    <t>FIND_OKPO_ASSIST_URL</t>
  </si>
  <si>
    <t>https://websbor.gks.ru/online/#!/gs/statistic-codes</t>
  </si>
  <si>
    <t>FIND_OPF_ASSIST_URL</t>
  </si>
  <si>
    <t>https://www.consultant.ru/cons/cgi/online.cgi?req=doc&amp;base=LAW&amp;n=449963</t>
  </si>
  <si>
    <t>HEAT_CALC_EXTENDED_SALARY_FIELDS_CAN_BE_MISSED</t>
  </si>
  <si>
    <t>ALLOWED</t>
  </si>
  <si>
    <t>HEAT_CALC_INV_DATA_INTEGRITY_STATUS</t>
  </si>
  <si>
    <t>ERROR</t>
  </si>
  <si>
    <t>HEAT_CALC_RESULT_BY_ORG_CAN_BE_NONZERO_LIST</t>
  </si>
  <si>
    <t>FORBIDDEN</t>
  </si>
  <si>
    <t>HEAT_CALC_VLD_BENEFIT_CI_STATUS</t>
  </si>
  <si>
    <t>HEAT_FILTER_OBJECTS_BY_INN</t>
  </si>
  <si>
    <t>HEAT_FUEL_BY_ORG_CAN_BE_SKIPPED_LIST</t>
  </si>
  <si>
    <t>HEAT_MANUAL_TARIFF_ON_CALC</t>
  </si>
  <si>
    <t>ALLOW</t>
  </si>
  <si>
    <t>HEAT_MAX_COST_VALUE</t>
  </si>
  <si>
    <t>20000000</t>
  </si>
  <si>
    <t>HEAT_MAX_LEN</t>
  </si>
  <si>
    <t>2000</t>
  </si>
  <si>
    <t>HEAT_MAX_PRICE_NO_TR_COAANT</t>
  </si>
  <si>
    <t>15000</t>
  </si>
  <si>
    <t>HEAT_MAX_PRICE_NO_TR_COABRN</t>
  </si>
  <si>
    <t>25000</t>
  </si>
  <si>
    <t>HEAT_MAX_PRICE_NO_TR_COACOK</t>
  </si>
  <si>
    <t>HEAT_MAX_PRICE_NO_TR_COACOKFAT</t>
  </si>
  <si>
    <t>HEAT_MAX_PRICE_NO_TR_COACOKWBK</t>
  </si>
  <si>
    <t>HEAT_MAX_PRICE_NO_TR_COACOKWBKLMM</t>
  </si>
  <si>
    <t>HEAT_MAX_PRICE_NO_TR_COACOKWEA</t>
  </si>
  <si>
    <t>HEAT_MAX_PRICE_NO_TR_COAFAT</t>
  </si>
  <si>
    <t>30000</t>
  </si>
  <si>
    <t>HEAT_MAX_PRICE_NO_TR_COAGAS</t>
  </si>
  <si>
    <t>35000</t>
  </si>
  <si>
    <t>HEAT_MAX_PRICE_NO_TR_COAGASFAT</t>
  </si>
  <si>
    <t>HEAT_MAX_PRICE_NO_TR_COAGASFATWEA</t>
  </si>
  <si>
    <t>HEAT_MAX_PRICE_NO_TR_COALFM</t>
  </si>
  <si>
    <t>HEAT_MAX_PRICE_NO_TR_COALFMGAS</t>
  </si>
  <si>
    <t>HEAT_MAX_PRICE_NO_TR_COASKN</t>
  </si>
  <si>
    <t>HEAT_MAX_PRICE_NO_TR_COASKNBKD</t>
  </si>
  <si>
    <t>HEAT_MAX_PRICE_NO_TR_COAWBK</t>
  </si>
  <si>
    <t>40000</t>
  </si>
  <si>
    <t>HEAT_MAX_PRICE_NO_TR_COAWEABKD</t>
  </si>
  <si>
    <t>HEAT_MAX_PRICE_NO_TR_CWD</t>
  </si>
  <si>
    <t>6000</t>
  </si>
  <si>
    <t>HEAT_MAX_PRICE_NO_TR_DSG</t>
  </si>
  <si>
    <t>8000</t>
  </si>
  <si>
    <t>HEAT_MAX_PRICE_NO_TR_DSLA</t>
  </si>
  <si>
    <t>100000</t>
  </si>
  <si>
    <t>HEAT_MAX_PRICE_NO_TR_DSLO</t>
  </si>
  <si>
    <t>85000</t>
  </si>
  <si>
    <t>HEAT_MAX_PRICE_NO_TR_DSLS</t>
  </si>
  <si>
    <t>HEAT_MAX_PRICE_NO_TR_DSLW</t>
  </si>
  <si>
    <t>HEAT_MAX_PRICE_NO_TR_ENR</t>
  </si>
  <si>
    <t>HEAT_MAX_PRICE_NO_TR_GBL</t>
  </si>
  <si>
    <t>700</t>
  </si>
  <si>
    <t>HEAT_MAX_PRICE_NO_TR_GCK</t>
  </si>
  <si>
    <t>3000</t>
  </si>
  <si>
    <t>HEAT_MAX_PRICE_NO_TR_GCN</t>
  </si>
  <si>
    <t>70000</t>
  </si>
  <si>
    <t>HEAT_MAX_PRICE_NO_TR_GOA</t>
  </si>
  <si>
    <t>HEAT_MAX_PRICE_NO_TR_LNG</t>
  </si>
  <si>
    <t>75000</t>
  </si>
  <si>
    <t>HEAT_MAX_PRICE_NO_TR_MSTF12</t>
  </si>
  <si>
    <t>45000</t>
  </si>
  <si>
    <t>HEAT_MAX_PRICE_NO_TR_MSTF5</t>
  </si>
  <si>
    <t>80000</t>
  </si>
  <si>
    <t>HEAT_MAX_PRICE_NO_TR_MSTM100</t>
  </si>
  <si>
    <t>55000</t>
  </si>
  <si>
    <t>HEAT_MAX_PRICE_NO_TR_MSTM200</t>
  </si>
  <si>
    <t>50000</t>
  </si>
  <si>
    <t>HEAT_MAX_PRICE_NO_TR_MSTM40</t>
  </si>
  <si>
    <t>HEAT_MAX_PRICE_NO_TR_MSTT</t>
  </si>
  <si>
    <t>HEAT_MAX_PRICE_NO_TR_NGC</t>
  </si>
  <si>
    <t>HEAT_MAX_PRICE_NO_TR_NGL</t>
  </si>
  <si>
    <t>10000</t>
  </si>
  <si>
    <t>HEAT_MAX_PRICE_NO_TR_NGU</t>
  </si>
  <si>
    <t>12000</t>
  </si>
  <si>
    <t>HEAT_MAX_PRICE_NO_TR_OIL</t>
  </si>
  <si>
    <t>90000</t>
  </si>
  <si>
    <t>HEAT_MAX_PRICE_NO_TR_PEA</t>
  </si>
  <si>
    <t>7000</t>
  </si>
  <si>
    <t>HEAT_MAX_PRICE_NO_TR_PLT</t>
  </si>
  <si>
    <t>20000</t>
  </si>
  <si>
    <t>HEAT_MAX_PRICE_NO_TR_PWR</t>
  </si>
  <si>
    <t>1500</t>
  </si>
  <si>
    <t>HEAT_MAX_PRICE_NO_TR_SAW</t>
  </si>
  <si>
    <t>13000</t>
  </si>
  <si>
    <t>HEAT_MAX_PRICE_NO_TR_SHL</t>
  </si>
  <si>
    <t>HEAT_MAX_PRICE_NO_TR_STF</t>
  </si>
  <si>
    <t>HEAT_MAX_PRICE_NO_TR_WDS</t>
  </si>
  <si>
    <t>HEAT_MAX_PRICE_TR_COAANT</t>
  </si>
  <si>
    <t>HEAT_MAX_PRICE_TR_COABRN</t>
  </si>
  <si>
    <t>HEAT_MAX_PRICE_TR_COACOK</t>
  </si>
  <si>
    <t>HEAT_MAX_PRICE_TR_COACOKFAT</t>
  </si>
  <si>
    <t>HEAT_MAX_PRICE_TR_COACOKWBK</t>
  </si>
  <si>
    <t>HEAT_MAX_PRICE_TR_COACOKWBKLMM</t>
  </si>
  <si>
    <t>HEAT_MAX_PRICE_TR_COACOKWEA</t>
  </si>
  <si>
    <t>HEAT_MAX_PRICE_TR_COAFAT</t>
  </si>
  <si>
    <t>HEAT_MAX_PRICE_TR_COAGAS</t>
  </si>
  <si>
    <t>HEAT_MAX_PRICE_TR_COAGASFAT</t>
  </si>
  <si>
    <t>HEAT_MAX_PRICE_TR_COAGASFATWEA</t>
  </si>
  <si>
    <t>HEAT_MAX_PRICE_TR_COALFM</t>
  </si>
  <si>
    <t>60000</t>
  </si>
  <si>
    <t>HEAT_MAX_PRICE_TR_COALFMGAS</t>
  </si>
  <si>
    <t>HEAT_MAX_PRICE_TR_COASKN</t>
  </si>
  <si>
    <t>HEAT_MAX_PRICE_TR_COASKNBKD</t>
  </si>
  <si>
    <t>HEAT_MAX_PRICE_TR_COAWBK</t>
  </si>
  <si>
    <t>HEAT_MAX_PRICE_TR_COAWEABKD</t>
  </si>
  <si>
    <t>HEAT_MAX_PRICE_TR_CWD</t>
  </si>
  <si>
    <t>HEAT_MAX_PRICE_TR_DSG</t>
  </si>
  <si>
    <t>HEAT_MAX_PRICE_TR_DSLA</t>
  </si>
  <si>
    <t>120000</t>
  </si>
  <si>
    <t>HEAT_MAX_PRICE_TR_DSLO</t>
  </si>
  <si>
    <t>HEAT_MAX_PRICE_TR_DSLS</t>
  </si>
  <si>
    <t>HEAT_MAX_PRICE_TR_DSLW</t>
  </si>
  <si>
    <t>HEAT_MAX_PRICE_TR_ENR</t>
  </si>
  <si>
    <t>HEAT_MAX_PRICE_TR_GBL</t>
  </si>
  <si>
    <t>HEAT_MAX_PRICE_TR_GCK</t>
  </si>
  <si>
    <t>HEAT_MAX_PRICE_TR_GCN</t>
  </si>
  <si>
    <t>HEAT_MAX_PRICE_TR_GOA</t>
  </si>
  <si>
    <t>HEAT_MAX_PRICE_TR_LNG</t>
  </si>
  <si>
    <t>HEAT_MAX_PRICE_TR_MSTF12</t>
  </si>
  <si>
    <t>HEAT_MAX_PRICE_TR_MSTF5</t>
  </si>
  <si>
    <t>HEAT_MAX_PRICE_TR_MSTM100</t>
  </si>
  <si>
    <t>HEAT_MAX_PRICE_TR_MSTM200</t>
  </si>
  <si>
    <t>HEAT_MAX_PRICE_TR_MSTM40</t>
  </si>
  <si>
    <t>HEAT_MAX_PRICE_TR_MSTT</t>
  </si>
  <si>
    <t>HEAT_MAX_PRICE_TR_NGC</t>
  </si>
  <si>
    <t>HEAT_MAX_PRICE_TR_NGL</t>
  </si>
  <si>
    <t>HEAT_MAX_PRICE_TR_NGU</t>
  </si>
  <si>
    <t>HEAT_MAX_PRICE_TR_OIL</t>
  </si>
  <si>
    <t>110000</t>
  </si>
  <si>
    <t>HEAT_MAX_PRICE_TR_PEA</t>
  </si>
  <si>
    <t>HEAT_MAX_PRICE_TR_PLT</t>
  </si>
  <si>
    <t>HEAT_MAX_PRICE_TR_PWR</t>
  </si>
  <si>
    <t>HEAT_MAX_PRICE_TR_SAW</t>
  </si>
  <si>
    <t>HEAT_MAX_PRICE_TR_SHL</t>
  </si>
  <si>
    <t>HEAT_MAX_PRICE_TR_STF</t>
  </si>
  <si>
    <t>HEAT_MAX_PRICE_TR_WDS</t>
  </si>
  <si>
    <t>HEAT_MIN_COST_VALUE</t>
  </si>
  <si>
    <t>HEAT_MIN_LEN</t>
  </si>
  <si>
    <t>HEAT_MIN_PRICE_NO_TR_COAANT</t>
  </si>
  <si>
    <t>1000</t>
  </si>
  <si>
    <t>HEAT_MIN_PRICE_NO_TR_COABRN</t>
  </si>
  <si>
    <t>400</t>
  </si>
  <si>
    <t>HEAT_MIN_PRICE_NO_TR_COACOK</t>
  </si>
  <si>
    <t>HEAT_MIN_PRICE_NO_TR_COACOKFAT</t>
  </si>
  <si>
    <t>HEAT_MIN_PRICE_NO_TR_COACOKWBK</t>
  </si>
  <si>
    <t>HEAT_MIN_PRICE_NO_TR_COACOKWBKLMM</t>
  </si>
  <si>
    <t>HEAT_MIN_PRICE_NO_TR_COACOKWEA</t>
  </si>
  <si>
    <t>HEAT_MIN_PRICE_NO_TR_COAFAT</t>
  </si>
  <si>
    <t>HEAT_MIN_PRICE_NO_TR_COAGAS</t>
  </si>
  <si>
    <t>HEAT_MIN_PRICE_NO_TR_COAGASFAT</t>
  </si>
  <si>
    <t>HEAT_MIN_PRICE_NO_TR_COAGASFATWEA</t>
  </si>
  <si>
    <t>HEAT_MIN_PRICE_NO_TR_COALFM</t>
  </si>
  <si>
    <t>350</t>
  </si>
  <si>
    <t>HEAT_MIN_PRICE_NO_TR_COALFMGAS</t>
  </si>
  <si>
    <t>HEAT_MIN_PRICE_NO_TR_COASKN</t>
  </si>
  <si>
    <t>HEAT_MIN_PRICE_NO_TR_COASKNBKD</t>
  </si>
  <si>
    <t>HEAT_MIN_PRICE_NO_TR_COAWBK</t>
  </si>
  <si>
    <t>500</t>
  </si>
  <si>
    <t>HEAT_MIN_PRICE_NO_TR_COAWEABKD</t>
  </si>
  <si>
    <t>HEAT_MIN_PRICE_NO_TR_CWD</t>
  </si>
  <si>
    <t>HEAT_MIN_PRICE_NO_TR_DSG</t>
  </si>
  <si>
    <t>HEAT_MIN_PRICE_NO_TR_DSLA</t>
  </si>
  <si>
    <t>9000</t>
  </si>
  <si>
    <t>HEAT_MIN_PRICE_NO_TR_DSLO</t>
  </si>
  <si>
    <t>HEAT_MIN_PRICE_NO_TR_DSLS</t>
  </si>
  <si>
    <t>HEAT_MIN_PRICE_NO_TR_DSLW</t>
  </si>
  <si>
    <t>HEAT_MIN_PRICE_NO_TR_ENR</t>
  </si>
  <si>
    <t>0,5</t>
  </si>
  <si>
    <t>HEAT_MIN_PRICE_NO_TR_GBL</t>
  </si>
  <si>
    <t>200</t>
  </si>
  <si>
    <t>HEAT_MIN_PRICE_NO_TR_GCK</t>
  </si>
  <si>
    <t>300</t>
  </si>
  <si>
    <t>HEAT_MIN_PRICE_NO_TR_GCN</t>
  </si>
  <si>
    <t>HEAT_MIN_PRICE_NO_TR_GOA</t>
  </si>
  <si>
    <t>100</t>
  </si>
  <si>
    <t>HEAT_MIN_PRICE_NO_TR_LNG</t>
  </si>
  <si>
    <t>5000</t>
  </si>
  <si>
    <t>HEAT_MIN_PRICE_NO_TR_MSTF12</t>
  </si>
  <si>
    <t>HEAT_MIN_PRICE_NO_TR_MSTF5</t>
  </si>
  <si>
    <t>HEAT_MIN_PRICE_NO_TR_MSTM100</t>
  </si>
  <si>
    <t>HEAT_MIN_PRICE_NO_TR_MSTM200</t>
  </si>
  <si>
    <t>HEAT_MIN_PRICE_NO_TR_MSTM40</t>
  </si>
  <si>
    <t>2500</t>
  </si>
  <si>
    <t>HEAT_MIN_PRICE_NO_TR_MSTT</t>
  </si>
  <si>
    <t>HEAT_MIN_PRICE_NO_TR_NGC</t>
  </si>
  <si>
    <t>HEAT_MIN_PRICE_NO_TR_NGL</t>
  </si>
  <si>
    <t>HEAT_MIN_PRICE_NO_TR_NGU</t>
  </si>
  <si>
    <t>HEAT_MIN_PRICE_NO_TR_OIL</t>
  </si>
  <si>
    <t>HEAT_MIN_PRICE_NO_TR_PEA</t>
  </si>
  <si>
    <t>50</t>
  </si>
  <si>
    <t>HEAT_MIN_PRICE_NO_TR_PLT</t>
  </si>
  <si>
    <t>HEAT_MIN_PRICE_NO_TR_PWR</t>
  </si>
  <si>
    <t>HEAT_MIN_PRICE_NO_TR_SAW</t>
  </si>
  <si>
    <t>HEAT_MIN_PRICE_NO_TR_SHL</t>
  </si>
  <si>
    <t>HEAT_MIN_PRICE_NO_TR_STF</t>
  </si>
  <si>
    <t>HEAT_MIN_PRICE_NO_TR_WDS</t>
  </si>
  <si>
    <t>HEAT_MIN_PRICE_TR_COAANT</t>
  </si>
  <si>
    <t>HEAT_MIN_PRICE_TR_COABRN</t>
  </si>
  <si>
    <t>HEAT_MIN_PRICE_TR_COACOK</t>
  </si>
  <si>
    <t>HEAT_MIN_PRICE_TR_COACOKFAT</t>
  </si>
  <si>
    <t>HEAT_MIN_PRICE_TR_COACOKWBK</t>
  </si>
  <si>
    <t>HEAT_MIN_PRICE_TR_COACOKWBKLMM</t>
  </si>
  <si>
    <t>HEAT_MIN_PRICE_TR_COACOKWEA</t>
  </si>
  <si>
    <t>HEAT_MIN_PRICE_TR_COAFAT</t>
  </si>
  <si>
    <t>HEAT_MIN_PRICE_TR_COAGAS</t>
  </si>
  <si>
    <t>HEAT_MIN_PRICE_TR_COAGASFAT</t>
  </si>
  <si>
    <t>HEAT_MIN_PRICE_TR_COAGASFATWEA</t>
  </si>
  <si>
    <t>HEAT_MIN_PRICE_TR_COALFM</t>
  </si>
  <si>
    <t>HEAT_MIN_PRICE_TR_COALFMGAS</t>
  </si>
  <si>
    <t>HEAT_MIN_PRICE_TR_COASKN</t>
  </si>
  <si>
    <t>HEAT_MIN_PRICE_TR_COASKNBKD</t>
  </si>
  <si>
    <t>HEAT_MIN_PRICE_TR_COAWBK</t>
  </si>
  <si>
    <t>HEAT_MIN_PRICE_TR_COAWEABKD</t>
  </si>
  <si>
    <t>HEAT_MIN_PRICE_TR_CWD</t>
  </si>
  <si>
    <t>HEAT_MIN_PRICE_TR_DSG</t>
  </si>
  <si>
    <t>HEAT_MIN_PRICE_TR_DSLA</t>
  </si>
  <si>
    <t>HEAT_MIN_PRICE_TR_DSLO</t>
  </si>
  <si>
    <t>HEAT_MIN_PRICE_TR_DSLS</t>
  </si>
  <si>
    <t>HEAT_MIN_PRICE_TR_DSLW</t>
  </si>
  <si>
    <t>HEAT_MIN_PRICE_TR_ENR</t>
  </si>
  <si>
    <t>HEAT_MIN_PRICE_TR_GBL</t>
  </si>
  <si>
    <t>HEAT_MIN_PRICE_TR_GCK</t>
  </si>
  <si>
    <t>HEAT_MIN_PRICE_TR_GCN</t>
  </si>
  <si>
    <t>HEAT_MIN_PRICE_TR_GOA</t>
  </si>
  <si>
    <t>HEAT_MIN_PRICE_TR_LNG</t>
  </si>
  <si>
    <t>HEAT_MIN_PRICE_TR_MSTF12</t>
  </si>
  <si>
    <t>HEAT_MIN_PRICE_TR_MSTF5</t>
  </si>
  <si>
    <t>HEAT_MIN_PRICE_TR_MSTM100</t>
  </si>
  <si>
    <t>HEAT_MIN_PRICE_TR_MSTM200</t>
  </si>
  <si>
    <t>HEAT_MIN_PRICE_TR_MSTM40</t>
  </si>
  <si>
    <t>HEAT_MIN_PRICE_TR_MSTT</t>
  </si>
  <si>
    <t>HEAT_MIN_PRICE_TR_NGC</t>
  </si>
  <si>
    <t>HEAT_MIN_PRICE_TR_NGL</t>
  </si>
  <si>
    <t>HEAT_MIN_PRICE_TR_NGU</t>
  </si>
  <si>
    <t>HEAT_MIN_PRICE_TR_OIL</t>
  </si>
  <si>
    <t>HEAT_MIN_PRICE_TR_PEA</t>
  </si>
  <si>
    <t>HEAT_MIN_PRICE_TR_PLT</t>
  </si>
  <si>
    <t>HEAT_MIN_PRICE_TR_PWR</t>
  </si>
  <si>
    <t>HEAT_MIN_PRICE_TR_SAW</t>
  </si>
  <si>
    <t>HEAT_MIN_PRICE_TR_SHL</t>
  </si>
  <si>
    <t>HEAT_MIN_PRICE_TR_STF</t>
  </si>
  <si>
    <t>HEAT_MIN_PRICE_TR_WDS</t>
  </si>
  <si>
    <t>HEAT_NO_FUEL_IN_SRC_LIST</t>
  </si>
  <si>
    <t>MAX_ABONENT_VALUE</t>
  </si>
  <si>
    <t>MIN_ABONENT_VALUE</t>
  </si>
  <si>
    <t>0,001</t>
  </si>
  <si>
    <t>1 41 00 | Сельскохозяйственные производственные кооперативы</t>
  </si>
  <si>
    <t>2 01 16 | Сельскохозяйственные потребительские растениеводческие кооперативы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</si>
  <si>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</si>
  <si>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</si>
  <si>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7 51 05 | Государственные внебюджетные фонды Российской Федерации</t>
  </si>
  <si>
    <t>Дата последнего обновления обновления параметров проверки отчёта: 09.09.2025 10:29:58</t>
  </si>
  <si>
    <t>CNCSN_LIST</t>
  </si>
  <si>
    <t>Концессионное соглашение № 1 от 12.08.2016 в отношении объектов теплоснабжения, находящихся в муниципальной собственности Уренского муниципального района Нижегородской области</t>
  </si>
  <si>
    <t>ТС</t>
  </si>
  <si>
    <t>12.08.2016</t>
  </si>
  <si>
    <t>12.08.2026</t>
  </si>
  <si>
    <t>Концессионное соглашение № 1 от 12.12.2016 ООО "УК "НОКК" в сфере теплоснабжения и горячего водоснабжения</t>
  </si>
  <si>
    <t>ТС+ХВС</t>
  </si>
  <si>
    <t>12.12.2016</t>
  </si>
  <si>
    <t>12.12.2046</t>
  </si>
  <si>
    <t>Концессионное соглашение № 1 от 17.06.2016 в отношении объектов теплоснабжения, находящихся в муниципальной собственности города Балахна Балахнинского муниципального района</t>
  </si>
  <si>
    <t>17.06.2016</t>
  </si>
  <si>
    <t>16.06.2046</t>
  </si>
  <si>
    <t>Концессионное соглашение № 1-Т/2020/259-П от 08.10.2020 в отношении объектов теплоснабжения и горячего водоснабжения, расположенных на территории муниципального округа Тоншаевский</t>
  </si>
  <si>
    <t>08.10.2020</t>
  </si>
  <si>
    <t>31.12.2040</t>
  </si>
  <si>
    <t>Концессионное соглашение № 1-Т/2020/259-П от 08.10.2020 в отношении объектов теплоснабжения, находящихся в муниципальной собственности муниципального округа Тоншаевский</t>
  </si>
  <si>
    <t>08.10.2040</t>
  </si>
  <si>
    <t>Концессионное соглашение № 1-кс/1736/325-П/1/19 от 01.08.2019 в отношении объектов, расположенных на территории городского округа Арзамас</t>
  </si>
  <si>
    <t>01.08.2019</t>
  </si>
  <si>
    <t>01.08.2054</t>
  </si>
  <si>
    <t>Концессионное соглашение № 1/162-П от 25.07.2018 в отношении котельных и тепловых сетей, расположенных на территории муниципального района Тоншаевский</t>
  </si>
  <si>
    <t>01.08.2018</t>
  </si>
  <si>
    <t>31.12.2027</t>
  </si>
  <si>
    <t>Концессионное соглашение № 1/163-П от 25.07.2018 в отношении котельных и тепловых сетей, расположенных на территории муниципального района Тоншаевский</t>
  </si>
  <si>
    <t>Концессионное соглашение № 107-П от 07.07.2022 в отношении объектов теплоснабжения, расположенных на территории муниципального округа Тоншаевский</t>
  </si>
  <si>
    <t>07.07.2022</t>
  </si>
  <si>
    <t>31.12.2051</t>
  </si>
  <si>
    <t>Концессионное соглашение № 128-П от 17.06.2021 в отношении котельных и тепловых сетей, расположенных на территории городского округа Сокольский</t>
  </si>
  <si>
    <t>01.07.2021</t>
  </si>
  <si>
    <t>31.12.2050</t>
  </si>
  <si>
    <t>Концессионное соглашение № 176-30-2016 от 21.12.2016 в отношении реконструкции и эксплуатации объектов теплоснабжения Вадского муниципального района</t>
  </si>
  <si>
    <t>01.01.2017</t>
  </si>
  <si>
    <t>31.12.2031</t>
  </si>
  <si>
    <t>Концессионное соглашение № 2 от 20.10.2016 в отношении объектов системы теплоснабжения и горячего водоснабжения Сеченовского муниципального района Нижегородской области, находящихся в муниципальной собственности</t>
  </si>
  <si>
    <t>20.10.2016</t>
  </si>
  <si>
    <t>20.10.2046</t>
  </si>
  <si>
    <t>Концессионное соглашение № 2/330-П/1/19 от 14.08.2019 в отношении систем теплоснабжения, расположенных на территории городского поселения Город Урень, Уренский муниципальный район</t>
  </si>
  <si>
    <t>14.08.2019</t>
  </si>
  <si>
    <t>01.07.2049</t>
  </si>
  <si>
    <t>Концессионное соглашение № 2048/320-П/7Q00-FA057/02-026/001 от 29.12.2017 в отношении объектов теплоснабжения и горячего водоснабжения, расположенных на территории городского округа Дзержинск</t>
  </si>
  <si>
    <t>29.12.2017</t>
  </si>
  <si>
    <t>31.12.2047</t>
  </si>
  <si>
    <t>Концессионное соглашение № 2048/320-П/7Q00-FA057/02-026/0010-2017 от 29.12.2017 в отношении объектов теплоснабжения, находящихся в муниципальной собственности города Дзержинск</t>
  </si>
  <si>
    <t>01.01.2018</t>
  </si>
  <si>
    <t>Концессионное соглашение № 21/63-П от 30.06.2023 в отношении объектов теплоснабжения и горячего водоснабжения, расположенных на территории городского округа Нижний Новгород</t>
  </si>
  <si>
    <t>01.07.2023</t>
  </si>
  <si>
    <t>Концессионное соглашение № 226-П от 13.10.2021 в отношении объектов теплоснабжения, расположенных на территории муниципального округа Уренский</t>
  </si>
  <si>
    <t>15.10.2021</t>
  </si>
  <si>
    <t>Концессионное соглашение № 2532/34/21/7Q00-FA036-2021/305-П от 22.12.2021 в отношении объектов теплоснабжения и горячего водоснабжения, расположенных на территории городского округа Дзержинск</t>
  </si>
  <si>
    <t>22.12.2021</t>
  </si>
  <si>
    <t>Концессионное соглашение № 264-П от 28.10.2022 в отношении объектов теплоснабжения, расположенных на территории муниципального округа Бутурлинский</t>
  </si>
  <si>
    <t>28.10.2022</t>
  </si>
  <si>
    <t>31.12.2042</t>
  </si>
  <si>
    <t>Концессионное соглашение № 290-П от 01.01.2021 в отношении централизованных систем теплоснабжения, расположенных на территории рп Ардатов, Рабочий поселок Ардатов, Ардатовский муниципальный район</t>
  </si>
  <si>
    <t>01.01.2021</t>
  </si>
  <si>
    <t>Концессионное соглашение № 3 от 20.12.2016 ООО "УК "НОКК" в сфере теплоснабжения и горячего водоснабжения</t>
  </si>
  <si>
    <t>20.12.2016</t>
  </si>
  <si>
    <t>20.12.2046</t>
  </si>
  <si>
    <t>Концессионное соглашение № 305-П от 29.11.2018 в отношении котельных и тепловых сетей, расположенных на территории городского округа Семеновский</t>
  </si>
  <si>
    <t>01.12.2018</t>
  </si>
  <si>
    <t>30.11.2030</t>
  </si>
  <si>
    <t>Концессионное соглашение № 305-П от 29.11.2018 в отношении котельных, расположенных на территории городского округа Семеновский</t>
  </si>
  <si>
    <t>01.04.2019</t>
  </si>
  <si>
    <t>31.12.2030</t>
  </si>
  <si>
    <t>Концессионное соглашение № 328-П от 29.12.2021 в отношении тепловых сетей, расположенных на территории городского округа ЗАТО Саров</t>
  </si>
  <si>
    <t>01.01.2022</t>
  </si>
  <si>
    <t>31.12.2036</t>
  </si>
  <si>
    <t>Концессионное соглашение № 4 от 31.12.2016 в сфере теплоснабжения в отношении объектов муниципальной собственности сельсовета Кочергинский Балахнинского муниципального района</t>
  </si>
  <si>
    <t>01.02.2017</t>
  </si>
  <si>
    <t>31.12.2046</t>
  </si>
  <si>
    <t>Концессионное соглашение № 52-П от 15.05.2020 в отношении централизованных систем теплоснабжения, расположенных на территории муниципального района Арзамасский</t>
  </si>
  <si>
    <t>15.05.2020</t>
  </si>
  <si>
    <t>31.12.2033</t>
  </si>
  <si>
    <t>Концессионное соглашение № 55-П от 19.05.2020 в отношении централизованных систем теплоснабжения, расположенных на территории муниципального района Арзамасский</t>
  </si>
  <si>
    <t>19.05.2020</t>
  </si>
  <si>
    <t>Концессионное соглашение № 7Q00-FA041/02-026/0030-2016 от 20.12.2016 в отношении объектов теплоснабжения и горячего водоснабжения, расположенных на территории муниципального района Кстовский</t>
  </si>
  <si>
    <t>Концессионное соглашение № 91-П от 26.04.2021 в отношении объектов теплоснабжения и горячего водоснабжения, расположенных на территории городского округа Чкаловск</t>
  </si>
  <si>
    <t>30.04.2021</t>
  </si>
  <si>
    <t>Концессионное соглашение № б/н в отношении создания, реконструкции и эксплуатации объектов теплоснабжения городского округа город Бор</t>
  </si>
  <si>
    <t>Концессионное соглашение № б/н от 01.01.2021 в отношении котельных и тепловых сетей, расположенных на территории рп Ардатов, Рабочий поселок Ардатов, Ардатовский муниципальный район</t>
  </si>
  <si>
    <t>Концессионное соглашение № б/н от 01.07.2020 в отношении имущественного комплекса, расположенных на территории городского округа Арзамас</t>
  </si>
  <si>
    <t>01.07.2020</t>
  </si>
  <si>
    <t>31.12.2055</t>
  </si>
  <si>
    <t>Концессионное соглашение № б/н от 01.07.2020 в отношении имущественного комплекса, расположенных на территории городского округа Сокольский</t>
  </si>
  <si>
    <t>Концессионное соглашение № б/н от 01.07.2020 в отношении имущественного комплекса, расположенных на территории муниципального района Бутурлинский</t>
  </si>
  <si>
    <t>Концессионное соглашение № б/н от 01.07.2020 в отношении имущественного комплекса, расположенных на территории муниципального района Вачский</t>
  </si>
  <si>
    <t>Концессионное соглашение № б/н от 01.07.2020 в отношении имущественного комплекса, расположенных на территории муниципального района Володарский</t>
  </si>
  <si>
    <t>Концессионное соглашение № б/н от 01.07.2020 в отношении имущественного комплекса, расположенных на территории сельского поселения Починковский, Починковский муниципальный район</t>
  </si>
  <si>
    <t>Концессионное соглашение № б/н от 01.11.2018 в отношении котельных и тепловых сетей, расположенных на территории городского округа Семеновский</t>
  </si>
  <si>
    <t>01.11.2018</t>
  </si>
  <si>
    <t>Концессионное соглашение № б/н от 26.01.2018 в отношении объектов теплоснабжения, расположенных на территории муниципального района Вознесенский</t>
  </si>
  <si>
    <t>26.01.2018</t>
  </si>
  <si>
    <t>Концессионное соглашение № б/н от 26.10.2020 в отношении имущественного комплекса, расположенных на территории городского округа Сокольский</t>
  </si>
  <si>
    <t>Концессионное соглашение № б/н от 26.10.2020 в отношении имущественного комплекса, расположенных на территории городского округа Чкаловск</t>
  </si>
  <si>
    <t>Концессионное соглашение № б/н от 30.10.2020 в отношении объектов, расположенных на территории городского округа Выкса</t>
  </si>
  <si>
    <t>31.12.2045</t>
  </si>
  <si>
    <t>IP_LIST</t>
  </si>
  <si>
    <t>ИП</t>
  </si>
  <si>
    <t>Инвестиционная программа № 329-116/23/од от 05.06.2023 ООО "СЕВЕРНЫЕ КОММУНАЛЬНЫЕ СЕТИ" в сфере теплоснабжения по реконструкции котельных и тепловых сетей, на территории муниципального округа Тоншаевский на 2023-2037 годы</t>
  </si>
  <si>
    <t>05.06.2023</t>
  </si>
  <si>
    <t>31.12.2037</t>
  </si>
  <si>
    <t>Инвестиционная программа № 329-230/21Под от 26.08.2021 ООО "Гранит" в сфере теплоснабжения по развитию, модернизации и реконструкции котельных и тепловых сетей, на территории городского округа Сокольский на 2021-2037 годы</t>
  </si>
  <si>
    <t>01.10.2021</t>
  </si>
  <si>
    <t>Инвестиционная программа № 329-317/21П/од от 01.11.2021 ООО "Теплосети" в сфере теплоснабжения по развитию имущественного комплекса, на территории городского округа Нижний Новгород на 2022-2026 годы</t>
  </si>
  <si>
    <t>31.12.2026</t>
  </si>
  <si>
    <t>Инвестиционная программа № 329-334/22П/од от 31.10.2022 ООО "Бор Инвест" в сфере теплоснабжения по развитию систем теплоснабжения от котельных и тепловых сетей, на территории муниципального округа Вознесенский на 2023-2048 годы</t>
  </si>
  <si>
    <t>01.12.2023</t>
  </si>
  <si>
    <t>31.12.2048</t>
  </si>
  <si>
    <t>Инвестиционная программа № 329-336/22П/од от 01.11.2022 ООО "Гранит" в сфере теплоснабжения по строительству, реконструкции и модернизации централизованных систем теплоснабжения, на территории муниципального округа Уренский на 2023-2037 годы</t>
  </si>
  <si>
    <t>Инвестиционная программа № 329-396/22П от 23.11.2022 АО "Теплоэнерго" в сфере теплоснабжения по строительству, реконструкции, модернизации и развитию систем теплоснабжения от котельных и тепловых сетей, на территории городского округа Нижний Новгород на 2023-2027 годы</t>
  </si>
  <si>
    <t>01.01.2023</t>
  </si>
  <si>
    <t>Инвестиционная программа № 329-396/22П/од от 23.11.2022 АО "Теплоэнерго" в сфере теплоснабжения по строительству, реконструкции, модернизации и развитию имущественного комплекса, на территории городского округа Нижний Новгород на 2023-2027 годы</t>
  </si>
  <si>
    <t>Инвестиционная программа № 329-396/22П/од от 23.11.2022 АО "Теплоэнерго" в сфере теплоснабжения по строительству, реконструкции, модернизации и развитию тепловых сетей и системы централизованного теплоснабжения, на территории городского округа Нижний Новгород на 2023-2047 годы</t>
  </si>
  <si>
    <t>Инвестиционная программа № 329-419/23П/од от 26.10.2023 Филиал "Нижегородский" ПАО "Т ПЛЮС" в сфере теплоснабжения по модернизации и реконструкции имущественного комплекса, на территории городского округа Нижний Новгород на 2024-2028 годы</t>
  </si>
  <si>
    <t>01.01.2024</t>
  </si>
  <si>
    <t>31.12.2028</t>
  </si>
  <si>
    <t>Инвестиционная программа № 329-441/23П/од от 30.10.2023 ООО "СТН-Энергосети" в сфере теплоснабжения по строительству, реконструкции и модернизации систем теплоснабжения, на территории городского округа Нижний Новгород на 2024-2028 годы</t>
  </si>
  <si>
    <t>Инвестиционная программа № 329_318/21П/од от 29.10.2021 ООО "Автозаводская ТЭЦ" в сфере теплоснабжения в отношении объектов, на территории городского округа Нижний Новгород на 2022-2026 годы</t>
  </si>
  <si>
    <t>Инвестиционная программа Балахнинского филиала АО "НОКК" в сфере теплоснабжения на 2018-2028 годы</t>
  </si>
  <si>
    <t>Инвестиционная программа Балахнинского филиала АО "Нижегородская областная коммунальная компания" в сфере теплоснабжения на период 2018-2028 годы</t>
  </si>
  <si>
    <t>Инвестиционная программа Богородского филиала АО "НОКК" в сфере теплоснабжения на 2017-2030 годы</t>
  </si>
  <si>
    <t>Инвестиционная программа Богородского филиала АО "Нижегородская областная коммунальная компания" на период 2017-2030 гг.</t>
  </si>
  <si>
    <t>Инвестиционная программа Богородского филиала АО "Нижегородская областная коммунальная компания" на период 2017-2030 годы</t>
  </si>
  <si>
    <t>Инвестиционная программа Володарского филиала ООО "УК "Нижегородская областная коммунальная компания" в сфере теплоснабжения на период 2018-2027 годы</t>
  </si>
  <si>
    <t>Инвестиционная программа Володарского филиала ООО "УК"НОКК" в сфере теплоснабжения на 2018-2027 годы</t>
  </si>
  <si>
    <t>Инвестиционная программа ООО "Атриум Инвест" по развитию системы теплоснабжения котельной, расположенной по адресу: Шатковкский район, рп Шатки, ул.1 Мая, д. 69б на 2017-2029 годы</t>
  </si>
  <si>
    <t>31.12.2029</t>
  </si>
  <si>
    <t>Инвестиционная программа ООО "Атриум Инвест" по развитию системы теплоснабжения котельной, расположенной по адресу: г Бор, п Большеорловское, ул. Микрорайон, участок 8В на 2017-2030 годы</t>
  </si>
  <si>
    <t>Инвестиционная программа ООО "Атриум Инвест" по развитию системы теплоснабжения от котельной, расположенной по адресу: Шатковский район, р.п. Шатки, ул. 1 Мая, д. 69, на период 2017-2029 гг.</t>
  </si>
  <si>
    <t>Инвестиционная программа ООО "Атриум Инвест" по развитию системы теплоснабжения от котельной, расположенной по адресу: городской округ город Бор, п. Большеорловское, ул. Микрорайон, участок 8В, на период 2017-2030 гг.</t>
  </si>
  <si>
    <t>Инвестиционная программа ООО "Бор Инвест" по развитию системы теплоснабжения котельных и тепловых сетей на 2017-2039 годы</t>
  </si>
  <si>
    <t>31.12.2039</t>
  </si>
  <si>
    <t>Инвестиционная программа ООО "Бор Инвест" по развитию системы теплоснабжения от котельных и тепловых сетей на период 2017-2026 гг.</t>
  </si>
  <si>
    <t>Инвестиционная программа ООО "Бор Теплогаз" по развитию системы теплоснабжения от котельных села Вад Вадского муниципального района на 2018-2031 годы</t>
  </si>
  <si>
    <t>Инвестиционная программа ООО "Тепловик" по развитию системы теплоснабжения котельных городского округа Бор на 2018-2043 годы</t>
  </si>
  <si>
    <t>31.12.2043</t>
  </si>
  <si>
    <t>Инвестиционная программа ООО "Тепловик" по развитию системы теплоснабжения от котельных городского округа город Бор на 2018-2031 годы</t>
  </si>
  <si>
    <t>Инвестиционная программа Семеновского филиала АО "НОКК" в сфере теплоснабжения на 2017-2027 годы</t>
  </si>
  <si>
    <t>Инвестиционная программа Семеновского филиала АО "Нижегородская областная коммунальная компания" на период 2017-2027 гг.</t>
  </si>
  <si>
    <t>Инвестиционная программа Сеченовского филиала АО "Нижегородская областная коммунальная компания" в сфере теплоснабжения на период 2018-2025 годы</t>
  </si>
  <si>
    <t>31.12.2025</t>
  </si>
  <si>
    <t>Инвестиционная программа Шахунского филиала АО "НОКК" в сфере теплоснабжения на 2017-2027 годы</t>
  </si>
  <si>
    <t>Инвестиционная программа от 01.02.2021 ООО "Тепловые сети" в сфере теплоснабжения по модернизации и строительству объектов, на территории рп Ардатов, Рабочий поселок Ардатов, Ардатовский муниципальный район на 2021-2029 годы</t>
  </si>
  <si>
    <t>01.02.2021</t>
  </si>
  <si>
    <t>Инвестиционная программа от 01.07.2020 МУП ЖКХ "Жилсервис" Володарского района в сфере теплоснабжения по комплексному развитию имущественного комплекса, на территории муниципального района Володарский на 2020-2050 годы</t>
  </si>
  <si>
    <t>Инвестиционная программа от 01.07.2020 ОАО "Павловский завод им.Кирова" в сфере горячего водоснабжения по модернизации и развитию имущественного комплекса, на территории муниципального района Павловский на 2020-2050 годы</t>
  </si>
  <si>
    <t>Инвестиционная программа от 01.07.2020 ОАО "Павловский завод им.Кирова" в сфере теплоснабжения по модернизации имущественного комплекса, на территории муниципального района Павловский на 2020-2050 годы</t>
  </si>
  <si>
    <t>Инвестиционная программа от 04.09.2018 ООО "КСК" в сфере теплоснабжения по строительству и оборудованию систем теплоснабжения от котельных и тепловых сетей, на территории городского округа Нижний Новгород на 2019-2027 годы</t>
  </si>
  <si>
    <t>01.01.2019</t>
  </si>
  <si>
    <t>Инвестиционная программа от 06.10.2020 ООО "ФСК "Энерго Строй" в сфере теплоснабжения по развитию централизованных систем теплоснабжения, на территории муниципального района Павловский на 2021-2025 годы</t>
  </si>
  <si>
    <t>24.12.2025</t>
  </si>
  <si>
    <t>Инвестиционная программа от 08.09.2020 ООО "Генерация тепла" в сфере теплоснабжения по развитию систем инженерной инфраструктуры, на территории городского округа Нижний Новгород на 2021-2028 годы</t>
  </si>
  <si>
    <t>Инвестиционная программа от 10.10.2019 МУП "Тепловые сети" в сфере теплоснабжения по модернизации котельных на 2020-2024 годы</t>
  </si>
  <si>
    <t>01.01.2020</t>
  </si>
  <si>
    <t>31.12.2024</t>
  </si>
  <si>
    <t>Инвестиционная программа от 16.07.2016 ООО "Нижегородтеплогаз" в сфере теплоснабжения по техническому перевооружению газовых котельных, на территории городского округа Дзержинск на 2019-2025 годы</t>
  </si>
  <si>
    <t>Инвестиционная программа от 16.07.2018 ООО "Нижегородтеплогаз" в сфере теплоснабжения по техническому перевооружению газовых котельных, на территории городского округа Дзержинск на 2019-2027 годы</t>
  </si>
  <si>
    <t>Инвестиционная программа от 16.07.2018 ООО "Нижновтеплоэнерго" в сфере теплоснабжения по техническому перевооружению газовых котельных, на территории городского округа Дзержинск на 2019-2025 годы</t>
  </si>
  <si>
    <t>Инвестиционная программа от 16.10.2020 ООО "ПрофТепло" в сфере теплоснабжения по развитию систем теплоснабжения, на территории муниципального района Арзамасский на 2020-2033 годы</t>
  </si>
  <si>
    <t>16.10.2020</t>
  </si>
  <si>
    <t>Инвестиционная программа от 16.10.2020 ООО "Тепловые сети Арзамасского района" в сфере теплоснабжения по развитию систем теплоснабжения, на территории муниципального района Арзамасский на 2020-2033 годы</t>
  </si>
  <si>
    <t>Инвестиционная программа от 24.10.2018 ООО "БТГ" в сфере теплоснабжения по комплексному развитию объектов, на территории сельского поселения Бахтызинский, Вознесенский муниципальный район на 2019-2040 годы</t>
  </si>
  <si>
    <t>Инвестиционная программа от 24.10.2018 ООО "БТГ" в сфере теплоснабжения по комплексному развитию систем теплоснабжения, на территории муниципального района Вознесенский на 2019-2040 годы</t>
  </si>
  <si>
    <t>Инвестиционная программа от 25.02.2022 АО "СТСК" в сфере теплоснабжения по реконструкции объектов систем теплоснабжения, на территории городского округа ЗАТО Саров на 2022-2029 годы</t>
  </si>
  <si>
    <t>25.02.2022</t>
  </si>
  <si>
    <t>Инвестиционная программа от 25.10.2016 Филиал "Нижегородский" ПАО "Т ПЛЮС" в сфере теплоснабжения по строительству, реконструкции, модернизации и развитию систем теплоснабжения, на территории городского округа Дзержинск на 2016-2047 годы</t>
  </si>
  <si>
    <t>25.10.2016</t>
  </si>
  <si>
    <t>Инвестиционная программа от 26.10.2016 АО "НОКК" (Шахунский филиал) в сфере теплоснабжения по модернизации и реконструкции систем теплоснабжения, на территории городского округа Шахунья на 2017-2034 годы</t>
  </si>
  <si>
    <t>31.12.2034</t>
  </si>
  <si>
    <t>Инвестиционная программа от 28.05.2021 АО "Теплоэнерго" в сфере теплоснабжения и горячего водоснабжения по строительству, реконструкции, модернизации и развитию имущественного комплекса, на территории городского округа Чкаловск на 2021-2030 годы</t>
  </si>
  <si>
    <t>28.05.2021</t>
  </si>
  <si>
    <t>Инвестиционная программа от 28.10.2015 АО "ВЫКСАТЕПЛОЭНЕРГО" в сфере теплоснабжения по строительству и техническому перевооружению систем теплоснабжения, на территории городского округа Выкса на 2016-2031 годы</t>
  </si>
  <si>
    <t>01.01.2016</t>
  </si>
  <si>
    <t>Инвестиционная программа от 28.10.2016 АО "НОКК" (Ветлужский филиал) в сфере теплоснабжения по строительству, реконструкции и модернизации систем теплоснабжения, на территории муниципального округа Ветлужский на 2017-2026 годы</t>
  </si>
  <si>
    <t>Инвестиционная программа от 28.10.2016 ООО "Атриум Инвест" в сфере теплоснабжения по развитию, модернизации и реконструкции систем теплоснабжения, на территории муниципального округа Шатковский на 2017-2029 годы</t>
  </si>
  <si>
    <t>Инвестиционная программа от 29.10.2019 ООО "Гранит" в сфере теплоснабжения по модернизации и реконструкции систем теплоснабжения от котельных и тепловых сетей, на территории муниципального округа Уренский на 2019-2032 годы</t>
  </si>
  <si>
    <t>29.10.2019</t>
  </si>
  <si>
    <t>31.12.2032</t>
  </si>
  <si>
    <t>Инвестиционная программа от 29.10.2019 ООО "ОРК" в сфере теплоснабжения по развитию систем теплоснабжения, на территории городского округа Арзамас на 2020-2043 годы</t>
  </si>
  <si>
    <t>Инвестиционная программа от 30.10.2019 МУП "Тепловые сети" в сфере теплоснабжения по модернизации котельных, на территории городского поселения город Городец, Городецкий муниципальный район на 2020-2024 годы</t>
  </si>
  <si>
    <t>Инвестиционная программа от 30.10.2019 ООО "Бор Теплоэнерго" в сфере теплоснабжения по развитию систем теплоснабжения, на территории городского округа Кулебаки на 2020-2037 годы</t>
  </si>
  <si>
    <t>Инвестиционная программа от 30.10.2020 ООО "Энергосервис" в сфере теплоснабжения по развитию систем теплоснабжения, на территории городского округа Нижний Новгород на 2021-2026 годы</t>
  </si>
  <si>
    <t>Инвестиционная программа филиала Нижегородский ПАО "Т Плюс" в сфере теплоснабжения на 2016-2047 годы</t>
  </si>
  <si>
    <t>Инвестиционная программа филиала Нижегородский ПАО "Т Плюс" в сфере теплоснабжения на территории Кстовского муниципального района на 2017-2046 годы</t>
  </si>
  <si>
    <t>Инвестиционная программа филиала Нижегородский ПАО "Т Плюс" г. Кстово на 2017-2046 годы</t>
  </si>
  <si>
    <t>Инвестиционная программа филиала Нижегородский ПАО "Т Плюс" на территории города Дзержинск на 2016-2047 годы</t>
  </si>
  <si>
    <t>Инвестиционная программа фллиала Нижегородский ПАО "Т Плюс" г. Дзержинск на 2016-2047 годы</t>
  </si>
  <si>
    <t>SUBSIDIARY_LIST</t>
  </si>
  <si>
    <t>Арзамасский филиал</t>
  </si>
  <si>
    <t>Нижегородская ГРЭС</t>
  </si>
  <si>
    <t>Нижегородский областной радиотелевизионный передающий центр</t>
  </si>
  <si>
    <t>Новогорьковская ТЭЦ</t>
  </si>
  <si>
    <t>Новогорьковская ТЭЦ, квартальные сети</t>
  </si>
  <si>
    <t>Новогорьковская ТЭЦ, магистральные сети</t>
  </si>
  <si>
    <t>Сормовская ТЭЦ</t>
  </si>
  <si>
    <t>Филиал ОАО "Газпром трансгаз" Семеновское ЛПУ МГ</t>
  </si>
  <si>
    <t>Филиал ФГУП "РФЯЦ-ВНИИЭФ" "НИИИС им. Ю.Е. Седакова"</t>
  </si>
  <si>
    <t>DPR_LIST</t>
  </si>
  <si>
    <t>Дзержинская ТЭЦ, квартальные сети</t>
  </si>
  <si>
    <t>Дзержинская ТЭЦ, магистральные сети</t>
  </si>
  <si>
    <t>Оказание услуг на территории: Ардатовский муниципальный район (ОКТМО: 22602000) - рп Ардатов</t>
  </si>
  <si>
    <t>Оказание услуг на территории: Балахнинский муниципальный округ (ОКТМО: 22505000) - г Балахна</t>
  </si>
  <si>
    <t>Оказание услуг на территории: Балахнинский муниципальный округ (ОКТМО: 22505000) - д Конево</t>
  </si>
  <si>
    <t>Оказание услуг на территории: Балахнинский муниципальный округ (ОКТМО: 22505000) - рп Большое Козино</t>
  </si>
  <si>
    <t>Оказание услуг на территории: Балахнинский муниципальный округ (ОКТМО: 22505000) - рп Лукино</t>
  </si>
  <si>
    <t>Оказание услуг на территории: Балахнинский муниципальный округ (ОКТМО: 22505000) - рп Малое Козино</t>
  </si>
  <si>
    <t>Оказание услуг на территории: Балахнинский муниципальный район (ОКТМО: 22605000) - в паре</t>
  </si>
  <si>
    <t>Оказание услуг на территории: Балахнинский муниципальный район (ОКТМО: 22605000) - квартальные сети</t>
  </si>
  <si>
    <t>Оказание услуг на территории: Балахнинский муниципальный район (ОКТМО: 22605000) - от ППС</t>
  </si>
  <si>
    <t>Оказание услуг на территории: Богородский муниципальный район (ОКТМО: 22607000) - Новинский сельсовет</t>
  </si>
  <si>
    <t>Оказание услуг на территории: Богородский муниципальный район (ОКТМО: 22607000) - г Богородск, д Швариха, с Арапово, д Ушаково, д Теряево, д Березовка, п Буревестник, д Инютино, п Центральный, с Лакша, с Шапкино</t>
  </si>
  <si>
    <t>Оказание услуг на территории: Богородский муниципальный район (ОКТМО: 22607000) - с Алешково, с Дуденево, с Доскино, д Солонское, с Лукино, с Хвощевка, с Оранки и г Богородск (от котельной по ул. Чернышевского)</t>
  </si>
  <si>
    <t>Оказание услуг на территории: Большеболдинский муниципальный район (ОКТМО: 22609000) - котельная ОВКНО, ул. Красная, 56, с. Б. Болдино</t>
  </si>
  <si>
    <t>Оказание услуг на территории: Большемурашкинский муниципальный округ (ОКТМО: 22510000) - котельная (адрес: 5-й микрорайон, д. 16)</t>
  </si>
  <si>
    <t>Оказание услуг на территории: Большемурашкинский муниципальный округ (ОКТМО: 22510000) - рп Большое Мурашкино</t>
  </si>
  <si>
    <t>Оказание услуг на территории: Большемурашкинский муниципальный район (ОКТМО: 22610000) - котельная ул. Центральная, 21</t>
  </si>
  <si>
    <t>Оказание услуг на территории: Вадский муниципальный район (ОКТМО: 22614000) - п. Санаторий Бобыльский</t>
  </si>
  <si>
    <t>Оказание услуг на территории: Вачский муниципальный район (ОКТМО: 22617000) - с Чулково, с Филинское, с Казаково</t>
  </si>
  <si>
    <t>Оказание услуг на территории: Вознесенский муниципальный округ (ОКТМО: 22519000) - рп Вознесенское</t>
  </si>
  <si>
    <t>Оказание услуг на территории: Вознесенский муниципальный округ (ОКТМО: 22519000) - с Бахтызино</t>
  </si>
  <si>
    <t>Оказание услуг на территории: Вознесенский муниципальный округ (ОКТМО: 22519000) - с Криуша</t>
  </si>
  <si>
    <t>Оказание услуг на территории: Вознесенский муниципальный округ (ОКТМО: 22519000) - с Новоселки</t>
  </si>
  <si>
    <t>Оказание услуг на территории: Вознесенский муниципальный район (ОКТМО: 22619000) - котельная ОВКНО, ул. Заречная,11, п. Вознесенское</t>
  </si>
  <si>
    <t>Оказание услуг на территории: Вознесенский муниципальный район (ОКТМО: 22619000) - с. Бахтызино</t>
  </si>
  <si>
    <t>Оказание услуг на территории: Вознесенский муниципальный район (ОКТМО: 22619000) - с. Криуша</t>
  </si>
  <si>
    <t>Оказание услуг на территории: Вознесенский муниципальный район (ОКТМО: 22619000) - с. Нарышкино</t>
  </si>
  <si>
    <t>Оказание услуг на территории: Вознесенский муниципальный район (ОКТМО: 22619000) - с. Новоселки</t>
  </si>
  <si>
    <t>Оказание услуг на территории: Володарский муниципальный округ (ОКТМО: 22520000) - газовая котельная (адрес: п Новосмолинский в/г Золино-13)</t>
  </si>
  <si>
    <t>Оказание услуг на территории: Володарский муниципальный округ (ОКТМО: 22520000) - газовая котельная (адрес: п Центральный, в/г 9)</t>
  </si>
  <si>
    <t>Оказание услуг на территории: Володарский муниципальный округ (ОКТМО: 22520000) - газовая котельная (адрес: рп Фролищи, в/г 10)</t>
  </si>
  <si>
    <t>Оказание услуг на территории: Володарский муниципальный округ (ОКТМО: 22520000) - газовая котельная (адрес: рп Юганец, в/г Юганец-16)</t>
  </si>
  <si>
    <t>Оказание услуг на территории: Володарский муниципальный округ (ОКТМО: 22520000) - п Новосмолинский</t>
  </si>
  <si>
    <t>Оказание услуг на территории: Володарский муниципальный округ (ОКТМО: 22520000) - с Золино</t>
  </si>
  <si>
    <t>Оказание услуг на территории: Володарский муниципальный район (ОКТМО: 22631000) - г. Володарск</t>
  </si>
  <si>
    <t>Оказание услуг на территории: Володарский муниципальный район (ОКТМО: 22631000) - котельная инв. 108, Центральный-9 (вид теплоносителя - отборный пар давлением 1,2 - 2,5 кг/кв.см)</t>
  </si>
  <si>
    <t>Оказание услуг на территории: Володарский муниципальный район (ОКТМО: 22631000) - котельная инв. № 1, Смолино</t>
  </si>
  <si>
    <t>Оказание услуг на территории: Володарский муниципальный район (ОКТМО: 22631000) - котельная инв. № 108, Фролищи-10</t>
  </si>
  <si>
    <t>Оказание услуг на территории: Володарский муниципальный район (ОКТМО: 22631000) - котельная инв. № 108, Центральный-9</t>
  </si>
  <si>
    <t>Оказание услуг на территории: Володарский муниципальный район (ОКТМО: 22631000) - котельная инв. № 132, Сейма-7, г. Володарск</t>
  </si>
  <si>
    <t>Оказание услуг на территории: Володарский муниципальный район (ОКТМО: 22631000) - котельная инв. № 165, Центральный-9</t>
  </si>
  <si>
    <t>Оказание услуг на территории: Володарский муниципальный район (ОКТМО: 22631000) - котельная инв. № 17, Мулино-6</t>
  </si>
  <si>
    <t>Оказание услуг на территории: Володарский муниципальный район (ОКТМО: 22631000) - котельная инв. № 182, Фролищи-10</t>
  </si>
  <si>
    <t>Оказание услуг на территории: Володарский муниципальный район (ОКТМО: 22631000) - котельная инв. № 198, Фролищи-10</t>
  </si>
  <si>
    <t>Оказание услуг на территории: Володарский муниципальный район (ОКТМО: 22631000) - котельная инв. № 199, п. Юганец-16</t>
  </si>
  <si>
    <t>Оказание услуг на территории: Володарский муниципальный район (ОКТМО: 22631000) - котельная инв. № 2, Смолино</t>
  </si>
  <si>
    <t>Оказание услуг на территории: Володарский муниципальный район (ОКТМО: 22631000) - котельная инв. № 231, п. Юганец-16</t>
  </si>
  <si>
    <t>Оказание услуг на территории: Володарский муниципальный район (ОКТМО: 22631000) - котельная инв. № 24, Центральный-9</t>
  </si>
  <si>
    <t>Оказание услуг на территории: Володарский муниципальный район (ОКТМО: 22631000) - котельная инв. № 280, п. Новосмолинский (Золино-13)</t>
  </si>
  <si>
    <t>Оказание услуг на территории: Володарский муниципальный район (ОКТМО: 22631000) - котельная инв. № 280, п. Новосмолинский (Золино-13) (вид теплоносителя - отборный пар давлением 1,2 - 2,5 кг/кв.см)</t>
  </si>
  <si>
    <t>Оказание услуг на территории: Володарский муниципальный район (ОКТМО: 22631000) - котельная инв. № 349, Мулино-1</t>
  </si>
  <si>
    <t>Оказание услуг на территории: Володарский муниципальный район (ОКТМО: 22631000) - котельная инв. № 349, Мулино-1 (вид теплоносителя - отборный пар давлением 1,2 - 2,5 кг/кв.см)</t>
  </si>
  <si>
    <t>Оказание услуг на территории: Володарский муниципальный район (ОКТМО: 22631000) - котельная инв. № 37, Фролищи-10, автопарк</t>
  </si>
  <si>
    <t>Оказание услуг на территории: Володарский муниципальный район (ОКТМО: 22631000) - котельная инв. № 67, Мулино-6</t>
  </si>
  <si>
    <t>Оказание услуг на территории: Володарский муниципальный район (ОКТМО: 22631000) - котельная инв. № 784, Мулино-2</t>
  </si>
  <si>
    <t>Оказание услуг на территории: Володарский муниципальный район (ОКТМО: 22631000) - котельная инв. № 897, 682-ЦТП, Мулино-5</t>
  </si>
  <si>
    <t>Оказание услуг на территории: Володарский муниципальный район (ОКТМО: 22631000) - котельная инв. № б/н Мулино-6</t>
  </si>
  <si>
    <t>Оказание услуг на территории: Володарский муниципальный район (ОКТМО: 22631000) - котельная инв. № б/н в/г Мулино-2</t>
  </si>
  <si>
    <t>Оказание услуг на территории: Володарский муниципальный район (ОКТМО: 22631000) - от котельной № б/н Мулино-6</t>
  </si>
  <si>
    <t>Оказание услуг на территории: Володарский муниципальный район (ОКТМО: 22631000) - от котельной в/г Мулино-2</t>
  </si>
  <si>
    <t>Оказание услуг на территории: Володарский муниципальный район (ОКТМО: 22631000) - от котельной инв. 108, Центральный-9</t>
  </si>
  <si>
    <t>Оказание услуг на территории: Володарский муниципальный район (ОКТМО: 22631000) - от котельной инв. 165, Центральный-9</t>
  </si>
  <si>
    <t>Оказание услуг на территории: Володарский муниципальный район (ОКТМО: 22631000) - от котельной инв. №1, Смолино</t>
  </si>
  <si>
    <t>Оказание услуг на территории: Володарский муниципальный район (ОКТМО: 22631000) - от котельной инв. №198, Фролищи-10</t>
  </si>
  <si>
    <t>Оказание услуг на территории: Володарский муниципальный район (ОКТМО: 22631000) - от котельной инв. №199, п. Юганец-16</t>
  </si>
  <si>
    <t>Оказание услуг на территории: Володарский муниципальный район (ОКТМО: 22631000) - от котельной инв. №2, Смолино</t>
  </si>
  <si>
    <t>Оказание услуг на территории: Володарский муниципальный район (ОКТМО: 22631000) - от котельной инв. №231, п. Юганец-16</t>
  </si>
  <si>
    <t>Оказание услуг на территории: Володарский муниципальный район (ОКТМО: 22631000) - от котельной инв. №37, Фролищи-10, автопарк</t>
  </si>
  <si>
    <t>Оказание услуг на территории: Володарский муниципальный район (ОКТМО: 22631000) - п. Ильино</t>
  </si>
  <si>
    <t>Оказание услуг на территории: Володарский муниципальный район (ОКТМО: 22631000) - п. Новосмолинский</t>
  </si>
  <si>
    <t>Оказание услуг на территории: Володарский муниципальный район (ОКТМО: 22631000) - р.п. Ильиногорск (вид теплоносителя - горячая вода)</t>
  </si>
  <si>
    <t>Оказание услуг на территории: Володарский муниципальный район (ОКТМО: 22631000) - р.п. Ильиногорск (вид теплоносителя - отборный пар давлением 2,5-7,0 кг/кв. см)</t>
  </si>
  <si>
    <t>Оказание услуг на территории: Володарский муниципальный район (ОКТМО: 22631000) - р.п. Фролищи, п. Инженерный</t>
  </si>
  <si>
    <t>Оказание услуг на территории: Володарский муниципальный район (ОКТМО: 22631000) - р.п. Центральный</t>
  </si>
  <si>
    <t>Оказание услуг на территории: Володарский муниципальный район (ОКТМО: 22631000) - с. Золино</t>
  </si>
  <si>
    <t>Оказание услуг на территории: Воротынский муниципальный район (ОКТМО: 22621000) - котельная ОВКНО, ул. Свободы, 16, п. Воротынец</t>
  </si>
  <si>
    <t>Оказание услуг на территории: Воскресенский муниципальный округ (ОКТМО: 22522000) - д Асташиха, с Глухово</t>
  </si>
  <si>
    <t>Оказание услуг на территории: Воскресенский муниципальный район (ОКТМО: 22622000) - д. Асташиха</t>
  </si>
  <si>
    <t>Оказание услуг на территории: Воскресенский муниципальный район (ОКТМО: 22622000) - д. Галибиха</t>
  </si>
  <si>
    <t>Оказание услуг на территории: Воскресенский муниципальный район (ОКТМО: 22622000) - д. Егорово</t>
  </si>
  <si>
    <t>Оказание услуг на территории: Воскресенский муниципальный район (ОКТМО: 22622000) - д. Елдеж</t>
  </si>
  <si>
    <t>Оказание услуг на территории: Воскресенский муниципальный район (ОКТМО: 22622000) - д. Задворка</t>
  </si>
  <si>
    <t>Оказание услуг на территории: Воскресенский муниципальный район (ОКТМО: 22622000) - п. Красный Яр</t>
  </si>
  <si>
    <t>Оказание услуг на территории: Воскресенский муниципальный район (ОКТМО: 22622000) - п.Калиниха</t>
  </si>
  <si>
    <t>Оказание услуг на территории: Воскресенский муниципальный район (ОКТМО: 22622000) - р.п Воскресенское</t>
  </si>
  <si>
    <t>Оказание услуг на территории: Воскресенский муниципальный район (ОКТМО: 22622000) - р.п. Воскресенское (ул. Сенявина, д. 13)</t>
  </si>
  <si>
    <t>Оказание услуг на территории: Воскресенский муниципальный район (ОКТМО: 22622000) - с. Владимирское</t>
  </si>
  <si>
    <t>Оказание услуг на территории: Воскресенский муниципальный район (ОКТМО: 22622000) - с. Воздвиженское</t>
  </si>
  <si>
    <t>Оказание услуг на территории: Воскресенский муниципальный район (ОКТМО: 22622000) - с. Глухово</t>
  </si>
  <si>
    <t>Оказание услуг на территории: Воскресенский муниципальный район (ОКТМО: 22622000) - с. Нестиары</t>
  </si>
  <si>
    <t>Оказание услуг на территории: Воскресенский муниципальный район (ОКТМО: 22622000) - с. Староустье</t>
  </si>
  <si>
    <t>Оказание услуг на территории: Гагинский муниципальный район (ОКТМО: 22626000) - с. Гагино (ул. Коммунистическая)</t>
  </si>
  <si>
    <t>Оказание услуг на территории: Гагинский муниципальный район (ОКТМО: 22626000) - с. Гагино (ул. Кузнецова)</t>
  </si>
  <si>
    <t>Оказание услуг на территории: Гагинский муниципальный район (ОКТМО: 22626000) - с. Гагино (ул. Школьная)</t>
  </si>
  <si>
    <t>Оказание услуг на территории: Городецкий муниципальный округ (ОКТМО: 22528000) - с Зарубино</t>
  </si>
  <si>
    <t>Оказание услуг на территории: Городецкий муниципальный округ (ОКТМО: 22528000) - с Зиняки, с Воронино</t>
  </si>
  <si>
    <t>Оказание услуг на территории: Городецкий муниципальный район (ОКТМО: 22628000) - Бриляковский сельсовет</t>
  </si>
  <si>
    <t>Оказание услуг на территории: Городецкий муниципальный район (ОКТМО: 22628000) - Смиркинский сельсовет</t>
  </si>
  <si>
    <t>Оказание услуг на территории: Городецкий муниципальный район (ОКТМО: 22628000) - Федуринский сельсовет</t>
  </si>
  <si>
    <t>Оказание услуг на территории: Городецкий муниципальный район (ОКТМО: 22628000) - вид теплоносителя - горячая вода</t>
  </si>
  <si>
    <t>Оказание услуг на территории: Городецкий муниципальный район (ОКТМО: 22628000) - вид теплоносителя - отборный пар давлением 2,5-7,0 кг/кв. см</t>
  </si>
  <si>
    <t>Оказание услуг на территории: Городецкий муниципальный район (ОКТМО: 22628000) - г. Городец</t>
  </si>
  <si>
    <t>Оказание услуг на территории: Городецкий муниципальный район (ОКТМО: 22628000) - д. Соболиха</t>
  </si>
  <si>
    <t>Оказание услуг на территории: Городецкий муниципальный район (ОКТМО: 22628000) - котельная ОВКНО, г. Городец, ул. Свердлова</t>
  </si>
  <si>
    <t>Оказание услуг на территории: Городецкий муниципальный район (ОКТМО: 22628000) - котельная инв. № 11, п/о Строчково, д. Кабачево, в/г №31а</t>
  </si>
  <si>
    <t>Оказание услуг на территории: Городецкий муниципальный район (ОКТМО: 22628000) - п. Аксентис</t>
  </si>
  <si>
    <t>Оказание услуг на территории: Городецкий муниципальный район (ОКТМО: 22628000) - п. Буревестник</t>
  </si>
  <si>
    <t>Оказание услуг на территории: Городецкий муниципальный район (ОКТМО: 22628000) - п. Ильинский</t>
  </si>
  <si>
    <t>Оказание услуг на территории: Городецкий муниципальный район (ОКТМО: 22628000) - п. Турбазы</t>
  </si>
  <si>
    <t>Оказание услуг на территории: Городецкий муниципальный район (ОКТМО: 22628000) - п. им. Тимирязева</t>
  </si>
  <si>
    <t>Оказание услуг на территории: Дальнеконстантиновский муниципальный округ (ОКТМО: 22530000) - газовая котельная (адрес: п Дальнее Константиново-5, станция Суроватиха)</t>
  </si>
  <si>
    <t>Оказание услуг на территории: Дальнеконстантиновский муниципальный округ (ОКТМО: 22530000) - газовая котельная (адрес: п Дубки, в/г 71)</t>
  </si>
  <si>
    <t>Оказание услуг на территории: Дальнеконстантиновский муниципальный район (ОКТМО: 22630000) - котельная инв. № 156 (п. Дальнее Константиново-5)</t>
  </si>
  <si>
    <t>Оказание услуг на территории: Дальнеконстантиновский муниципальный район (ОКТМО: 22630000) - котельная инв. № 8, п. Дубки, в/г №71</t>
  </si>
  <si>
    <t>Оказание услуг на территории: Дальнеконстантиновский муниципальный район (ОКТМО: 22630000) - с. Малая Пица</t>
  </si>
  <si>
    <t>Оказание услуг на территории: Дальнеконстантиновский муниципальный район (ОКТМО: 22630000) - с. Маргуша</t>
  </si>
  <si>
    <t>Оказание услуг на территории: Дивеевский муниципальный округ (ОКТМО: 22532000) - п Сатис</t>
  </si>
  <si>
    <t>Оказание услуг на территории: Дивеевский муниципальный округ (ОКТМО: 22532000) - с Дивеево, с Кременки, с Суворово</t>
  </si>
  <si>
    <t>Оказание услуг на территории: Дивеевский муниципальный район (ОКТМО: 22632000) - с. Дивеево</t>
  </si>
  <si>
    <t>Оказание услуг на территории: Дивеевский муниципальный район (ОКТМО: 22632000) - с. Кременки</t>
  </si>
  <si>
    <t>Оказание услуг на территории: Дивеевский муниципальный район (ОКТМО: 22632000) - с. Суворово</t>
  </si>
  <si>
    <t>Оказание услуг на территории: Ковернинский муниципальный округ (ОКТМО: 22534000) - д Анисимово</t>
  </si>
  <si>
    <t>Оказание услуг на территории: Ковернинский муниципальный округ (ОКТМО: 22534000) - д Гавриловка</t>
  </si>
  <si>
    <t>Оказание услуг на территории: Ковернинский муниципальный округ (ОКТМО: 22534000) - д Гавриловка, ул. Производственная, д. 16</t>
  </si>
  <si>
    <t>Оказание услуг на территории: Ковернинский муниципальный округ (ОКТМО: 22534000) - д Понурово</t>
  </si>
  <si>
    <t>Оказание услуг на территории: Ковернинский муниципальный округ (ОКТМО: 22534000) - д Семино</t>
  </si>
  <si>
    <t>Оказание услуг на территории: Ковернинский муниципальный округ (ОКТМО: 22534000) - д Сухоноска, ул. Производственная, д. 15а</t>
  </si>
  <si>
    <t>Оказание услуг на территории: Ковернинский муниципальный округ (ОКТМО: 22534000) - д Сухоноска, ул. Юбилейная, д. 8, стр. 1</t>
  </si>
  <si>
    <t>Оказание услуг на территории: Ковернинский муниципальный округ (ОКТМО: 22534000) - рп Ковернино, котел наружного размещения КСШ № 1, ул. Школьная, д. 12</t>
  </si>
  <si>
    <t>Оказание услуг на территории: Ковернинский муниципальный округ (ОКТМО: 22534000) - рп Ковернино, котел наружного размещения КСШ № 2, ул. Юбилейная, д. 35</t>
  </si>
  <si>
    <t>Оказание услуг на территории: Ковернинский муниципальный округ (ОКТМО: 22534000) - рп Ковернино, котлы наружного размещения</t>
  </si>
  <si>
    <t>Оказание услуг на территории: Ковернинский муниципальный округ (ОКТМО: 22534000) - рп Ковернино, ул. 50 лет ВЛКСМ, д. 41, котельная "Узола"</t>
  </si>
  <si>
    <t>Оказание услуг на территории: Ковернинский муниципальный округ (ОКТМО: 22534000) - рп Ковернино, ул. Коммунистов, д. 63</t>
  </si>
  <si>
    <t>Оказание услуг на территории: Ковернинский муниципальный округ (ОКТМО: 22534000) - рп Ковернино, ул. Чкалова, д. 21</t>
  </si>
  <si>
    <t>Оказание услуг на территории: Ковернинский муниципальный округ (ОКТМО: 22534000) - рп Ковернино, ул. Школьная, д. 12</t>
  </si>
  <si>
    <t>Оказание услуг на территории: Ковернинский муниципальный округ (ОКТМО: 22534000) - с Горево</t>
  </si>
  <si>
    <t>Оказание услуг на территории: Ковернинский муниципальный район (ОКТМО: 22634000) - д. Анисимово</t>
  </si>
  <si>
    <t>Оказание услуг на территории: Ковернинский муниципальный район (ОКТМО: 22634000) - д. Большие Мосты</t>
  </si>
  <si>
    <t>Оказание услуг на территории: Ковернинский муниципальный район (ОКТМО: 22634000) - д. Гавриловка</t>
  </si>
  <si>
    <t>Оказание услуг на территории: Ковернинский муниципальный район (ОКТМО: 22634000) - д. Понурово</t>
  </si>
  <si>
    <t>Оказание услуг на территории: Ковернинский муниципальный район (ОКТМО: 22634000) - д. Семино</t>
  </si>
  <si>
    <t>Оказание услуг на территории: Ковернинский муниципальный район (ОКТМО: 22634000) - д. Сухоноска (ул. Производственная)</t>
  </si>
  <si>
    <t>Оказание услуг на территории: Ковернинский муниципальный район (ОКТМО: 22634000) - д. Сухоноска (ул. Юбилейная)</t>
  </si>
  <si>
    <t>Оказание услуг на территории: Ковернинский муниципальный район (ОКТМО: 22634000) - котельная ОВКНО, ул. Коммунистов,48, р.п. Ковернино</t>
  </si>
  <si>
    <t>Оказание услуг на территории: Ковернинский муниципальный район (ОКТМО: 22634000) - р.п. Ковернино (котельная №1 ул. Чкалова)</t>
  </si>
  <si>
    <t>Оказание услуг на территории: Ковернинский муниципальный район (ОКТМО: 22634000) - р.п. Ковернино (котельная №2 ул. Карла Маркса)</t>
  </si>
  <si>
    <t>Оказание услуг на территории: Ковернинский муниципальный район (ОКТМО: 22634000) - р.п. Ковернино (котельная ул. 50 лет ВЛКСМ)</t>
  </si>
  <si>
    <t>Оказание услуг на территории: Ковернинский муниципальный район (ОКТМО: 22634000) - с Хохлома</t>
  </si>
  <si>
    <t>Оказание услуг на территории: Ковернинский муниципальный район (ОКТМО: 22634000) - с. Горево</t>
  </si>
  <si>
    <t>Оказание услуг на территории: Краснобаковский муниципальный округ (ОКТМО: 22535000) - п Пруды</t>
  </si>
  <si>
    <t>Оказание услуг на территории: Краснобаковский муниципальный округ (ОКТМО: 22535000) - рп Красные Баки</t>
  </si>
  <si>
    <t>Оказание услуг на территории: Краснобаковский муниципальный округ (ОКТМО: 22535000) - с Дмитриевское</t>
  </si>
  <si>
    <t>Оказание услуг на территории: Краснобаковский муниципальный район (ОКТМО: 22635000) - котельная (адрес: ул. Свободы, д. 57)</t>
  </si>
  <si>
    <t>Оказание услуг на территории: Краснобаковский муниципальный район (ОКТМО: 22635000) - котельная ОВКНО, ул. Нижегородская, 10, г. Красные Баки</t>
  </si>
  <si>
    <t>Оказание услуг на территории: Краснобаковский муниципальный район (ОКТМО: 22635000) - п. Затон и п. Лесной курорт</t>
  </si>
  <si>
    <t>Оказание услуг на территории: Краснобаковский муниципальный район (ОКТМО: 22635000) - п. Шеманиха</t>
  </si>
  <si>
    <t>Оказание услуг на территории: Краснобаковский муниципальный район (ОКТМО: 22635000) - р.п. Ветлужский</t>
  </si>
  <si>
    <t>Оказание услуг на территории: Краснобаковский муниципальный район (ОКТМО: 22635000) - рп Красные Баки</t>
  </si>
  <si>
    <t>Оказание услуг на территории: Краснобаковский муниципальный район (ОКТМО: 22635000) - с. Зубилиха</t>
  </si>
  <si>
    <t>Оказание услуг на территории: Краснобаковский муниципальный район (ОКТМО: 22635000) - с. Чащиха</t>
  </si>
  <si>
    <t>Оказание услуг на территории: Краснооктябрьский муниципальный район (ОКТМО: 22636000) - котельная ОВКНО, ул. Кооперативная, 18,п. Уразовка</t>
  </si>
  <si>
    <t>Оказание услуг на территории: Кстовский муниципальный округ (ОКТМО: 22537000) - газовая котельная (адрес: г Кстово, в/г 34)</t>
  </si>
  <si>
    <t>Оказание услуг на территории: Кстовский муниципальный район (ОКТМО: 22637000) - Новогорьковская ТЭЦ</t>
  </si>
  <si>
    <t>Оказание услуг на территории: Кстовский муниципальный район (ОКТМО: 22637000) - Новогорьковская ТЭЦ (пар)</t>
  </si>
  <si>
    <t>Оказание услуг на территории: Кстовский муниципальный район (ОКТМО: 22637000) - котельная № 148 г. Кстово-4 (вид теплоносителя - отборный пар давлением свыше 13 кг/кв.см)</t>
  </si>
  <si>
    <t>Оказание услуг на территории: Кстовский муниципальный район (ОКТМО: 22637000) - котельная инв. № 10, п. Дружный, в/г №125</t>
  </si>
  <si>
    <t>Оказание услуг на территории: Кстовский муниципальный район (ОКТМО: 22637000) - котельная инв. № 148, г. Кстово-4</t>
  </si>
  <si>
    <t>Оказание услуг на территории: Кстовский муниципальный район (ОКТМО: 22637000) - котельная инв. № 16, п. Дружный, в/г №126</t>
  </si>
  <si>
    <t>Оказание услуг на территории: Лукояновский муниципальный район (ОКТМО: 22639000) - г. Лукоянов (ул. Пушкина)</t>
  </si>
  <si>
    <t>Оказание услуг на территории: Лукояновский муниципальный район (ОКТМО: 22639000) - котельная ОВКНО, ул. Октябрьская, 57, г. Лукоянов</t>
  </si>
  <si>
    <t>Оказание услуг на территории: Лысковский муниципальный район (ОКТМО: 22640000) - Барминский сельсовет</t>
  </si>
  <si>
    <t>Оказание услуг на территории: Лысковский муниципальный район (ОКТМО: 22640000) - Берендеевский сельсовет</t>
  </si>
  <si>
    <t>Оказание услуг на территории: Лысковский муниципальный район (ОКТМО: 22640000) - Валковский сельсовет</t>
  </si>
  <si>
    <t>Оказание услуг на территории: Лысковский муниципальный район (ОКТМО: 22640000) - Кириковский сельсовет</t>
  </si>
  <si>
    <t>Оказание услуг на территории: Лысковский муниципальный район (ОКТМО: 22640000) - Красносельский сельсовет</t>
  </si>
  <si>
    <t>Оказание услуг на территории: Лысковский муниципальный район (ОКТМО: 22640000) - Леньковский сельсовет</t>
  </si>
  <si>
    <t>Оказание услуг на территории: Лысковский муниципальный район (ОКТМО: 22640000) - Трофимовский сельсовет</t>
  </si>
  <si>
    <t>Оказание услуг на территории: Лысковский муниципальный район (ОКТМО: 22640000) - городское поселение Город Лысково</t>
  </si>
  <si>
    <t>Оказание услуг на территории: Лысковский муниципальный район (ОКТМО: 22640000) - п. Нива</t>
  </si>
  <si>
    <t>Оказание услуг на территории: Мулинский сельсовет (ОКТМО: 22631411) - с учетом покупной тепловой энергии от МУП "Жилсервис"</t>
  </si>
  <si>
    <t>Оказание услуг на территории: Навашинский (ОКТМО: 22730000) - котельная, на коллекторах (ул. Терешкина, д. 6)</t>
  </si>
  <si>
    <t>Оказание услуг на территории: Навашинский (ОКТМО: 22730000) - п. Теша</t>
  </si>
  <si>
    <t>Оказание услуг на территории: Навашинский (ОКТМО: 22730000) - с. Натальино</t>
  </si>
  <si>
    <t>Оказание услуг на территории: Навашинский (ОКТМО: 22730000) - с. Поздняково</t>
  </si>
  <si>
    <t>Оказание услуг на территории: Павловский муниципальный район (ОКТМО: 22642000) - вид теплоносителя - горячая вода</t>
  </si>
  <si>
    <t>Оказание услуг на территории: Павловский муниципальный район (ОКТМО: 22642000) - вид теплоносителя - отборный пар давлением 2,5-7,0 кг/кв. см</t>
  </si>
  <si>
    <t>Оказание услуг на территории: Павловский муниципальный район (ОКТМО: 22642000) - д. Степаньково</t>
  </si>
  <si>
    <t>Оказание услуг на территории: Павловский муниципальный район (ОКТМО: 22642000) - котельная Санаторий Ока</t>
  </si>
  <si>
    <t>Оказание услуг на территории: Павловский муниципальный район (ОКТМО: 22642000) - р.п. Тумботино</t>
  </si>
  <si>
    <t>Оказание услуг на территории: Перевозский (ОКТМО: 22739000) - г Перевоз</t>
  </si>
  <si>
    <t>Оказание услуг на территории: Пильнинский муниципальный район (ОКТМО: 22645000) - котельная п. Буденовка</t>
  </si>
  <si>
    <t>Оказание услуг на территории: Пильнинский муниципальный район (ОКТМО: 22645000) - котельная р.п. Пильна (ул. 40 лет Победы, д. 1)</t>
  </si>
  <si>
    <t>Оказание услуг на территории: Пильнинский муниципальный район (ОКТМО: 22645000) - котельная р.п. Пильна (ул. Блохина, д. 13)</t>
  </si>
  <si>
    <t>Оказание услуг на территории: Пильнинский муниципальный район (ОКТМО: 22645000) - котельная с. Бортсурманы</t>
  </si>
  <si>
    <t>Оказание услуг на территории: Пильнинский муниципальный район (ОКТМО: 22645000) - котельная с. Деяново</t>
  </si>
  <si>
    <t>Оказание услуг на территории: Пильнинский муниципальный район (ОКТМО: 22645000) - котельная с. Красная Горка</t>
  </si>
  <si>
    <t>Оказание услуг на территории: Пильнинский муниципальный район (ОКТМО: 22645000) - котельная с. Малое Андосово</t>
  </si>
  <si>
    <t>Оказание услуг на территории: Пильнинский муниципальный район (ОКТМО: 22645000) - котельная с. Медяна</t>
  </si>
  <si>
    <t>Оказание услуг на территории: Пильнинский муниципальный район (ОКТМО: 22645000) - котельная с. Можаров Майдан</t>
  </si>
  <si>
    <t>Оказание услуг на территории: Пильнинский муниципальный район (ОКТМО: 22645000) - котельная с. Озерки</t>
  </si>
  <si>
    <t>Оказание услуг на территории: Пильнинский муниципальный район (ОКТМО: 22645000) - котельная с. Петряксы</t>
  </si>
  <si>
    <t>Оказание услуг на территории: Починковский муниципальный район (ОКТМО: 22646000) - котельная ОВКНО, ул. Краснофлотская, 33, с. Починки</t>
  </si>
  <si>
    <t>Оказание услуг на территории: Рабочий поселок Вознесенское (ОКТМО: 22619151) - Оказание услуг на территории: Рабочий поселок Вознесенское (ОКТМО: 22619151) - ул. Водопроводная, 2А</t>
  </si>
  <si>
    <t>Оказание услуг на территории: Семеновский (ОКТМО: 22737000) - г Семенов</t>
  </si>
  <si>
    <t>Оказание услуг на территории: Семеновский (ОКТМО: 22737000) - д Боковая</t>
  </si>
  <si>
    <t>Оказание услуг на территории: Семеновский (ОКТМО: 22737000) - д Зименки</t>
  </si>
  <si>
    <t>Оказание услуг на территории: Семеновский (ОКТМО: 22737000) - д Малое Зиновьево и д Елфимово</t>
  </si>
  <si>
    <t>Оказание услуг на территории: Семеновский (ОКТМО: 22737000) - д Пафнутово</t>
  </si>
  <si>
    <t>Оказание услуг на территории: Семеновский (ОКТМО: 22737000) - д Полом и д Пафнутово</t>
  </si>
  <si>
    <t>Оказание услуг на территории: Семеновский (ОКТМО: 22737000) - д Полом, д Пафнутово</t>
  </si>
  <si>
    <t>Оказание услуг на территории: Семеновский (ОКТМО: 22737000) - д Хахалы</t>
  </si>
  <si>
    <t>Оказание услуг на территории: Семеновский (ОКТМО: 22737000) - д Хахалы и д Шалдеж</t>
  </si>
  <si>
    <t>Оказание услуг на территории: Семеновский (ОКТМО: 22737000) - д Хахалы, д Шалдеж</t>
  </si>
  <si>
    <t>Оказание услуг на территории: Семеновский (ОКТМО: 22737000) - д Шалдеж</t>
  </si>
  <si>
    <t>Оказание услуг на территории: Семеновский (ОКТМО: 22737000) - д Шалдежка</t>
  </si>
  <si>
    <t>Оказание услуг на территории: Семеновский (ОКТМО: 22737000) - р.п. Сухобезводное</t>
  </si>
  <si>
    <t>Оказание услуг на территории: Семеновский (ОКТМО: 22737000) - с Огибное</t>
  </si>
  <si>
    <t>Оказание услуг на территории: Семеновский (ОКТМО: 22737000) - с. Ильино-Заборское (ул. 40 лет Победы)</t>
  </si>
  <si>
    <t>Оказание услуг на территории: Семеновский (ОКТМО: 22737000) - с. Ильино-Заборское (ул. Ленина)</t>
  </si>
  <si>
    <t>Оказание услуг на территории: Семеновский (ОКТМО: 22737000) - ст. Тарасиха</t>
  </si>
  <si>
    <t>Оказание услуг на территории: Сергачский муниципальный район (ОКТМО: 22648000) - г. Сергач, котельная №1</t>
  </si>
  <si>
    <t>Оказание услуг на территории: Сергачский муниципальный район (ОКТМО: 22648000) - г. Сергач, котельная №3</t>
  </si>
  <si>
    <t>Оказание услуг на территории: Сергачский муниципальный район (ОКТМО: 22648000) - г. Сергач, котельная №5</t>
  </si>
  <si>
    <t>Оказание услуг на территории: Сергачский муниципальный район (ОКТМО: 22648000) - котельная ОВКНО, пл. Ленина,7, г. Сергач</t>
  </si>
  <si>
    <t>Оказание услуг на территории: Сеченовский муниципальный район (ОКТМО: 22649000) - котельная ОВКНО, ул. Пионерская,3, п. Сеченово</t>
  </si>
  <si>
    <t>Оказание услуг на территории: Сокольский (ОКТМО: 22749000) - рп Сокольское</t>
  </si>
  <si>
    <t>Оказание услуг на территории: Сосновский муниципальный район (ОКТМО: 22650000) - д. Макасово</t>
  </si>
  <si>
    <t>Оказание услуг на территории: Сосновский муниципальный район (ОКТМО: 22650000) - д. Малахово</t>
  </si>
  <si>
    <t>Оказание услуг на территории: Сосновский муниципальный район (ОКТМО: 22650000) - д. Рыльково</t>
  </si>
  <si>
    <t>Оказание услуг на территории: Сосновский муниципальный район (ОКТМО: 22650000) - рп Сосновское ул. Профсоюзная</t>
  </si>
  <si>
    <t>Оказание услуг на территории: Сосновский муниципальный район (ОКТМО: 22650000) - с. Виткулово</t>
  </si>
  <si>
    <t>Оказание услуг на территории: Сосновский муниципальный район (ОКТМО: 22650000) - с. Давыдково (ул. Центральная)</t>
  </si>
  <si>
    <t>Оказание услуг на территории: Сосновский муниципальный район (ОКТМО: 22650000) - с. Крутые</t>
  </si>
  <si>
    <t>Оказание услуг на территории: Сосновский муниципальный район (ОКТМО: 22650000) - с. Панино</t>
  </si>
  <si>
    <t>Оказание услуг на территории: Сосновский муниципальный район (ОКТМО: 22650000) - с. Рожок</t>
  </si>
  <si>
    <t>Оказание услуг на территории: Сосновский муниципальный район (ОКТМО: 22650000) - с. Яковское</t>
  </si>
  <si>
    <t>Оказание услуг на территории: Тонкинский муниципальный район (ОКТМО: 22652000) - котельная ОВКНО, ул. Коммунистическая, 20, п. Тонкино</t>
  </si>
  <si>
    <t>Оказание услуг на территории: Тоншаевский муниципальный округ (ОКТМО: 22553000) - п Буреполом</t>
  </si>
  <si>
    <t>Оказание услуг на территории: Тоншаевский муниципальный округ (ОКТМО: 22553000) - п Шерстки</t>
  </si>
  <si>
    <t>Оказание услуг на территории: Тоншаевский муниципальный округ (ОКТМО: 22553000) - п Южный</t>
  </si>
  <si>
    <t>Оказание услуг на территории: Тоншаевский муниципальный округ (ОКТМО: 22553000) - с Ошминское</t>
  </si>
  <si>
    <t>Оказание услуг на территории: Тоншаевский муниципальный район (ОКТМО: 22653000) - д.Гагаринское</t>
  </si>
  <si>
    <t>Оказание услуг на территории: Тоншаевский муниципальный район (ОКТМО: 22653000) - п. Буреполом</t>
  </si>
  <si>
    <t>Оказание услуг на территории: Тоншаевский муниципальный район (ОКТМО: 22653000) - п. Шерстки</t>
  </si>
  <si>
    <t>Оказание услуг на территории: Тоншаевский муниципальный район (ОКТМО: 22653000) - р.п. Пижма</t>
  </si>
  <si>
    <t>Оказание услуг на территории: Тоншаевский муниципальный район (ОКТМО: 22653000) - р.п. Тоншаево</t>
  </si>
  <si>
    <t>Оказание услуг на территории: Тоншаевский муниципальный район (ОКТМО: 22653000) - с. Ошминское</t>
  </si>
  <si>
    <t>Оказание услуг на территории: Уренский муниципальный округ (ОКТМО: 22554000) - г Урень</t>
  </si>
  <si>
    <t>Оказание услуг на территории: Уренский муниципальный округ (ОКТМО: 22554000) - рп Арья</t>
  </si>
  <si>
    <t>Оказание услуг на территории: Уренский муниципальный район (ОКТМО: 22654000) - котельная инв. № 2, г. Урень</t>
  </si>
  <si>
    <t>Оказание услуг на территории: Уренский муниципальный район (ОКТМО: 22654000) - котельные №№ 1 - 10</t>
  </si>
  <si>
    <t>Оказание услуг на территории: Уренский муниципальный район (ОКТМО: 22654000) - котельные №№ 11 - 24</t>
  </si>
  <si>
    <t>Оказание услуг на территории: Шарангский муниципальный район (ОКТМО: 22656000) - р.п. Шаранга</t>
  </si>
  <si>
    <t>Оказание услуг на территории: Шарангский муниципальный район (ОКТМО: 22656000) - с Роженцово</t>
  </si>
  <si>
    <t>Оказание услуг на территории: Шарангский муниципальный район (ОКТМО: 22656000) - с. Большое Устинское</t>
  </si>
  <si>
    <t>Оказание услуг на территории: Шатковский муниципальный район (ОКТМО: 22657000) - котельная ОВКНО,ул. Центральная, 8, п. Шатки</t>
  </si>
  <si>
    <t>Оказание услуг на территории: Шатковский муниципальный район (ОКТМО: 22657000) - р.п. Шатки</t>
  </si>
  <si>
    <t>Оказание услуг на территории: Шатковский муниципальный район (ОКТМО: 22657000) - с. Понетаевка</t>
  </si>
  <si>
    <t>Оказание услуг на территории: г Нижний Новгород (ОКТМО: 22701000001) - вид теплоносителя - горячая вода</t>
  </si>
  <si>
    <t>Оказание услуг на территории: г Нижний Новгород (ОКТМО: 22701000001) - вид теплоносителя - отборный пар</t>
  </si>
  <si>
    <t>Оказание услуг на территории: г Нижний Новгород (ОКТМО: 22701000001) - вид теплоносителя - отборный пар 7,0-13,0 кг/кв.см</t>
  </si>
  <si>
    <t>Оказание услуг на территории: г Нижний Новгород (ОКТМО: 22701000001) - вид теплоносителя - отборный пар давлением 2,5-7,0 кг/кв. см</t>
  </si>
  <si>
    <t>Оказание услуг на территории: г Нижний Новгород (ОКТМО: 22701000001) - вид теплоносителя - отборный пар давлением 7,0-13,0 кг/кв.см</t>
  </si>
  <si>
    <t>Оказание услуг на территории: г Нижний Новгород (ОКТМО: 22701000001) - вид теплоносителя - отборный пар давлением свыше 13 кг/кв.см</t>
  </si>
  <si>
    <t>Оказание услуг на территории: г Нижний Новгород (ОКТМО: 22701000001) - котельная (Московское шоссе)</t>
  </si>
  <si>
    <t>Оказание услуг на территории: г Нижний Новгород (ОКТМО: 22701000001) - котельная (ул. Аксакова)</t>
  </si>
  <si>
    <t>Оказание услуг на территории: г Нижний Новгород (ОКТМО: 22701000001) - котельная (ул. Карла Маркса)</t>
  </si>
  <si>
    <t>Оказание услуг на территории: г Нижний Новгород (ОКТМО: 22701000001) - котельная (ул. Цветочная)</t>
  </si>
  <si>
    <t>Оказание услуг на территории: г Нижний Новгород (ОКТМО: 22701000001) - котельная инв. № 10 (ул. Кузбасская, 7/2)</t>
  </si>
  <si>
    <t>Оказание услуг на территории: г Нижний Новгород (ОКТМО: 22701000001) - котельная инв. № 104 (ул. Федосеенко (вид теплоносителя - отборный пар давлением 1,2 - 2,5 кг/кв.см)</t>
  </si>
  <si>
    <t>Оказание услуг на территории: г Нижний Новгород (ОКТМО: 22701000001) - котельная инв. № 104 (ул. Федосеенко)</t>
  </si>
  <si>
    <t>Оказание услуг на территории: г Нижний Новгород (ОКТМО: 22701000001) - котельная инв. № 114 (ул. Федосеенко (вид теплоносителя - отборный пар давлением 1,2 - 2,5 кг/кв.см)</t>
  </si>
  <si>
    <t>Оказание услуг на территории: г Нижний Новгород (ОКТМО: 22701000001) - котельная инв. № 114 (ул. Федосеенко)</t>
  </si>
  <si>
    <t>Оказание услуг на территории: г Нижний Новгород (ОКТМО: 22701000001) - котельная инв. № 18 (ул. Свободы, 95)</t>
  </si>
  <si>
    <t>Оказание услуг на территории: г Нижний Новгород (ОКТМО: 22701000001) - котельная инв. № 38 (ул. Безводная, 1)</t>
  </si>
  <si>
    <t>Оказание услуг на территории: г Нижний Новгород (ОКТМО: 22701000001) - котельная инв. № 39 (ул. Планетная)</t>
  </si>
  <si>
    <t>Оказание услуг на территории: г Нижний Новгород (ОКТМО: 22701000001) - котельная инв. № 58 (в/г №28)</t>
  </si>
  <si>
    <t>Оказание услуг на территории: г Нижний Новгород (ОКТМО: 22701000001) - от котельной инв. №10, ул. Кузбасская, 7/2</t>
  </si>
  <si>
    <t>Оказание услуг на территории: г Нижний Новгород (ОКТМО: 22701000001) - от котельной инв. №104, ул. Федосеенко</t>
  </si>
  <si>
    <t>Оказание услуг на территории: г Нижний Новгород (ОКТМО: 22701000001) - от котельной инв. №114, ул. Федосеенко</t>
  </si>
  <si>
    <t>Оказание услуг на территории: г Нижний Новгород (ОКТМО: 22701000001) - от котельной инв. №18, ул. Свободы, 95</t>
  </si>
  <si>
    <t>Оказание услуг на территории: г Нижний Новгород (ОКТМО: 22701000001) - от котельной инв. №39, ул. Планетная</t>
  </si>
  <si>
    <t>Оказание услуг на территории: г Нижний Новгород (ОКТМО: 22701000001) - от котельной инв. №58, в/г №28</t>
  </si>
  <si>
    <t>Оказание услуг на территории: г Нижний Новгород (ОКТМО: 22701000001) - ул. Кондукторская</t>
  </si>
  <si>
    <t>Оказание услуг на территории: город Арзамас (ОКТМО: 22703000) - газовые котельные (адрес: г Арзамас, ул. Складская, д. 65; ул. Советская, д. 79)</t>
  </si>
  <si>
    <t>Оказание услуг на территории: город Арзамас (ОКТМО: 22703000) - котельная инв. № 65 (ул. Складская)</t>
  </si>
  <si>
    <t>Оказание услуг на территории: город Арзамас (ОКТМО: 22703000) - котельная инв. № 79 (ул. Советская)</t>
  </si>
  <si>
    <t>Оказание услуг на территории: город Арзамас (ОКТМО: 22703000) - котельная инв. № б/н (ул. Ленина, 37)</t>
  </si>
  <si>
    <t>Оказание услуг на территории: город Арзамас (ОКТМО: 22703000) - от котельной инв. №65, ул. Складская</t>
  </si>
  <si>
    <t>Оказание услуг на территории: город Арзамас (ОКТМО: 22703000) - от котельной инв. №79, ул.Советская</t>
  </si>
  <si>
    <t>Оказание услуг на территории: город Богородск (ОКТМО: 22607101) - котельная ОВКНО, ул. Ленина, 242, г. Богородск</t>
  </si>
  <si>
    <t>Оказание услуг на территории: город Бор (ОКТМО: 22712000) - котельная (адрес: г Бор, ул. Луначарского, 208Т)</t>
  </si>
  <si>
    <t>Оказание услуг на территории: город Бор (ОКТМО: 22712000) - котельная (ул. Задолье, д. 65К)</t>
  </si>
  <si>
    <t>Оказание услуг на территории: город Бор (ОКТМО: 22712000) - котельная инв. № 20, п. Линда, п/о Слободское</t>
  </si>
  <si>
    <t>Оказание услуг на территории: город Бор (ОКТМО: 22712000) - котельная п. Железнодорожный</t>
  </si>
  <si>
    <t>Оказание услуг на территории: город Бор (ОКТМО: 22712000) - п. Большеорловское</t>
  </si>
  <si>
    <t>Оказание услуг на территории: город Выкса (ОКТМО: 22715000) - вид теплоносителя - горячая вода</t>
  </si>
  <si>
    <t>Оказание услуг на территории: город Выкса (ОКТМО: 22715000) - вид теплоносителя - отборный пар давлением 2,5-7,0 кг/кв. см</t>
  </si>
  <si>
    <t>Оказание услуг на территории: город Выкса (ОКТМО: 22715000) - р.п. Виля</t>
  </si>
  <si>
    <t>Оказание услуг на территории: город Дзержинск (ОКТМО: 22721000) -  Дзержинская ТЭЦ (пар)</t>
  </si>
  <si>
    <t>Оказание услуг на территории: город Дзержинск (ОКТМО: 22721000) - Дзержинская ТЭЦ</t>
  </si>
  <si>
    <t>Оказание услуг на территории: город Дзержинск (ОКТМО: 22721000) - котельная (ул. Догадина)</t>
  </si>
  <si>
    <t>Оказание услуг на территории: город Дзержинск (ОКТМО: 22721000) - котельная (ул. Олега Кошевого)</t>
  </si>
  <si>
    <t>Оказание услуг на территории: город Дзержинск (ОКТМО: 22721000) - котельная ПВОС</t>
  </si>
  <si>
    <t>Оказание услуг на территории: город Дзержинск (ОКТМО: 22721000) - котельная инв. № 39</t>
  </si>
  <si>
    <t>Оказание услуг на территории: город Дзержинск (ОКТМО: 22721000) - котельная инв. № 53</t>
  </si>
  <si>
    <t>Оказание услуг на территории: город Дзержинск (ОКТМО: 22721000) - котельная инв. № б/н (ул. 9 января, 16)</t>
  </si>
  <si>
    <t>Оказание услуг на территории: город Дзержинск (ОКТМО: 22721000) - от ЦТП бетонного участка</t>
  </si>
  <si>
    <t>Оказание услуг на территории: город Дзержинск (ОКТМО: 22721000) - рп Горбатовка</t>
  </si>
  <si>
    <t>Оказание услуг на территории: город Дзержинск (ОКТМО: 22721000) - через магистральные сети</t>
  </si>
  <si>
    <t>Оказание услуг на территории: город Кулебаки (ОКТМО: 22727000) - г. Кулебаки</t>
  </si>
  <si>
    <t>Оказание услуг на территории: город Кулебаки (ОКТМО: 22727000) - газовая котельная (адрес: с Саваслейка, в/г 1)</t>
  </si>
  <si>
    <t>Оказание услуг на территории: город Кулебаки (ОКТМО: 22727000) - котельная инв. № 13, с. Саваслейка</t>
  </si>
  <si>
    <t>Оказание услуг на территории: город Кулебаки (ОКТМО: 22727000) - котельная инв. № 433, с. Саваслейка</t>
  </si>
  <si>
    <t>Оказание услуг на территории: город Кулебаки (ОКТМО: 22727000) - котельная инв. № 488а, с. Саваслейка</t>
  </si>
  <si>
    <t>Оказание услуг на территории: город Кулебаки (ОКТМО: 22727000) - котельная инв. № 488а, с. Саваслейка (вид теплоносителя - отборный пар давлением свыше 13 кг/кв.см)</t>
  </si>
  <si>
    <t>Оказание услуг на территории: город Кулебаки (ОКТМО: 22727000) - котельная инв. № 568, с. Саваслейка котельная аэродрома</t>
  </si>
  <si>
    <t>Оказание услуг на территории: город Кулебаки (ОКТМО: 22727000) - котельная по ул. Догадина</t>
  </si>
  <si>
    <t>Оказание услуг на территории: город Кулебаки (ОКТМО: 22727000) - котельная по ул. О.Кошевого</t>
  </si>
  <si>
    <t>Оказание услуг на территории: город Кулебаки (ОКТМО: 22727000) - р.п. Велетьма</t>
  </si>
  <si>
    <t>Оказание услуг на территории: город Кулебаки (ОКТМО: 22727000) - с Теплово</t>
  </si>
  <si>
    <t>Оказание услуг на территории: город Кулебаки (ОКТМО: 22727000) - с. Ломовка</t>
  </si>
  <si>
    <t>Оказание услуг на территории: город Кулебаки (ОКТМО: 22727000) - с. Саваслейка</t>
  </si>
  <si>
    <t>Оказание услуг на территории: город Кулебаки (ОКТМО: 22727000) - с. Теплово</t>
  </si>
  <si>
    <t>Оказание услуг на территории: город Нижний Новгород (ОКТМО: 22701000) - Автозаводская ТЭЦ пар</t>
  </si>
  <si>
    <t>Оказание услуг на территории: город Нижний Новгород (ОКТМО: 22701000) - Автозаводская ТЭЦ пар с коллекторов</t>
  </si>
  <si>
    <t>Оказание услуг на территории: город Нижний Новгород (ОКТМО: 22701000) - Нижне-Волжская набережная, д. 17</t>
  </si>
  <si>
    <t>Оказание услуг на территории: город Нижний Новгород (ОКТМО: 22701000) - Нижне-Волжская набережная, д.17</t>
  </si>
  <si>
    <t>Оказание услуг на территории: город Нижний Новгород (ОКТМО: 22701000) - Сормовская ТЭЦ</t>
  </si>
  <si>
    <t>Оказание услуг на территории: город Нижний Новгород (ОКТМО: 22701000) - Сормовская ТЭЦ (пар)</t>
  </si>
  <si>
    <t>Оказание услуг на территории: город Нижний Новгород (ОКТМО: 22701000) - газовая котельная (адрес: г Нижний Новгород, ул. Планетная, д. 39)</t>
  </si>
  <si>
    <t>Оказание услуг на территории: город Нижний Новгород (ОКТМО: 22701000) - д Кусаковка</t>
  </si>
  <si>
    <t>Оказание услуг на территории: город Нижний Новгород (ОКТМО: 22701000) - котельные (адрес: ул. Цветочная, ул. Вечерняя)</t>
  </si>
  <si>
    <t>Оказание услуг на территории: город Нижний Новгород (ОКТМО: 22701000) - от котельной ОАО "170 ремонтный завод средств обеспечения полетов"</t>
  </si>
  <si>
    <t>Оказание услуг на территории: город Нижний Новгород (ОКТМО: 22701000) - от котельной СПК по ул. Родионова</t>
  </si>
  <si>
    <t>Оказание услуг на территории: город Нижний Новгород (ОКТМО: 22701000) - от котельной Северная пар</t>
  </si>
  <si>
    <t>Оказание услуг на территории: город Нижний Новгород (ОКТМО: 22701000) - от котельной по ул. Зайцева</t>
  </si>
  <si>
    <t>Оказание услуг на территории: город Нижний Новгород (ОКТМО: 22701000) - от котельной по ул. Малоэтажная</t>
  </si>
  <si>
    <t>Оказание услуг на территории: город Нижний Новгород (ОКТМО: 22701000) - от котельной по ул. Монастырка</t>
  </si>
  <si>
    <t>Оказание услуг на территории: город Нижний Новгород (ОКТМО: 22701000) - п Новинки</t>
  </si>
  <si>
    <t>Оказание услуг на территории: город Нижний Новгород (ОКТМО: 22701000) - реализация на завод в паре</t>
  </si>
  <si>
    <t>Оказание услуг на территории: город Нижний Новгород (ОКТМО: 22701000) - ул. Грузинская, д. 37Б</t>
  </si>
  <si>
    <t>Оказание услуг на территории: город Нижний Новгород (ОКТМО: 22701000) - ул. Грузинская, д.37Б</t>
  </si>
  <si>
    <t>Оказание услуг на территории: город Первомайск (ОКТМО: 22734000) - котельная г. Первомайск (ул. Карла Маркса)</t>
  </si>
  <si>
    <t>Оказание услуг на территории: город Первомайск (ОКТМО: 22734000) - котельная г. Первомайск (ул. Мочалина 1/2) и р.п. Сатис</t>
  </si>
  <si>
    <t>Оказание услуг на территории: город Первомайск (ОКТМО: 22734000) - котельная г. Первомайск (ул. Мочалина, д. 1/1)</t>
  </si>
  <si>
    <t>Оказание услуг на территории: город Первомайск (ОКТМО: 22734000) - котельная г. Первомайск (ул. Ульянова)</t>
  </si>
  <si>
    <t>Оказание услуг на территории: город Первомайск (ОКТМО: 22734000) - котельная г. Первомайск (ул. Юбилейная д. 2, к.1)</t>
  </si>
  <si>
    <t>Оказание услуг на территории: город Первомайск (ОКТМО: 22734000) - котельная г. Первомайск (ул. Юбилейная)</t>
  </si>
  <si>
    <t>Оказание услуг на территории: город Первомайск (ОКТМО: 22734000) - котельная д. Петровка</t>
  </si>
  <si>
    <t>Оказание услуг на территории: город Первомайск (ОКТМО: 22734000) - котельная п. Берещино</t>
  </si>
  <si>
    <t>Оказание услуг на территории: город Первомайск (ОКТМО: 22734000) - котельная р.п. Сатис (ул. Подлесная)</t>
  </si>
  <si>
    <t>Оказание услуг на территории: город Первомайск (ОКТМО: 22734000) - котельная р.п. Сатис (ул. Советская)</t>
  </si>
  <si>
    <t>Оказание услуг на территории: город Первомайск (ОКТМО: 22734000) - котельная с. Большой Макателем</t>
  </si>
  <si>
    <t>Оказание услуг на территории: город Первомайск (ОКТМО: 22734000) - котельная с. Шутилово</t>
  </si>
  <si>
    <t>Оказание услуг на территории: город Сергач (ОКТМО: 22648101) - г. Сергач</t>
  </si>
  <si>
    <t>Оказание услуг на территории: город Чкаловск (ОКТМО: 22755000) - д Кузнецово</t>
  </si>
  <si>
    <t>Оказание услуг на территории: город Чкаловск (ОКТМО: 22755000) - ул. Пушкина</t>
  </si>
  <si>
    <t>Оказание услуг на территории: город Шахунья (ОКТМО: 22758000)</t>
  </si>
  <si>
    <t>Оказание услуг на территории: город Шахунья (ОКТМО: 22758000) - г Шахунья</t>
  </si>
  <si>
    <t>Оказание услуг на территории: город Шахунья (ОКТМО: 22758000) - г. Шахунья</t>
  </si>
  <si>
    <t>Оказание услуг на территории: город Шахунья (ОКТМО: 22758000) - от котельной ул. Советская д.13</t>
  </si>
  <si>
    <t>Оказание услуг на территории: город Шахунья (ОКТМО: 22758000) - с. Верховское</t>
  </si>
  <si>
    <t>Оказание услуг на территории: рабочий поселок Большое Мурашкино (ОКТМО: 22610151) - котельная № 1 и блок мини котельная № 2</t>
  </si>
  <si>
    <t>Оказание услуг на территории: рабочий поселок Большое Мурашкино (ОКТМО: 22610151) - котельная № 3</t>
  </si>
  <si>
    <t>От котельной ООО "Генерация тепла" (ул. Новикова-Прибоя, д. 18)</t>
  </si>
  <si>
    <t>От котельных ООО "Генерация тепла" и ЗАО "ПКТ"</t>
  </si>
  <si>
    <t>По схеме подключения к сетям ООО "Теплосети" и ОАО "Теплоэнерго"</t>
  </si>
  <si>
    <t>По схеме подключения к сетям ООО "Теплосети" и ООО "Генерация тепла"</t>
  </si>
  <si>
    <t>По схеме подключения к сетям ООО "Теплосети" на завод</t>
  </si>
  <si>
    <t>По схеме подключения к сетям ООО "Теплосети" на район</t>
  </si>
  <si>
    <t>По схеме подключения к теплотрассе "ЗКПД-70"</t>
  </si>
  <si>
    <t>По схеме подключения к теплотрассе "Прибрежная"</t>
  </si>
  <si>
    <t>горячее водоснабжение</t>
  </si>
  <si>
    <t>отопление</t>
  </si>
  <si>
    <t>8697687523</t>
  </si>
  <si>
    <t>7540613420</t>
  </si>
  <si>
    <t>5424085</t>
  </si>
  <si>
    <t>5412526</t>
  </si>
  <si>
    <t>2386758237</t>
  </si>
  <si>
    <t>1205200023775</t>
  </si>
  <si>
    <t>44432108</t>
  </si>
  <si>
    <t>1898148165</t>
  </si>
  <si>
    <t>5431581</t>
  </si>
  <si>
    <t>1095262004771</t>
  </si>
  <si>
    <t>08208757</t>
  </si>
  <si>
    <t>5174632</t>
  </si>
  <si>
    <t>5431574</t>
  </si>
  <si>
    <t>https://portal.eias.ru/Portal/DownloadPage.aspx?type=12&amp;guid=93339e43-4284-48f9-aac4-622532c1e539</t>
  </si>
  <si>
    <t>1025202393193</t>
  </si>
  <si>
    <t>57186763</t>
  </si>
  <si>
    <t>5272240</t>
  </si>
  <si>
    <t>5431571</t>
  </si>
  <si>
    <t>1025201335730</t>
  </si>
  <si>
    <t>05744946</t>
  </si>
  <si>
    <t>5272239</t>
  </si>
  <si>
    <t>5431559</t>
  </si>
  <si>
    <t>1025201334850</t>
  </si>
  <si>
    <t>07513518</t>
  </si>
  <si>
    <t>5272257</t>
  </si>
  <si>
    <t>5431563</t>
  </si>
  <si>
    <t>2386758240</t>
  </si>
  <si>
    <t>1025201632610</t>
  </si>
  <si>
    <t>05757848</t>
  </si>
  <si>
    <t>2386758235</t>
  </si>
  <si>
    <t>5272338</t>
  </si>
  <si>
    <t>https://portal.eias.ru/Portal/DownloadPage.aspx?type=12&amp;guid=646a02d2-5f21-4a1c-be9c-2366fd846903</t>
  </si>
  <si>
    <t>1025203016717</t>
  </si>
  <si>
    <t>03144484</t>
  </si>
  <si>
    <t>4620761327</t>
  </si>
  <si>
    <t>https://portal.eias.ru/Portal/DownloadPage.aspx?type=12&amp;guid=02b961e7-9530-44ed-bbc3-75d89b012fc2</t>
  </si>
  <si>
    <t>1195275024812</t>
  </si>
  <si>
    <t>39362788</t>
  </si>
  <si>
    <t>5257011</t>
  </si>
  <si>
    <t>5431560</t>
  </si>
  <si>
    <t>2386758239</t>
  </si>
  <si>
    <t>1025201418989</t>
  </si>
  <si>
    <t>00279278</t>
  </si>
  <si>
    <t>5272290</t>
  </si>
  <si>
    <t>5431569</t>
  </si>
  <si>
    <t>1025202124100</t>
  </si>
  <si>
    <t>07504519</t>
  </si>
  <si>
    <t>5257022</t>
  </si>
  <si>
    <t>5431565</t>
  </si>
  <si>
    <t>1025201755810</t>
  </si>
  <si>
    <t>05761910</t>
  </si>
  <si>
    <t>5272232</t>
  </si>
  <si>
    <t>5431557</t>
  </si>
  <si>
    <t>https://portal.eias.ru/Portal/DownloadPage.aspx?type=12&amp;guid=3453e2a6-4e66-490c-986b-a27239cce5d1</t>
  </si>
  <si>
    <t>1025201289519</t>
  </si>
  <si>
    <t>55865164</t>
  </si>
  <si>
    <t>883807060</t>
  </si>
  <si>
    <t>5431562</t>
  </si>
  <si>
    <t>https://portal.eias.ru/Portal/DownloadPage.aspx?type=12&amp;guid=b445147b-65b9-480d-b035-7a22dcfa1fe7</t>
  </si>
  <si>
    <t>1025201527669</t>
  </si>
  <si>
    <t>36738187</t>
  </si>
  <si>
    <t>4103682243</t>
  </si>
  <si>
    <t>5431582</t>
  </si>
  <si>
    <t>1165275027708</t>
  </si>
  <si>
    <t>10666792</t>
  </si>
  <si>
    <t>5257035</t>
  </si>
  <si>
    <t>https://portal.eias.ru/Portal/DownloadPage.aspx?type=12&amp;guid=52b0c968-4d01-4f20-b6ba-c70a598d151d</t>
  </si>
  <si>
    <t>1025202391466</t>
  </si>
  <si>
    <t>00165735</t>
  </si>
  <si>
    <t>56472448</t>
  </si>
  <si>
    <t>5431579</t>
  </si>
  <si>
    <t>1025203575540</t>
  </si>
  <si>
    <t>00304183</t>
  </si>
  <si>
    <t>5272241</t>
  </si>
  <si>
    <t>1025201335774</t>
  </si>
  <si>
    <t>10661317</t>
  </si>
  <si>
    <t>5161360</t>
  </si>
  <si>
    <t>1025202399276</t>
  </si>
  <si>
    <t>08845323</t>
  </si>
  <si>
    <t>5161395</t>
  </si>
  <si>
    <t>5431573</t>
  </si>
  <si>
    <t>1025202268772</t>
  </si>
  <si>
    <t>14694213</t>
  </si>
  <si>
    <t>5272230</t>
  </si>
  <si>
    <t>1025201286395</t>
  </si>
  <si>
    <t>00426377</t>
  </si>
  <si>
    <t>5174637</t>
  </si>
  <si>
    <t>1025202391763</t>
  </si>
  <si>
    <t>01671653</t>
  </si>
  <si>
    <t>2800766764</t>
  </si>
  <si>
    <t>5431578</t>
  </si>
  <si>
    <t>1145259004296</t>
  </si>
  <si>
    <t>39259369</t>
  </si>
  <si>
    <t>5159009</t>
  </si>
  <si>
    <t>5431539</t>
  </si>
  <si>
    <t>https://portal.eias.ru/Portal/DownloadPage.aspx?type=12&amp;guid=4e75c981-80a3-41f4-9767-aedef16776a2</t>
  </si>
  <si>
    <t>1025201634160</t>
  </si>
  <si>
    <t>05284901</t>
  </si>
  <si>
    <t>5257046</t>
  </si>
  <si>
    <t>1025203563879</t>
  </si>
  <si>
    <t>07503566</t>
  </si>
  <si>
    <t>5161389</t>
  </si>
  <si>
    <t>1025202391830</t>
  </si>
  <si>
    <t>00336444</t>
  </si>
  <si>
    <t>1834966861</t>
  </si>
  <si>
    <t>1115261005738</t>
  </si>
  <si>
    <t>07517195</t>
  </si>
  <si>
    <t>839812829</t>
  </si>
  <si>
    <t>3517869861</t>
  </si>
  <si>
    <t>https://portal.eias.ru/Portal/DownloadPage.aspx?type=12&amp;guid=25eb638a-b8c5-4ed8-b736-172428a16742</t>
  </si>
  <si>
    <t>1095260013793</t>
  </si>
  <si>
    <t>64068797220003</t>
  </si>
  <si>
    <t>839812827</t>
  </si>
  <si>
    <t>https://portal.eias.ru/Portal/DownloadPage.aspx?type=12&amp;guid=93b8ef23-35a8-45a5-9abb-4613bd6bc253</t>
  </si>
  <si>
    <t>6406879722001</t>
  </si>
  <si>
    <t>31</t>
  </si>
  <si>
    <t>6168333539</t>
  </si>
  <si>
    <t>https://portal.eias.ru/Portal/DownloadPage.aspx?type=12&amp;guid=3d5a7bd4-f963-48d6-889b-203a4bbabc02</t>
  </si>
  <si>
    <t>54907713</t>
  </si>
  <si>
    <t>32</t>
  </si>
  <si>
    <t>6168336822</t>
  </si>
  <si>
    <t>https://portal.eias.ru/Portal/DownloadPage.aspx?type=12&amp;guid=7864fc11-a6af-4765-b1ef-9bb935dd718a</t>
  </si>
  <si>
    <t>30491248</t>
  </si>
  <si>
    <t>33</t>
  </si>
  <si>
    <t>54908641</t>
  </si>
  <si>
    <t>34</t>
  </si>
  <si>
    <t>8384788663</t>
  </si>
  <si>
    <t>https://portal.eias.ru/Portal/DownloadPage.aspx?type=12&amp;guid=0c0d0843-c8d5-4f98-a350-46b0d2834693</t>
  </si>
  <si>
    <t>35</t>
  </si>
  <si>
    <t>3959623213</t>
  </si>
  <si>
    <t>https://portal.eias.ru/Portal/DownloadPage.aspx?type=12&amp;guid=a57122cd-347f-46e9-8e38-7796742a9d5d</t>
  </si>
  <si>
    <t>06040012</t>
  </si>
  <si>
    <t>36</t>
  </si>
  <si>
    <t>1333672533</t>
  </si>
  <si>
    <t>https://portal.eias.ru/Portal/DownloadPage.aspx?type=12&amp;guid=0aba3c17-1824-42c3-b34a-fde31fde98a3</t>
  </si>
  <si>
    <t>37</t>
  </si>
  <si>
    <t>5161123</t>
  </si>
  <si>
    <t>1025202399958</t>
  </si>
  <si>
    <t>07510715</t>
  </si>
  <si>
    <t>38</t>
  </si>
  <si>
    <t>56519135</t>
  </si>
  <si>
    <t>5432118</t>
  </si>
  <si>
    <t>1085254000358</t>
  </si>
  <si>
    <t>85285919</t>
  </si>
  <si>
    <t>39</t>
  </si>
  <si>
    <t>56519136</t>
  </si>
  <si>
    <t>https://portal.eias.ru/Portal/DownloadPage.aspx?type=12&amp;guid=0efd4ab8-7a0f-4ee8-b518-abb1d6a48427</t>
  </si>
  <si>
    <t>1085254000446</t>
  </si>
  <si>
    <t>85287173</t>
  </si>
  <si>
    <t>40</t>
  </si>
  <si>
    <t>5226646</t>
  </si>
  <si>
    <t>6259780546</t>
  </si>
  <si>
    <t>1065257065500</t>
  </si>
  <si>
    <t>03266773</t>
  </si>
  <si>
    <t>41</t>
  </si>
  <si>
    <t>6259780474</t>
  </si>
  <si>
    <t>https://portal.eias.ru/Portal/DownloadPage.aspx?type=12&amp;guid=5eb7e489-d1c8-44c6-a4fc-208cea7634d3</t>
  </si>
  <si>
    <t>42</t>
  </si>
  <si>
    <t>https://portal.eias.ru/Portal/DownloadPage.aspx?type=12&amp;guid=cf9512a8-51f1-4ef0-9a58-56f7d21885ad</t>
  </si>
  <si>
    <t>43</t>
  </si>
  <si>
    <t>5161546</t>
  </si>
  <si>
    <t>5431540</t>
  </si>
  <si>
    <t>1025202198053</t>
  </si>
  <si>
    <t>05744521</t>
  </si>
  <si>
    <t>44</t>
  </si>
  <si>
    <t>820677904</t>
  </si>
  <si>
    <t>1025203742244</t>
  </si>
  <si>
    <t>36739399</t>
  </si>
  <si>
    <t>45</t>
  </si>
  <si>
    <t>5272200</t>
  </si>
  <si>
    <t>5431544</t>
  </si>
  <si>
    <t>1025201078176</t>
  </si>
  <si>
    <t>02955045</t>
  </si>
  <si>
    <t>46</t>
  </si>
  <si>
    <t>5272242</t>
  </si>
  <si>
    <t>1025201335994</t>
  </si>
  <si>
    <t>075511163</t>
  </si>
  <si>
    <t>47</t>
  </si>
  <si>
    <t>1693580939</t>
  </si>
  <si>
    <t>5431576</t>
  </si>
  <si>
    <t>1115258007688</t>
  </si>
  <si>
    <t>07543347</t>
  </si>
  <si>
    <t>48</t>
  </si>
  <si>
    <t>5161386</t>
  </si>
  <si>
    <t>2386758238</t>
  </si>
  <si>
    <t>1025202607473</t>
  </si>
  <si>
    <t>07511614</t>
  </si>
  <si>
    <t>49</t>
  </si>
  <si>
    <t>1512788104</t>
  </si>
  <si>
    <t>1025202605922</t>
  </si>
  <si>
    <t>01444124</t>
  </si>
  <si>
    <t>5272243</t>
  </si>
  <si>
    <t>669393547</t>
  </si>
  <si>
    <t>1025201339052</t>
  </si>
  <si>
    <t>02831308</t>
  </si>
  <si>
    <t>51</t>
  </si>
  <si>
    <t>5272193</t>
  </si>
  <si>
    <t>5431541</t>
  </si>
  <si>
    <t>1025201018072</t>
  </si>
  <si>
    <t>03574474</t>
  </si>
  <si>
    <t>52</t>
  </si>
  <si>
    <t>4678803140</t>
  </si>
  <si>
    <t>5431543</t>
  </si>
  <si>
    <t>1025200918236</t>
  </si>
  <si>
    <t>02509653</t>
  </si>
  <si>
    <t>53</t>
  </si>
  <si>
    <t>5272211</t>
  </si>
  <si>
    <t>5431550</t>
  </si>
  <si>
    <t>1025200933867</t>
  </si>
  <si>
    <t>05367633</t>
  </si>
  <si>
    <t>54</t>
  </si>
  <si>
    <t>1333670912</t>
  </si>
  <si>
    <t>5431525</t>
  </si>
  <si>
    <t>1025200869847</t>
  </si>
  <si>
    <t>36743745</t>
  </si>
  <si>
    <t>55</t>
  </si>
  <si>
    <t>5159026</t>
  </si>
  <si>
    <t>5431532</t>
  </si>
  <si>
    <t>1025201749198</t>
  </si>
  <si>
    <t>03154146</t>
  </si>
  <si>
    <t>56</t>
  </si>
  <si>
    <t>907453169</t>
  </si>
  <si>
    <t>1025201764400</t>
  </si>
  <si>
    <t>51766755</t>
  </si>
  <si>
    <t>57</t>
  </si>
  <si>
    <t>5160911</t>
  </si>
  <si>
    <t>5431553</t>
  </si>
  <si>
    <t>1025201205182</t>
  </si>
  <si>
    <t>03255539</t>
  </si>
  <si>
    <t>58</t>
  </si>
  <si>
    <t>3566201232</t>
  </si>
  <si>
    <t>1025202273788</t>
  </si>
  <si>
    <t>01545262</t>
  </si>
  <si>
    <t>59</t>
  </si>
  <si>
    <t>56472115</t>
  </si>
  <si>
    <t>1025201525524</t>
  </si>
  <si>
    <t>01922859</t>
  </si>
  <si>
    <t>60</t>
  </si>
  <si>
    <t>5161472</t>
  </si>
  <si>
    <t>1025202124078</t>
  </si>
  <si>
    <t>48323178</t>
  </si>
  <si>
    <t>61</t>
  </si>
  <si>
    <t>5112046</t>
  </si>
  <si>
    <t>603101451</t>
  </si>
  <si>
    <t>1037739877295</t>
  </si>
  <si>
    <t>01076844900003</t>
  </si>
  <si>
    <t>62</t>
  </si>
  <si>
    <t>57441417</t>
  </si>
  <si>
    <t>5431533</t>
  </si>
  <si>
    <t>https://portal.eias.ru/Portal/DownloadPage.aspx?type=12&amp;guid=db386eb0-ecd1-48cd-b115-3e5794a06562</t>
  </si>
  <si>
    <t>1105250001460</t>
  </si>
  <si>
    <t>66729151</t>
  </si>
  <si>
    <t>63</t>
  </si>
  <si>
    <t>5257048</t>
  </si>
  <si>
    <t>1025203560854</t>
  </si>
  <si>
    <t>36737437</t>
  </si>
  <si>
    <t>64</t>
  </si>
  <si>
    <t>5257038</t>
  </si>
  <si>
    <t>5379004</t>
  </si>
  <si>
    <t>1045207245786</t>
  </si>
  <si>
    <t>71161184</t>
  </si>
  <si>
    <t>65</t>
  </si>
  <si>
    <t>5272342</t>
  </si>
  <si>
    <t>1025203760053</t>
  </si>
  <si>
    <t>00347583</t>
  </si>
  <si>
    <t>66</t>
  </si>
  <si>
    <t>1898148147</t>
  </si>
  <si>
    <t>500187316</t>
  </si>
  <si>
    <t>312523517800033</t>
  </si>
  <si>
    <t>0184468370</t>
  </si>
  <si>
    <t>67</t>
  </si>
  <si>
    <t>6442913953</t>
  </si>
  <si>
    <t>321527500111925</t>
  </si>
  <si>
    <t>2011132606</t>
  </si>
  <si>
    <t>68</t>
  </si>
  <si>
    <t>1898148150</t>
  </si>
  <si>
    <t>311525620100013</t>
  </si>
  <si>
    <t>0142691992</t>
  </si>
  <si>
    <t>69</t>
  </si>
  <si>
    <t>907453064</t>
  </si>
  <si>
    <t>70</t>
  </si>
  <si>
    <t>7573215009</t>
  </si>
  <si>
    <t>5431527</t>
  </si>
  <si>
    <t>1025201202575</t>
  </si>
  <si>
    <t>55859658</t>
  </si>
  <si>
    <t>71</t>
  </si>
  <si>
    <t>56428590</t>
  </si>
  <si>
    <t>1025201203246</t>
  </si>
  <si>
    <t>39250285</t>
  </si>
  <si>
    <t>72</t>
  </si>
  <si>
    <t>2161826251</t>
  </si>
  <si>
    <t>5431524</t>
  </si>
  <si>
    <t>1135229000950</t>
  </si>
  <si>
    <t>25697321</t>
  </si>
  <si>
    <t>73</t>
  </si>
  <si>
    <t>5279579</t>
  </si>
  <si>
    <t>1055204002336</t>
  </si>
  <si>
    <t>76671889</t>
  </si>
  <si>
    <t>74</t>
  </si>
  <si>
    <t>1991391619</t>
  </si>
  <si>
    <t>1145247031192</t>
  </si>
  <si>
    <t>43027133</t>
  </si>
  <si>
    <t>75</t>
  </si>
  <si>
    <t>6116776145</t>
  </si>
  <si>
    <t>1215200025435</t>
  </si>
  <si>
    <t>48050987</t>
  </si>
  <si>
    <t>76</t>
  </si>
  <si>
    <t>5291855</t>
  </si>
  <si>
    <t>5431534</t>
  </si>
  <si>
    <t>1075254000524</t>
  </si>
  <si>
    <t>80440115</t>
  </si>
  <si>
    <t>77</t>
  </si>
  <si>
    <t>5158744</t>
  </si>
  <si>
    <t>1025201526987</t>
  </si>
  <si>
    <t>03265940</t>
  </si>
  <si>
    <t>78</t>
  </si>
  <si>
    <t>5161139</t>
  </si>
  <si>
    <t>1025202200330</t>
  </si>
  <si>
    <t>52472464</t>
  </si>
  <si>
    <t>79</t>
  </si>
  <si>
    <t>5158865</t>
  </si>
  <si>
    <t>1065254024032</t>
  </si>
  <si>
    <t>97574920</t>
  </si>
  <si>
    <t>80</t>
  </si>
  <si>
    <t>1333672530</t>
  </si>
  <si>
    <t>1045206809570</t>
  </si>
  <si>
    <t>25608079</t>
  </si>
  <si>
    <t>81</t>
  </si>
  <si>
    <t>6194464193</t>
  </si>
  <si>
    <t>5431564</t>
  </si>
  <si>
    <t>https://portal.eias.ru/Portal/DownloadPage.aspx?type=12&amp;guid=b56de155-5957-452b-90e4-e5a6c01faaee</t>
  </si>
  <si>
    <t>1215200041473</t>
  </si>
  <si>
    <t>55523311</t>
  </si>
  <si>
    <t>82</t>
  </si>
  <si>
    <t>57443217</t>
  </si>
  <si>
    <t>https://portal.eias.ru/Portal/DownloadPage.aspx?type=12&amp;guid=7da8a1a9-1184-4f29-bd92-ab7b7a7db4f6</t>
  </si>
  <si>
    <t>1105244000399</t>
  </si>
  <si>
    <t>65790148</t>
  </si>
  <si>
    <t>83</t>
  </si>
  <si>
    <t>5160630</t>
  </si>
  <si>
    <t>5431549</t>
  </si>
  <si>
    <t>https://portal.eias.ru/Portal/DownloadPage.aspx?type=12&amp;guid=00bc1cab-06de-4eb9-b2e8-aca2a821be1d</t>
  </si>
  <si>
    <t>1055223052939</t>
  </si>
  <si>
    <t>79674316</t>
  </si>
  <si>
    <t>84</t>
  </si>
  <si>
    <t>4316246693</t>
  </si>
  <si>
    <t>5431552</t>
  </si>
  <si>
    <t>1185275049145</t>
  </si>
  <si>
    <t>32844053</t>
  </si>
  <si>
    <t>85</t>
  </si>
  <si>
    <t>2879636571</t>
  </si>
  <si>
    <t>5431529</t>
  </si>
  <si>
    <t>1165275032999</t>
  </si>
  <si>
    <t>03780010</t>
  </si>
  <si>
    <t>86</t>
  </si>
  <si>
    <t>5158770</t>
  </si>
  <si>
    <t>1045206437935</t>
  </si>
  <si>
    <t>74433677</t>
  </si>
  <si>
    <t>87</t>
  </si>
  <si>
    <t>1898148148</t>
  </si>
  <si>
    <t>1125235000835</t>
  </si>
  <si>
    <t>25577893</t>
  </si>
  <si>
    <t>88</t>
  </si>
  <si>
    <t>885216132</t>
  </si>
  <si>
    <t>1045206814630</t>
  </si>
  <si>
    <t>25552433</t>
  </si>
  <si>
    <t>89</t>
  </si>
  <si>
    <t>5160862</t>
  </si>
  <si>
    <t>https://portal.eias.ru/Portal/DownloadPage.aspx?type=12&amp;guid=9a3f844d-8698-4aeb-a910-334c8ce96f11</t>
  </si>
  <si>
    <t>1065252000648</t>
  </si>
  <si>
    <t>79678297</t>
  </si>
  <si>
    <t>90</t>
  </si>
  <si>
    <t>1601596646</t>
  </si>
  <si>
    <t>1135248002515</t>
  </si>
  <si>
    <t>25588307</t>
  </si>
  <si>
    <t>91</t>
  </si>
  <si>
    <t>1319809967</t>
  </si>
  <si>
    <t>1125248001548</t>
  </si>
  <si>
    <t>10640215</t>
  </si>
  <si>
    <t>92</t>
  </si>
  <si>
    <t>5158821</t>
  </si>
  <si>
    <t>1025201677962</t>
  </si>
  <si>
    <t>58273642</t>
  </si>
  <si>
    <t>93</t>
  </si>
  <si>
    <t>5158824</t>
  </si>
  <si>
    <t>1025201686290</t>
  </si>
  <si>
    <t>58589121</t>
  </si>
  <si>
    <t>94</t>
  </si>
  <si>
    <t>5158830</t>
  </si>
  <si>
    <t>https://portal.eias.ru/Portal/DownloadPage.aspx?type=12&amp;guid=3b6b603b-cc57-4a12-a94c-8f1c636b021f</t>
  </si>
  <si>
    <t>1025201684397</t>
  </si>
  <si>
    <t>58274707</t>
  </si>
  <si>
    <t>95</t>
  </si>
  <si>
    <t>1469412353</t>
  </si>
  <si>
    <t>5431538</t>
  </si>
  <si>
    <t>1135222000044</t>
  </si>
  <si>
    <t>25571175</t>
  </si>
  <si>
    <t>96</t>
  </si>
  <si>
    <t>5158836</t>
  </si>
  <si>
    <t>1025201683638</t>
  </si>
  <si>
    <t>58270997</t>
  </si>
  <si>
    <t>97</t>
  </si>
  <si>
    <t>4377697742</t>
  </si>
  <si>
    <t>5431526</t>
  </si>
  <si>
    <t>https://portal.eias.ru/Portal/DownloadPage.aspx?type=12&amp;guid=cf52fb56-2a67-4613-bbb8-93fa35253883</t>
  </si>
  <si>
    <t>1185275059353</t>
  </si>
  <si>
    <t>34060829</t>
  </si>
  <si>
    <t>98</t>
  </si>
  <si>
    <t>1898148125</t>
  </si>
  <si>
    <t>https://portal.eias.ru/Portal/DownloadPage.aspx?type=12&amp;guid=4951af22-9465-41af-be9c-464b32f1b011</t>
  </si>
  <si>
    <t>1135229000818</t>
  </si>
  <si>
    <t>25670463</t>
  </si>
  <si>
    <t>99</t>
  </si>
  <si>
    <t>57096120</t>
  </si>
  <si>
    <t>5431556</t>
  </si>
  <si>
    <t>https://portal.eias.ru/Portal/DownloadPage.aspx?type=12&amp;guid=6669ebb6-c0f7-4249-ace1-1c3be23840bb</t>
  </si>
  <si>
    <t>1095221000500</t>
  </si>
  <si>
    <t>64061677</t>
  </si>
  <si>
    <t>2239831299</t>
  </si>
  <si>
    <t>1155248001358</t>
  </si>
  <si>
    <t>48329554</t>
  </si>
  <si>
    <t>101</t>
  </si>
  <si>
    <t>5161024</t>
  </si>
  <si>
    <t>https://portal.eias.ru/Portal/DownloadPage.aspx?type=12&amp;guid=32147d64-3c50-4481-8b1c-f5e02e535f7e</t>
  </si>
  <si>
    <t>1065221003660</t>
  </si>
  <si>
    <t>96638173</t>
  </si>
  <si>
    <t>102</t>
  </si>
  <si>
    <t>3891795472</t>
  </si>
  <si>
    <t>https://portal.eias.ru/Portal/DownloadPage.aspx?type=12&amp;guid=3613a3e7-72b6-4c06-89e0-92cd1de219d7</t>
  </si>
  <si>
    <t>1185275006322</t>
  </si>
  <si>
    <t>24778394</t>
  </si>
  <si>
    <t>103</t>
  </si>
  <si>
    <t>104</t>
  </si>
  <si>
    <t>4584835805</t>
  </si>
  <si>
    <t>https://portal.eias.ru/Portal/DownloadPage.aspx?type=12&amp;guid=a1999ee8-ba6d-4bba-ad78-72b22ff82fa0</t>
  </si>
  <si>
    <t>1185275067438</t>
  </si>
  <si>
    <t>35028294</t>
  </si>
  <si>
    <t>105</t>
  </si>
  <si>
    <t>1273306641</t>
  </si>
  <si>
    <t>1125248001977</t>
  </si>
  <si>
    <t>03322856</t>
  </si>
  <si>
    <t>106</t>
  </si>
  <si>
    <t>2880615712</t>
  </si>
  <si>
    <t>5431542</t>
  </si>
  <si>
    <t>1045206546076</t>
  </si>
  <si>
    <t>74440341</t>
  </si>
  <si>
    <t>107</t>
  </si>
  <si>
    <t>2329271644</t>
  </si>
  <si>
    <t>1155228000212</t>
  </si>
  <si>
    <t>50336337</t>
  </si>
  <si>
    <t>108</t>
  </si>
  <si>
    <t>5158833</t>
  </si>
  <si>
    <t>https://portal.eias.ru/Portal/DownloadPage.aspx?type=12&amp;guid=bd69c5c4-15d3-4ca7-8786-8a961449a457</t>
  </si>
  <si>
    <t>1025201682780</t>
  </si>
  <si>
    <t>59635969</t>
  </si>
  <si>
    <t>109</t>
  </si>
  <si>
    <t>4864102673</t>
  </si>
  <si>
    <t>5431518</t>
  </si>
  <si>
    <t>https://portal.eias.ru/Portal/DownloadPage.aspx?type=12&amp;guid=e009ed7a-1651-4fc0-9c3b-930bf808bb55</t>
  </si>
  <si>
    <t>1185275069990</t>
  </si>
  <si>
    <t>35318856</t>
  </si>
  <si>
    <t>110</t>
  </si>
  <si>
    <t>907453129</t>
  </si>
  <si>
    <t>https://portal.eias.ru/Portal/DownloadPage.aspx?type=12&amp;guid=935c8464-b4fc-4aaf-94a9-432ed3374f16</t>
  </si>
  <si>
    <t>1115252002800</t>
  </si>
  <si>
    <t>30487063</t>
  </si>
  <si>
    <t>111</t>
  </si>
  <si>
    <t>112</t>
  </si>
  <si>
    <t>56472432</t>
  </si>
  <si>
    <t>5431535</t>
  </si>
  <si>
    <t>1085222000676</t>
  </si>
  <si>
    <t>88591233</t>
  </si>
  <si>
    <t>113</t>
  </si>
  <si>
    <t>5158839</t>
  </si>
  <si>
    <t>https://portal.eias.ru/Portal/DownloadPage.aspx?type=12&amp;guid=27e50424-4f58-4bd1-a30d-c4dccfa62beb</t>
  </si>
  <si>
    <t>1025201679700</t>
  </si>
  <si>
    <t>43033168</t>
  </si>
  <si>
    <t>114</t>
  </si>
  <si>
    <t>5160625</t>
  </si>
  <si>
    <t>https://portal.eias.ru/Portal/DownloadPage.aspx?type=12&amp;guid=a6b69380-f989-4e21-9841-3353569d6aab</t>
  </si>
  <si>
    <t>1065252026421</t>
  </si>
  <si>
    <t>93756357</t>
  </si>
  <si>
    <t>115</t>
  </si>
  <si>
    <t>5160832</t>
  </si>
  <si>
    <t>5431551</t>
  </si>
  <si>
    <t>1045206562444</t>
  </si>
  <si>
    <t>73943353</t>
  </si>
  <si>
    <t>116</t>
  </si>
  <si>
    <t>5291851</t>
  </si>
  <si>
    <t>5431522</t>
  </si>
  <si>
    <t>https://portal.eias.ru/Portal/DownloadPage.aspx?type=12&amp;guid=08fddfde-68f7-47fc-84ca-0c1d35476da1</t>
  </si>
  <si>
    <t>1075222000083</t>
  </si>
  <si>
    <t>58963499</t>
  </si>
  <si>
    <t>117</t>
  </si>
  <si>
    <t>2579894167</t>
  </si>
  <si>
    <t>1125235000681</t>
  </si>
  <si>
    <t>20714475</t>
  </si>
  <si>
    <t>118</t>
  </si>
  <si>
    <t>56472105</t>
  </si>
  <si>
    <t>https://portal.eias.ru/Portal/DownloadPage.aspx?type=12&amp;guid=6f959879-46cb-47b0-8e33-5c0a691ebb43</t>
  </si>
  <si>
    <t>1075221000590</t>
  </si>
  <si>
    <t>83398313</t>
  </si>
  <si>
    <t>119</t>
  </si>
  <si>
    <t>2897155642</t>
  </si>
  <si>
    <t>5431537</t>
  </si>
  <si>
    <t>https://portal.eias.ru/Portal/DownloadPage.aspx?type=12&amp;guid=30d5d2b5-2ad8-4c70-8506-a9a8f606ff67</t>
  </si>
  <si>
    <t>1165275034462</t>
  </si>
  <si>
    <t>03840195</t>
  </si>
  <si>
    <t>120</t>
  </si>
  <si>
    <t>5161055</t>
  </si>
  <si>
    <t>5431554</t>
  </si>
  <si>
    <t>https://portal.eias.ru/Portal/DownloadPage.aspx?type=12&amp;guid=0e8473e3-4a0a-452f-a072-6d1d26b55d1c</t>
  </si>
  <si>
    <t>1035204736973</t>
  </si>
  <si>
    <t>39255874</t>
  </si>
  <si>
    <t>121</t>
  </si>
  <si>
    <t>4284677217</t>
  </si>
  <si>
    <t>https://portal.eias.ru/Portal/DownloadPage.aspx?type=12&amp;guid=057ae828-d698-451a-80ea-6a64ac4bf2b4</t>
  </si>
  <si>
    <t>122</t>
  </si>
  <si>
    <t>5160999</t>
  </si>
  <si>
    <t>5431555</t>
  </si>
  <si>
    <t>1045206563016</t>
  </si>
  <si>
    <t>74436724</t>
  </si>
  <si>
    <t>123</t>
  </si>
  <si>
    <t>5279548</t>
  </si>
  <si>
    <t>5431530</t>
  </si>
  <si>
    <t>1045206441081</t>
  </si>
  <si>
    <t>76668479</t>
  </si>
  <si>
    <t>124</t>
  </si>
  <si>
    <t>5158792</t>
  </si>
  <si>
    <t>1035200522631</t>
  </si>
  <si>
    <t>14331829</t>
  </si>
  <si>
    <t>125</t>
  </si>
  <si>
    <t>5158698</t>
  </si>
  <si>
    <t>5501754</t>
  </si>
  <si>
    <t>https://portal.eias.ru/Portal/DownloadPage.aspx?type=12&amp;guid=959a71e4-cbcc-442e-8bfa-7c0d44a59215</t>
  </si>
  <si>
    <t>1025200913760</t>
  </si>
  <si>
    <t>59629696</t>
  </si>
  <si>
    <t>126</t>
  </si>
  <si>
    <t>1601595774</t>
  </si>
  <si>
    <t>1125248003583</t>
  </si>
  <si>
    <t>25555012</t>
  </si>
  <si>
    <t>127</t>
  </si>
  <si>
    <t>57097383</t>
  </si>
  <si>
    <t>1095222000532</t>
  </si>
  <si>
    <t>62226542</t>
  </si>
  <si>
    <t>128</t>
  </si>
  <si>
    <t>5272250</t>
  </si>
  <si>
    <t>5431561</t>
  </si>
  <si>
    <t>https://portal.eias.ru/Portal/DownloadPage.aspx?type=12&amp;guid=b379fc4b-1d50-4fd6-ad34-ccf589c1a7d2</t>
  </si>
  <si>
    <t>1025201452429</t>
  </si>
  <si>
    <t>36729455</t>
  </si>
  <si>
    <t>129</t>
  </si>
  <si>
    <t>5158712</t>
  </si>
  <si>
    <t>1025200934329</t>
  </si>
  <si>
    <t>49778395</t>
  </si>
  <si>
    <t>130</t>
  </si>
  <si>
    <t>5161525</t>
  </si>
  <si>
    <t>1025203021007</t>
  </si>
  <si>
    <t>02068150</t>
  </si>
  <si>
    <t>131</t>
  </si>
  <si>
    <t>5161475</t>
  </si>
  <si>
    <t>1025203733510</t>
  </si>
  <si>
    <t>02079336</t>
  </si>
  <si>
    <t>132</t>
  </si>
  <si>
    <t>5161519</t>
  </si>
  <si>
    <t>57060650</t>
  </si>
  <si>
    <t>1025203030247</t>
  </si>
  <si>
    <t>03106271</t>
  </si>
  <si>
    <t>133</t>
  </si>
  <si>
    <t>5431577</t>
  </si>
  <si>
    <t>134</t>
  </si>
  <si>
    <t>5161412</t>
  </si>
  <si>
    <t>1025202392159</t>
  </si>
  <si>
    <t>10663641</t>
  </si>
  <si>
    <t>135</t>
  </si>
  <si>
    <t>5272274</t>
  </si>
  <si>
    <t>5431567</t>
  </si>
  <si>
    <t>https://portal.eias.ru/Portal/DownloadPage.aspx?type=12&amp;guid=ff425b5c-3295-4238-af18-8ad33dae5d45</t>
  </si>
  <si>
    <t>1025201987843</t>
  </si>
  <si>
    <t>01509800</t>
  </si>
  <si>
    <t>136</t>
  </si>
  <si>
    <t>5161404</t>
  </si>
  <si>
    <t>1025202834205</t>
  </si>
  <si>
    <t>05788576</t>
  </si>
  <si>
    <t>137</t>
  </si>
  <si>
    <t>5160636</t>
  </si>
  <si>
    <t>5431546</t>
  </si>
  <si>
    <t>https://portal.eias.ru/Portal/DownloadPage.aspx?type=12&amp;guid=da6dd26d-91be-4af4-ab8c-89ce72123790</t>
  </si>
  <si>
    <t>1065229018403</t>
  </si>
  <si>
    <t>97563514</t>
  </si>
  <si>
    <t>138</t>
  </si>
  <si>
    <t>6740521155</t>
  </si>
  <si>
    <t>1215200044070</t>
  </si>
  <si>
    <t>50428387</t>
  </si>
  <si>
    <t>139</t>
  </si>
  <si>
    <t>6134620038</t>
  </si>
  <si>
    <t>1205200024622</t>
  </si>
  <si>
    <t>65164451</t>
  </si>
  <si>
    <t>140</t>
  </si>
  <si>
    <t>5257032</t>
  </si>
  <si>
    <t>https://portal.eias.ru/Portal/DownloadPage.aspx?type=12&amp;guid=77e75a66-24d4-438e-a42a-3190b7f0e730</t>
  </si>
  <si>
    <t>1045207048611</t>
  </si>
  <si>
    <t>14682032</t>
  </si>
  <si>
    <t>141</t>
  </si>
  <si>
    <t>https://portal.eias.ru/Portal/DownloadPage.aspx?type=12&amp;guid=4ffbec5a-bb05-4de8-86cd-4a69e008e1f0</t>
  </si>
  <si>
    <t>142</t>
  </si>
  <si>
    <t>143</t>
  </si>
  <si>
    <t>144</t>
  </si>
  <si>
    <t>497976952</t>
  </si>
  <si>
    <t>https://portal.eias.ru/Portal/DownloadPage.aspx?type=12&amp;guid=c918ee86-c1cc-4c48-9c25-d57088bf7be9</t>
  </si>
  <si>
    <t>1105259002144</t>
  </si>
  <si>
    <t>66721362</t>
  </si>
  <si>
    <t>145</t>
  </si>
  <si>
    <t>1618001579</t>
  </si>
  <si>
    <t>https://portal.eias.ru/Portal/DownloadPage.aspx?type=12&amp;guid=63ac2157-29ff-49d2-8119-23fef9386c77</t>
  </si>
  <si>
    <t>1135246001054</t>
  </si>
  <si>
    <t>25588483</t>
  </si>
  <si>
    <t>146</t>
  </si>
  <si>
    <t>147</t>
  </si>
  <si>
    <t>6742560596</t>
  </si>
  <si>
    <t>1205200019750</t>
  </si>
  <si>
    <t>91550870</t>
  </si>
  <si>
    <t>148</t>
  </si>
  <si>
    <t>1333574268</t>
  </si>
  <si>
    <t>1125246001121</t>
  </si>
  <si>
    <t>10666817</t>
  </si>
  <si>
    <t>149</t>
  </si>
  <si>
    <t>1618001436</t>
  </si>
  <si>
    <t>1135246001000</t>
  </si>
  <si>
    <t>25589369</t>
  </si>
  <si>
    <t>150</t>
  </si>
  <si>
    <t>151</t>
  </si>
  <si>
    <t>5158766</t>
  </si>
  <si>
    <t>5431523</t>
  </si>
  <si>
    <t>https://portal.eias.ru/Portal/DownloadPage.aspx?type=12&amp;guid=cbbe5347-b360-496b-b19d-e1f3e039147c</t>
  </si>
  <si>
    <t>1045206513220</t>
  </si>
  <si>
    <t>74433884</t>
  </si>
  <si>
    <t>152</t>
  </si>
  <si>
    <t>4172877220</t>
  </si>
  <si>
    <t>1025202399518</t>
  </si>
  <si>
    <t>43032861</t>
  </si>
  <si>
    <t>153</t>
  </si>
  <si>
    <t>4028932300</t>
  </si>
  <si>
    <t>https://portal.eias.ru/Portal/DownloadPage.aspx?type=12&amp;guid=bc5a7c76-768f-4219-9d2b-647761871ca7</t>
  </si>
  <si>
    <t>1185275018609</t>
  </si>
  <si>
    <t>28037996</t>
  </si>
  <si>
    <t>154</t>
  </si>
  <si>
    <t>57097394</t>
  </si>
  <si>
    <t>1025203014935</t>
  </si>
  <si>
    <t>58958067</t>
  </si>
  <si>
    <t>155</t>
  </si>
  <si>
    <t>5604330063</t>
  </si>
  <si>
    <t>1085401007361</t>
  </si>
  <si>
    <t>84986710</t>
  </si>
  <si>
    <t>156</t>
  </si>
  <si>
    <t>5158817</t>
  </si>
  <si>
    <t>5431531</t>
  </si>
  <si>
    <t>https://portal.eias.ru/Portal/DownloadPage.aspx?type=12&amp;guid=351a5203-519e-4c3d-9e4c-a6d22173efb4</t>
  </si>
  <si>
    <t>1045206545504</t>
  </si>
  <si>
    <t>74437600</t>
  </si>
  <si>
    <t>157</t>
  </si>
  <si>
    <t>1274516530</t>
  </si>
  <si>
    <t>1125256003993</t>
  </si>
  <si>
    <t>10642935</t>
  </si>
  <si>
    <t>158</t>
  </si>
  <si>
    <t>159</t>
  </si>
  <si>
    <t>1693580915</t>
  </si>
  <si>
    <t>1115235001111</t>
  </si>
  <si>
    <t>92384480</t>
  </si>
  <si>
    <t>160</t>
  </si>
  <si>
    <t>2349358222</t>
  </si>
  <si>
    <t>https://portal.eias.ru/Portal/DownloadPage.aspx?type=12&amp;guid=11293e0b-9f08-48ea-bafb-f72dce10e60d</t>
  </si>
  <si>
    <t>1065260110134</t>
  </si>
  <si>
    <t>98496642</t>
  </si>
  <si>
    <t>161</t>
  </si>
  <si>
    <t>1512788100</t>
  </si>
  <si>
    <t>1125249005716</t>
  </si>
  <si>
    <t>22807140</t>
  </si>
  <si>
    <t>162</t>
  </si>
  <si>
    <t>4082461527</t>
  </si>
  <si>
    <t>1175275036628</t>
  </si>
  <si>
    <t>15646989</t>
  </si>
  <si>
    <t>163</t>
  </si>
  <si>
    <t>5352527187</t>
  </si>
  <si>
    <t>1095228000504</t>
  </si>
  <si>
    <t>55851469</t>
  </si>
  <si>
    <t>164</t>
  </si>
  <si>
    <t>1898148143</t>
  </si>
  <si>
    <t>1145262009903</t>
  </si>
  <si>
    <t>42398169</t>
  </si>
  <si>
    <t>165</t>
  </si>
  <si>
    <t>4645678226</t>
  </si>
  <si>
    <t>2386758236</t>
  </si>
  <si>
    <t>1195275018696</t>
  </si>
  <si>
    <t>37472283</t>
  </si>
  <si>
    <t>166</t>
  </si>
  <si>
    <t>1898148136</t>
  </si>
  <si>
    <t>https://portal.eias.ru/Portal/DownloadPage.aspx?type=12&amp;guid=47be0f76-c311-4b04-8adf-ea45ded684fc</t>
  </si>
  <si>
    <t>1145250001038</t>
  </si>
  <si>
    <t>37631238</t>
  </si>
  <si>
    <t>167</t>
  </si>
  <si>
    <t>2707985253</t>
  </si>
  <si>
    <t>1165275023638</t>
  </si>
  <si>
    <t>51752411</t>
  </si>
  <si>
    <t>168</t>
  </si>
  <si>
    <t>2900259028</t>
  </si>
  <si>
    <t>https://portal.eias.ru/Portal/DownloadPage.aspx?type=12&amp;guid=a804b6af-4ad1-4209-95c2-66934cc0ab4c</t>
  </si>
  <si>
    <t>1155252003081</t>
  </si>
  <si>
    <t>52474322</t>
  </si>
  <si>
    <t>169</t>
  </si>
  <si>
    <t>1834961598</t>
  </si>
  <si>
    <t>1135256005851</t>
  </si>
  <si>
    <t>25593567</t>
  </si>
  <si>
    <t>170</t>
  </si>
  <si>
    <t>171</t>
  </si>
  <si>
    <t>4235649511</t>
  </si>
  <si>
    <t>56516216</t>
  </si>
  <si>
    <t>1111690076618</t>
  </si>
  <si>
    <t>30381399</t>
  </si>
  <si>
    <t>172</t>
  </si>
  <si>
    <t>1350197382</t>
  </si>
  <si>
    <t>1025200935726</t>
  </si>
  <si>
    <t>58954997</t>
  </si>
  <si>
    <t>173</t>
  </si>
  <si>
    <t>1601596692</t>
  </si>
  <si>
    <t>1135235000482</t>
  </si>
  <si>
    <t>25556112</t>
  </si>
  <si>
    <t>174</t>
  </si>
  <si>
    <t>4859118906</t>
  </si>
  <si>
    <t>5423388</t>
  </si>
  <si>
    <t>1147746657629</t>
  </si>
  <si>
    <t>08853363</t>
  </si>
  <si>
    <t>175</t>
  </si>
  <si>
    <t>5161088</t>
  </si>
  <si>
    <t>1065262098263</t>
  </si>
  <si>
    <t>55852859</t>
  </si>
  <si>
    <t>176</t>
  </si>
  <si>
    <t>907453080</t>
  </si>
  <si>
    <t>1085261005741</t>
  </si>
  <si>
    <t>89389580</t>
  </si>
  <si>
    <t>177</t>
  </si>
  <si>
    <t>4224909890</t>
  </si>
  <si>
    <t>1185275065030</t>
  </si>
  <si>
    <t>34727044</t>
  </si>
  <si>
    <t>178</t>
  </si>
  <si>
    <t>4138861567</t>
  </si>
  <si>
    <t>https://portal.eias.ru/Portal/DownloadPage.aspx?type=12&amp;guid=909f6b58-c7de-4906-9fdb-e5677338aa58</t>
  </si>
  <si>
    <t>1185275048166</t>
  </si>
  <si>
    <t>32764934</t>
  </si>
  <si>
    <t>179</t>
  </si>
  <si>
    <t>57097397</t>
  </si>
  <si>
    <t>1025203757094</t>
  </si>
  <si>
    <t>50334930</t>
  </si>
  <si>
    <t>180</t>
  </si>
  <si>
    <t>57097393</t>
  </si>
  <si>
    <t>1065257043059</t>
  </si>
  <si>
    <t>93755866</t>
  </si>
  <si>
    <t>181</t>
  </si>
  <si>
    <t>1977904912</t>
  </si>
  <si>
    <t>https://portal.eias.ru/Portal/DownloadPage.aspx?type=12&amp;guid=2e81ffaa-fdca-4db8-b680-31cfd4bb9c78</t>
  </si>
  <si>
    <t>1145249003680</t>
  </si>
  <si>
    <t>39247509</t>
  </si>
  <si>
    <t>182</t>
  </si>
  <si>
    <t>4739884768</t>
  </si>
  <si>
    <t>https://portal.eias.ru/Portal/DownloadPage.aspx?type=12&amp;guid=1212f09b-608d-4e12-8c47-82e74b257bb7</t>
  </si>
  <si>
    <t>1155259004548</t>
  </si>
  <si>
    <t>52477355</t>
  </si>
  <si>
    <t>183</t>
  </si>
  <si>
    <t>5272328</t>
  </si>
  <si>
    <t>1025203023713</t>
  </si>
  <si>
    <t>25548012</t>
  </si>
  <si>
    <t>184</t>
  </si>
  <si>
    <t>7311802958</t>
  </si>
  <si>
    <t>https://portal.eias.ru/Portal/DownloadPage.aspx?type=12&amp;guid=6d2a1c03-13aa-4c7e-8095-f5229844b836</t>
  </si>
  <si>
    <t>1215200029989</t>
  </si>
  <si>
    <t>48042249</t>
  </si>
  <si>
    <t>185</t>
  </si>
  <si>
    <t>7653012461</t>
  </si>
  <si>
    <t>1025202620233</t>
  </si>
  <si>
    <t>53662113</t>
  </si>
  <si>
    <t>186</t>
  </si>
  <si>
    <t>5004646409</t>
  </si>
  <si>
    <t>https://portal.eias.ru/Portal/DownloadPage.aspx?type=12&amp;guid=500f659c-c756-46a2-9227-55b394715785</t>
  </si>
  <si>
    <t>1195275060474</t>
  </si>
  <si>
    <t>42385161</t>
  </si>
  <si>
    <t>187</t>
  </si>
  <si>
    <t>188</t>
  </si>
  <si>
    <t>5663234620</t>
  </si>
  <si>
    <t>1075252000218</t>
  </si>
  <si>
    <t>99451015</t>
  </si>
  <si>
    <t>189</t>
  </si>
  <si>
    <t>1991391609</t>
  </si>
  <si>
    <t>1095235000882</t>
  </si>
  <si>
    <t>64059522</t>
  </si>
  <si>
    <t>190</t>
  </si>
  <si>
    <t>5357696</t>
  </si>
  <si>
    <t>1075259005249</t>
  </si>
  <si>
    <t>81297855</t>
  </si>
  <si>
    <t>191</t>
  </si>
  <si>
    <t>57443203</t>
  </si>
  <si>
    <t>5431519</t>
  </si>
  <si>
    <t>1085243002294</t>
  </si>
  <si>
    <t>89379972</t>
  </si>
  <si>
    <t>192</t>
  </si>
  <si>
    <t>1538988684</t>
  </si>
  <si>
    <t>1135262002523</t>
  </si>
  <si>
    <t>25565565</t>
  </si>
  <si>
    <t>193</t>
  </si>
  <si>
    <t>907453099</t>
  </si>
  <si>
    <t>1025202831686</t>
  </si>
  <si>
    <t>58961891</t>
  </si>
  <si>
    <t>194</t>
  </si>
  <si>
    <t>3517869862</t>
  </si>
  <si>
    <t>1175275039565</t>
  </si>
  <si>
    <t>15770407</t>
  </si>
  <si>
    <t>195</t>
  </si>
  <si>
    <t>4082461528</t>
  </si>
  <si>
    <t>4082461526</t>
  </si>
  <si>
    <t>1155243001715</t>
  </si>
  <si>
    <t>53680791</t>
  </si>
  <si>
    <t>196</t>
  </si>
  <si>
    <t>6755137841</t>
  </si>
  <si>
    <t>1145235000240</t>
  </si>
  <si>
    <t>37640059</t>
  </si>
  <si>
    <t>197</t>
  </si>
  <si>
    <t>8068169565</t>
  </si>
  <si>
    <t>5416932</t>
  </si>
  <si>
    <t>1197746120770</t>
  </si>
  <si>
    <t>36204285</t>
  </si>
  <si>
    <t>198</t>
  </si>
  <si>
    <t>4263571285</t>
  </si>
  <si>
    <t>56488799</t>
  </si>
  <si>
    <t>1097746356806</t>
  </si>
  <si>
    <t>61787652</t>
  </si>
  <si>
    <t>199</t>
  </si>
  <si>
    <t>57439881</t>
  </si>
  <si>
    <t>1105260010085</t>
  </si>
  <si>
    <t>67779984</t>
  </si>
  <si>
    <t>3517869869</t>
  </si>
  <si>
    <t>5416935</t>
  </si>
  <si>
    <t>1037739238107</t>
  </si>
  <si>
    <t>49937422</t>
  </si>
  <si>
    <t>201</t>
  </si>
  <si>
    <t>5282255</t>
  </si>
  <si>
    <t>1025201679007</t>
  </si>
  <si>
    <t>02580013</t>
  </si>
  <si>
    <t>202</t>
  </si>
  <si>
    <t>5161143</t>
  </si>
  <si>
    <t>1025203018367</t>
  </si>
  <si>
    <t>02580094</t>
  </si>
  <si>
    <t>203</t>
  </si>
  <si>
    <t>5272331</t>
  </si>
  <si>
    <t>1025203037122</t>
  </si>
  <si>
    <t>02580059</t>
  </si>
  <si>
    <t>204</t>
  </si>
  <si>
    <t>907453093</t>
  </si>
  <si>
    <t>1025201772419</t>
  </si>
  <si>
    <t>37629796</t>
  </si>
  <si>
    <t>205</t>
  </si>
  <si>
    <t>784853781</t>
  </si>
  <si>
    <t>1105228000459</t>
  </si>
  <si>
    <t>66726862</t>
  </si>
  <si>
    <t>206</t>
  </si>
  <si>
    <t>4082461525</t>
  </si>
  <si>
    <t>1175275071410</t>
  </si>
  <si>
    <t>19831956</t>
  </si>
  <si>
    <t>207</t>
  </si>
  <si>
    <t>7950077868</t>
  </si>
  <si>
    <t>1245200000946</t>
  </si>
  <si>
    <t>85114544</t>
  </si>
  <si>
    <t>208</t>
  </si>
  <si>
    <t>4945852553</t>
  </si>
  <si>
    <t>209</t>
  </si>
  <si>
    <t>6732952801</t>
  </si>
  <si>
    <t>https://portal.eias.ru/Portal/DownloadPage.aspx?type=12&amp;guid=81878705-b17b-438c-af7e-26ef75698f2e</t>
  </si>
  <si>
    <t>1205200040154</t>
  </si>
  <si>
    <t>45974751</t>
  </si>
  <si>
    <t>210</t>
  </si>
  <si>
    <t>211</t>
  </si>
  <si>
    <t>2295195628</t>
  </si>
  <si>
    <t>1095250002209</t>
  </si>
  <si>
    <t>62231589</t>
  </si>
  <si>
    <t>212</t>
  </si>
  <si>
    <t>1618001162</t>
  </si>
  <si>
    <t>1135246001021</t>
  </si>
  <si>
    <t>25589413</t>
  </si>
  <si>
    <t>213</t>
  </si>
  <si>
    <t>5272134</t>
  </si>
  <si>
    <t>https://portal.eias.ru/Portal/DownloadPage.aspx?type=12&amp;guid=e02b892d-b606-4eae-92a2-deef0f86f5a6</t>
  </si>
  <si>
    <t>1065243032865</t>
  </si>
  <si>
    <t>96652428</t>
  </si>
  <si>
    <t>214</t>
  </si>
  <si>
    <t>57443202</t>
  </si>
  <si>
    <t>https://portal.eias.ru/Portal/DownloadPage.aspx?type=12&amp;guid=0b955e09-8408-4c96-92a3-e00b75b00bdf</t>
  </si>
  <si>
    <t>1095254001424</t>
  </si>
  <si>
    <t>65793141</t>
  </si>
  <si>
    <t>215</t>
  </si>
  <si>
    <t>1333670917</t>
  </si>
  <si>
    <t>1125256003949</t>
  </si>
  <si>
    <t>10641639</t>
  </si>
  <si>
    <t>216</t>
  </si>
  <si>
    <t>1319632594</t>
  </si>
  <si>
    <t>https://portal.eias.ru/Portal/DownloadPage.aspx?type=12&amp;guid=3c5f4e15-952d-4456-a72f-6872edc71e8a</t>
  </si>
  <si>
    <t>1095228000515</t>
  </si>
  <si>
    <t>63237881</t>
  </si>
  <si>
    <t>217</t>
  </si>
  <si>
    <t>604285037</t>
  </si>
  <si>
    <t>1105250002010</t>
  </si>
  <si>
    <t>66738552</t>
  </si>
  <si>
    <t>218</t>
  </si>
  <si>
    <t>2705143897</t>
  </si>
  <si>
    <t>5448828</t>
  </si>
  <si>
    <t>1155024008480</t>
  </si>
  <si>
    <t>13389599</t>
  </si>
  <si>
    <t>219</t>
  </si>
  <si>
    <t>6075126271</t>
  </si>
  <si>
    <t>5416933</t>
  </si>
  <si>
    <t>1197746677226</t>
  </si>
  <si>
    <t>4221175220002</t>
  </si>
  <si>
    <t>220</t>
  </si>
  <si>
    <t>6772965420</t>
  </si>
  <si>
    <t>221</t>
  </si>
  <si>
    <t>5161378</t>
  </si>
  <si>
    <t>https://portal.eias.ru/Portal/DownloadPage.aspx?type=12&amp;guid=b352d979-c1b4-4171-ab74-18206d72902c</t>
  </si>
  <si>
    <t>1025202404754</t>
  </si>
  <si>
    <t>58587406</t>
  </si>
  <si>
    <t>222</t>
  </si>
  <si>
    <t>5161281</t>
  </si>
  <si>
    <t>1025203018950</t>
  </si>
  <si>
    <t>57178114</t>
  </si>
  <si>
    <t>223</t>
  </si>
  <si>
    <t>2704513560</t>
  </si>
  <si>
    <t>1145260011709</t>
  </si>
  <si>
    <t>39253705</t>
  </si>
  <si>
    <t>224</t>
  </si>
  <si>
    <t>2704513554</t>
  </si>
  <si>
    <t>1135257007170</t>
  </si>
  <si>
    <t>25664190</t>
  </si>
  <si>
    <t>225</t>
  </si>
  <si>
    <t>2900340420</t>
  </si>
  <si>
    <t>1165275038928</t>
  </si>
  <si>
    <t>04108131</t>
  </si>
  <si>
    <t>226</t>
  </si>
  <si>
    <t>57292740</t>
  </si>
  <si>
    <t>1095228000394</t>
  </si>
  <si>
    <t>62227553</t>
  </si>
  <si>
    <t>227</t>
  </si>
  <si>
    <t>484559525</t>
  </si>
  <si>
    <t>https://portal.eias.ru/Portal/DownloadPage.aspx?type=12&amp;guid=9bb920ce-a965-4617-ae18-b743151a69e8</t>
  </si>
  <si>
    <t>1095235000497</t>
  </si>
  <si>
    <t>62227748</t>
  </si>
  <si>
    <t>228</t>
  </si>
  <si>
    <t>5161487</t>
  </si>
  <si>
    <t>1065260106526</t>
  </si>
  <si>
    <t>97556804</t>
  </si>
  <si>
    <t>229</t>
  </si>
  <si>
    <t>8025289795</t>
  </si>
  <si>
    <t>230</t>
  </si>
  <si>
    <t>5161130</t>
  </si>
  <si>
    <t>1025202121141</t>
  </si>
  <si>
    <t>51750990</t>
  </si>
  <si>
    <t>231</t>
  </si>
  <si>
    <t>57231288</t>
  </si>
  <si>
    <t>1095252000172</t>
  </si>
  <si>
    <t>89866488</t>
  </si>
  <si>
    <t>232</t>
  </si>
  <si>
    <t>1991387387</t>
  </si>
  <si>
    <t>5431568</t>
  </si>
  <si>
    <t>1145247000513</t>
  </si>
  <si>
    <t>37638424</t>
  </si>
  <si>
    <t>233</t>
  </si>
  <si>
    <t>3698697260</t>
  </si>
  <si>
    <t>1175275015871</t>
  </si>
  <si>
    <t>06897497</t>
  </si>
  <si>
    <t>234</t>
  </si>
  <si>
    <t>1855614368</t>
  </si>
  <si>
    <t>1145254001254</t>
  </si>
  <si>
    <t>05042948</t>
  </si>
  <si>
    <t>235</t>
  </si>
  <si>
    <t>4987168286</t>
  </si>
  <si>
    <t>1115244000728</t>
  </si>
  <si>
    <t>92375535</t>
  </si>
  <si>
    <t>236</t>
  </si>
  <si>
    <t>5257019</t>
  </si>
  <si>
    <t>1025201677038</t>
  </si>
  <si>
    <t>05745130</t>
  </si>
  <si>
    <t>237</t>
  </si>
  <si>
    <t>5174523</t>
  </si>
  <si>
    <t>1025204410110</t>
  </si>
  <si>
    <t>08844022</t>
  </si>
  <si>
    <t>238</t>
  </si>
  <si>
    <t>5272178</t>
  </si>
  <si>
    <t>1025200937508</t>
  </si>
  <si>
    <t>05808965</t>
  </si>
  <si>
    <t>239</t>
  </si>
  <si>
    <t>6617072024</t>
  </si>
  <si>
    <t>5431584</t>
  </si>
  <si>
    <t>1067759884598</t>
  </si>
  <si>
    <t>54138137</t>
  </si>
  <si>
    <t>240</t>
  </si>
  <si>
    <t>5257028</t>
  </si>
  <si>
    <t>1025202121757</t>
  </si>
  <si>
    <t>05808764</t>
  </si>
  <si>
    <t>241</t>
  </si>
  <si>
    <t>5161444</t>
  </si>
  <si>
    <t>1025202125068</t>
  </si>
  <si>
    <t>02955252</t>
  </si>
  <si>
    <t>242</t>
  </si>
  <si>
    <t>1269388929</t>
  </si>
  <si>
    <t>1065228016655</t>
  </si>
  <si>
    <t>98511703</t>
  </si>
  <si>
    <t>243</t>
  </si>
  <si>
    <t>7607919643</t>
  </si>
  <si>
    <t>1235200034178</t>
  </si>
  <si>
    <t>61121226</t>
  </si>
  <si>
    <t>244</t>
  </si>
  <si>
    <t>5160993</t>
  </si>
  <si>
    <t>1025201682340</t>
  </si>
  <si>
    <t>37628704</t>
  </si>
  <si>
    <t>245</t>
  </si>
  <si>
    <t>5158918</t>
  </si>
  <si>
    <t>5431536</t>
  </si>
  <si>
    <t>1025201677599</t>
  </si>
  <si>
    <t>03630049</t>
  </si>
  <si>
    <t>246</t>
  </si>
  <si>
    <t>57096109</t>
  </si>
  <si>
    <t>https://portal.eias.ru/Portal/DownloadPage.aspx?type=12&amp;guid=06d1e859-8107-4e86-8b70-e8caaf0415ed</t>
  </si>
  <si>
    <t>1065250026236</t>
  </si>
  <si>
    <t>95626802</t>
  </si>
  <si>
    <t>247</t>
  </si>
  <si>
    <t>6727928202</t>
  </si>
  <si>
    <t>1025203045900</t>
  </si>
  <si>
    <t>07564473</t>
  </si>
  <si>
    <t>248</t>
  </si>
  <si>
    <t>3089489028</t>
  </si>
  <si>
    <t>2322898924</t>
  </si>
  <si>
    <t>1027700430889</t>
  </si>
  <si>
    <t>08429553</t>
  </si>
  <si>
    <t>249</t>
  </si>
  <si>
    <t>250</t>
  </si>
  <si>
    <t>5495529</t>
  </si>
  <si>
    <t>1025202199791</t>
  </si>
  <si>
    <t>07623615</t>
  </si>
  <si>
    <t>251</t>
  </si>
  <si>
    <t>5160451</t>
  </si>
  <si>
    <t>56472455</t>
  </si>
  <si>
    <t>1027739456084</t>
  </si>
  <si>
    <t>22804495</t>
  </si>
  <si>
    <t>252</t>
  </si>
  <si>
    <t>5257020</t>
  </si>
  <si>
    <t>1025201752982</t>
  </si>
  <si>
    <t>07510508</t>
  </si>
  <si>
    <t>253</t>
  </si>
  <si>
    <t>254</t>
  </si>
  <si>
    <t>255</t>
  </si>
  <si>
    <t>5357674</t>
  </si>
  <si>
    <t>1025200867560</t>
  </si>
  <si>
    <t>08828849</t>
  </si>
  <si>
    <t>256</t>
  </si>
  <si>
    <t>5158980</t>
  </si>
  <si>
    <t>5501758</t>
  </si>
  <si>
    <t>1025200913044</t>
  </si>
  <si>
    <t>08828879</t>
  </si>
  <si>
    <t>257</t>
  </si>
  <si>
    <t>907188106</t>
  </si>
  <si>
    <t>1025200867581</t>
  </si>
  <si>
    <t>08828773</t>
  </si>
  <si>
    <t>258</t>
  </si>
  <si>
    <t>1333672527</t>
  </si>
  <si>
    <t>1025201019216</t>
  </si>
  <si>
    <t>259</t>
  </si>
  <si>
    <t>5282251</t>
  </si>
  <si>
    <t>1025200867614</t>
  </si>
  <si>
    <t>08828738</t>
  </si>
  <si>
    <t>260</t>
  </si>
  <si>
    <t>5112366</t>
  </si>
  <si>
    <t>56533227</t>
  </si>
  <si>
    <t>2401378241</t>
  </si>
  <si>
    <t>https://portal.eias.ru/Portal/DownloadPage.aspx?type=12&amp;guid=8c435131-bb4a-4c4d-87cc-674a80a1556b</t>
  </si>
  <si>
    <t>1056315070350</t>
  </si>
  <si>
    <t>75687606</t>
  </si>
  <si>
    <t>261</t>
  </si>
  <si>
    <t>2401379995</t>
  </si>
  <si>
    <t>262</t>
  </si>
  <si>
    <t>https://portal.eias.ru/Portal/DownloadPage.aspx?type=12&amp;guid=2e1b7887-781b-4c3a-b720-17c7fa6305ca</t>
  </si>
  <si>
    <t>263</t>
  </si>
  <si>
    <t>https://portal.eias.ru/Portal/DownloadPage.aspx?type=12&amp;guid=f2baa076-8966-450d-956c-8aa12d2a11bb</t>
  </si>
  <si>
    <t>264</t>
  </si>
  <si>
    <t>5158665</t>
  </si>
  <si>
    <t>5431545</t>
  </si>
  <si>
    <t>497976927</t>
  </si>
  <si>
    <t>1025203016332</t>
  </si>
  <si>
    <t>36748955</t>
  </si>
  <si>
    <t>265</t>
  </si>
  <si>
    <t>5882077739</t>
  </si>
  <si>
    <t>110.1</t>
  </si>
  <si>
    <t>Город Нижний Новгород</t>
  </si>
  <si>
    <t>Горячая вода. через тепловую сеть</t>
  </si>
  <si>
    <t>4195.34</t>
  </si>
  <si>
    <t>4318.33</t>
  </si>
  <si>
    <t>4318.76</t>
  </si>
  <si>
    <t>Общий показатель</t>
  </si>
  <si>
    <t>Дата последнего обновления данных мониторинга инвестиционных программ: 09.09.2025 10:31:57</t>
  </si>
  <si>
    <t>Шунаев Игорь Борисович</t>
  </si>
  <si>
    <t>главный инженер</t>
  </si>
  <si>
    <t>(831) 233-44-48</t>
  </si>
  <si>
    <t>tremalenergy@yandex.ru</t>
  </si>
  <si>
    <t>Тариф: Носитель - горячая вода (Т)</t>
  </si>
  <si>
    <t>NO_TRANSPORT</t>
  </si>
  <si>
    <t>котельная с сетями</t>
  </si>
  <si>
    <t>ТИ с сетями</t>
  </si>
  <si>
    <t>пр. Гагарина</t>
  </si>
  <si>
    <t>5.6</t>
  </si>
  <si>
    <t>4.82</t>
  </si>
  <si>
    <t>[Газ природный]</t>
  </si>
  <si>
    <t>Дата последнего обновления данных мониторинга принятых тарифных решений на 2024 год: 09.09.2025 10:37:29</t>
  </si>
  <si>
    <t>Дата последнего обновления данных мониторинга "Реестр объектов инфраструктуры": 09.09.2025 10:37:29</t>
  </si>
  <si>
    <t>ПР-ВО</t>
  </si>
  <si>
    <t>ТР-КА</t>
  </si>
  <si>
    <t>СБЫТ</t>
  </si>
  <si>
    <t>Производство. Установленная мощность</t>
  </si>
  <si>
    <t>Производство. Подключенная нагрузка</t>
  </si>
  <si>
    <t>Передача. Установленная мощность</t>
  </si>
  <si>
    <t>Передача. Подключенная нагрузка</t>
  </si>
  <si>
    <t>Сбыт. Установленная мощность</t>
  </si>
  <si>
    <t>Сбыт. Подключенная нагрузка</t>
  </si>
  <si>
    <t>Список видов топлива</t>
  </si>
  <si>
    <t>NG;NGL;</t>
  </si>
  <si>
    <t>3/6/2026  6:05:00 PM</t>
  </si>
  <si>
    <t>Проверка доступных обновлений...</t>
  </si>
  <si>
    <t>Информация</t>
  </si>
  <si>
    <t>3/6/2026  6:05:01 PM</t>
  </si>
  <si>
    <t>Доступно обновление до версии 1.0.4</t>
  </si>
  <si>
    <t>Описание изменений: Версия 1.0.4
- Модификация формул в строках 536:542, 563:569 на листе "Т"
- Модификация формул в блоке "Фактически исполнено инвестиций за [отчётный] год, тыс.руб." на листе "КС"
Версия 1.0.3
- Модификация формул в блоке "Полезный отпуск продукции всего" (строка 1104) на листе "Т"
Версия 1.0.2
- Модификация формул в блоке "Фактически исполнено инвестиций за [отчётный] год, тыс.руб." на листе "КС"
Версия 1.0.1
- Модификация формул расчёта на листе "БПр"</t>
  </si>
  <si>
    <t>Размер файла обновления: 322560 байт</t>
  </si>
  <si>
    <t>3/6/2026  6:05:09 PM</t>
  </si>
  <si>
    <t>Обновление отменено пользователем</t>
  </si>
  <si>
    <t>Предупреждение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</si>
</sst>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&quot;₽&quot;* #,##0_);_(&quot;₽&quot;* \(#,##0\);_(&quot;₽&quot;* &quot;-&quot;_);_(@_)"/>
    <numFmt numFmtId="165" formatCode="_(* #,##0_);_(* \(#,##0\);_(* &quot;-&quot;_);_(@_)"/>
    <numFmt numFmtId="166" formatCode="_(&quot;₽&quot;* #,##0.00_);_(&quot;₽&quot;* \(#,##0.00\);_(&quot;₽&quot;* &quot;-&quot;??_);_(@_)"/>
    <numFmt numFmtId="167" formatCode="_(* #,##0.00_);_(* \(#,##0.00\);_(* &quot;-&quot;??_);_(@_)"/>
    <numFmt numFmtId="168" formatCode="0.0%"/>
    <numFmt numFmtId="169" formatCode="_-* #,##0.00[$€-1]_-;\-* #,##0.00[$€-1]_-;_-* &quot;-&quot;??[$€-1]_-"/>
    <numFmt numFmtId="170" formatCode="&quot;$&quot;#,##0_);[Red]\(&quot;$&quot;#,##0\)"/>
  </numFmts>
  <fonts count="101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10"/>
      <name val="Tahoma"/>
      <family val="2"/>
      <charset val="204"/>
    </font>
    <font>
      <sz val="11"/>
      <color indexed="62"/>
      <name val="Calibri"/>
      <family val="2"/>
      <charset val="204"/>
    </font>
    <font>
      <b/>
      <sz val="10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8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Tahoma"/>
      <family val="2"/>
      <charset val="204"/>
    </font>
    <font>
      <u/>
      <sz val="20"/>
      <color indexed="56"/>
      <name val="Tahoma"/>
      <family val="2"/>
      <charset val="204"/>
    </font>
    <font>
      <sz val="9"/>
      <color indexed="10"/>
      <name val="Tahoma"/>
      <family val="2"/>
      <charset val="204"/>
    </font>
    <font>
      <b/>
      <u/>
      <sz val="9"/>
      <color indexed="9"/>
      <name val="Tahoma"/>
      <family val="2"/>
      <charset val="204"/>
    </font>
    <font>
      <sz val="5"/>
      <name val="Tahoma"/>
      <family val="2"/>
      <charset val="204"/>
    </font>
    <font>
      <sz val="11"/>
      <color indexed="9"/>
      <name val="Tahoma"/>
      <family val="2"/>
      <charset val="204"/>
    </font>
    <font>
      <b/>
      <sz val="9"/>
      <color indexed="60"/>
      <name val="Wingdings 3"/>
      <family val="1"/>
      <charset val="2"/>
    </font>
    <font>
      <sz val="9"/>
      <color indexed="55"/>
      <name val="Tahoma"/>
      <family val="2"/>
      <charset val="204"/>
    </font>
    <font>
      <sz val="9"/>
      <color indexed="18"/>
      <name val="Tahoma"/>
      <family val="2"/>
      <charset val="204"/>
    </font>
    <font>
      <sz val="9"/>
      <color indexed="53"/>
      <name val="Tahoma"/>
      <family val="2"/>
      <charset val="204"/>
    </font>
    <font>
      <i/>
      <sz val="9"/>
      <name val="Tahoma"/>
      <family val="2"/>
      <charset val="204"/>
    </font>
    <font>
      <sz val="9"/>
      <color indexed="42"/>
      <name val="Tahoma"/>
      <family val="2"/>
      <charset val="204"/>
    </font>
    <font>
      <sz val="9"/>
      <color indexed="53"/>
      <name val="Tahoma"/>
      <family val="2"/>
      <charset val="204"/>
    </font>
    <font>
      <b/>
      <sz val="9"/>
      <color indexed="22"/>
      <name val="Tahoma"/>
      <family val="2"/>
      <charset val="204"/>
    </font>
    <font>
      <b/>
      <sz val="10"/>
      <color indexed="22"/>
      <name val="Wingdings 2"/>
      <family val="1"/>
      <charset val="2"/>
    </font>
    <font>
      <b/>
      <sz val="14"/>
      <color indexed="12"/>
      <name val="Tahoma"/>
      <family val="2"/>
      <charset val="204"/>
    </font>
    <font>
      <i/>
      <sz val="9"/>
      <color indexed="8"/>
      <name val="Tahoma"/>
      <family val="2"/>
      <charset val="204"/>
    </font>
    <font>
      <sz val="9"/>
      <color indexed="9"/>
      <name val="Tahoma"/>
      <family val="2"/>
      <charset val="204"/>
    </font>
    <font>
      <sz val="9"/>
      <color indexed="23"/>
      <name val="Tahoma"/>
      <family val="2"/>
      <charset val="204"/>
    </font>
    <font>
      <sz val="14"/>
      <color indexed="12"/>
      <name val="Tahoma"/>
      <family val="2"/>
      <charset val="204"/>
    </font>
    <font>
      <sz val="14"/>
      <name val="Tahoma"/>
      <family val="2"/>
      <charset val="204"/>
    </font>
    <font>
      <sz val="14"/>
      <color indexed="18"/>
      <name val="Tahoma"/>
      <family val="2"/>
      <charset val="204"/>
    </font>
    <font>
      <sz val="11"/>
      <color indexed="8"/>
      <name val="Marlett"/>
      <charset val="2"/>
    </font>
    <font>
      <u/>
      <sz val="9"/>
      <color indexed="62"/>
      <name val="Tahoma"/>
      <family val="2"/>
      <charset val="204"/>
    </font>
    <font>
      <u/>
      <sz val="9"/>
      <color indexed="18"/>
      <name val="Tahoma"/>
      <family val="2"/>
      <charset val="204"/>
    </font>
    <font>
      <sz val="9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i/>
      <sz val="8"/>
      <name val="Tahoma"/>
      <family val="2"/>
      <charset val="204"/>
    </font>
    <font>
      <vertAlign val="superscript"/>
      <sz val="8"/>
      <name val="Tahoma"/>
      <family val="2"/>
      <charset val="204"/>
    </font>
    <font>
      <sz val="8"/>
      <color indexed="48"/>
      <name val="Tahoma"/>
      <family val="2"/>
      <charset val="204"/>
    </font>
    <font>
      <sz val="9"/>
      <color indexed="9"/>
      <name val="Tahoma"/>
      <family val="2"/>
      <charset val="204"/>
    </font>
    <font>
      <u/>
      <sz val="10"/>
      <color indexed="18"/>
      <name val="Tahoma"/>
      <family val="2"/>
      <charset val="204"/>
    </font>
    <font>
      <sz val="9"/>
      <color indexed="53"/>
      <name val="Tahoma"/>
      <family val="2"/>
      <charset val="204"/>
    </font>
    <font>
      <u/>
      <sz val="10"/>
      <color indexed="12"/>
      <name val="Tahoma"/>
      <family val="2"/>
      <charset val="204"/>
    </font>
    <font>
      <sz val="14"/>
      <color indexed="23"/>
      <name val="Marlett"/>
      <charset val="2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sz val="10"/>
      <name val="Helv"/>
    </font>
    <font>
      <sz val="10"/>
      <name val="Helv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6"/>
      <name val="Marlett"/>
      <charset val="2"/>
    </font>
    <font>
      <sz val="8"/>
      <color indexed="8"/>
      <name val="Tahoma"/>
      <family val="2"/>
      <charset val="204"/>
    </font>
    <font>
      <vertAlign val="superscript"/>
      <sz val="8"/>
      <color indexed="8"/>
      <name val="Tahoma"/>
      <family val="2"/>
      <charset val="204"/>
    </font>
    <font>
      <sz val="8"/>
      <color indexed="10"/>
      <name val="Tahoma"/>
      <family val="2"/>
      <charset val="204"/>
    </font>
    <font>
      <sz val="8"/>
      <color indexed="42"/>
      <name val="Tahoma"/>
      <family val="2"/>
      <charset val="204"/>
    </font>
    <font>
      <sz val="8"/>
      <color indexed="18"/>
      <name val="Tahoma"/>
      <family val="2"/>
      <charset val="204"/>
    </font>
    <font>
      <b/>
      <sz val="9"/>
      <color indexed="18"/>
      <name val="Tahoma"/>
      <family val="2"/>
      <charset val="204"/>
    </font>
    <font>
      <sz val="8"/>
      <color indexed="23"/>
      <name val="Tahoma"/>
      <family val="2"/>
      <charset val="204"/>
    </font>
    <font>
      <sz val="9"/>
      <color indexed="22"/>
      <name val="Tahoma"/>
      <family val="2"/>
      <charset val="204"/>
    </font>
    <font>
      <sz val="9"/>
      <color indexed="13"/>
      <name val="Tahoma"/>
      <family val="2"/>
      <charset val="204"/>
    </font>
    <font>
      <sz val="12"/>
      <color indexed="18"/>
      <name val="Marlett"/>
      <charset val="2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sz val="8"/>
      <color theme="5" tint="0.39997558519241921"/>
      <name val="Tahoma"/>
      <family val="2"/>
      <charset val="204"/>
    </font>
    <font>
      <sz val="8"/>
      <color rgb="FF00B050"/>
      <name val="Tahoma"/>
      <family val="2"/>
      <charset val="204"/>
    </font>
    <font>
      <sz val="8"/>
      <color rgb="FF0070C0"/>
      <name val="Tahoma"/>
      <family val="2"/>
      <charset val="204"/>
    </font>
    <font>
      <sz val="8"/>
      <color rgb="FF002060"/>
      <name val="Tahoma"/>
      <family val="2"/>
      <charset val="204"/>
    </font>
    <font>
      <sz val="8"/>
      <color rgb="FF7030A0"/>
      <name val="Tahoma"/>
      <family val="2"/>
      <charset val="204"/>
    </font>
    <font>
      <sz val="8"/>
      <color rgb="FFFFC000"/>
      <name val="Tahoma"/>
      <family val="2"/>
      <charset val="204"/>
    </font>
    <font>
      <sz val="8"/>
      <color rgb="FFC00000"/>
      <name val="Tahoma"/>
      <family val="2"/>
      <charset val="204"/>
    </font>
    <font>
      <sz val="8"/>
      <color rgb="FF92D050"/>
      <name val="Tahoma"/>
      <family val="2"/>
      <charset val="204"/>
    </font>
    <font>
      <sz val="9"/>
      <color theme="1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9"/>
      <name val="Wingdings 2"/>
      <family val="1"/>
      <charset val="2"/>
    </font>
    <font>
      <sz val="5"/>
      <color indexed="9"/>
      <name val="Tahoma"/>
      <family val="2"/>
      <charset val="204"/>
    </font>
  </fonts>
  <fills count="6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CBCB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3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ck">
        <color indexed="58"/>
      </left>
      <right style="thick">
        <color indexed="58"/>
      </right>
      <top style="thick">
        <color indexed="58"/>
      </top>
      <bottom style="thick">
        <color indexed="58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n">
        <color indexed="22"/>
      </left>
      <right style="thin">
        <color indexed="23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/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/>
      <diagonal/>
    </border>
    <border>
      <left/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/>
      <top/>
      <bottom style="hair">
        <color indexed="22"/>
      </bottom>
      <diagonal/>
    </border>
    <border>
      <left/>
      <right style="hair">
        <color indexed="22"/>
      </right>
      <top/>
      <bottom style="hair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3"/>
      </bottom>
      <diagonal/>
    </border>
    <border>
      <left style="thin">
        <color indexed="22"/>
      </left>
      <right/>
      <top style="thin">
        <color indexed="22"/>
      </top>
      <bottom style="thin">
        <color indexed="23"/>
      </bottom>
      <diagonal/>
    </border>
    <border>
      <left style="thin">
        <color indexed="22"/>
      </left>
      <right/>
      <top style="thin">
        <color indexed="23"/>
      </top>
      <bottom/>
      <diagonal/>
    </border>
    <border>
      <left style="thin">
        <color indexed="22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2"/>
      </top>
      <bottom/>
      <diagonal/>
    </border>
    <border>
      <left style="thin">
        <color indexed="23"/>
      </left>
      <right/>
      <top style="thin">
        <color indexed="22"/>
      </top>
      <bottom/>
      <diagonal/>
    </border>
    <border>
      <left style="thin">
        <color indexed="23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/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2"/>
      </bottom>
      <diagonal/>
    </border>
    <border>
      <left/>
      <right/>
      <top style="thin">
        <color indexed="23"/>
      </top>
      <bottom style="thin">
        <color indexed="22"/>
      </bottom>
      <diagonal/>
    </border>
    <border>
      <left style="thin">
        <color indexed="22"/>
      </left>
      <right/>
      <top style="thin">
        <color indexed="23"/>
      </top>
      <bottom style="thin">
        <color indexed="22"/>
      </bottom>
      <diagonal/>
    </border>
    <border>
      <left/>
      <right style="thin">
        <color indexed="23"/>
      </right>
      <top style="thin">
        <color indexed="22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49" fontId="0" fillId="0" borderId="0" applyBorder="0">
      <alignment vertical="top"/>
    </xf>
    <xf numFmtId="0" fontId="56" fillId="0" borderId="0"/>
    <xf numFmtId="169" fontId="56" fillId="0" borderId="0"/>
    <xf numFmtId="0" fontId="57" fillId="0" borderId="0"/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38" fontId="58" fillId="0" borderId="0">
      <alignment vertical="top"/>
    </xf>
    <xf numFmtId="170" fontId="50" fillId="0" borderId="0" applyFont="0" applyFill="0" applyBorder="0" applyAlignment="0" applyProtection="0"/>
    <xf numFmtId="0" fontId="51" fillId="0" borderId="0" applyFill="0" applyBorder="0" applyProtection="0">
      <alignment vertical="center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0" fontId="55" fillId="0" borderId="0"/>
    <xf numFmtId="0" fontId="51" fillId="0" borderId="0" applyFill="0" applyBorder="0" applyProtection="0">
      <alignment vertical="center"/>
    </xf>
    <xf numFmtId="0" fontId="51" fillId="0" borderId="0" applyFill="0" applyBorder="0" applyProtection="0">
      <alignment vertical="center"/>
    </xf>
    <xf numFmtId="0" fontId="5" fillId="2" borderId="1" applyNumberFormat="0" applyAlignment="0" applyProtection="0"/>
    <xf numFmtId="49" fontId="38" fillId="0" borderId="0" applyNumberFormat="0" applyFill="0" applyBorder="0" applyAlignment="0" applyProtection="0">
      <alignment vertical="top"/>
    </xf>
    <xf numFmtId="4" fontId="1" fillId="3" borderId="2" applyBorder="0">
      <alignment horizontal="right"/>
    </xf>
    <xf numFmtId="49" fontId="1" fillId="0" borderId="0" applyBorder="0">
      <alignment vertical="top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9" fillId="0" borderId="0"/>
    <xf numFmtId="49" fontId="1" fillId="0" borderId="0" applyBorder="0">
      <alignment vertical="top"/>
    </xf>
    <xf numFmtId="0" fontId="59" fillId="0" borderId="0"/>
    <xf numFmtId="0" fontId="83" fillId="0" borderId="0" applyNumberFormat="0" applyFill="0" applyBorder="0" applyAlignment="0" applyProtection="0"/>
    <xf numFmtId="0" fontId="84" fillId="0" borderId="47" applyNumberFormat="0" applyFill="0" applyAlignment="0" applyProtection="0"/>
    <xf numFmtId="0" fontId="85" fillId="0" borderId="48" applyNumberFormat="0" applyFill="0" applyAlignment="0" applyProtection="0"/>
    <xf numFmtId="0" fontId="86" fillId="0" borderId="49" applyNumberFormat="0" applyFill="0" applyAlignment="0" applyProtection="0"/>
    <xf numFmtId="0" fontId="86" fillId="0" borderId="0" applyNumberFormat="0" applyFill="0" applyBorder="0" applyAlignment="0" applyProtection="0"/>
    <xf numFmtId="0" fontId="87" fillId="22" borderId="0" applyNumberFormat="0" applyBorder="0" applyAlignment="0" applyProtection="0"/>
    <xf numFmtId="0" fontId="88" fillId="23" borderId="0" applyNumberFormat="0" applyBorder="0" applyAlignment="0" applyProtection="0"/>
    <xf numFmtId="0" fontId="89" fillId="24" borderId="0" applyNumberFormat="0" applyBorder="0" applyAlignment="0" applyProtection="0"/>
    <xf numFmtId="0" fontId="90" fillId="25" borderId="50" applyNumberFormat="0" applyAlignment="0" applyProtection="0"/>
    <xf numFmtId="0" fontId="91" fillId="25" borderId="51" applyNumberFormat="0" applyAlignment="0" applyProtection="0"/>
    <xf numFmtId="0" fontId="92" fillId="0" borderId="52" applyNumberFormat="0" applyFill="0" applyAlignment="0" applyProtection="0"/>
    <xf numFmtId="0" fontId="93" fillId="26" borderId="53" applyNumberFormat="0" applyAlignment="0" applyProtection="0"/>
    <xf numFmtId="0" fontId="94" fillId="0" borderId="0" applyNumberFormat="0" applyFill="0" applyBorder="0" applyAlignment="0" applyProtection="0"/>
    <xf numFmtId="0" fontId="1" fillId="27" borderId="54" applyNumberFormat="0" applyFont="0" applyAlignment="0" applyProtection="0"/>
    <xf numFmtId="0" fontId="95" fillId="0" borderId="0" applyNumberFormat="0" applyFill="0" applyBorder="0" applyAlignment="0" applyProtection="0"/>
    <xf numFmtId="0" fontId="96" fillId="0" borderId="55" applyNumberFormat="0" applyFill="0" applyAlignment="0" applyProtection="0"/>
    <xf numFmtId="0" fontId="97" fillId="28" borderId="0" applyNumberFormat="0" applyBorder="0" applyAlignment="0" applyProtection="0"/>
    <xf numFmtId="0" fontId="98" fillId="29" borderId="0" applyNumberFormat="0" applyBorder="0" applyAlignment="0" applyProtection="0"/>
    <xf numFmtId="0" fontId="98" fillId="30" borderId="0" applyNumberFormat="0" applyBorder="0" applyAlignment="0" applyProtection="0"/>
    <xf numFmtId="0" fontId="97" fillId="31" borderId="0" applyNumberFormat="0" applyBorder="0" applyAlignment="0" applyProtection="0"/>
    <xf numFmtId="0" fontId="97" fillId="32" borderId="0" applyNumberFormat="0" applyBorder="0" applyAlignment="0" applyProtection="0"/>
    <xf numFmtId="0" fontId="98" fillId="33" borderId="0" applyNumberFormat="0" applyBorder="0" applyAlignment="0" applyProtection="0"/>
    <xf numFmtId="0" fontId="98" fillId="34" borderId="0" applyNumberFormat="0" applyBorder="0" applyAlignment="0" applyProtection="0"/>
    <xf numFmtId="0" fontId="97" fillId="35" borderId="0" applyNumberFormat="0" applyBorder="0" applyAlignment="0" applyProtection="0"/>
    <xf numFmtId="0" fontId="97" fillId="36" borderId="0" applyNumberFormat="0" applyBorder="0" applyAlignment="0" applyProtection="0"/>
    <xf numFmtId="0" fontId="98" fillId="37" borderId="0" applyNumberFormat="0" applyBorder="0" applyAlignment="0" applyProtection="0"/>
    <xf numFmtId="0" fontId="98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0" borderId="0" applyNumberFormat="0" applyBorder="0" applyAlignment="0" applyProtection="0"/>
    <xf numFmtId="0" fontId="98" fillId="41" borderId="0" applyNumberFormat="0" applyBorder="0" applyAlignment="0" applyProtection="0"/>
    <xf numFmtId="0" fontId="98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4" borderId="0" applyNumberFormat="0" applyBorder="0" applyAlignment="0" applyProtection="0"/>
    <xf numFmtId="0" fontId="98" fillId="45" borderId="0" applyNumberFormat="0" applyBorder="0" applyAlignment="0" applyProtection="0"/>
    <xf numFmtId="0" fontId="98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8" fillId="49" borderId="0" applyNumberFormat="0" applyBorder="0" applyAlignment="0" applyProtection="0"/>
    <xf numFmtId="0" fontId="98" fillId="50" borderId="0" applyNumberFormat="0" applyBorder="0" applyAlignment="0" applyProtection="0"/>
    <xf numFmtId="0" fontId="97" fillId="51" borderId="0" applyNumberFormat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25">
    <xf numFmtId="49" fontId="0" fillId="0" borderId="0" xfId="0">
      <alignment vertical="top"/>
    </xf>
    <xf numFmtId="49" fontId="4" fillId="0" borderId="0" xfId="0" applyFont="1" applyFill="1" applyBorder="1" applyAlignment="1" applyProtection="1">
      <alignment horizontal="left" vertical="top" wrapText="1"/>
    </xf>
    <xf numFmtId="49" fontId="1" fillId="0" borderId="0" xfId="0" applyFont="1" applyAlignment="1" applyProtection="1">
      <alignment vertical="center" wrapText="1"/>
    </xf>
    <xf numFmtId="49" fontId="0" fillId="0" borderId="0" xfId="0" applyProtection="1">
      <alignment vertical="top"/>
    </xf>
    <xf numFmtId="49" fontId="8" fillId="0" borderId="0" xfId="0" applyFont="1" applyAlignment="1" applyProtection="1">
      <alignment horizontal="center" vertical="center" wrapText="1"/>
    </xf>
    <xf numFmtId="49" fontId="1" fillId="0" borderId="0" xfId="0" applyFont="1" applyAlignment="1" applyProtection="1">
      <alignment horizontal="left" vertical="center" wrapText="1"/>
    </xf>
    <xf numFmtId="49" fontId="1" fillId="0" borderId="0" xfId="0" applyFont="1" applyProtection="1">
      <alignment vertical="top"/>
    </xf>
    <xf numFmtId="49" fontId="0" fillId="0" borderId="0" xfId="0" applyNumberFormat="1" applyProtection="1">
      <alignment vertical="top"/>
    </xf>
    <xf numFmtId="49" fontId="8" fillId="0" borderId="0" xfId="0" applyFont="1" applyAlignment="1" applyProtection="1">
      <alignment vertical="center"/>
    </xf>
    <xf numFmtId="49" fontId="1" fillId="0" borderId="0" xfId="0" applyFont="1" applyBorder="1" applyAlignment="1" applyProtection="1">
      <alignment vertical="center" wrapText="1"/>
    </xf>
    <xf numFmtId="49" fontId="1" fillId="0" borderId="0" xfId="0" applyFont="1" applyAlignment="1" applyProtection="1">
      <alignment horizontal="center" vertical="center" wrapText="1"/>
    </xf>
    <xf numFmtId="49" fontId="1" fillId="0" borderId="0" xfId="0" applyFont="1" applyBorder="1" applyAlignment="1" applyProtection="1">
      <alignment horizontal="center" vertical="center" wrapText="1"/>
    </xf>
    <xf numFmtId="49" fontId="1" fillId="0" borderId="0" xfId="0" applyFont="1" applyBorder="1" applyAlignment="1" applyProtection="1">
      <alignment horizontal="left" vertical="center" wrapText="1"/>
    </xf>
    <xf numFmtId="49" fontId="0" fillId="0" borderId="0" xfId="0" applyAlignment="1">
      <alignment vertical="center"/>
    </xf>
    <xf numFmtId="49" fontId="1" fillId="0" borderId="0" xfId="0" applyFont="1" applyAlignment="1" applyProtection="1">
      <alignment horizontal="right" vertical="center" wrapText="1" indent="2"/>
    </xf>
    <xf numFmtId="49" fontId="1" fillId="0" borderId="0" xfId="0" applyFont="1" applyAlignment="1" applyProtection="1">
      <alignment horizontal="left" vertical="center" wrapText="1" indent="2"/>
    </xf>
    <xf numFmtId="49" fontId="0" fillId="0" borderId="0" xfId="0" applyNumberFormat="1" applyFill="1" applyProtection="1">
      <alignment vertical="top"/>
    </xf>
    <xf numFmtId="49" fontId="9" fillId="0" borderId="3" xfId="0" applyFont="1" applyBorder="1" applyAlignment="1" applyProtection="1">
      <alignment horizontal="center" vertical="center"/>
    </xf>
    <xf numFmtId="49" fontId="9" fillId="0" borderId="3" xfId="0" applyFont="1" applyBorder="1" applyAlignment="1" applyProtection="1">
      <alignment horizontal="left" vertical="center"/>
    </xf>
    <xf numFmtId="49" fontId="16" fillId="0" borderId="0" xfId="0" applyFont="1" applyFill="1" applyAlignment="1" applyProtection="1">
      <alignment vertical="center" wrapText="1"/>
    </xf>
    <xf numFmtId="49" fontId="1" fillId="0" borderId="0" xfId="0" applyFont="1" applyFill="1" applyAlignment="1" applyProtection="1">
      <alignment vertical="center" wrapText="1"/>
    </xf>
    <xf numFmtId="49" fontId="1" fillId="0" borderId="0" xfId="0" applyFont="1" applyFill="1" applyAlignment="1" applyProtection="1">
      <alignment horizontal="left" vertical="center" wrapText="1"/>
    </xf>
    <xf numFmtId="49" fontId="8" fillId="0" borderId="0" xfId="0" applyFont="1" applyFill="1" applyAlignment="1" applyProtection="1">
      <alignment vertical="center" wrapText="1"/>
    </xf>
    <xf numFmtId="49" fontId="1" fillId="0" borderId="0" xfId="0" applyFont="1" applyFill="1" applyBorder="1" applyAlignment="1" applyProtection="1">
      <alignment vertical="center" wrapText="1"/>
    </xf>
    <xf numFmtId="49" fontId="8" fillId="0" borderId="0" xfId="0" applyFont="1" applyAlignment="1" applyProtection="1">
      <alignment vertical="center" wrapText="1"/>
    </xf>
    <xf numFmtId="49" fontId="18" fillId="0" borderId="0" xfId="0" applyFont="1" applyAlignment="1" applyProtection="1">
      <alignment vertical="center" wrapText="1"/>
    </xf>
    <xf numFmtId="49" fontId="1" fillId="0" borderId="0" xfId="0" applyNumberFormat="1" applyFont="1" applyAlignment="1" applyProtection="1">
      <alignment vertical="center" wrapText="1"/>
    </xf>
    <xf numFmtId="49" fontId="8" fillId="0" borderId="0" xfId="0" applyFont="1" applyFill="1" applyBorder="1" applyAlignment="1" applyProtection="1">
      <alignment vertical="center" wrapText="1"/>
    </xf>
    <xf numFmtId="49" fontId="8" fillId="0" borderId="0" xfId="0" applyNumberFormat="1" applyFont="1" applyAlignment="1" applyProtection="1">
      <alignment vertical="center" wrapText="1"/>
    </xf>
    <xf numFmtId="49" fontId="0" fillId="0" borderId="0" xfId="0" applyFont="1" applyProtection="1">
      <alignment vertical="top"/>
    </xf>
    <xf numFmtId="49" fontId="0" fillId="0" borderId="0" xfId="0" applyNumberFormat="1">
      <alignment vertical="top"/>
    </xf>
    <xf numFmtId="49" fontId="0" fillId="0" borderId="0" xfId="0" applyFont="1" applyAlignment="1" applyProtection="1">
      <alignment vertical="center" wrapText="1"/>
    </xf>
    <xf numFmtId="49" fontId="0" fillId="0" borderId="0" xfId="0" applyFont="1" applyAlignment="1" applyProtection="1">
      <alignment vertical="top" wrapText="1"/>
    </xf>
    <xf numFmtId="49" fontId="0" fillId="0" borderId="0" xfId="0" applyFont="1" applyAlignment="1">
      <alignment vertical="top" wrapText="1"/>
    </xf>
    <xf numFmtId="49" fontId="1" fillId="0" borderId="0" xfId="0" applyFont="1" applyFill="1" applyBorder="1" applyAlignment="1" applyProtection="1">
      <alignment horizontal="center" vertical="center" wrapText="1"/>
    </xf>
    <xf numFmtId="49" fontId="8" fillId="0" borderId="0" xfId="0" applyFont="1" applyBorder="1" applyAlignment="1" applyProtection="1">
      <alignment vertical="center" wrapText="1"/>
    </xf>
    <xf numFmtId="49" fontId="0" fillId="0" borderId="0" xfId="0" applyBorder="1">
      <alignment vertical="top"/>
    </xf>
    <xf numFmtId="49" fontId="18" fillId="0" borderId="0" xfId="0" applyFont="1" applyBorder="1" applyAlignment="1" applyProtection="1">
      <alignment vertical="center" wrapText="1"/>
    </xf>
    <xf numFmtId="49" fontId="18" fillId="4" borderId="0" xfId="0" applyFont="1" applyFill="1" applyBorder="1" applyAlignment="1" applyProtection="1">
      <alignment horizontal="center" vertical="center" wrapText="1"/>
    </xf>
    <xf numFmtId="49" fontId="18" fillId="4" borderId="0" xfId="0" applyFont="1" applyFill="1" applyBorder="1" applyAlignment="1" applyProtection="1">
      <alignment vertical="center" wrapText="1"/>
    </xf>
    <xf numFmtId="49" fontId="18" fillId="4" borderId="0" xfId="0" applyNumberFormat="1" applyFont="1" applyFill="1" applyBorder="1" applyAlignment="1" applyProtection="1">
      <alignment vertical="center" wrapText="1"/>
    </xf>
    <xf numFmtId="49" fontId="8" fillId="0" borderId="0" xfId="0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vertical="center" wrapText="1"/>
    </xf>
    <xf numFmtId="49" fontId="8" fillId="0" borderId="0" xfId="0" applyNumberFormat="1" applyFont="1" applyBorder="1" applyAlignment="1" applyProtection="1">
      <alignment vertical="center" wrapText="1"/>
    </xf>
    <xf numFmtId="49" fontId="1" fillId="4" borderId="0" xfId="0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49" fontId="1" fillId="4" borderId="0" xfId="0" applyFont="1" applyFill="1" applyBorder="1" applyAlignment="1" applyProtection="1">
      <alignment horizontal="center" vertical="center" wrapText="1"/>
    </xf>
    <xf numFmtId="49" fontId="8" fillId="4" borderId="0" xfId="0" applyFont="1" applyFill="1" applyBorder="1" applyAlignment="1" applyProtection="1">
      <alignment vertical="center" wrapText="1"/>
    </xf>
    <xf numFmtId="49" fontId="4" fillId="0" borderId="0" xfId="0" applyFont="1" applyFill="1" applyBorder="1" applyAlignment="1" applyProtection="1">
      <alignment horizontal="right" vertical="center" wrapText="1"/>
    </xf>
    <xf numFmtId="49" fontId="1" fillId="0" borderId="0" xfId="0" applyFont="1" applyFill="1" applyBorder="1" applyAlignment="1" applyProtection="1">
      <alignment horizontal="left" vertical="center" wrapText="1"/>
    </xf>
    <xf numFmtId="49" fontId="20" fillId="0" borderId="0" xfId="0" applyFont="1" applyFill="1" applyBorder="1" applyAlignment="1" applyProtection="1">
      <alignment horizontal="left" vertical="center" wrapText="1"/>
    </xf>
    <xf numFmtId="49" fontId="2" fillId="0" borderId="0" xfId="0" applyFont="1" applyFill="1" applyBorder="1" applyAlignment="1" applyProtection="1">
      <alignment vertical="center" wrapText="1"/>
    </xf>
    <xf numFmtId="49" fontId="1" fillId="0" borderId="0" xfId="0" applyFont="1" applyFill="1" applyProtection="1">
      <alignment vertical="top"/>
    </xf>
    <xf numFmtId="49" fontId="8" fillId="0" borderId="0" xfId="0" applyFont="1" applyFill="1" applyBorder="1" applyAlignment="1" applyProtection="1">
      <alignment vertical="center"/>
    </xf>
    <xf numFmtId="49" fontId="17" fillId="0" borderId="0" xfId="0" applyFont="1" applyFill="1" applyBorder="1" applyAlignment="1" applyProtection="1">
      <alignment vertical="center" wrapText="1"/>
    </xf>
    <xf numFmtId="49" fontId="8" fillId="0" borderId="0" xfId="0" applyFont="1" applyFill="1" applyBorder="1" applyAlignment="1" applyProtection="1">
      <alignment horizontal="center" vertical="center" wrapText="1"/>
    </xf>
    <xf numFmtId="49" fontId="1" fillId="0" borderId="0" xfId="0" applyFont="1" applyFill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center" vertical="center" wrapText="1"/>
    </xf>
    <xf numFmtId="49" fontId="18" fillId="0" borderId="0" xfId="0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vertical="center" wrapText="1"/>
    </xf>
    <xf numFmtId="49" fontId="1" fillId="4" borderId="0" xfId="0" applyNumberFormat="1" applyFont="1" applyFill="1" applyBorder="1" applyAlignment="1" applyProtection="1">
      <alignment vertical="center" wrapText="1"/>
    </xf>
    <xf numFmtId="49" fontId="8" fillId="4" borderId="0" xfId="0" applyFont="1" applyFill="1" applyAlignment="1" applyProtection="1">
      <alignment vertical="center" wrapText="1"/>
    </xf>
    <xf numFmtId="49" fontId="8" fillId="4" borderId="0" xfId="0" applyNumberFormat="1" applyFont="1" applyFill="1" applyAlignment="1" applyProtection="1">
      <alignment vertical="center" wrapText="1"/>
    </xf>
    <xf numFmtId="49" fontId="26" fillId="4" borderId="0" xfId="0" applyFont="1" applyFill="1" applyBorder="1" applyAlignment="1" applyProtection="1">
      <alignment vertical="center" wrapText="1"/>
    </xf>
    <xf numFmtId="49" fontId="26" fillId="0" borderId="0" xfId="0" applyFont="1">
      <alignment vertical="top"/>
    </xf>
    <xf numFmtId="49" fontId="26" fillId="0" borderId="0" xfId="0" applyFont="1" applyAlignment="1" applyProtection="1">
      <alignment vertical="center" wrapText="1"/>
    </xf>
    <xf numFmtId="49" fontId="1" fillId="4" borderId="0" xfId="0" applyFont="1" applyFill="1" applyBorder="1" applyAlignment="1" applyProtection="1">
      <alignment horizontal="right" vertical="center" wrapText="1" inden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vertical="center"/>
    </xf>
    <xf numFmtId="49" fontId="16" fillId="0" borderId="0" xfId="0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4" fillId="0" borderId="0" xfId="0" applyNumberFormat="1" applyFont="1" applyFill="1" applyBorder="1" applyAlignment="1" applyProtection="1">
      <alignment vertical="center"/>
    </xf>
    <xf numFmtId="0" fontId="29" fillId="4" borderId="0" xfId="0" applyNumberFormat="1" applyFont="1" applyFill="1" applyBorder="1" applyAlignment="1" applyProtection="1">
      <alignment horizontal="center" vertical="center"/>
    </xf>
    <xf numFmtId="49" fontId="1" fillId="0" borderId="0" xfId="0" applyFont="1">
      <alignment vertical="top"/>
    </xf>
    <xf numFmtId="49" fontId="31" fillId="4" borderId="0" xfId="0" applyFont="1" applyFill="1" applyBorder="1" applyAlignment="1" applyProtection="1">
      <alignment vertical="center" wrapText="1"/>
    </xf>
    <xf numFmtId="49" fontId="31" fillId="0" borderId="0" xfId="0" applyFont="1">
      <alignment vertical="top"/>
    </xf>
    <xf numFmtId="49" fontId="31" fillId="0" borderId="0" xfId="0" applyFont="1" applyAlignment="1" applyProtection="1">
      <alignment vertical="center" wrapText="1"/>
    </xf>
    <xf numFmtId="49" fontId="31" fillId="0" borderId="0" xfId="0" applyFont="1" applyFill="1" applyAlignment="1" applyProtection="1">
      <alignment vertical="center" wrapText="1"/>
    </xf>
    <xf numFmtId="49" fontId="4" fillId="0" borderId="4" xfId="0" applyFont="1" applyFill="1" applyBorder="1" applyAlignment="1" applyProtection="1">
      <alignment horizontal="center" vertical="center" wrapText="1"/>
    </xf>
    <xf numFmtId="49" fontId="4" fillId="0" borderId="5" xfId="0" applyFont="1" applyFill="1" applyBorder="1" applyAlignment="1" applyProtection="1">
      <alignment horizontal="right" vertical="center" wrapText="1" indent="2"/>
    </xf>
    <xf numFmtId="49" fontId="4" fillId="0" borderId="6" xfId="0" applyFont="1" applyFill="1" applyBorder="1" applyAlignment="1" applyProtection="1">
      <alignment horizontal="left" vertical="center" wrapText="1" indent="2"/>
    </xf>
    <xf numFmtId="49" fontId="34" fillId="0" borderId="0" xfId="0" applyFont="1" applyBorder="1" applyAlignment="1" applyProtection="1">
      <alignment vertical="center" wrapText="1"/>
    </xf>
    <xf numFmtId="49" fontId="34" fillId="0" borderId="0" xfId="0" applyFont="1">
      <alignment vertical="top"/>
    </xf>
    <xf numFmtId="49" fontId="34" fillId="0" borderId="0" xfId="0" applyFont="1" applyBorder="1" applyAlignment="1" applyProtection="1">
      <alignment horizontal="center" vertical="center" wrapText="1"/>
    </xf>
    <xf numFmtId="49" fontId="34" fillId="0" borderId="0" xfId="0" applyFont="1" applyAlignment="1" applyProtection="1">
      <alignment vertical="center" wrapText="1"/>
    </xf>
    <xf numFmtId="49" fontId="34" fillId="0" borderId="0" xfId="0" applyFont="1" applyFill="1" applyAlignment="1" applyProtection="1">
      <alignment horizontal="center" vertical="center" wrapText="1"/>
    </xf>
    <xf numFmtId="49" fontId="34" fillId="0" borderId="0" xfId="0" applyFont="1" applyAlignment="1" applyProtection="1">
      <alignment horizontal="center" vertical="center" wrapText="1"/>
    </xf>
    <xf numFmtId="49" fontId="14" fillId="0" borderId="0" xfId="0" applyFont="1" applyFill="1" applyAlignment="1" applyProtection="1">
      <alignment wrapText="1"/>
    </xf>
    <xf numFmtId="49" fontId="14" fillId="0" borderId="0" xfId="0" applyFont="1" applyFill="1" applyAlignment="1" applyProtection="1">
      <alignment vertical="center" wrapText="1"/>
    </xf>
    <xf numFmtId="49" fontId="19" fillId="0" borderId="0" xfId="0" applyFont="1" applyFill="1" applyAlignment="1" applyProtection="1">
      <alignment wrapText="1"/>
    </xf>
    <xf numFmtId="0" fontId="6" fillId="0" borderId="0" xfId="0" applyNumberFormat="1" applyFont="1" applyFill="1" applyAlignment="1" applyProtection="1">
      <alignment horizontal="left" vertical="center" wrapText="1"/>
    </xf>
    <xf numFmtId="49" fontId="15" fillId="0" borderId="0" xfId="0" applyFont="1" applyFill="1" applyBorder="1" applyAlignment="1" applyProtection="1">
      <alignment wrapText="1"/>
    </xf>
    <xf numFmtId="0" fontId="4" fillId="0" borderId="0" xfId="0" applyNumberFormat="1" applyFont="1" applyFill="1" applyAlignment="1" applyProtection="1">
      <alignment vertical="top"/>
    </xf>
    <xf numFmtId="0" fontId="4" fillId="0" borderId="0" xfId="0" applyNumberFormat="1" applyFont="1" applyFill="1" applyAlignment="1" applyProtection="1">
      <alignment horizontal="left" vertical="top" wrapText="1"/>
    </xf>
    <xf numFmtId="49" fontId="1" fillId="0" borderId="0" xfId="0" applyFont="1" applyFill="1" applyAlignment="1" applyProtection="1">
      <alignment vertical="top" wrapText="1"/>
    </xf>
    <xf numFmtId="49" fontId="14" fillId="0" borderId="0" xfId="0" applyFont="1" applyFill="1" applyBorder="1" applyAlignment="1" applyProtection="1">
      <alignment wrapText="1"/>
    </xf>
    <xf numFmtId="49" fontId="10" fillId="0" borderId="0" xfId="0" applyFont="1" applyFill="1" applyBorder="1" applyAlignment="1" applyProtection="1">
      <alignment wrapText="1"/>
    </xf>
    <xf numFmtId="49" fontId="10" fillId="0" borderId="7" xfId="0" applyFont="1" applyFill="1" applyBorder="1" applyAlignment="1" applyProtection="1">
      <alignment wrapText="1"/>
    </xf>
    <xf numFmtId="49" fontId="36" fillId="0" borderId="0" xfId="0" applyFont="1" applyFill="1" applyBorder="1" applyAlignment="1" applyProtection="1">
      <alignment vertical="center" wrapText="1"/>
    </xf>
    <xf numFmtId="49" fontId="11" fillId="0" borderId="0" xfId="0" applyFont="1" applyFill="1" applyBorder="1" applyAlignment="1" applyProtection="1">
      <alignment horizontal="left" vertical="center" wrapText="1"/>
    </xf>
    <xf numFmtId="49" fontId="36" fillId="0" borderId="0" xfId="0" applyFont="1" applyFill="1" applyBorder="1" applyAlignment="1" applyProtection="1">
      <alignment horizontal="center" vertical="center" wrapText="1"/>
    </xf>
    <xf numFmtId="49" fontId="9" fillId="3" borderId="8" xfId="0" applyNumberFormat="1" applyFont="1" applyFill="1" applyBorder="1" applyAlignment="1" applyProtection="1">
      <alignment horizontal="center" vertical="center" wrapText="1"/>
    </xf>
    <xf numFmtId="49" fontId="9" fillId="5" borderId="8" xfId="0" applyNumberFormat="1" applyFont="1" applyFill="1" applyBorder="1" applyAlignment="1" applyProtection="1">
      <alignment horizontal="center" vertical="center" wrapText="1"/>
    </xf>
    <xf numFmtId="49" fontId="9" fillId="6" borderId="8" xfId="0" applyNumberFormat="1" applyFont="1" applyFill="1" applyBorder="1" applyAlignment="1" applyProtection="1">
      <alignment horizontal="center" vertical="center" wrapText="1"/>
    </xf>
    <xf numFmtId="49" fontId="9" fillId="7" borderId="8" xfId="0" applyNumberFormat="1" applyFont="1" applyFill="1" applyBorder="1" applyAlignment="1" applyProtection="1">
      <alignment horizontal="center" vertical="center" wrapText="1"/>
    </xf>
    <xf numFmtId="49" fontId="4" fillId="0" borderId="0" xfId="0" applyFont="1" applyFill="1" applyBorder="1" applyAlignment="1" applyProtection="1">
      <alignment horizontal="right" vertical="top" wrapText="1"/>
    </xf>
    <xf numFmtId="49" fontId="10" fillId="0" borderId="0" xfId="0" applyFont="1" applyFill="1" applyBorder="1" applyAlignment="1" applyProtection="1">
      <alignment vertical="top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wrapText="1"/>
    </xf>
    <xf numFmtId="49" fontId="7" fillId="0" borderId="0" xfId="0" applyNumberFormat="1" applyFont="1" applyFill="1" applyBorder="1" applyAlignment="1" applyProtection="1">
      <alignment horizontal="left" wrapText="1"/>
    </xf>
    <xf numFmtId="49" fontId="10" fillId="0" borderId="0" xfId="0" applyFont="1" applyFill="1" applyBorder="1" applyAlignment="1" applyProtection="1">
      <alignment horizontal="right" wrapText="1"/>
    </xf>
    <xf numFmtId="49" fontId="1" fillId="0" borderId="0" xfId="0" applyFont="1" applyAlignment="1" applyProtection="1">
      <alignment vertical="center"/>
    </xf>
    <xf numFmtId="49" fontId="0" fillId="0" borderId="4" xfId="0" applyBorder="1">
      <alignment vertical="top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6" borderId="4" xfId="0" applyNumberFormat="1" applyFont="1" applyFill="1" applyBorder="1" applyAlignment="1" applyProtection="1">
      <alignment horizontal="center" vertical="center" wrapText="1"/>
    </xf>
    <xf numFmtId="49" fontId="1" fillId="0" borderId="9" xfId="0" applyFont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horizontal="left" vertical="center" indent="4"/>
    </xf>
    <xf numFmtId="0" fontId="4" fillId="0" borderId="3" xfId="0" applyNumberFormat="1" applyFont="1" applyFill="1" applyBorder="1" applyAlignment="1" applyProtection="1">
      <alignment vertical="center"/>
    </xf>
    <xf numFmtId="49" fontId="1" fillId="0" borderId="3" xfId="0" applyFont="1" applyBorder="1" applyAlignment="1" applyProtection="1">
      <alignment horizontal="center" vertical="center" wrapText="1"/>
    </xf>
    <xf numFmtId="49" fontId="1" fillId="0" borderId="3" xfId="0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0" fillId="0" borderId="0" xfId="0" applyFont="1" applyBorder="1">
      <alignment vertical="top"/>
    </xf>
    <xf numFmtId="49" fontId="8" fillId="4" borderId="9" xfId="0" applyFont="1" applyFill="1" applyBorder="1" applyAlignment="1" applyProtection="1">
      <alignment vertical="center" wrapText="1"/>
    </xf>
    <xf numFmtId="49" fontId="0" fillId="4" borderId="10" xfId="0" applyFont="1" applyFill="1" applyBorder="1">
      <alignment vertical="top"/>
    </xf>
    <xf numFmtId="49" fontId="0" fillId="0" borderId="3" xfId="0" applyBorder="1">
      <alignment vertical="top"/>
    </xf>
    <xf numFmtId="49" fontId="0" fillId="0" borderId="3" xfId="0" applyFont="1" applyBorder="1">
      <alignment vertical="top"/>
    </xf>
    <xf numFmtId="49" fontId="0" fillId="0" borderId="0" xfId="0" applyFont="1" applyFill="1" applyAlignment="1" applyProtection="1">
      <alignment vertical="center" wrapText="1"/>
    </xf>
    <xf numFmtId="2" fontId="1" fillId="0" borderId="0" xfId="0" applyNumberFormat="1" applyFont="1" applyFill="1" applyAlignment="1" applyProtection="1">
      <alignment vertical="center" wrapText="1"/>
    </xf>
    <xf numFmtId="2" fontId="1" fillId="0" borderId="0" xfId="0" applyNumberFormat="1" applyFont="1" applyFill="1" applyAlignment="1" applyProtection="1">
      <alignment horizontal="center" vertical="center" wrapText="1"/>
    </xf>
    <xf numFmtId="2" fontId="1" fillId="0" borderId="0" xfId="0" applyNumberFormat="1" applyFont="1" applyFill="1" applyBorder="1" applyAlignment="1" applyProtection="1">
      <alignment vertical="center" wrapText="1"/>
    </xf>
    <xf numFmtId="49" fontId="3" fillId="0" borderId="10" xfId="0" applyFont="1" applyFill="1" applyBorder="1" applyAlignment="1" applyProtection="1">
      <alignment horizontal="center" vertical="center" wrapText="1"/>
    </xf>
    <xf numFmtId="49" fontId="3" fillId="0" borderId="11" xfId="0" applyFont="1" applyFill="1" applyBorder="1" applyAlignment="1" applyProtection="1">
      <alignment horizontal="center" vertical="center" wrapText="1"/>
    </xf>
    <xf numFmtId="49" fontId="1" fillId="0" borderId="3" xfId="0" applyFont="1" applyFill="1" applyBorder="1" applyAlignment="1" applyProtection="1">
      <alignment vertical="center" wrapText="1"/>
    </xf>
    <xf numFmtId="49" fontId="1" fillId="0" borderId="3" xfId="0" applyFont="1" applyFill="1" applyBorder="1" applyAlignment="1" applyProtection="1">
      <alignment horizontal="left" vertical="center" wrapText="1"/>
    </xf>
    <xf numFmtId="49" fontId="22" fillId="8" borderId="10" xfId="0" applyFont="1" applyFill="1" applyBorder="1" applyAlignment="1" applyProtection="1">
      <alignment horizontal="left" vertical="center" indent="1"/>
    </xf>
    <xf numFmtId="49" fontId="22" fillId="8" borderId="3" xfId="0" applyFont="1" applyFill="1" applyBorder="1" applyAlignment="1" applyProtection="1">
      <alignment horizontal="left" vertical="center" indent="1"/>
    </xf>
    <xf numFmtId="49" fontId="1" fillId="3" borderId="4" xfId="0" applyFont="1" applyFill="1" applyBorder="1" applyAlignment="1" applyProtection="1">
      <alignment horizontal="center" vertical="center" wrapText="1"/>
      <protection locked="0"/>
    </xf>
    <xf numFmtId="49" fontId="4" fillId="0" borderId="12" xfId="0" applyFont="1" applyFill="1" applyBorder="1" applyAlignment="1" applyProtection="1">
      <alignment horizontal="center" vertical="center" wrapText="1"/>
    </xf>
    <xf numFmtId="49" fontId="8" fillId="0" borderId="13" xfId="0" applyNumberFormat="1" applyFont="1" applyFill="1" applyBorder="1" applyAlignment="1" applyProtection="1">
      <alignment horizontal="center" vertical="center" wrapText="1"/>
    </xf>
    <xf numFmtId="49" fontId="1" fillId="9" borderId="4" xfId="0" applyFont="1" applyFill="1" applyBorder="1" applyAlignment="1" applyProtection="1">
      <alignment vertical="center" wrapText="1"/>
    </xf>
    <xf numFmtId="49" fontId="39" fillId="0" borderId="0" xfId="0" applyFont="1" applyAlignment="1" applyProtection="1">
      <alignment horizontal="center" vertical="center" wrapText="1"/>
    </xf>
    <xf numFmtId="49" fontId="39" fillId="0" borderId="0" xfId="0" applyFont="1" applyAlignment="1" applyProtection="1">
      <alignment vertical="center" wrapText="1"/>
    </xf>
    <xf numFmtId="0" fontId="3" fillId="4" borderId="11" xfId="0" applyNumberFormat="1" applyFont="1" applyFill="1" applyBorder="1" applyAlignment="1" applyProtection="1">
      <alignment horizontal="center" vertical="center" wrapText="1"/>
    </xf>
    <xf numFmtId="49" fontId="3" fillId="4" borderId="0" xfId="0" applyFont="1" applyFill="1" applyBorder="1" applyAlignment="1" applyProtection="1">
      <alignment horizontal="center" vertical="center" wrapText="1"/>
    </xf>
    <xf numFmtId="0" fontId="39" fillId="0" borderId="0" xfId="0" applyNumberFormat="1" applyFont="1" applyAlignment="1" applyProtection="1">
      <alignment horizontal="center" vertical="center" wrapText="1"/>
    </xf>
    <xf numFmtId="49" fontId="39" fillId="0" borderId="0" xfId="0" applyFont="1" applyFill="1" applyAlignment="1" applyProtection="1">
      <alignment vertical="center" wrapText="1"/>
    </xf>
    <xf numFmtId="49" fontId="39" fillId="0" borderId="0" xfId="0" applyFont="1" applyFill="1" applyProtection="1">
      <alignment vertical="top"/>
    </xf>
    <xf numFmtId="49" fontId="39" fillId="0" borderId="0" xfId="0" applyFont="1" applyFill="1" applyBorder="1" applyProtection="1">
      <alignment vertical="top"/>
    </xf>
    <xf numFmtId="49" fontId="39" fillId="0" borderId="0" xfId="0" applyFont="1" applyFill="1" applyBorder="1" applyAlignment="1" applyProtection="1">
      <alignment vertical="center" wrapText="1"/>
    </xf>
    <xf numFmtId="0" fontId="40" fillId="0" borderId="0" xfId="0" applyNumberFormat="1" applyFont="1" applyFill="1" applyBorder="1" applyAlignment="1" applyProtection="1">
      <alignment horizontal="left" vertical="center" wrapText="1" indent="4"/>
    </xf>
    <xf numFmtId="49" fontId="39" fillId="0" borderId="0" xfId="0" applyFont="1" applyFill="1" applyBorder="1" applyAlignment="1" applyProtection="1">
      <alignment horizontal="right" vertical="center" wrapText="1"/>
    </xf>
    <xf numFmtId="49" fontId="39" fillId="4" borderId="0" xfId="0" applyFont="1" applyFill="1" applyBorder="1" applyAlignment="1" applyProtection="1">
      <alignment horizontal="center" vertical="center" wrapText="1"/>
    </xf>
    <xf numFmtId="49" fontId="39" fillId="0" borderId="0" xfId="0" applyFont="1">
      <alignment vertical="top"/>
    </xf>
    <xf numFmtId="49" fontId="39" fillId="0" borderId="0" xfId="0" applyNumberFormat="1" applyFont="1" applyAlignment="1" applyProtection="1">
      <alignment vertical="center" wrapText="1"/>
    </xf>
    <xf numFmtId="0" fontId="39" fillId="4" borderId="0" xfId="0" applyNumberFormat="1" applyFont="1" applyFill="1" applyBorder="1" applyAlignment="1" applyProtection="1">
      <alignment horizontal="center" vertical="center" wrapText="1"/>
    </xf>
    <xf numFmtId="49" fontId="41" fillId="0" borderId="0" xfId="0" applyFont="1" applyAlignment="1">
      <alignment horizontal="center" vertical="center"/>
    </xf>
    <xf numFmtId="0" fontId="3" fillId="4" borderId="14" xfId="0" applyNumberFormat="1" applyFont="1" applyFill="1" applyBorder="1" applyAlignment="1" applyProtection="1">
      <alignment horizontal="center" vertical="center" wrapText="1"/>
    </xf>
    <xf numFmtId="49" fontId="0" fillId="9" borderId="4" xfId="0" applyFont="1" applyFill="1" applyBorder="1" applyAlignment="1" applyProtection="1">
      <alignment vertical="center" wrapText="1"/>
    </xf>
    <xf numFmtId="4" fontId="8" fillId="9" borderId="0" xfId="0" applyNumberFormat="1" applyFont="1" applyFill="1" applyBorder="1" applyAlignment="1" applyProtection="1">
      <alignment horizontal="center" vertical="center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49" fontId="3" fillId="4" borderId="4" xfId="0" applyNumberFormat="1" applyFont="1" applyFill="1" applyBorder="1" applyAlignment="1" applyProtection="1">
      <alignment horizontal="center" vertical="center" wrapText="1"/>
    </xf>
    <xf numFmtId="49" fontId="3" fillId="10" borderId="4" xfId="0" applyFont="1" applyFill="1" applyBorder="1" applyAlignment="1" applyProtection="1">
      <alignment horizontal="center" vertical="center" wrapText="1"/>
    </xf>
    <xf numFmtId="49" fontId="0" fillId="9" borderId="6" xfId="0" applyFont="1" applyFill="1" applyBorder="1" applyAlignment="1" applyProtection="1">
      <alignment vertical="center" wrapText="1"/>
    </xf>
    <xf numFmtId="49" fontId="3" fillId="9" borderId="4" xfId="0" applyNumberFormat="1" applyFont="1" applyFill="1" applyBorder="1" applyAlignment="1" applyProtection="1">
      <alignment horizontal="center" vertical="center" wrapText="1"/>
    </xf>
    <xf numFmtId="0" fontId="39" fillId="0" borderId="0" xfId="0" applyNumberFormat="1" applyFont="1" applyFill="1" applyBorder="1" applyAlignment="1" applyProtection="1">
      <alignment horizontal="center" vertical="center" wrapText="1"/>
    </xf>
    <xf numFmtId="49" fontId="8" fillId="9" borderId="0" xfId="0" applyFont="1" applyFill="1" applyBorder="1" applyAlignment="1" applyProtection="1">
      <alignment horizontal="center" vertical="center"/>
    </xf>
    <xf numFmtId="49" fontId="0" fillId="0" borderId="0" xfId="0" applyAlignment="1">
      <alignment vertical="top"/>
    </xf>
    <xf numFmtId="49" fontId="1" fillId="0" borderId="0" xfId="0" applyFont="1" applyFill="1" applyAlignment="1" applyProtection="1">
      <alignment vertical="center"/>
    </xf>
    <xf numFmtId="49" fontId="1" fillId="0" borderId="0" xfId="0" applyNumberFormat="1" applyFont="1" applyAlignment="1" applyProtection="1">
      <alignment vertical="center"/>
    </xf>
    <xf numFmtId="0" fontId="39" fillId="0" borderId="0" xfId="0" applyNumberFormat="1" applyFont="1" applyAlignment="1" applyProtection="1">
      <alignment horizontal="center" vertical="center"/>
    </xf>
    <xf numFmtId="49" fontId="41" fillId="9" borderId="3" xfId="0" applyFont="1" applyFill="1" applyBorder="1" applyAlignment="1" applyProtection="1">
      <alignment horizontal="center" vertical="center"/>
    </xf>
    <xf numFmtId="49" fontId="41" fillId="9" borderId="0" xfId="0" applyFont="1" applyFill="1" applyBorder="1" applyAlignment="1" applyProtection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3" fillId="4" borderId="4" xfId="0" applyNumberFormat="1" applyFont="1" applyFill="1" applyBorder="1" applyAlignment="1" applyProtection="1">
      <alignment horizontal="left" vertical="center" wrapText="1"/>
    </xf>
    <xf numFmtId="49" fontId="44" fillId="4" borderId="15" xfId="0" applyFont="1" applyFill="1" applyBorder="1" applyAlignment="1" applyProtection="1">
      <alignment vertical="center" textRotation="90" wrapText="1"/>
    </xf>
    <xf numFmtId="49" fontId="44" fillId="4" borderId="16" xfId="0" applyFont="1" applyFill="1" applyBorder="1" applyAlignment="1" applyProtection="1">
      <alignment vertical="center" textRotation="90" wrapText="1"/>
    </xf>
    <xf numFmtId="0" fontId="3" fillId="4" borderId="10" xfId="0" applyNumberFormat="1" applyFont="1" applyFill="1" applyBorder="1" applyAlignment="1" applyProtection="1">
      <alignment horizontal="left" vertical="center" wrapText="1"/>
    </xf>
    <xf numFmtId="49" fontId="44" fillId="4" borderId="5" xfId="0" applyFont="1" applyFill="1" applyBorder="1" applyAlignment="1" applyProtection="1">
      <alignment vertical="center" textRotation="90" wrapText="1"/>
    </xf>
    <xf numFmtId="49" fontId="44" fillId="4" borderId="4" xfId="0" applyFont="1" applyFill="1" applyBorder="1" applyAlignment="1" applyProtection="1">
      <alignment vertical="center" textRotation="90" wrapText="1"/>
    </xf>
    <xf numFmtId="4" fontId="9" fillId="6" borderId="4" xfId="0" applyNumberFormat="1" applyFont="1" applyFill="1" applyBorder="1" applyAlignment="1" applyProtection="1">
      <alignment horizontal="right" vertical="center"/>
    </xf>
    <xf numFmtId="49" fontId="4" fillId="0" borderId="0" xfId="0" applyFont="1" applyFill="1" applyBorder="1" applyAlignment="1" applyProtection="1">
      <alignment vertical="top" wrapText="1"/>
    </xf>
    <xf numFmtId="49" fontId="37" fillId="0" borderId="0" xfId="0" applyNumberFormat="1" applyFont="1" applyFill="1" applyBorder="1" applyAlignment="1" applyProtection="1">
      <alignment vertical="top" wrapText="1"/>
    </xf>
    <xf numFmtId="49" fontId="3" fillId="0" borderId="0" xfId="0" applyFont="1">
      <alignment vertical="top"/>
    </xf>
    <xf numFmtId="4" fontId="9" fillId="6" borderId="4" xfId="26" applyNumberFormat="1" applyFont="1" applyFill="1" applyBorder="1" applyAlignment="1" applyProtection="1">
      <alignment horizontal="right" vertical="center"/>
    </xf>
    <xf numFmtId="49" fontId="3" fillId="0" borderId="3" xfId="0" applyFont="1" applyBorder="1">
      <alignment vertical="top"/>
    </xf>
    <xf numFmtId="49" fontId="3" fillId="0" borderId="4" xfId="0" applyFont="1" applyBorder="1" applyAlignment="1" applyProtection="1">
      <alignment horizontal="center" vertical="center"/>
    </xf>
    <xf numFmtId="49" fontId="41" fillId="9" borderId="4" xfId="0" applyFont="1" applyFill="1" applyBorder="1" applyAlignment="1" applyProtection="1">
      <alignment horizontal="center" vertical="center"/>
    </xf>
    <xf numFmtId="49" fontId="3" fillId="4" borderId="11" xfId="0" applyFont="1" applyFill="1" applyBorder="1">
      <alignment vertical="top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49" fontId="3" fillId="4" borderId="4" xfId="0" applyFont="1" applyFill="1" applyBorder="1">
      <alignment vertical="top"/>
    </xf>
    <xf numFmtId="4" fontId="8" fillId="9" borderId="4" xfId="0" applyNumberFormat="1" applyFont="1" applyFill="1" applyBorder="1" applyAlignment="1" applyProtection="1">
      <alignment horizontal="center" vertical="center"/>
    </xf>
    <xf numFmtId="4" fontId="9" fillId="0" borderId="4" xfId="0" applyNumberFormat="1" applyFont="1" applyBorder="1" applyAlignment="1" applyProtection="1">
      <alignment vertical="center"/>
    </xf>
    <xf numFmtId="4" fontId="9" fillId="3" borderId="4" xfId="0" applyNumberFormat="1" applyFont="1" applyFill="1" applyBorder="1" applyAlignment="1" applyProtection="1">
      <alignment horizontal="right" vertical="center"/>
      <protection locked="0"/>
    </xf>
    <xf numFmtId="49" fontId="9" fillId="0" borderId="4" xfId="0" applyFont="1" applyBorder="1" applyAlignment="1" applyProtection="1">
      <alignment horizontal="center" vertical="center"/>
    </xf>
    <xf numFmtId="49" fontId="8" fillId="9" borderId="4" xfId="0" applyFont="1" applyFill="1" applyBorder="1" applyAlignment="1" applyProtection="1">
      <alignment horizontal="center" vertical="center"/>
    </xf>
    <xf numFmtId="49" fontId="0" fillId="0" borderId="0" xfId="0" applyAlignment="1" applyProtection="1">
      <alignment vertical="center"/>
    </xf>
    <xf numFmtId="49" fontId="0" fillId="0" borderId="0" xfId="0" applyFont="1" applyAlignment="1">
      <alignment vertical="center" wrapText="1"/>
    </xf>
    <xf numFmtId="49" fontId="8" fillId="11" borderId="0" xfId="0" applyFont="1" applyFill="1" applyAlignment="1">
      <alignment horizontal="center" vertical="center"/>
    </xf>
    <xf numFmtId="0" fontId="0" fillId="0" borderId="0" xfId="0" applyNumberFormat="1" applyFont="1" applyAlignment="1">
      <alignment vertical="center" wrapText="1"/>
    </xf>
    <xf numFmtId="0" fontId="0" fillId="12" borderId="0" xfId="0" applyNumberFormat="1" applyFill="1" applyAlignment="1">
      <alignment horizontal="right" vertical="center"/>
    </xf>
    <xf numFmtId="49" fontId="8" fillId="0" borderId="0" xfId="0" applyNumberFormat="1" applyFont="1" applyAlignment="1">
      <alignment vertical="center" wrapText="1"/>
    </xf>
    <xf numFmtId="0" fontId="0" fillId="9" borderId="0" xfId="0" applyNumberFormat="1" applyFill="1" applyAlignment="1" applyProtection="1">
      <alignment horizontal="right" vertical="center"/>
    </xf>
    <xf numFmtId="49" fontId="0" fillId="0" borderId="0" xfId="0" applyFont="1" applyAlignment="1" applyProtection="1">
      <alignment vertical="center"/>
    </xf>
    <xf numFmtId="49" fontId="1" fillId="13" borderId="0" xfId="0" applyFont="1" applyFill="1" applyAlignment="1" applyProtection="1">
      <alignment vertical="center" wrapText="1"/>
    </xf>
    <xf numFmtId="49" fontId="0" fillId="12" borderId="0" xfId="0" applyFont="1" applyFill="1" applyAlignment="1" applyProtection="1">
      <alignment vertical="center" wrapText="1"/>
    </xf>
    <xf numFmtId="49" fontId="1" fillId="12" borderId="0" xfId="0" applyFont="1" applyFill="1" applyAlignment="1" applyProtection="1">
      <alignment vertical="center" wrapText="1"/>
    </xf>
    <xf numFmtId="49" fontId="0" fillId="14" borderId="0" xfId="0" applyFill="1" applyAlignment="1" applyProtection="1">
      <alignment horizontal="center" vertical="center" wrapText="1"/>
    </xf>
    <xf numFmtId="49" fontId="0" fillId="12" borderId="0" xfId="0" applyFill="1" applyAlignment="1">
      <alignment horizontal="right" vertical="center"/>
    </xf>
    <xf numFmtId="49" fontId="1" fillId="0" borderId="0" xfId="0" applyFont="1" applyAlignment="1" applyProtection="1">
      <alignment horizontal="center" vertical="center"/>
    </xf>
    <xf numFmtId="49" fontId="1" fillId="5" borderId="0" xfId="0" applyFont="1" applyFill="1" applyAlignment="1" applyProtection="1">
      <alignment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9" fillId="0" borderId="0" xfId="0" applyNumberFormat="1" applyFont="1" applyFill="1" applyAlignment="1" applyProtection="1">
      <alignment horizontal="center" vertical="center" wrapText="1"/>
    </xf>
    <xf numFmtId="49" fontId="27" fillId="0" borderId="0" xfId="0" applyFont="1" applyFill="1" applyBorder="1" applyAlignment="1" applyProtection="1">
      <alignment horizontal="center" vertical="top" wrapText="1"/>
    </xf>
    <xf numFmtId="49" fontId="28" fillId="0" borderId="0" xfId="0" applyFont="1" applyFill="1" applyBorder="1" applyAlignment="1" applyProtection="1">
      <alignment horizontal="center" vertical="top" wrapText="1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 applyProtection="1">
      <alignment horizontal="left" vertical="center" wrapText="1"/>
    </xf>
    <xf numFmtId="49" fontId="3" fillId="4" borderId="4" xfId="0" applyNumberFormat="1" applyFont="1" applyFill="1" applyBorder="1" applyAlignment="1">
      <alignment horizontal="center" vertical="center"/>
    </xf>
    <xf numFmtId="4" fontId="0" fillId="3" borderId="4" xfId="0" applyNumberFormat="1" applyFont="1" applyFill="1" applyBorder="1" applyAlignment="1" applyProtection="1">
      <alignment horizontal="right" vertical="center"/>
      <protection locked="0"/>
    </xf>
    <xf numFmtId="4" fontId="0" fillId="3" borderId="4" xfId="0" applyNumberFormat="1" applyFill="1" applyBorder="1" applyAlignment="1" applyProtection="1">
      <alignment horizontal="right" vertical="center"/>
      <protection locked="0"/>
    </xf>
    <xf numFmtId="4" fontId="8" fillId="9" borderId="5" xfId="0" applyNumberFormat="1" applyFont="1" applyFill="1" applyBorder="1" applyAlignment="1" applyProtection="1">
      <alignment horizontal="center" vertical="center"/>
    </xf>
    <xf numFmtId="49" fontId="0" fillId="0" borderId="0" xfId="0" applyAlignment="1">
      <alignment horizontal="center" vertical="top"/>
    </xf>
    <xf numFmtId="49" fontId="8" fillId="0" borderId="0" xfId="0" applyFont="1" applyBorder="1" applyAlignment="1" applyProtection="1">
      <alignment horizontal="left" vertical="center"/>
    </xf>
    <xf numFmtId="49" fontId="46" fillId="0" borderId="0" xfId="25" applyNumberFormat="1" applyFont="1" applyBorder="1" applyAlignment="1" applyProtection="1">
      <alignment horizontal="center" vertical="center"/>
    </xf>
    <xf numFmtId="0" fontId="0" fillId="12" borderId="0" xfId="0" applyNumberFormat="1" applyFill="1" applyAlignment="1">
      <alignment horizontal="right"/>
    </xf>
    <xf numFmtId="49" fontId="0" fillId="13" borderId="0" xfId="0" applyFill="1" applyAlignment="1" applyProtection="1">
      <alignment vertical="center" wrapText="1"/>
    </xf>
    <xf numFmtId="49" fontId="0" fillId="0" borderId="0" xfId="0" applyAlignment="1" applyProtection="1">
      <alignment vertical="center" wrapText="1"/>
    </xf>
    <xf numFmtId="49" fontId="47" fillId="0" borderId="0" xfId="0" applyFont="1" applyAlignment="1" applyProtection="1">
      <alignment vertical="center"/>
    </xf>
    <xf numFmtId="49" fontId="47" fillId="0" borderId="0" xfId="0" applyFont="1" applyAlignment="1" applyProtection="1">
      <alignment vertical="center" wrapText="1"/>
    </xf>
    <xf numFmtId="49" fontId="47" fillId="12" borderId="0" xfId="0" applyFont="1" applyFill="1" applyAlignment="1" applyProtection="1">
      <alignment vertical="center" wrapText="1"/>
    </xf>
    <xf numFmtId="49" fontId="0" fillId="9" borderId="5" xfId="0" applyFont="1" applyFill="1" applyBorder="1" applyAlignment="1" applyProtection="1">
      <alignment vertical="center" wrapText="1"/>
    </xf>
    <xf numFmtId="49" fontId="41" fillId="11" borderId="0" xfId="0" applyFont="1" applyFill="1" applyAlignment="1">
      <alignment horizontal="center" vertical="top"/>
    </xf>
    <xf numFmtId="49" fontId="3" fillId="12" borderId="0" xfId="0" applyFont="1" applyFill="1" applyAlignment="1">
      <alignment horizontal="right"/>
    </xf>
    <xf numFmtId="49" fontId="0" fillId="0" borderId="0" xfId="0" applyFill="1" applyBorder="1" applyAlignment="1" applyProtection="1">
      <alignment vertical="center" wrapText="1"/>
    </xf>
    <xf numFmtId="49" fontId="48" fillId="0" borderId="0" xfId="25" applyNumberFormat="1" applyFont="1" applyBorder="1" applyAlignment="1" applyProtection="1">
      <alignment horizontal="center" vertical="center"/>
    </xf>
    <xf numFmtId="49" fontId="46" fillId="0" borderId="0" xfId="25" applyFont="1" applyBorder="1" applyAlignment="1" applyProtection="1">
      <alignment horizontal="center" vertical="center"/>
    </xf>
    <xf numFmtId="49" fontId="1" fillId="0" borderId="11" xfId="0" applyFont="1" applyBorder="1" applyAlignment="1" applyProtection="1">
      <alignment horizontal="center" vertical="center"/>
    </xf>
    <xf numFmtId="4" fontId="22" fillId="6" borderId="4" xfId="0" applyNumberFormat="1" applyFont="1" applyFill="1" applyBorder="1" applyAlignment="1" applyProtection="1">
      <alignment horizontal="right" vertical="center"/>
    </xf>
    <xf numFmtId="4" fontId="1" fillId="9" borderId="4" xfId="0" applyNumberFormat="1" applyFont="1" applyFill="1" applyBorder="1" applyAlignment="1" applyProtection="1">
      <alignment horizontal="right" vertical="center"/>
    </xf>
    <xf numFmtId="4" fontId="0" fillId="9" borderId="4" xfId="0" applyNumberFormat="1" applyFont="1" applyFill="1" applyBorder="1" applyAlignment="1" applyProtection="1">
      <alignment horizontal="right" vertical="center"/>
    </xf>
    <xf numFmtId="4" fontId="1" fillId="9" borderId="16" xfId="0" applyNumberFormat="1" applyFont="1" applyFill="1" applyBorder="1" applyAlignment="1" applyProtection="1">
      <alignment horizontal="right" vertical="center"/>
    </xf>
    <xf numFmtId="4" fontId="0" fillId="6" borderId="4" xfId="0" applyNumberFormat="1" applyFont="1" applyFill="1" applyBorder="1" applyAlignment="1" applyProtection="1">
      <alignment horizontal="right" vertical="center"/>
    </xf>
    <xf numFmtId="4" fontId="1" fillId="3" borderId="4" xfId="0" applyNumberFormat="1" applyFont="1" applyFill="1" applyBorder="1" applyAlignment="1" applyProtection="1">
      <alignment horizontal="right" vertical="center"/>
      <protection locked="0"/>
    </xf>
    <xf numFmtId="4" fontId="1" fillId="6" borderId="4" xfId="0" applyNumberFormat="1" applyFont="1" applyFill="1" applyBorder="1" applyAlignment="1" applyProtection="1">
      <alignment vertical="center"/>
    </xf>
    <xf numFmtId="4" fontId="1" fillId="6" borderId="4" xfId="0" applyNumberFormat="1" applyFont="1" applyFill="1" applyBorder="1" applyAlignment="1" applyProtection="1">
      <alignment horizontal="right" vertical="center"/>
    </xf>
    <xf numFmtId="49" fontId="0" fillId="0" borderId="4" xfId="0" applyBorder="1" applyAlignment="1">
      <alignment vertical="top"/>
    </xf>
    <xf numFmtId="49" fontId="1" fillId="0" borderId="0" xfId="0" applyFont="1" applyBorder="1" applyAlignment="1" applyProtection="1">
      <alignment vertical="center"/>
    </xf>
    <xf numFmtId="4" fontId="1" fillId="0" borderId="16" xfId="0" applyNumberFormat="1" applyFont="1" applyFill="1" applyBorder="1" applyAlignment="1" applyProtection="1">
      <alignment horizontal="right" vertical="center"/>
    </xf>
    <xf numFmtId="4" fontId="1" fillId="0" borderId="4" xfId="0" applyNumberFormat="1" applyFont="1" applyFill="1" applyBorder="1" applyAlignment="1" applyProtection="1">
      <alignment horizontal="right" vertical="center"/>
    </xf>
    <xf numFmtId="4" fontId="1" fillId="5" borderId="4" xfId="0" applyNumberFormat="1" applyFont="1" applyFill="1" applyBorder="1" applyAlignment="1" applyProtection="1">
      <alignment horizontal="right" vertical="center"/>
    </xf>
    <xf numFmtId="4" fontId="1" fillId="6" borderId="11" xfId="0" applyNumberFormat="1" applyFont="1" applyFill="1" applyBorder="1" applyAlignment="1" applyProtection="1">
      <alignment horizontal="right" vertical="center"/>
    </xf>
    <xf numFmtId="4" fontId="0" fillId="6" borderId="16" xfId="0" applyNumberFormat="1" applyFont="1" applyFill="1" applyBorder="1" applyAlignment="1" applyProtection="1">
      <alignment horizontal="right" vertical="center"/>
    </xf>
    <xf numFmtId="4" fontId="1" fillId="6" borderId="15" xfId="0" applyNumberFormat="1" applyFont="1" applyFill="1" applyBorder="1" applyAlignment="1" applyProtection="1">
      <alignment horizontal="right" vertical="center"/>
    </xf>
    <xf numFmtId="4" fontId="1" fillId="6" borderId="16" xfId="0" applyNumberFormat="1" applyFont="1" applyFill="1" applyBorder="1" applyAlignment="1" applyProtection="1">
      <alignment horizontal="right" vertical="center"/>
    </xf>
    <xf numFmtId="4" fontId="1" fillId="6" borderId="5" xfId="0" applyNumberFormat="1" applyFont="1" applyFill="1" applyBorder="1" applyAlignment="1" applyProtection="1">
      <alignment horizontal="right" vertical="center"/>
    </xf>
    <xf numFmtId="4" fontId="0" fillId="6" borderId="5" xfId="0" applyNumberFormat="1" applyFill="1" applyBorder="1" applyAlignment="1" applyProtection="1">
      <alignment horizontal="right" vertical="center"/>
    </xf>
    <xf numFmtId="4" fontId="1" fillId="9" borderId="6" xfId="0" applyNumberFormat="1" applyFont="1" applyFill="1" applyBorder="1" applyAlignment="1" applyProtection="1">
      <alignment horizontal="right" vertical="center"/>
    </xf>
    <xf numFmtId="4" fontId="1" fillId="9" borderId="5" xfId="0" applyNumberFormat="1" applyFont="1" applyFill="1" applyBorder="1" applyAlignment="1" applyProtection="1">
      <alignment horizontal="right" vertical="center"/>
    </xf>
    <xf numFmtId="49" fontId="1" fillId="9" borderId="4" xfId="0" applyFont="1" applyFill="1" applyBorder="1" applyAlignment="1" applyProtection="1">
      <alignment vertical="center"/>
    </xf>
    <xf numFmtId="4" fontId="24" fillId="5" borderId="4" xfId="0" applyNumberFormat="1" applyFont="1" applyFill="1" applyBorder="1" applyAlignment="1" applyProtection="1">
      <alignment horizontal="right" vertical="center"/>
    </xf>
    <xf numFmtId="4" fontId="16" fillId="6" borderId="4" xfId="0" applyNumberFormat="1" applyFont="1" applyFill="1" applyBorder="1" applyAlignment="1" applyProtection="1">
      <alignment horizontal="right" vertical="center"/>
    </xf>
    <xf numFmtId="4" fontId="30" fillId="9" borderId="4" xfId="0" applyNumberFormat="1" applyFont="1" applyFill="1" applyBorder="1" applyAlignment="1" applyProtection="1">
      <alignment horizontal="right" vertical="center"/>
    </xf>
    <xf numFmtId="4" fontId="30" fillId="5" borderId="4" xfId="0" applyNumberFormat="1" applyFont="1" applyFill="1" applyBorder="1" applyAlignment="1" applyProtection="1">
      <alignment horizontal="right" vertical="center"/>
    </xf>
    <xf numFmtId="4" fontId="0" fillId="9" borderId="4" xfId="0" applyNumberFormat="1" applyFont="1" applyFill="1" applyBorder="1" applyAlignment="1" applyProtection="1">
      <alignment vertical="top"/>
    </xf>
    <xf numFmtId="4" fontId="0" fillId="0" borderId="4" xfId="0" applyNumberFormat="1" applyFont="1" applyBorder="1" applyAlignment="1" applyProtection="1">
      <alignment vertical="top"/>
    </xf>
    <xf numFmtId="49" fontId="0" fillId="0" borderId="4" xfId="0" applyFont="1" applyBorder="1" applyAlignment="1" applyProtection="1">
      <alignment vertical="top"/>
    </xf>
    <xf numFmtId="4" fontId="1" fillId="3" borderId="11" xfId="0" applyNumberFormat="1" applyFont="1" applyFill="1" applyBorder="1" applyAlignment="1" applyProtection="1">
      <alignment horizontal="right" vertical="center"/>
      <protection locked="0"/>
    </xf>
    <xf numFmtId="4" fontId="1" fillId="9" borderId="11" xfId="0" applyNumberFormat="1" applyFont="1" applyFill="1" applyBorder="1" applyAlignment="1" applyProtection="1">
      <alignment horizontal="right" vertical="center"/>
    </xf>
    <xf numFmtId="49" fontId="1" fillId="0" borderId="4" xfId="0" applyFont="1" applyBorder="1" applyAlignment="1" applyProtection="1">
      <alignment horizontal="center" vertical="center"/>
    </xf>
    <xf numFmtId="49" fontId="35" fillId="0" borderId="4" xfId="0" applyFont="1" applyBorder="1" applyAlignment="1" applyProtection="1">
      <alignment horizontal="center" vertical="center"/>
    </xf>
    <xf numFmtId="49" fontId="18" fillId="4" borderId="9" xfId="0" applyFont="1" applyFill="1" applyBorder="1" applyAlignment="1" applyProtection="1">
      <alignment horizontal="center" vertical="center"/>
    </xf>
    <xf numFmtId="0" fontId="1" fillId="9" borderId="10" xfId="0" applyNumberFormat="1" applyFont="1" applyFill="1" applyBorder="1" applyAlignment="1" applyProtection="1">
      <alignment horizontal="right" vertical="center"/>
    </xf>
    <xf numFmtId="4" fontId="1" fillId="9" borderId="10" xfId="0" applyNumberFormat="1" applyFont="1" applyFill="1" applyBorder="1" applyAlignment="1" applyProtection="1">
      <alignment horizontal="right" vertical="center"/>
    </xf>
    <xf numFmtId="49" fontId="1" fillId="9" borderId="10" xfId="0" applyNumberFormat="1" applyFont="1" applyFill="1" applyBorder="1" applyAlignment="1" applyProtection="1">
      <alignment horizontal="right" vertical="center"/>
    </xf>
    <xf numFmtId="49" fontId="0" fillId="0" borderId="0" xfId="0" applyFill="1" applyBorder="1" applyAlignment="1" applyProtection="1">
      <alignment horizontal="center" vertical="center"/>
    </xf>
    <xf numFmtId="49" fontId="8" fillId="0" borderId="0" xfId="0" applyFont="1" applyFill="1" applyAlignment="1" applyProtection="1">
      <alignment vertical="center"/>
    </xf>
    <xf numFmtId="49" fontId="33" fillId="0" borderId="4" xfId="0" applyFont="1" applyBorder="1" applyAlignment="1" applyProtection="1">
      <alignment horizontal="center" vertical="center"/>
    </xf>
    <xf numFmtId="49" fontId="1" fillId="0" borderId="0" xfId="0" applyFont="1" applyFill="1" applyBorder="1" applyAlignment="1" applyProtection="1">
      <alignment horizontal="center" vertical="center"/>
    </xf>
    <xf numFmtId="49" fontId="34" fillId="0" borderId="17" xfId="0" applyFont="1" applyBorder="1" applyAlignment="1" applyProtection="1">
      <alignment vertical="center"/>
    </xf>
    <xf numFmtId="49" fontId="18" fillId="4" borderId="0" xfId="0" applyFont="1" applyFill="1" applyBorder="1" applyAlignment="1" applyProtection="1">
      <alignment horizontal="center" vertical="center"/>
    </xf>
    <xf numFmtId="0" fontId="1" fillId="6" borderId="10" xfId="0" applyNumberFormat="1" applyFont="1" applyFill="1" applyBorder="1" applyAlignment="1" applyProtection="1">
      <alignment horizontal="center" vertical="center"/>
    </xf>
    <xf numFmtId="49" fontId="23" fillId="0" borderId="0" xfId="0" applyFont="1" applyFill="1" applyBorder="1" applyAlignment="1" applyProtection="1">
      <alignment horizontal="center" vertical="center"/>
    </xf>
    <xf numFmtId="49" fontId="34" fillId="0" borderId="16" xfId="0" applyFont="1" applyBorder="1" applyAlignment="1" applyProtection="1">
      <alignment vertical="center"/>
    </xf>
    <xf numFmtId="49" fontId="34" fillId="0" borderId="0" xfId="0" applyFont="1" applyBorder="1" applyAlignment="1" applyProtection="1">
      <alignment vertical="center"/>
    </xf>
    <xf numFmtId="49" fontId="1" fillId="0" borderId="9" xfId="0" applyFont="1" applyBorder="1" applyAlignment="1" applyProtection="1">
      <alignment vertical="center"/>
    </xf>
    <xf numFmtId="49" fontId="1" fillId="0" borderId="10" xfId="0" applyFont="1" applyBorder="1" applyAlignment="1" applyProtection="1">
      <alignment horizontal="center" vertical="center"/>
    </xf>
    <xf numFmtId="49" fontId="18" fillId="4" borderId="17" xfId="0" applyFont="1" applyFill="1" applyBorder="1" applyAlignment="1" applyProtection="1">
      <alignment horizontal="center" vertical="center"/>
    </xf>
    <xf numFmtId="4" fontId="22" fillId="6" borderId="10" xfId="0" applyNumberFormat="1" applyFont="1" applyFill="1" applyBorder="1" applyAlignment="1" applyProtection="1">
      <alignment horizontal="right" vertical="center"/>
    </xf>
    <xf numFmtId="4" fontId="22" fillId="9" borderId="10" xfId="0" applyNumberFormat="1" applyFont="1" applyFill="1" applyBorder="1" applyAlignment="1" applyProtection="1">
      <alignment horizontal="right" vertical="center"/>
    </xf>
    <xf numFmtId="4" fontId="1" fillId="3" borderId="10" xfId="0" applyNumberFormat="1" applyFont="1" applyFill="1" applyBorder="1" applyAlignment="1" applyProtection="1">
      <alignment horizontal="right" vertical="center"/>
      <protection locked="0"/>
    </xf>
    <xf numFmtId="4" fontId="1" fillId="6" borderId="10" xfId="0" applyNumberFormat="1" applyFont="1" applyFill="1" applyBorder="1" applyAlignment="1" applyProtection="1">
      <alignment horizontal="right" vertical="center"/>
    </xf>
    <xf numFmtId="4" fontId="1" fillId="6" borderId="10" xfId="0" applyNumberFormat="1" applyFont="1" applyFill="1" applyBorder="1" applyAlignment="1" applyProtection="1">
      <alignment vertical="center"/>
    </xf>
    <xf numFmtId="4" fontId="8" fillId="9" borderId="0" xfId="0" applyNumberFormat="1" applyFont="1" applyFill="1" applyAlignment="1" applyProtection="1">
      <alignment vertical="center"/>
    </xf>
    <xf numFmtId="4" fontId="1" fillId="9" borderId="13" xfId="0" applyNumberFormat="1" applyFont="1" applyFill="1" applyBorder="1" applyAlignment="1" applyProtection="1">
      <alignment horizontal="right" vertical="center"/>
    </xf>
    <xf numFmtId="0" fontId="1" fillId="9" borderId="6" xfId="0" applyNumberFormat="1" applyFont="1" applyFill="1" applyBorder="1" applyAlignment="1" applyProtection="1">
      <alignment horizontal="right" vertical="center"/>
    </xf>
    <xf numFmtId="49" fontId="1" fillId="9" borderId="6" xfId="0" applyNumberFormat="1" applyFont="1" applyFill="1" applyBorder="1" applyAlignment="1" applyProtection="1">
      <alignment horizontal="right" vertical="center"/>
    </xf>
    <xf numFmtId="49" fontId="8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0" fontId="1" fillId="6" borderId="10" xfId="0" applyNumberFormat="1" applyFont="1" applyFill="1" applyBorder="1" applyAlignment="1" applyProtection="1">
      <alignment horizontal="left" vertical="center" indent="1"/>
    </xf>
    <xf numFmtId="49" fontId="8" fillId="0" borderId="0" xfId="0" applyNumberFormat="1" applyFont="1" applyBorder="1" applyAlignment="1" applyProtection="1">
      <alignment vertical="center"/>
    </xf>
    <xf numFmtId="49" fontId="34" fillId="0" borderId="0" xfId="0" applyNumberFormat="1" applyFont="1" applyBorder="1" applyAlignment="1" applyProtection="1">
      <alignment vertical="center"/>
    </xf>
    <xf numFmtId="49" fontId="18" fillId="4" borderId="0" xfId="0" applyNumberFormat="1" applyFont="1" applyFill="1" applyBorder="1" applyAlignment="1" applyProtection="1">
      <alignment vertical="center"/>
    </xf>
    <xf numFmtId="49" fontId="21" fillId="0" borderId="0" xfId="0" applyNumberFormat="1" applyFont="1" applyFill="1" applyBorder="1" applyAlignment="1" applyProtection="1">
      <alignment horizontal="center" vertical="center"/>
    </xf>
    <xf numFmtId="49" fontId="2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right" vertical="center"/>
    </xf>
    <xf numFmtId="0" fontId="21" fillId="0" borderId="3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Border="1" applyAlignment="1">
      <alignment vertical="top"/>
    </xf>
    <xf numFmtId="49" fontId="21" fillId="0" borderId="1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49" fontId="25" fillId="9" borderId="11" xfId="0" applyFont="1" applyFill="1" applyBorder="1" applyAlignment="1" applyProtection="1">
      <alignment horizontal="center" vertical="center"/>
    </xf>
    <xf numFmtId="49" fontId="4" fillId="9" borderId="4" xfId="0" applyFont="1" applyFill="1" applyBorder="1" applyAlignment="1" applyProtection="1">
      <alignment horizontal="center" vertical="center"/>
    </xf>
    <xf numFmtId="0" fontId="1" fillId="9" borderId="4" xfId="0" applyNumberFormat="1" applyFont="1" applyFill="1" applyBorder="1" applyAlignment="1" applyProtection="1">
      <alignment horizontal="right" vertical="center"/>
    </xf>
    <xf numFmtId="49" fontId="18" fillId="0" borderId="0" xfId="0" applyFont="1" applyBorder="1" applyAlignment="1" applyProtection="1">
      <alignment vertical="center"/>
    </xf>
    <xf numFmtId="0" fontId="8" fillId="4" borderId="4" xfId="0" applyNumberFormat="1" applyFont="1" applyFill="1" applyBorder="1" applyAlignment="1" applyProtection="1">
      <alignment horizontal="center" vertical="center"/>
    </xf>
    <xf numFmtId="0" fontId="8" fillId="4" borderId="17" xfId="0" applyNumberFormat="1" applyFont="1" applyFill="1" applyBorder="1" applyAlignment="1" applyProtection="1">
      <alignment horizontal="center" vertical="center"/>
    </xf>
    <xf numFmtId="49" fontId="25" fillId="9" borderId="11" xfId="0" applyFont="1" applyFill="1" applyBorder="1" applyAlignment="1" applyProtection="1">
      <alignment vertical="center"/>
    </xf>
    <xf numFmtId="49" fontId="0" fillId="0" borderId="0" xfId="0" applyFont="1" applyFill="1" applyBorder="1" applyAlignment="1" applyProtection="1">
      <alignment horizontal="center" vertical="center"/>
    </xf>
    <xf numFmtId="49" fontId="25" fillId="9" borderId="16" xfId="0" applyFont="1" applyFill="1" applyBorder="1" applyAlignment="1" applyProtection="1">
      <alignment vertical="center"/>
    </xf>
    <xf numFmtId="49" fontId="25" fillId="9" borderId="4" xfId="0" applyFont="1" applyFill="1" applyBorder="1" applyAlignment="1" applyProtection="1">
      <alignment horizontal="center" vertical="center"/>
    </xf>
    <xf numFmtId="49" fontId="8" fillId="0" borderId="0" xfId="0" applyFont="1" applyBorder="1" applyAlignment="1" applyProtection="1">
      <alignment horizontal="center" vertical="center"/>
    </xf>
    <xf numFmtId="49" fontId="8" fillId="0" borderId="0" xfId="0" applyFont="1" applyFill="1" applyBorder="1" applyAlignment="1" applyProtection="1">
      <alignment horizontal="center" vertical="center"/>
    </xf>
    <xf numFmtId="49" fontId="1" fillId="0" borderId="0" xfId="0" applyFont="1" applyFill="1" applyBorder="1" applyAlignment="1" applyProtection="1">
      <alignment vertical="center"/>
    </xf>
    <xf numFmtId="4" fontId="1" fillId="0" borderId="0" xfId="0" applyNumberFormat="1" applyFont="1" applyFill="1" applyBorder="1" applyAlignment="1" applyProtection="1">
      <alignment vertical="center"/>
    </xf>
    <xf numFmtId="49" fontId="0" fillId="0" borderId="0" xfId="0" applyFill="1" applyBorder="1" applyAlignment="1" applyProtection="1">
      <alignment vertical="top"/>
    </xf>
    <xf numFmtId="49" fontId="1" fillId="0" borderId="12" xfId="0" applyFont="1" applyFill="1" applyBorder="1" applyAlignment="1" applyProtection="1">
      <alignment vertical="center"/>
    </xf>
    <xf numFmtId="49" fontId="8" fillId="9" borderId="4" xfId="0" applyFont="1" applyFill="1" applyBorder="1" applyAlignment="1" applyProtection="1">
      <alignment horizontal="left" vertical="center"/>
    </xf>
    <xf numFmtId="49" fontId="0" fillId="0" borderId="0" xfId="0" applyFill="1" applyAlignment="1" applyProtection="1">
      <alignment vertical="top"/>
    </xf>
    <xf numFmtId="2" fontId="1" fillId="0" borderId="0" xfId="0" applyNumberFormat="1" applyFont="1" applyFill="1" applyAlignment="1" applyProtection="1">
      <alignment vertical="center"/>
    </xf>
    <xf numFmtId="2" fontId="8" fillId="9" borderId="0" xfId="0" applyNumberFormat="1" applyFont="1" applyFill="1" applyAlignment="1" applyProtection="1">
      <alignment vertical="center"/>
    </xf>
    <xf numFmtId="4" fontId="1" fillId="15" borderId="0" xfId="0" applyNumberFormat="1" applyFont="1" applyFill="1" applyAlignment="1" applyProtection="1">
      <alignment vertical="center"/>
    </xf>
    <xf numFmtId="49" fontId="1" fillId="14" borderId="0" xfId="0" applyFont="1" applyFill="1" applyAlignment="1" applyProtection="1">
      <alignment vertical="center"/>
    </xf>
    <xf numFmtId="2" fontId="0" fillId="0" borderId="0" xfId="0" applyNumberFormat="1" applyAlignment="1">
      <alignment vertical="top"/>
    </xf>
    <xf numFmtId="4" fontId="1" fillId="9" borderId="17" xfId="0" applyNumberFormat="1" applyFont="1" applyFill="1" applyBorder="1" applyAlignment="1" applyProtection="1">
      <alignment horizontal="right" vertical="center"/>
    </xf>
    <xf numFmtId="49" fontId="18" fillId="0" borderId="0" xfId="0" applyFont="1" applyAlignment="1" applyProtection="1">
      <alignment vertical="center"/>
    </xf>
    <xf numFmtId="49" fontId="18" fillId="4" borderId="0" xfId="0" applyFont="1" applyFill="1" applyBorder="1" applyAlignment="1" applyProtection="1">
      <alignment vertical="center"/>
    </xf>
    <xf numFmtId="2" fontId="21" fillId="0" borderId="12" xfId="0" applyNumberFormat="1" applyFont="1" applyFill="1" applyBorder="1" applyAlignment="1" applyProtection="1">
      <alignment horizontal="center" vertical="center"/>
    </xf>
    <xf numFmtId="49" fontId="21" fillId="9" borderId="4" xfId="0" applyNumberFormat="1" applyFont="1" applyFill="1" applyBorder="1" applyAlignment="1" applyProtection="1">
      <alignment horizontal="center" vertical="center"/>
    </xf>
    <xf numFmtId="0" fontId="21" fillId="9" borderId="4" xfId="0" applyNumberFormat="1" applyFont="1" applyFill="1" applyBorder="1" applyAlignment="1" applyProtection="1">
      <alignment horizontal="center" vertical="center"/>
    </xf>
    <xf numFmtId="2" fontId="21" fillId="0" borderId="0" xfId="0" applyNumberFormat="1" applyFont="1" applyFill="1" applyBorder="1" applyAlignment="1" applyProtection="1">
      <alignment horizontal="center" vertical="center"/>
    </xf>
    <xf numFmtId="49" fontId="35" fillId="0" borderId="6" xfId="0" applyFont="1" applyBorder="1" applyAlignment="1" applyProtection="1">
      <alignment horizontal="center" vertical="center"/>
    </xf>
    <xf numFmtId="49" fontId="18" fillId="0" borderId="13" xfId="0" applyFont="1" applyBorder="1" applyAlignment="1" applyProtection="1">
      <alignment vertical="center"/>
    </xf>
    <xf numFmtId="49" fontId="34" fillId="0" borderId="0" xfId="0" applyFont="1" applyAlignment="1" applyProtection="1">
      <alignment vertical="center"/>
    </xf>
    <xf numFmtId="2" fontId="1" fillId="0" borderId="0" xfId="0" applyNumberFormat="1" applyFont="1" applyFill="1" applyBorder="1" applyAlignment="1" applyProtection="1">
      <alignment vertical="center"/>
    </xf>
    <xf numFmtId="49" fontId="34" fillId="0" borderId="0" xfId="0" applyFont="1" applyAlignment="1">
      <alignment vertical="top"/>
    </xf>
    <xf numFmtId="49" fontId="1" fillId="4" borderId="0" xfId="0" applyFont="1" applyFill="1" applyBorder="1" applyAlignment="1" applyProtection="1">
      <alignment vertical="center"/>
    </xf>
    <xf numFmtId="4" fontId="1" fillId="4" borderId="0" xfId="0" applyNumberFormat="1" applyFont="1" applyFill="1" applyBorder="1" applyAlignment="1" applyProtection="1">
      <alignment vertical="center"/>
    </xf>
    <xf numFmtId="49" fontId="0" fillId="0" borderId="3" xfId="0" applyBorder="1" applyAlignment="1">
      <alignment vertical="top"/>
    </xf>
    <xf numFmtId="49" fontId="0" fillId="0" borderId="0" xfId="0" applyFont="1" applyAlignment="1">
      <alignment vertical="top"/>
    </xf>
    <xf numFmtId="49" fontId="0" fillId="0" borderId="0" xfId="0" applyFont="1" applyBorder="1" applyAlignment="1">
      <alignment vertical="top"/>
    </xf>
    <xf numFmtId="49" fontId="1" fillId="4" borderId="0" xfId="0" applyNumberFormat="1" applyFont="1" applyFill="1" applyBorder="1" applyAlignment="1" applyProtection="1">
      <alignment horizontal="center" vertical="center"/>
    </xf>
    <xf numFmtId="49" fontId="21" fillId="4" borderId="0" xfId="0" applyNumberFormat="1" applyFont="1" applyFill="1" applyBorder="1" applyAlignment="1" applyProtection="1">
      <alignment horizontal="center" vertical="center"/>
    </xf>
    <xf numFmtId="49" fontId="1" fillId="9" borderId="4" xfId="0" applyNumberFormat="1" applyFont="1" applyFill="1" applyBorder="1" applyAlignment="1" applyProtection="1">
      <alignment horizontal="center" vertical="center"/>
    </xf>
    <xf numFmtId="49" fontId="21" fillId="9" borderId="10" xfId="0" applyNumberFormat="1" applyFont="1" applyFill="1" applyBorder="1" applyAlignment="1" applyProtection="1">
      <alignment horizontal="center" vertical="center"/>
    </xf>
    <xf numFmtId="49" fontId="21" fillId="9" borderId="11" xfId="0" applyNumberFormat="1" applyFont="1" applyFill="1" applyBorder="1" applyAlignment="1" applyProtection="1">
      <alignment horizontal="center" vertical="center"/>
    </xf>
    <xf numFmtId="49" fontId="18" fillId="0" borderId="17" xfId="0" applyFont="1" applyBorder="1" applyAlignment="1" applyProtection="1">
      <alignment vertical="center"/>
    </xf>
    <xf numFmtId="49" fontId="1" fillId="9" borderId="13" xfId="0" applyFont="1" applyFill="1" applyBorder="1" applyAlignment="1" applyProtection="1">
      <alignment horizontal="right" vertical="center"/>
    </xf>
    <xf numFmtId="49" fontId="18" fillId="0" borderId="9" xfId="0" applyFont="1" applyBorder="1" applyAlignment="1" applyProtection="1">
      <alignment vertical="center"/>
    </xf>
    <xf numFmtId="49" fontId="1" fillId="9" borderId="10" xfId="0" applyFont="1" applyFill="1" applyBorder="1" applyAlignment="1" applyProtection="1">
      <alignment horizontal="right" vertical="center"/>
    </xf>
    <xf numFmtId="4" fontId="22" fillId="9" borderId="11" xfId="0" applyNumberFormat="1" applyFont="1" applyFill="1" applyBorder="1" applyAlignment="1" applyProtection="1">
      <alignment horizontal="right" vertical="center"/>
    </xf>
    <xf numFmtId="4" fontId="1" fillId="0" borderId="3" xfId="0" applyNumberFormat="1" applyFont="1" applyFill="1" applyBorder="1" applyAlignment="1" applyProtection="1">
      <alignment vertical="center"/>
    </xf>
    <xf numFmtId="49" fontId="21" fillId="4" borderId="3" xfId="0" applyNumberFormat="1" applyFont="1" applyFill="1" applyBorder="1" applyAlignment="1" applyProtection="1">
      <alignment horizontal="center" vertical="center"/>
    </xf>
    <xf numFmtId="49" fontId="8" fillId="4" borderId="0" xfId="0" applyNumberFormat="1" applyFont="1" applyFill="1" applyBorder="1" applyAlignment="1" applyProtection="1">
      <alignment vertical="center"/>
    </xf>
    <xf numFmtId="49" fontId="8" fillId="4" borderId="0" xfId="0" applyNumberFormat="1" applyFont="1" applyFill="1" applyAlignment="1" applyProtection="1">
      <alignment vertical="center"/>
    </xf>
    <xf numFmtId="49" fontId="8" fillId="0" borderId="0" xfId="0" applyNumberFormat="1" applyFont="1" applyAlignment="1" applyProtection="1">
      <alignment vertical="center"/>
    </xf>
    <xf numFmtId="4" fontId="1" fillId="6" borderId="3" xfId="0" applyNumberFormat="1" applyFont="1" applyFill="1" applyBorder="1" applyAlignment="1" applyProtection="1">
      <alignment horizontal="right" vertical="center"/>
    </xf>
    <xf numFmtId="4" fontId="1" fillId="9" borderId="3" xfId="0" applyNumberFormat="1" applyFont="1" applyFill="1" applyBorder="1" applyAlignment="1" applyProtection="1">
      <alignment horizontal="right" vertical="center"/>
    </xf>
    <xf numFmtId="4" fontId="22" fillId="9" borderId="3" xfId="0" applyNumberFormat="1" applyFont="1" applyFill="1" applyBorder="1" applyAlignment="1" applyProtection="1">
      <alignment horizontal="right" vertical="center"/>
    </xf>
    <xf numFmtId="49" fontId="1" fillId="4" borderId="0" xfId="0" applyFont="1" applyFill="1" applyBorder="1" applyAlignment="1" applyProtection="1">
      <alignment horizontal="center" vertical="center"/>
    </xf>
    <xf numFmtId="49" fontId="0" fillId="0" borderId="13" xfId="0" applyBorder="1" applyAlignment="1">
      <alignment vertical="top"/>
    </xf>
    <xf numFmtId="49" fontId="1" fillId="9" borderId="4" xfId="0" applyFont="1" applyFill="1" applyBorder="1" applyAlignment="1" applyProtection="1">
      <alignment horizontal="right" vertical="center"/>
    </xf>
    <xf numFmtId="49" fontId="1" fillId="6" borderId="4" xfId="0" applyFont="1" applyFill="1" applyBorder="1" applyAlignment="1" applyProtection="1">
      <alignment horizontal="right" vertical="center"/>
    </xf>
    <xf numFmtId="0" fontId="0" fillId="4" borderId="0" xfId="0" applyNumberFormat="1" applyFill="1" applyBorder="1" applyAlignment="1" applyProtection="1">
      <alignment horizontal="center" vertical="center"/>
    </xf>
    <xf numFmtId="49" fontId="0" fillId="0" borderId="9" xfId="0" applyBorder="1" applyAlignment="1">
      <alignment vertical="top"/>
    </xf>
    <xf numFmtId="49" fontId="25" fillId="9" borderId="17" xfId="0" applyFont="1" applyFill="1" applyBorder="1" applyAlignment="1" applyProtection="1">
      <alignment vertical="center"/>
    </xf>
    <xf numFmtId="4" fontId="1" fillId="9" borderId="0" xfId="0" applyNumberFormat="1" applyFont="1" applyFill="1" applyBorder="1" applyAlignment="1" applyProtection="1">
      <alignment horizontal="right" vertical="center"/>
    </xf>
    <xf numFmtId="4" fontId="22" fillId="9" borderId="13" xfId="0" applyNumberFormat="1" applyFont="1" applyFill="1" applyBorder="1" applyAlignment="1" applyProtection="1">
      <alignment horizontal="right" vertical="center"/>
    </xf>
    <xf numFmtId="4" fontId="22" fillId="9" borderId="17" xfId="0" applyNumberFormat="1" applyFont="1" applyFill="1" applyBorder="1" applyAlignment="1" applyProtection="1">
      <alignment horizontal="right" vertical="center"/>
    </xf>
    <xf numFmtId="49" fontId="1" fillId="4" borderId="0" xfId="0" applyNumberFormat="1" applyFont="1" applyFill="1" applyBorder="1" applyAlignment="1" applyProtection="1">
      <alignment vertical="center"/>
    </xf>
    <xf numFmtId="49" fontId="1" fillId="9" borderId="11" xfId="0" applyNumberFormat="1" applyFont="1" applyFill="1" applyBorder="1" applyAlignment="1" applyProtection="1">
      <alignment horizontal="center" vertical="center"/>
    </xf>
    <xf numFmtId="0" fontId="1" fillId="9" borderId="11" xfId="0" applyNumberFormat="1" applyFont="1" applyFill="1" applyBorder="1" applyAlignment="1" applyProtection="1">
      <alignment horizontal="right" vertical="center"/>
    </xf>
    <xf numFmtId="0" fontId="21" fillId="9" borderId="11" xfId="0" applyNumberFormat="1" applyFont="1" applyFill="1" applyBorder="1" applyAlignment="1" applyProtection="1">
      <alignment horizontal="center" vertical="center"/>
    </xf>
    <xf numFmtId="49" fontId="0" fillId="6" borderId="4" xfId="0" applyFill="1" applyBorder="1" applyAlignment="1" applyProtection="1">
      <alignment horizontal="right" vertical="center"/>
    </xf>
    <xf numFmtId="49" fontId="8" fillId="4" borderId="0" xfId="0" applyFont="1" applyFill="1" applyAlignment="1" applyProtection="1">
      <alignment vertical="center"/>
    </xf>
    <xf numFmtId="49" fontId="1" fillId="4" borderId="0" xfId="0" applyFont="1" applyFill="1" applyAlignment="1" applyProtection="1">
      <alignment vertical="center"/>
    </xf>
    <xf numFmtId="4" fontId="8" fillId="4" borderId="0" xfId="0" applyNumberFormat="1" applyFont="1" applyFill="1" applyAlignment="1" applyProtection="1">
      <alignment vertical="center"/>
    </xf>
    <xf numFmtId="4" fontId="0" fillId="9" borderId="10" xfId="0" applyNumberFormat="1" applyFill="1" applyBorder="1" applyAlignment="1" applyProtection="1">
      <alignment horizontal="right" vertical="center"/>
    </xf>
    <xf numFmtId="0" fontId="1" fillId="9" borderId="10" xfId="0" applyNumberFormat="1" applyFont="1" applyFill="1" applyBorder="1" applyAlignment="1" applyProtection="1">
      <alignment horizontal="left" vertical="center"/>
    </xf>
    <xf numFmtId="49" fontId="0" fillId="0" borderId="9" xfId="0" applyBorder="1" applyAlignment="1" applyProtection="1">
      <alignment vertical="center"/>
    </xf>
    <xf numFmtId="4" fontId="0" fillId="6" borderId="10" xfId="0" applyNumberFormat="1" applyFill="1" applyBorder="1" applyAlignment="1" applyProtection="1">
      <alignment horizontal="right" vertical="center"/>
    </xf>
    <xf numFmtId="0" fontId="0" fillId="0" borderId="0" xfId="0" applyNumberFormat="1" applyAlignment="1">
      <alignment vertical="top"/>
    </xf>
    <xf numFmtId="49" fontId="1" fillId="0" borderId="0" xfId="0" applyFont="1" applyAlignment="1">
      <alignment vertical="top"/>
    </xf>
    <xf numFmtId="49" fontId="8" fillId="0" borderId="9" xfId="0" applyFont="1" applyBorder="1" applyAlignment="1" applyProtection="1">
      <alignment vertical="center"/>
    </xf>
    <xf numFmtId="49" fontId="35" fillId="0" borderId="10" xfId="0" applyFont="1" applyBorder="1" applyAlignment="1" applyProtection="1">
      <alignment horizontal="center" vertical="center"/>
    </xf>
    <xf numFmtId="49" fontId="33" fillId="0" borderId="6" xfId="0" applyFont="1" applyBorder="1" applyAlignment="1" applyProtection="1">
      <alignment horizontal="center" vertical="center"/>
    </xf>
    <xf numFmtId="49" fontId="34" fillId="0" borderId="13" xfId="0" applyFont="1" applyBorder="1" applyAlignment="1" applyProtection="1">
      <alignment vertical="center"/>
    </xf>
    <xf numFmtId="0" fontId="3" fillId="0" borderId="0" xfId="27" applyNumberFormat="1" applyFont="1" applyAlignment="1" applyProtection="1">
      <alignment horizontal="left" vertical="top" wrapText="1"/>
    </xf>
    <xf numFmtId="49" fontId="3" fillId="0" borderId="0" xfId="27" applyFont="1" applyProtection="1">
      <alignment vertical="top"/>
    </xf>
    <xf numFmtId="0" fontId="3" fillId="0" borderId="0" xfId="27" applyNumberFormat="1" applyFont="1" applyAlignment="1" applyProtection="1">
      <alignment vertical="top" wrapText="1"/>
    </xf>
    <xf numFmtId="49" fontId="1" fillId="9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49" fontId="38" fillId="0" borderId="0" xfId="25" applyNumberFormat="1" applyFill="1" applyBorder="1" applyAlignment="1" applyProtection="1">
      <alignment vertical="top" wrapText="1"/>
    </xf>
    <xf numFmtId="0" fontId="0" fillId="12" borderId="0" xfId="0" applyNumberFormat="1" applyFill="1" applyAlignment="1" applyProtection="1">
      <alignment horizontal="center" vertical="center"/>
    </xf>
    <xf numFmtId="0" fontId="0" fillId="19" borderId="0" xfId="0" applyNumberFormat="1" applyFill="1" applyAlignment="1">
      <alignment horizontal="right" vertical="center"/>
    </xf>
    <xf numFmtId="49" fontId="8" fillId="11" borderId="0" xfId="0" applyNumberFormat="1" applyFont="1" applyFill="1" applyAlignment="1" applyProtection="1">
      <alignment horizontal="center" vertical="top"/>
    </xf>
    <xf numFmtId="49" fontId="1" fillId="12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>
      <alignment horizontal="left" vertical="center" indent="1"/>
    </xf>
    <xf numFmtId="49" fontId="1" fillId="3" borderId="4" xfId="0" applyFont="1" applyFill="1" applyBorder="1" applyAlignment="1" applyProtection="1">
      <alignment vertical="center" wrapText="1"/>
      <protection locked="0"/>
    </xf>
    <xf numFmtId="49" fontId="22" fillId="8" borderId="6" xfId="0" applyFont="1" applyFill="1" applyBorder="1" applyAlignment="1" applyProtection="1">
      <alignment horizontal="left" vertical="center" indent="1"/>
    </xf>
    <xf numFmtId="49" fontId="71" fillId="8" borderId="12" xfId="0" applyFont="1" applyFill="1" applyBorder="1" applyAlignment="1" applyProtection="1">
      <alignment horizontal="left" vertical="center" indent="1"/>
    </xf>
    <xf numFmtId="0" fontId="0" fillId="0" borderId="4" xfId="0" applyNumberFormat="1" applyBorder="1" applyAlignment="1">
      <alignment horizontal="left" vertical="center" indent="1"/>
    </xf>
    <xf numFmtId="4" fontId="0" fillId="6" borderId="4" xfId="0" quotePrefix="1" applyNumberFormat="1" applyFill="1" applyBorder="1" applyAlignment="1" applyProtection="1">
      <alignment horizontal="right" vertical="center"/>
    </xf>
    <xf numFmtId="49" fontId="0" fillId="0" borderId="0" xfId="0" applyFont="1" applyFill="1" applyBorder="1" applyAlignment="1" applyProtection="1">
      <alignment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4" borderId="6" xfId="0" applyNumberFormat="1" applyFont="1" applyFill="1" applyBorder="1" applyAlignment="1" applyProtection="1">
      <alignment horizontal="center" vertical="center" wrapText="1"/>
    </xf>
    <xf numFmtId="4" fontId="22" fillId="9" borderId="0" xfId="0" applyNumberFormat="1" applyFont="1" applyFill="1" applyBorder="1" applyAlignment="1" applyProtection="1">
      <alignment horizontal="right" vertical="center"/>
    </xf>
    <xf numFmtId="49" fontId="3" fillId="9" borderId="6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0" fontId="1" fillId="9" borderId="17" xfId="0" applyNumberFormat="1" applyFont="1" applyFill="1" applyBorder="1" applyAlignment="1" applyProtection="1">
      <alignment horizontal="right" vertical="center"/>
    </xf>
    <xf numFmtId="49" fontId="22" fillId="8" borderId="12" xfId="0" applyFont="1" applyFill="1" applyBorder="1" applyAlignment="1" applyProtection="1">
      <alignment horizontal="left" vertical="center" indent="1"/>
    </xf>
    <xf numFmtId="49" fontId="22" fillId="8" borderId="5" xfId="0" applyFont="1" applyFill="1" applyBorder="1" applyAlignment="1" applyProtection="1">
      <alignment horizontal="left" vertical="center" indent="1"/>
    </xf>
    <xf numFmtId="49" fontId="8" fillId="0" borderId="6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9" borderId="12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27" fillId="0" borderId="4" xfId="0" applyFont="1" applyFill="1" applyBorder="1" applyAlignment="1" applyProtection="1">
      <alignment horizontal="center" vertical="top" wrapText="1"/>
    </xf>
    <xf numFmtId="49" fontId="28" fillId="0" borderId="4" xfId="0" applyFont="1" applyFill="1" applyBorder="1" applyAlignment="1" applyProtection="1">
      <alignment horizontal="center" vertical="top" wrapText="1"/>
    </xf>
    <xf numFmtId="0" fontId="1" fillId="6" borderId="4" xfId="0" applyNumberFormat="1" applyFont="1" applyFill="1" applyBorder="1" applyAlignment="1" applyProtection="1">
      <alignment horizontal="center" vertical="center" wrapText="1"/>
    </xf>
    <xf numFmtId="49" fontId="1" fillId="9" borderId="4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3" fillId="4" borderId="11" xfId="0" applyNumberFormat="1" applyFont="1" applyFill="1" applyBorder="1" applyAlignment="1" applyProtection="1">
      <alignment horizontal="left" vertical="center" wrapText="1"/>
    </xf>
    <xf numFmtId="49" fontId="0" fillId="12" borderId="0" xfId="0" applyFill="1" applyAlignment="1" applyProtection="1">
      <alignment vertical="center"/>
    </xf>
    <xf numFmtId="0" fontId="23" fillId="12" borderId="0" xfId="0" applyNumberFormat="1" applyFont="1" applyFill="1" applyAlignment="1">
      <alignment horizontal="right" vertical="center"/>
    </xf>
    <xf numFmtId="49" fontId="0" fillId="4" borderId="3" xfId="0" applyFill="1" applyBorder="1" applyAlignment="1" applyProtection="1">
      <alignment horizontal="center" vertical="center" wrapText="1"/>
    </xf>
    <xf numFmtId="0" fontId="0" fillId="9" borderId="0" xfId="0" applyNumberFormat="1" applyFill="1" applyBorder="1" applyAlignment="1" applyProtection="1">
      <alignment horizontal="center" vertical="center" wrapText="1"/>
    </xf>
    <xf numFmtId="4" fontId="1" fillId="6" borderId="10" xfId="0" applyNumberFormat="1" applyFont="1" applyFill="1" applyBorder="1" applyAlignment="1" applyProtection="1">
      <alignment horizontal="right" vertical="center"/>
      <protection locked="0"/>
    </xf>
    <xf numFmtId="49" fontId="3" fillId="9" borderId="10" xfId="0" applyNumberFormat="1" applyFont="1" applyFill="1" applyBorder="1" applyAlignment="1" applyProtection="1">
      <alignment horizontal="left" vertical="center" wrapText="1" indent="1"/>
    </xf>
    <xf numFmtId="49" fontId="3" fillId="0" borderId="4" xfId="33" applyFont="1" applyFill="1" applyBorder="1" applyAlignment="1" applyProtection="1">
      <alignment horizontal="center" vertical="center"/>
    </xf>
    <xf numFmtId="0" fontId="72" fillId="9" borderId="4" xfId="0" applyNumberFormat="1" applyFont="1" applyFill="1" applyBorder="1" applyAlignment="1" applyProtection="1"/>
    <xf numFmtId="49" fontId="3" fillId="0" borderId="6" xfId="33" applyFont="1" applyFill="1" applyBorder="1" applyAlignment="1" applyProtection="1">
      <alignment horizontal="center" vertical="center"/>
    </xf>
    <xf numFmtId="49" fontId="3" fillId="9" borderId="4" xfId="0" applyFont="1" applyFill="1" applyBorder="1" applyAlignment="1" applyProtection="1">
      <alignment vertical="center" wrapText="1"/>
    </xf>
    <xf numFmtId="49" fontId="0" fillId="9" borderId="14" xfId="0" applyFont="1" applyFill="1" applyBorder="1" applyAlignment="1" applyProtection="1">
      <alignment vertical="center" wrapText="1"/>
    </xf>
    <xf numFmtId="0" fontId="41" fillId="11" borderId="0" xfId="0" applyNumberFormat="1" applyFont="1" applyFill="1" applyAlignment="1">
      <alignment horizontal="center" vertical="top"/>
    </xf>
    <xf numFmtId="49" fontId="3" fillId="12" borderId="0" xfId="0" applyNumberFormat="1" applyFont="1" applyFill="1" applyAlignment="1">
      <alignment horizontal="right" vertical="center"/>
    </xf>
    <xf numFmtId="0" fontId="3" fillId="0" borderId="0" xfId="34" applyFont="1" applyProtection="1"/>
    <xf numFmtId="49" fontId="41" fillId="11" borderId="0" xfId="0" applyFont="1" applyFill="1" applyAlignment="1">
      <alignment horizontal="center" vertical="center"/>
    </xf>
    <xf numFmtId="0" fontId="3" fillId="12" borderId="0" xfId="0" applyNumberFormat="1" applyFont="1" applyFill="1" applyAlignment="1" applyProtection="1">
      <alignment horizontal="center" vertical="center"/>
    </xf>
    <xf numFmtId="49" fontId="1" fillId="6" borderId="4" xfId="0" applyNumberFormat="1" applyFont="1" applyFill="1" applyBorder="1" applyAlignment="1" applyProtection="1">
      <alignment horizontal="left" vertical="center" wrapText="1" inden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60" fillId="5" borderId="4" xfId="0" applyNumberFormat="1" applyFont="1" applyFill="1" applyBorder="1" applyAlignment="1" applyProtection="1">
      <alignment horizontal="center" vertical="center" wrapText="1"/>
    </xf>
    <xf numFmtId="49" fontId="3" fillId="20" borderId="4" xfId="0" applyNumberFormat="1" applyFont="1" applyFill="1" applyBorder="1" applyAlignment="1" applyProtection="1">
      <alignment horizontal="left" vertical="center" wrapText="1" indent="2"/>
    </xf>
    <xf numFmtId="0" fontId="61" fillId="0" borderId="10" xfId="0" applyNumberFormat="1" applyFont="1" applyFill="1" applyBorder="1" applyAlignment="1" applyProtection="1">
      <alignment horizontal="left" vertical="center" wrapText="1" indent="2"/>
    </xf>
    <xf numFmtId="49" fontId="61" fillId="4" borderId="10" xfId="0" applyNumberFormat="1" applyFont="1" applyFill="1" applyBorder="1" applyAlignment="1" applyProtection="1">
      <alignment horizontal="left" vertical="center" wrapText="1" indent="2"/>
    </xf>
    <xf numFmtId="49" fontId="3" fillId="4" borderId="10" xfId="0" applyNumberFormat="1" applyFont="1" applyFill="1" applyBorder="1" applyAlignment="1" applyProtection="1">
      <alignment horizontal="left" vertical="center" wrapText="1" indent="3"/>
    </xf>
    <xf numFmtId="0" fontId="61" fillId="9" borderId="10" xfId="0" applyNumberFormat="1" applyFont="1" applyFill="1" applyBorder="1" applyAlignment="1" applyProtection="1">
      <alignment horizontal="left" vertical="center" wrapText="1" indent="2"/>
    </xf>
    <xf numFmtId="49" fontId="3" fillId="9" borderId="4" xfId="0" applyFont="1" applyFill="1" applyBorder="1" applyAlignment="1" applyProtection="1">
      <alignment horizontal="center" vertical="center"/>
    </xf>
    <xf numFmtId="4" fontId="9" fillId="9" borderId="4" xfId="0" applyNumberFormat="1" applyFont="1" applyFill="1" applyBorder="1" applyAlignment="1" applyProtection="1">
      <alignment vertical="center"/>
    </xf>
    <xf numFmtId="49" fontId="3" fillId="10" borderId="6" xfId="0" applyFont="1" applyFill="1" applyBorder="1" applyAlignment="1" applyProtection="1">
      <alignment horizontal="left" vertical="center" wrapText="1" indent="1"/>
    </xf>
    <xf numFmtId="49" fontId="61" fillId="0" borderId="10" xfId="0" applyFont="1" applyFill="1" applyBorder="1" applyAlignment="1" applyProtection="1">
      <alignment horizontal="left" vertical="center" wrapText="1" indent="3"/>
    </xf>
    <xf numFmtId="49" fontId="3" fillId="4" borderId="10" xfId="0" applyNumberFormat="1" applyFont="1" applyFill="1" applyBorder="1" applyAlignment="1" applyProtection="1">
      <alignment horizontal="left" vertical="center" wrapText="1" indent="4"/>
    </xf>
    <xf numFmtId="49" fontId="3" fillId="4" borderId="10" xfId="0" applyNumberFormat="1" applyFont="1" applyFill="1" applyBorder="1" applyAlignment="1" applyProtection="1">
      <alignment horizontal="left" vertical="center" wrapText="1" indent="1"/>
    </xf>
    <xf numFmtId="49" fontId="3" fillId="4" borderId="10" xfId="0" applyNumberFormat="1" applyFont="1" applyFill="1" applyBorder="1" applyAlignment="1" applyProtection="1">
      <alignment horizontal="left" vertical="center" wrapText="1" indent="2"/>
    </xf>
    <xf numFmtId="4" fontId="22" fillId="6" borderId="4" xfId="26" applyNumberFormat="1" applyFont="1" applyFill="1" applyBorder="1" applyAlignment="1" applyProtection="1">
      <alignment horizontal="right" vertical="center"/>
    </xf>
    <xf numFmtId="49" fontId="3" fillId="0" borderId="12" xfId="0" applyNumberFormat="1" applyFont="1" applyFill="1" applyBorder="1" applyAlignment="1" applyProtection="1">
      <alignment horizontal="left" vertical="center" wrapText="1" indent="5"/>
    </xf>
    <xf numFmtId="49" fontId="3" fillId="0" borderId="12" xfId="0" applyNumberFormat="1" applyFont="1" applyFill="1" applyBorder="1" applyAlignment="1" applyProtection="1">
      <alignment horizontal="left" vertical="center" wrapText="1" indent="4"/>
    </xf>
    <xf numFmtId="49" fontId="3" fillId="0" borderId="12" xfId="0" applyNumberFormat="1" applyFont="1" applyFill="1" applyBorder="1" applyAlignment="1" applyProtection="1">
      <alignment horizontal="left" vertical="center" wrapText="1" indent="6"/>
    </xf>
    <xf numFmtId="49" fontId="3" fillId="9" borderId="3" xfId="0" applyNumberFormat="1" applyFont="1" applyFill="1" applyBorder="1" applyAlignment="1" applyProtection="1">
      <alignment horizontal="left" vertical="center" wrapText="1" indent="2"/>
    </xf>
    <xf numFmtId="49" fontId="3" fillId="4" borderId="3" xfId="0" applyNumberFormat="1" applyFont="1" applyFill="1" applyBorder="1" applyAlignment="1" applyProtection="1">
      <alignment horizontal="left" vertical="center" wrapText="1" indent="4"/>
    </xf>
    <xf numFmtId="49" fontId="3" fillId="4" borderId="3" xfId="0" applyNumberFormat="1" applyFont="1" applyFill="1" applyBorder="1" applyAlignment="1" applyProtection="1">
      <alignment horizontal="left" vertical="center" wrapText="1" indent="5"/>
    </xf>
    <xf numFmtId="49" fontId="3" fillId="4" borderId="3" xfId="0" applyNumberFormat="1" applyFont="1" applyFill="1" applyBorder="1" applyAlignment="1" applyProtection="1">
      <alignment horizontal="left" vertical="center" wrapText="1" indent="3"/>
    </xf>
    <xf numFmtId="49" fontId="3" fillId="4" borderId="3" xfId="0" applyFont="1" applyFill="1" applyBorder="1" applyAlignment="1" applyProtection="1">
      <alignment horizontal="left" vertical="center" wrapText="1" indent="4"/>
    </xf>
    <xf numFmtId="49" fontId="3" fillId="4" borderId="3" xfId="0" applyNumberFormat="1" applyFont="1" applyFill="1" applyBorder="1" applyAlignment="1" applyProtection="1">
      <alignment horizontal="left" vertical="center" wrapText="1" indent="2"/>
    </xf>
    <xf numFmtId="49" fontId="3" fillId="4" borderId="3" xfId="0" applyFont="1" applyFill="1" applyBorder="1" applyAlignment="1" applyProtection="1">
      <alignment horizontal="left" vertical="center" wrapText="1" indent="3"/>
    </xf>
    <xf numFmtId="49" fontId="61" fillId="0" borderId="5" xfId="33" applyFont="1" applyFill="1" applyBorder="1" applyAlignment="1" applyProtection="1">
      <alignment horizontal="left" vertical="center" wrapText="1" indent="2"/>
    </xf>
    <xf numFmtId="0" fontId="61" fillId="0" borderId="5" xfId="28" applyFont="1" applyFill="1" applyBorder="1" applyAlignment="1" applyProtection="1">
      <alignment horizontal="left" vertical="center" wrapText="1" indent="2"/>
    </xf>
    <xf numFmtId="0" fontId="3" fillId="0" borderId="5" xfId="28" applyFont="1" applyFill="1" applyBorder="1" applyAlignment="1" applyProtection="1">
      <alignment horizontal="left" vertical="center" wrapText="1" indent="2"/>
    </xf>
    <xf numFmtId="0" fontId="61" fillId="0" borderId="5" xfId="29" applyFont="1" applyFill="1" applyBorder="1" applyAlignment="1" applyProtection="1">
      <alignment horizontal="left" vertical="center" wrapText="1" indent="2"/>
    </xf>
    <xf numFmtId="49" fontId="72" fillId="4" borderId="5" xfId="0" applyNumberFormat="1" applyFont="1" applyFill="1" applyBorder="1" applyAlignment="1" applyProtection="1">
      <alignment horizontal="left" vertical="center" wrapText="1" indent="2"/>
    </xf>
    <xf numFmtId="49" fontId="61" fillId="0" borderId="5" xfId="33" applyNumberFormat="1" applyFont="1" applyFill="1" applyBorder="1" applyAlignment="1" applyProtection="1">
      <alignment horizontal="left" vertical="center" wrapText="1" indent="2"/>
    </xf>
    <xf numFmtId="0" fontId="61" fillId="0" borderId="5" xfId="31" applyFont="1" applyFill="1" applyBorder="1" applyAlignment="1" applyProtection="1">
      <alignment horizontal="left" vertical="center" wrapText="1" indent="2"/>
    </xf>
    <xf numFmtId="0" fontId="61" fillId="0" borderId="5" xfId="30" applyFont="1" applyFill="1" applyBorder="1" applyAlignment="1" applyProtection="1">
      <alignment horizontal="left" vertical="center" wrapText="1" indent="2"/>
    </xf>
    <xf numFmtId="49" fontId="61" fillId="0" borderId="5" xfId="33" applyFont="1" applyFill="1" applyBorder="1" applyAlignment="1" applyProtection="1">
      <alignment horizontal="left" vertical="top" wrapText="1" indent="3"/>
    </xf>
    <xf numFmtId="49" fontId="3" fillId="0" borderId="5" xfId="33" applyFont="1" applyFill="1" applyBorder="1" applyAlignment="1" applyProtection="1">
      <alignment horizontal="left" vertical="center" wrapText="1" indent="2"/>
    </xf>
    <xf numFmtId="49" fontId="3" fillId="4" borderId="3" xfId="0" applyNumberFormat="1" applyFont="1" applyFill="1" applyBorder="1" applyAlignment="1" applyProtection="1">
      <alignment horizontal="left" vertical="center" wrapText="1" indent="1"/>
    </xf>
    <xf numFmtId="49" fontId="3" fillId="10" borderId="4" xfId="0" applyFont="1" applyFill="1" applyBorder="1" applyAlignment="1" applyProtection="1">
      <alignment horizontal="left" vertical="center" wrapText="1" indent="1"/>
    </xf>
    <xf numFmtId="0" fontId="61" fillId="9" borderId="10" xfId="0" applyNumberFormat="1" applyFont="1" applyFill="1" applyBorder="1" applyAlignment="1" applyProtection="1">
      <alignment horizontal="left" vertical="center" indent="1"/>
    </xf>
    <xf numFmtId="49" fontId="61" fillId="0" borderId="10" xfId="0" applyFont="1" applyBorder="1" applyAlignment="1" applyProtection="1">
      <alignment horizontal="left" vertical="center" indent="1"/>
    </xf>
    <xf numFmtId="0" fontId="61" fillId="0" borderId="10" xfId="0" applyNumberFormat="1" applyFont="1" applyBorder="1" applyAlignment="1" applyProtection="1">
      <alignment horizontal="left" vertical="center" indent="1"/>
    </xf>
    <xf numFmtId="49" fontId="3" fillId="10" borderId="12" xfId="0" applyFont="1" applyFill="1" applyBorder="1" applyAlignment="1" applyProtection="1">
      <alignment horizontal="left" vertical="center" wrapText="1" indent="1"/>
    </xf>
    <xf numFmtId="0" fontId="3" fillId="9" borderId="4" xfId="0" applyNumberFormat="1" applyFont="1" applyFill="1" applyBorder="1" applyAlignment="1" applyProtection="1">
      <alignment horizontal="left" vertical="center" wrapText="1" indent="1"/>
    </xf>
    <xf numFmtId="49" fontId="3" fillId="9" borderId="3" xfId="0" applyNumberFormat="1" applyFont="1" applyFill="1" applyBorder="1" applyAlignment="1" applyProtection="1">
      <alignment horizontal="left" vertical="center" wrapText="1" indent="3"/>
    </xf>
    <xf numFmtId="49" fontId="3" fillId="10" borderId="12" xfId="0" applyFont="1" applyFill="1" applyBorder="1" applyAlignment="1" applyProtection="1">
      <alignment horizontal="left" vertical="center" wrapText="1" indent="2"/>
    </xf>
    <xf numFmtId="49" fontId="3" fillId="10" borderId="12" xfId="0" applyFont="1" applyFill="1" applyBorder="1" applyAlignment="1" applyProtection="1">
      <alignment horizontal="left" vertical="center" wrapText="1" indent="3"/>
    </xf>
    <xf numFmtId="0" fontId="3" fillId="0" borderId="4" xfId="0" applyNumberFormat="1" applyFont="1" applyFill="1" applyBorder="1" applyAlignment="1" applyProtection="1">
      <alignment horizontal="left" vertical="center" wrapText="1" indent="1"/>
    </xf>
    <xf numFmtId="49" fontId="3" fillId="9" borderId="4" xfId="0" applyNumberFormat="1" applyFont="1" applyFill="1" applyBorder="1" applyAlignment="1" applyProtection="1">
      <alignment horizontal="left" vertical="center" wrapText="1" indent="1"/>
    </xf>
    <xf numFmtId="49" fontId="3" fillId="4" borderId="4" xfId="0" applyNumberFormat="1" applyFont="1" applyFill="1" applyBorder="1" applyAlignment="1" applyProtection="1">
      <alignment horizontal="left" vertical="center" wrapText="1" indent="1"/>
    </xf>
    <xf numFmtId="49" fontId="3" fillId="4" borderId="4" xfId="0" applyNumberFormat="1" applyFont="1" applyFill="1" applyBorder="1" applyAlignment="1" applyProtection="1">
      <alignment horizontal="left" vertical="center" indent="1"/>
    </xf>
    <xf numFmtId="0" fontId="3" fillId="4" borderId="4" xfId="0" applyNumberFormat="1" applyFont="1" applyFill="1" applyBorder="1" applyAlignment="1" applyProtection="1">
      <alignment horizontal="left" vertical="center" wrapText="1" indent="1"/>
    </xf>
    <xf numFmtId="49" fontId="3" fillId="0" borderId="4" xfId="33" applyFont="1" applyFill="1" applyBorder="1" applyAlignment="1" applyProtection="1">
      <alignment horizontal="left" vertical="center" wrapText="1" indent="1"/>
    </xf>
    <xf numFmtId="0" fontId="3" fillId="0" borderId="4" xfId="33" applyNumberFormat="1" applyFont="1" applyFill="1" applyBorder="1" applyAlignment="1" applyProtection="1">
      <alignment horizontal="left" vertical="center" wrapText="1" indent="1"/>
    </xf>
    <xf numFmtId="0" fontId="73" fillId="9" borderId="4" xfId="0" applyNumberFormat="1" applyFont="1" applyFill="1" applyBorder="1" applyAlignment="1" applyProtection="1">
      <alignment horizontal="left" indent="2"/>
    </xf>
    <xf numFmtId="0" fontId="72" fillId="9" borderId="5" xfId="0" applyNumberFormat="1" applyFont="1" applyFill="1" applyBorder="1" applyAlignment="1" applyProtection="1">
      <alignment horizontal="left" indent="1"/>
    </xf>
    <xf numFmtId="49" fontId="3" fillId="9" borderId="4" xfId="0" applyNumberFormat="1" applyFont="1" applyFill="1" applyBorder="1" applyAlignment="1" applyProtection="1">
      <alignment horizontal="left" vertical="center" indent="1"/>
    </xf>
    <xf numFmtId="49" fontId="3" fillId="0" borderId="4" xfId="0" applyFont="1" applyBorder="1" applyAlignment="1">
      <alignment horizontal="left" vertical="center" indent="1"/>
    </xf>
    <xf numFmtId="0" fontId="3" fillId="0" borderId="4" xfId="0" applyNumberFormat="1" applyFont="1" applyBorder="1" applyAlignment="1">
      <alignment horizontal="left" vertical="center" indent="1"/>
    </xf>
    <xf numFmtId="49" fontId="3" fillId="9" borderId="4" xfId="0" applyFont="1" applyFill="1" applyBorder="1" applyAlignment="1" applyProtection="1">
      <alignment horizontal="left" vertical="center" wrapText="1" indent="1"/>
    </xf>
    <xf numFmtId="49" fontId="3" fillId="9" borderId="12" xfId="0" applyFont="1" applyFill="1" applyBorder="1" applyAlignment="1" applyProtection="1">
      <alignment vertical="center" wrapText="1"/>
    </xf>
    <xf numFmtId="49" fontId="41" fillId="13" borderId="4" xfId="0" applyFont="1" applyFill="1" applyBorder="1" applyAlignment="1" applyProtection="1">
      <alignment horizontal="left" vertical="center" wrapText="1" indent="1"/>
    </xf>
    <xf numFmtId="49" fontId="41" fillId="17" borderId="4" xfId="0" applyFont="1" applyFill="1" applyBorder="1" applyAlignment="1" applyProtection="1">
      <alignment horizontal="left" vertical="center" wrapText="1" indent="1"/>
    </xf>
    <xf numFmtId="49" fontId="41" fillId="17" borderId="5" xfId="0" applyFont="1" applyFill="1" applyBorder="1" applyAlignment="1" applyProtection="1">
      <alignment horizontal="left" vertical="center" wrapText="1" indent="1"/>
    </xf>
    <xf numFmtId="49" fontId="73" fillId="0" borderId="4" xfId="0" applyFont="1" applyBorder="1" applyAlignment="1">
      <alignment horizontal="left" vertical="center" indent="1"/>
    </xf>
    <xf numFmtId="49" fontId="3" fillId="4" borderId="3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 indent="1"/>
    </xf>
    <xf numFmtId="0" fontId="3" fillId="4" borderId="3" xfId="0" applyNumberFormat="1" applyFont="1" applyFill="1" applyBorder="1" applyAlignment="1" applyProtection="1">
      <alignment horizontal="left" vertical="center" wrapText="1" indent="2"/>
    </xf>
    <xf numFmtId="4" fontId="22" fillId="6" borderId="18" xfId="0" applyNumberFormat="1" applyFont="1" applyFill="1" applyBorder="1" applyAlignment="1" applyProtection="1">
      <alignment horizontal="right" vertical="center"/>
    </xf>
    <xf numFmtId="49" fontId="61" fillId="9" borderId="5" xfId="33" applyFont="1" applyFill="1" applyBorder="1" applyAlignment="1" applyProtection="1">
      <alignment horizontal="left" vertical="center" wrapText="1" indent="2"/>
    </xf>
    <xf numFmtId="49" fontId="3" fillId="4" borderId="4" xfId="0" applyFont="1" applyFill="1" applyBorder="1" applyAlignment="1" applyProtection="1">
      <alignment horizontal="left" vertical="center" wrapText="1" indent="2"/>
    </xf>
    <xf numFmtId="4" fontId="0" fillId="5" borderId="4" xfId="0" applyNumberFormat="1" applyFont="1" applyFill="1" applyBorder="1" applyAlignment="1" applyProtection="1">
      <alignment horizontal="right" vertical="center"/>
    </xf>
    <xf numFmtId="49" fontId="3" fillId="0" borderId="4" xfId="0" applyNumberFormat="1" applyFont="1" applyFill="1" applyBorder="1" applyAlignment="1" applyProtection="1">
      <alignment horizontal="left" vertical="center" wrapText="1" indent="2"/>
    </xf>
    <xf numFmtId="49" fontId="3" fillId="0" borderId="4" xfId="0" applyNumberFormat="1" applyFont="1" applyFill="1" applyBorder="1" applyAlignment="1" applyProtection="1">
      <alignment horizontal="left" vertical="center" wrapText="1" indent="3"/>
    </xf>
    <xf numFmtId="49" fontId="3" fillId="4" borderId="4" xfId="0" applyNumberFormat="1" applyFont="1" applyFill="1" applyBorder="1" applyAlignment="1" applyProtection="1">
      <alignment horizontal="left" vertical="center" wrapText="1" indent="4"/>
    </xf>
    <xf numFmtId="49" fontId="3" fillId="4" borderId="4" xfId="0" applyNumberFormat="1" applyFont="1" applyFill="1" applyBorder="1" applyAlignment="1" applyProtection="1">
      <alignment horizontal="left" vertical="center" wrapText="1" indent="5"/>
    </xf>
    <xf numFmtId="49" fontId="3" fillId="4" borderId="4" xfId="0" applyNumberFormat="1" applyFont="1" applyFill="1" applyBorder="1" applyAlignment="1" applyProtection="1">
      <alignment horizontal="left" vertical="center" wrapText="1" indent="6"/>
    </xf>
    <xf numFmtId="49" fontId="3" fillId="4" borderId="4" xfId="0" applyNumberFormat="1" applyFont="1" applyFill="1" applyBorder="1" applyAlignment="1" applyProtection="1">
      <alignment horizontal="left" vertical="center" wrapText="1" indent="7"/>
    </xf>
    <xf numFmtId="49" fontId="3" fillId="0" borderId="4" xfId="0" applyNumberFormat="1" applyFont="1" applyFill="1" applyBorder="1" applyAlignment="1" applyProtection="1">
      <alignment horizontal="left" vertical="center" wrapText="1" indent="4"/>
    </xf>
    <xf numFmtId="49" fontId="3" fillId="9" borderId="4" xfId="0" applyFont="1" applyFill="1" applyBorder="1" applyAlignment="1" applyProtection="1">
      <alignment horizontal="left" vertical="center" indent="1"/>
    </xf>
    <xf numFmtId="49" fontId="3" fillId="9" borderId="4" xfId="0" applyNumberFormat="1" applyFont="1" applyFill="1" applyBorder="1" applyAlignment="1" applyProtection="1">
      <alignment horizontal="left" vertical="center" wrapText="1" indent="4"/>
    </xf>
    <xf numFmtId="49" fontId="74" fillId="0" borderId="4" xfId="0" applyNumberFormat="1" applyFont="1" applyFill="1" applyBorder="1" applyAlignment="1" applyProtection="1">
      <alignment horizontal="left" vertical="center" wrapText="1" indent="4"/>
    </xf>
    <xf numFmtId="49" fontId="75" fillId="4" borderId="4" xfId="0" applyNumberFormat="1" applyFont="1" applyFill="1" applyBorder="1" applyAlignment="1" applyProtection="1">
      <alignment horizontal="left" vertical="center" wrapText="1" indent="4"/>
    </xf>
    <xf numFmtId="49" fontId="76" fillId="4" borderId="4" xfId="0" applyNumberFormat="1" applyFont="1" applyFill="1" applyBorder="1" applyAlignment="1" applyProtection="1">
      <alignment horizontal="left" vertical="center" wrapText="1" indent="4"/>
    </xf>
    <xf numFmtId="49" fontId="77" fillId="4" borderId="4" xfId="0" applyFont="1" applyFill="1" applyBorder="1" applyAlignment="1" applyProtection="1">
      <alignment horizontal="left" vertical="center" wrapText="1" indent="4"/>
    </xf>
    <xf numFmtId="49" fontId="78" fillId="4" borderId="4" xfId="0" applyFont="1" applyFill="1" applyBorder="1" applyAlignment="1" applyProtection="1">
      <alignment horizontal="left" vertical="center" wrapText="1" indent="4"/>
    </xf>
    <xf numFmtId="49" fontId="79" fillId="4" borderId="4" xfId="0" applyNumberFormat="1" applyFont="1" applyFill="1" applyBorder="1" applyAlignment="1" applyProtection="1">
      <alignment horizontal="left" vertical="center" wrapText="1" indent="4"/>
    </xf>
    <xf numFmtId="49" fontId="80" fillId="4" borderId="4" xfId="0" applyNumberFormat="1" applyFont="1" applyFill="1" applyBorder="1" applyAlignment="1" applyProtection="1">
      <alignment horizontal="left" vertical="center" wrapText="1" indent="4"/>
    </xf>
    <xf numFmtId="49" fontId="81" fillId="4" borderId="4" xfId="0" applyNumberFormat="1" applyFont="1" applyFill="1" applyBorder="1" applyAlignment="1" applyProtection="1">
      <alignment horizontal="left" vertical="center" wrapText="1" indent="4"/>
    </xf>
    <xf numFmtId="49" fontId="3" fillId="21" borderId="4" xfId="0" applyNumberFormat="1" applyFont="1" applyFill="1" applyBorder="1" applyAlignment="1" applyProtection="1">
      <alignment horizontal="left" vertical="center" wrapText="1" indent="3"/>
    </xf>
    <xf numFmtId="49" fontId="63" fillId="4" borderId="4" xfId="0" applyFont="1" applyFill="1" applyBorder="1" applyAlignment="1" applyProtection="1">
      <alignment horizontal="left" vertical="center" wrapText="1" indent="2"/>
    </xf>
    <xf numFmtId="49" fontId="3" fillId="4" borderId="4" xfId="0" applyNumberFormat="1" applyFont="1" applyFill="1" applyBorder="1" applyAlignment="1" applyProtection="1">
      <alignment horizontal="left" vertical="center" wrapText="1" indent="3"/>
    </xf>
    <xf numFmtId="0" fontId="3" fillId="4" borderId="4" xfId="0" applyNumberFormat="1" applyFont="1" applyFill="1" applyBorder="1" applyAlignment="1" applyProtection="1">
      <alignment horizontal="left" vertical="center" wrapText="1" indent="3"/>
    </xf>
    <xf numFmtId="49" fontId="3" fillId="4" borderId="4" xfId="0" applyNumberFormat="1" applyFont="1" applyFill="1" applyBorder="1" applyAlignment="1" applyProtection="1">
      <alignment horizontal="left" vertical="center" wrapText="1" indent="2"/>
    </xf>
    <xf numFmtId="49" fontId="80" fillId="0" borderId="4" xfId="0" applyNumberFormat="1" applyFont="1" applyFill="1" applyBorder="1" applyAlignment="1" applyProtection="1">
      <alignment horizontal="left" vertical="center" wrapText="1" indent="3"/>
    </xf>
    <xf numFmtId="49" fontId="75" fillId="4" borderId="4" xfId="0" applyFont="1" applyFill="1" applyBorder="1" applyAlignment="1" applyProtection="1">
      <alignment horizontal="left" vertical="center" wrapText="1" indent="4"/>
    </xf>
    <xf numFmtId="49" fontId="76" fillId="4" borderId="4" xfId="0" applyFont="1" applyFill="1" applyBorder="1" applyAlignment="1" applyProtection="1">
      <alignment horizontal="left" vertical="center" wrapText="1" indent="4"/>
    </xf>
    <xf numFmtId="49" fontId="78" fillId="0" borderId="4" xfId="0" applyNumberFormat="1" applyFont="1" applyFill="1" applyBorder="1" applyAlignment="1" applyProtection="1">
      <alignment horizontal="left" vertical="center" wrapText="1" indent="4"/>
    </xf>
    <xf numFmtId="49" fontId="79" fillId="0" borderId="4" xfId="0" applyNumberFormat="1" applyFont="1" applyFill="1" applyBorder="1" applyAlignment="1" applyProtection="1">
      <alignment horizontal="left" vertical="center" wrapText="1" indent="4"/>
    </xf>
    <xf numFmtId="49" fontId="80" fillId="0" borderId="4" xfId="0" applyNumberFormat="1" applyFont="1" applyFill="1" applyBorder="1" applyAlignment="1" applyProtection="1">
      <alignment horizontal="left" vertical="center" wrapText="1" indent="4"/>
    </xf>
    <xf numFmtId="49" fontId="81" fillId="0" borderId="4" xfId="0" applyNumberFormat="1" applyFont="1" applyFill="1" applyBorder="1" applyAlignment="1" applyProtection="1">
      <alignment horizontal="left" vertical="center" wrapText="1" indent="4"/>
    </xf>
    <xf numFmtId="49" fontId="3" fillId="0" borderId="4" xfId="0" applyFont="1" applyFill="1" applyBorder="1" applyAlignment="1" applyProtection="1">
      <alignment horizontal="left" vertical="center" wrapText="1" indent="1"/>
    </xf>
    <xf numFmtId="0" fontId="3" fillId="4" borderId="10" xfId="0" applyNumberFormat="1" applyFont="1" applyFill="1" applyBorder="1" applyAlignment="1" applyProtection="1">
      <alignment horizontal="left" vertical="center" wrapText="1" indent="1"/>
    </xf>
    <xf numFmtId="49" fontId="3" fillId="10" borderId="6" xfId="0" applyFont="1" applyFill="1" applyBorder="1" applyAlignment="1" applyProtection="1">
      <alignment horizontal="left" vertical="center" wrapText="1" indent="2"/>
    </xf>
    <xf numFmtId="0" fontId="3" fillId="0" borderId="10" xfId="0" applyNumberFormat="1" applyFont="1" applyFill="1" applyBorder="1" applyAlignment="1" applyProtection="1">
      <alignment horizontal="left" vertical="center" wrapText="1" indent="3"/>
    </xf>
    <xf numFmtId="49" fontId="3" fillId="0" borderId="4" xfId="33" applyNumberFormat="1" applyFont="1" applyFill="1" applyBorder="1" applyAlignment="1" applyProtection="1">
      <alignment horizontal="left" vertical="center" wrapText="1" indent="1"/>
    </xf>
    <xf numFmtId="49" fontId="65" fillId="0" borderId="4" xfId="0" applyNumberFormat="1" applyFont="1" applyFill="1" applyBorder="1" applyAlignment="1" applyProtection="1">
      <alignment horizontal="left" vertical="center" wrapText="1" indent="3"/>
    </xf>
    <xf numFmtId="49" fontId="73" fillId="9" borderId="4" xfId="0" applyFont="1" applyFill="1" applyBorder="1" applyAlignment="1" applyProtection="1">
      <alignment horizontal="left" vertical="center" indent="1"/>
    </xf>
    <xf numFmtId="0" fontId="73" fillId="0" borderId="4" xfId="0" applyNumberFormat="1" applyFont="1" applyBorder="1" applyAlignment="1">
      <alignment horizontal="left" vertical="center" indent="1"/>
    </xf>
    <xf numFmtId="16" fontId="73" fillId="0" borderId="4" xfId="0" applyNumberFormat="1" applyFont="1" applyBorder="1" applyAlignment="1">
      <alignment horizontal="left" vertical="center" indent="1"/>
    </xf>
    <xf numFmtId="49" fontId="41" fillId="9" borderId="5" xfId="0" applyFont="1" applyFill="1" applyBorder="1" applyAlignment="1" applyProtection="1">
      <alignment horizontal="center" vertical="center"/>
    </xf>
    <xf numFmtId="0" fontId="73" fillId="0" borderId="11" xfId="0" applyNumberFormat="1" applyFont="1" applyBorder="1" applyAlignment="1">
      <alignment horizontal="left" vertical="center" indent="1"/>
    </xf>
    <xf numFmtId="49" fontId="65" fillId="0" borderId="11" xfId="0" applyNumberFormat="1" applyFont="1" applyFill="1" applyBorder="1" applyAlignment="1" applyProtection="1">
      <alignment horizontal="left" vertical="center" wrapText="1" indent="3"/>
    </xf>
    <xf numFmtId="49" fontId="73" fillId="4" borderId="4" xfId="0" applyNumberFormat="1" applyFont="1" applyFill="1" applyBorder="1" applyAlignment="1" applyProtection="1">
      <alignment horizontal="left" vertical="center" wrapText="1" indent="1"/>
    </xf>
    <xf numFmtId="49" fontId="65" fillId="10" borderId="6" xfId="0" applyFont="1" applyFill="1" applyBorder="1" applyAlignment="1" applyProtection="1">
      <alignment horizontal="left" vertical="center" wrapText="1" indent="2"/>
    </xf>
    <xf numFmtId="49" fontId="0" fillId="7" borderId="4" xfId="0" applyFill="1" applyBorder="1" applyAlignment="1" applyProtection="1">
      <alignment horizontal="left" vertical="center" wrapText="1" indent="1"/>
      <protection locked="0"/>
    </xf>
    <xf numFmtId="49" fontId="22" fillId="0" borderId="0" xfId="0" applyFont="1" applyFill="1" applyBorder="1" applyAlignment="1" applyProtection="1"/>
    <xf numFmtId="49" fontId="73" fillId="10" borderId="4" xfId="0" applyFont="1" applyFill="1" applyBorder="1" applyAlignment="1" applyProtection="1">
      <alignment horizontal="left" vertical="center" wrapText="1" indent="1"/>
    </xf>
    <xf numFmtId="49" fontId="4" fillId="0" borderId="0" xfId="0" applyFont="1" applyFill="1" applyBorder="1" applyAlignment="1" applyProtection="1">
      <alignment horizontal="right" vertical="center" wrapText="1" indent="1"/>
    </xf>
    <xf numFmtId="0" fontId="71" fillId="9" borderId="4" xfId="0" applyNumberFormat="1" applyFont="1" applyFill="1" applyBorder="1" applyAlignment="1" applyProtection="1">
      <alignment horizontal="center" vertical="center" wrapText="1"/>
    </xf>
    <xf numFmtId="0" fontId="0" fillId="4" borderId="19" xfId="0" applyNumberFormat="1" applyFont="1" applyFill="1" applyBorder="1" applyAlignment="1" applyProtection="1">
      <alignment horizontal="right" vertical="center" wrapText="1" indent="1"/>
    </xf>
    <xf numFmtId="49" fontId="0" fillId="0" borderId="0" xfId="0" applyFont="1" applyFill="1" applyBorder="1" applyAlignment="1" applyProtection="1">
      <alignment horizontal="right" vertical="center" wrapText="1" indent="1"/>
    </xf>
    <xf numFmtId="49" fontId="0" fillId="0" borderId="0" xfId="0" applyFont="1" applyAlignment="1">
      <alignment horizontal="right" vertical="top" indent="1"/>
    </xf>
    <xf numFmtId="0" fontId="67" fillId="0" borderId="0" xfId="0" applyNumberFormat="1" applyFont="1" applyFill="1" applyBorder="1" applyAlignment="1" applyProtection="1">
      <alignment horizontal="center" vertical="center" wrapText="1"/>
    </xf>
    <xf numFmtId="49" fontId="0" fillId="6" borderId="4" xfId="0" applyFont="1" applyFill="1" applyBorder="1" applyAlignment="1" applyProtection="1">
      <alignment horizontal="left" vertical="center" wrapText="1" indent="1"/>
    </xf>
    <xf numFmtId="49" fontId="2" fillId="0" borderId="0" xfId="0" applyFont="1" applyFill="1" applyBorder="1" applyAlignment="1" applyProtection="1">
      <alignment horizontal="right" vertical="center" wrapText="1" indent="1"/>
    </xf>
    <xf numFmtId="49" fontId="0" fillId="6" borderId="4" xfId="0" applyNumberFormat="1" applyFill="1" applyBorder="1" applyAlignment="1" applyProtection="1">
      <alignment horizontal="left" vertical="center" indent="1"/>
    </xf>
    <xf numFmtId="49" fontId="0" fillId="6" borderId="4" xfId="0" applyFill="1" applyBorder="1" applyAlignment="1" applyProtection="1">
      <alignment horizontal="left" vertical="center" wrapText="1" indent="1"/>
    </xf>
    <xf numFmtId="49" fontId="0" fillId="0" borderId="0" xfId="0" applyFont="1" applyFill="1" applyProtection="1">
      <alignment vertical="top"/>
    </xf>
    <xf numFmtId="49" fontId="65" fillId="0" borderId="0" xfId="0" quotePrefix="1" applyFont="1" applyFill="1" applyAlignment="1" applyProtection="1">
      <alignment horizontal="left" vertical="center" indent="3"/>
    </xf>
    <xf numFmtId="49" fontId="0" fillId="0" borderId="0" xfId="0" applyFont="1" applyFill="1" applyBorder="1" applyAlignment="1" applyProtection="1">
      <alignment horizontal="right" vertical="center" wrapText="1"/>
    </xf>
    <xf numFmtId="49" fontId="22" fillId="8" borderId="3" xfId="25" applyFont="1" applyFill="1" applyBorder="1" applyAlignment="1" applyProtection="1">
      <alignment horizontal="left" vertical="center" indent="1"/>
    </xf>
    <xf numFmtId="49" fontId="0" fillId="7" borderId="6" xfId="0" applyFont="1" applyFill="1" applyBorder="1" applyAlignment="1" applyProtection="1">
      <alignment horizontal="left" vertical="center" wrapText="1" indent="1"/>
      <protection locked="0"/>
    </xf>
    <xf numFmtId="0" fontId="0" fillId="6" borderId="4" xfId="0" applyNumberFormat="1" applyFill="1" applyBorder="1" applyAlignment="1" applyProtection="1">
      <alignment horizontal="left" vertical="center" wrapText="1" indent="1"/>
    </xf>
    <xf numFmtId="49" fontId="49" fillId="0" borderId="19" xfId="0" applyFont="1" applyFill="1" applyBorder="1" applyAlignment="1" applyProtection="1">
      <alignment horizontal="center" vertical="center" wrapText="1"/>
      <protection locked="0"/>
    </xf>
    <xf numFmtId="4" fontId="0" fillId="3" borderId="5" xfId="0" applyNumberFormat="1" applyFill="1" applyBorder="1" applyAlignment="1" applyProtection="1">
      <alignment horizontal="right" vertical="center"/>
      <protection locked="0"/>
    </xf>
    <xf numFmtId="49" fontId="0" fillId="9" borderId="15" xfId="0" applyFont="1" applyFill="1" applyBorder="1" applyAlignment="1" applyProtection="1">
      <alignment vertical="center" wrapText="1"/>
    </xf>
    <xf numFmtId="4" fontId="30" fillId="15" borderId="4" xfId="0" applyNumberFormat="1" applyFont="1" applyFill="1" applyBorder="1" applyAlignment="1" applyProtection="1">
      <alignment horizontal="right" vertical="center"/>
    </xf>
    <xf numFmtId="49" fontId="3" fillId="4" borderId="20" xfId="0" applyNumberFormat="1" applyFont="1" applyFill="1" applyBorder="1" applyAlignment="1" applyProtection="1">
      <alignment horizontal="center" vertical="center" wrapText="1"/>
    </xf>
    <xf numFmtId="49" fontId="3" fillId="4" borderId="5" xfId="0" applyNumberFormat="1" applyFont="1" applyFill="1" applyBorder="1" applyAlignment="1" applyProtection="1">
      <alignment horizontal="center" vertical="center" wrapText="1"/>
    </xf>
    <xf numFmtId="0" fontId="3" fillId="4" borderId="13" xfId="0" applyNumberFormat="1" applyFont="1" applyFill="1" applyBorder="1" applyAlignment="1" applyProtection="1">
      <alignment horizontal="left" vertical="center" wrapText="1" indent="2"/>
    </xf>
    <xf numFmtId="0" fontId="3" fillId="0" borderId="3" xfId="0" applyNumberFormat="1" applyFont="1" applyFill="1" applyBorder="1" applyAlignment="1" applyProtection="1">
      <alignment horizontal="left" vertical="center" wrapText="1" indent="1"/>
    </xf>
    <xf numFmtId="49" fontId="3" fillId="9" borderId="12" xfId="0" applyFont="1" applyFill="1" applyBorder="1" applyAlignment="1" applyProtection="1">
      <alignment horizontal="left" vertical="center" wrapText="1" indent="1"/>
    </xf>
    <xf numFmtId="0" fontId="3" fillId="4" borderId="3" xfId="0" applyNumberFormat="1" applyFont="1" applyFill="1" applyBorder="1" applyAlignment="1" applyProtection="1">
      <alignment horizontal="left" vertical="center" wrapText="1" indent="3"/>
    </xf>
    <xf numFmtId="0" fontId="1" fillId="6" borderId="4" xfId="0" applyNumberFormat="1" applyFont="1" applyFill="1" applyBorder="1" applyAlignment="1" applyProtection="1">
      <alignment horizontal="left" vertical="center" wrapText="1" indent="1"/>
    </xf>
    <xf numFmtId="49" fontId="1" fillId="9" borderId="5" xfId="0" applyNumberFormat="1" applyFont="1" applyFill="1" applyBorder="1" applyAlignment="1" applyProtection="1">
      <alignment horizontal="center" vertical="center" wrapText="1"/>
    </xf>
    <xf numFmtId="4" fontId="22" fillId="6" borderId="10" xfId="0" applyNumberFormat="1" applyFont="1" applyFill="1" applyBorder="1" applyAlignment="1" applyProtection="1">
      <alignment horizontal="right" vertical="center" wrapText="1"/>
    </xf>
    <xf numFmtId="49" fontId="3" fillId="4" borderId="13" xfId="0" applyNumberFormat="1" applyFont="1" applyFill="1" applyBorder="1" applyAlignment="1">
      <alignment horizontal="center" vertical="center"/>
    </xf>
    <xf numFmtId="49" fontId="1" fillId="0" borderId="11" xfId="0" applyFont="1" applyFill="1" applyBorder="1" applyAlignment="1" applyProtection="1">
      <alignment horizontal="center" vertical="center" wrapText="1"/>
    </xf>
    <xf numFmtId="4" fontId="68" fillId="9" borderId="10" xfId="0" applyNumberFormat="1" applyFont="1" applyFill="1" applyBorder="1" applyAlignment="1" applyProtection="1">
      <alignment horizontal="right" vertical="center"/>
    </xf>
    <xf numFmtId="49" fontId="48" fillId="0" borderId="3" xfId="25" applyNumberFormat="1" applyFont="1" applyBorder="1" applyAlignment="1" applyProtection="1">
      <alignment horizontal="center" vertical="center"/>
    </xf>
    <xf numFmtId="49" fontId="0" fillId="12" borderId="0" xfId="0" applyNumberFormat="1" applyFill="1">
      <alignment vertical="top"/>
    </xf>
    <xf numFmtId="49" fontId="22" fillId="0" borderId="0" xfId="25" applyFont="1" applyFill="1" applyBorder="1" applyAlignment="1" applyProtection="1">
      <alignment horizontal="left" vertical="center" indent="1"/>
    </xf>
    <xf numFmtId="49" fontId="0" fillId="15" borderId="4" xfId="0" applyFill="1" applyBorder="1" applyAlignment="1" applyProtection="1">
      <alignment horizontal="center" vertical="center" wrapText="1"/>
    </xf>
    <xf numFmtId="49" fontId="8" fillId="5" borderId="4" xfId="0" applyFont="1" applyFill="1" applyBorder="1" applyAlignment="1" applyProtection="1">
      <alignment vertical="center" wrapText="1"/>
    </xf>
    <xf numFmtId="0" fontId="22" fillId="0" borderId="0" xfId="25" applyNumberFormat="1" applyFont="1" applyFill="1" applyBorder="1" applyAlignment="1" applyProtection="1">
      <alignment horizontal="left" vertical="center" indent="1"/>
    </xf>
    <xf numFmtId="49" fontId="38" fillId="10" borderId="4" xfId="25" applyFill="1" applyBorder="1" applyAlignment="1" applyProtection="1">
      <alignment horizontal="left" vertical="center" wrapText="1" indent="1"/>
    </xf>
    <xf numFmtId="49" fontId="0" fillId="0" borderId="0" xfId="0" applyFill="1" applyAlignment="1" applyProtection="1">
      <alignment vertical="center" wrapText="1"/>
    </xf>
    <xf numFmtId="49" fontId="8" fillId="0" borderId="4" xfId="0" applyFont="1" applyFill="1" applyBorder="1" applyAlignment="1" applyProtection="1">
      <alignment horizontal="left" vertical="center" wrapText="1" indent="1"/>
    </xf>
    <xf numFmtId="0" fontId="0" fillId="4" borderId="19" xfId="0" applyNumberFormat="1" applyFill="1" applyBorder="1" applyAlignment="1" applyProtection="1">
      <alignment horizontal="right" vertical="center" wrapText="1" indent="1"/>
    </xf>
    <xf numFmtId="0" fontId="1" fillId="6" borderId="4" xfId="25" applyNumberFormat="1" applyFont="1" applyFill="1" applyBorder="1" applyAlignment="1" applyProtection="1">
      <alignment horizontal="left" vertical="center" wrapText="1" indent="1"/>
    </xf>
    <xf numFmtId="0" fontId="22" fillId="5" borderId="4" xfId="25" applyNumberFormat="1" applyFont="1" applyFill="1" applyBorder="1" applyAlignment="1" applyProtection="1">
      <alignment horizontal="center" vertical="center"/>
    </xf>
    <xf numFmtId="49" fontId="69" fillId="12" borderId="0" xfId="0" applyFont="1" applyFill="1" applyAlignment="1" applyProtection="1">
      <alignment vertical="center"/>
    </xf>
    <xf numFmtId="49" fontId="3" fillId="4" borderId="11" xfId="0" applyNumberFormat="1" applyFont="1" applyFill="1" applyBorder="1" applyAlignment="1" applyProtection="1">
      <alignment horizontal="center" vertical="center" wrapText="1"/>
    </xf>
    <xf numFmtId="49" fontId="22" fillId="8" borderId="4" xfId="0" applyFont="1" applyFill="1" applyBorder="1" applyAlignment="1" applyProtection="1">
      <alignment horizontal="center" vertical="center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9" borderId="4" xfId="0" applyNumberFormat="1" applyFill="1" applyBorder="1" applyAlignment="1" applyProtection="1">
      <alignment horizontal="left" vertical="center" wrapText="1" indent="1"/>
    </xf>
    <xf numFmtId="0" fontId="3" fillId="4" borderId="11" xfId="0" applyNumberFormat="1" applyFont="1" applyFill="1" applyBorder="1" applyAlignment="1" applyProtection="1">
      <alignment horizontal="left" vertical="center" wrapText="1" indent="1"/>
    </xf>
    <xf numFmtId="49" fontId="3" fillId="10" borderId="3" xfId="0" applyFont="1" applyFill="1" applyBorder="1" applyAlignment="1" applyProtection="1">
      <alignment horizontal="left" vertical="center" wrapText="1" indent="2"/>
    </xf>
    <xf numFmtId="0" fontId="3" fillId="9" borderId="4" xfId="0" applyNumberFormat="1" applyFont="1" applyFill="1" applyBorder="1" applyAlignment="1" applyProtection="1">
      <alignment horizontal="left" vertical="center" wrapText="1" indent="3"/>
    </xf>
    <xf numFmtId="49" fontId="3" fillId="0" borderId="4" xfId="0" applyFont="1" applyBorder="1" applyAlignment="1">
      <alignment horizontal="left" vertical="center" indent="2"/>
    </xf>
    <xf numFmtId="49" fontId="41" fillId="0" borderId="4" xfId="0" applyFont="1" applyBorder="1" applyAlignment="1">
      <alignment horizontal="left" vertical="center" indent="1"/>
    </xf>
    <xf numFmtId="3" fontId="1" fillId="3" borderId="4" xfId="0" applyNumberFormat="1" applyFont="1" applyFill="1" applyBorder="1" applyAlignment="1" applyProtection="1">
      <alignment horizontal="right" vertical="center"/>
      <protection locked="0"/>
    </xf>
    <xf numFmtId="49" fontId="41" fillId="9" borderId="4" xfId="0" applyFont="1" applyFill="1" applyBorder="1" applyAlignment="1" applyProtection="1">
      <alignment horizontal="left" vertical="center" indent="1"/>
    </xf>
    <xf numFmtId="49" fontId="3" fillId="10" borderId="4" xfId="0" applyFont="1" applyFill="1" applyBorder="1" applyAlignment="1" applyProtection="1">
      <alignment horizontal="left" vertical="center" wrapText="1"/>
    </xf>
    <xf numFmtId="49" fontId="3" fillId="10" borderId="4" xfId="0" applyFont="1" applyFill="1" applyBorder="1" applyAlignment="1" applyProtection="1">
      <alignment horizontal="left" vertical="center" wrapText="1" indent="2"/>
    </xf>
    <xf numFmtId="49" fontId="8" fillId="11" borderId="0" xfId="0" applyFont="1" applyFill="1" applyAlignment="1">
      <alignment horizontal="center" vertical="top"/>
    </xf>
    <xf numFmtId="49" fontId="0" fillId="12" borderId="0" xfId="0" applyFill="1" applyAlignment="1">
      <alignment horizontal="right"/>
    </xf>
    <xf numFmtId="49" fontId="0" fillId="15" borderId="0" xfId="0" applyFill="1" applyAlignment="1" applyProtection="1">
      <alignment horizontal="right"/>
    </xf>
    <xf numFmtId="49" fontId="70" fillId="10" borderId="4" xfId="25" applyFont="1" applyFill="1" applyBorder="1" applyAlignment="1" applyProtection="1">
      <alignment horizontal="center" vertical="center" wrapText="1"/>
    </xf>
    <xf numFmtId="49" fontId="22" fillId="15" borderId="4" xfId="25" applyFont="1" applyFill="1" applyBorder="1" applyAlignment="1" applyProtection="1">
      <alignment horizontal="left" vertical="center" wrapText="1" indent="1"/>
    </xf>
    <xf numFmtId="0" fontId="0" fillId="0" borderId="0" xfId="0" applyNumberFormat="1" applyFill="1" applyBorder="1" applyAlignment="1" applyProtection="1">
      <alignment horizontal="center" vertical="center"/>
    </xf>
    <xf numFmtId="0" fontId="0" fillId="4" borderId="4" xfId="0" applyNumberFormat="1" applyFill="1" applyBorder="1" applyAlignment="1" applyProtection="1">
      <alignment horizontal="center" vertical="center" wrapText="1"/>
    </xf>
    <xf numFmtId="49" fontId="2" fillId="0" borderId="0" xfId="0" applyFont="1" applyFill="1" applyBorder="1" applyAlignment="1" applyProtection="1">
      <alignment horizontal="center" vertical="center" wrapText="1" shrinkToFit="1"/>
    </xf>
    <xf numFmtId="0" fontId="0" fillId="0" borderId="4" xfId="32" applyFont="1" applyFill="1" applyBorder="1" applyAlignment="1" applyProtection="1">
      <alignment horizontal="center" vertical="center" wrapText="1"/>
    </xf>
    <xf numFmtId="0" fontId="41" fillId="0" borderId="4" xfId="0" applyNumberFormat="1" applyFont="1" applyBorder="1" applyAlignment="1">
      <alignment horizontal="left" vertical="center" indent="1"/>
    </xf>
    <xf numFmtId="16" fontId="41" fillId="0" borderId="4" xfId="0" applyNumberFormat="1" applyFont="1" applyBorder="1" applyAlignment="1">
      <alignment horizontal="left" vertical="center" indent="1"/>
    </xf>
    <xf numFmtId="49" fontId="8" fillId="8" borderId="12" xfId="0" applyFont="1" applyFill="1" applyBorder="1" applyAlignment="1" applyProtection="1">
      <alignment horizontal="left" vertical="center" indent="1"/>
    </xf>
    <xf numFmtId="0" fontId="4" fillId="4" borderId="12" xfId="0" applyNumberFormat="1" applyFont="1" applyFill="1" applyBorder="1" applyAlignment="1" applyProtection="1">
      <alignment vertical="center"/>
    </xf>
    <xf numFmtId="0" fontId="4" fillId="4" borderId="12" xfId="0" applyNumberFormat="1" applyFont="1" applyFill="1" applyBorder="1" applyAlignment="1" applyProtection="1">
      <alignment horizontal="left" vertical="center" indent="4"/>
    </xf>
    <xf numFmtId="49" fontId="1" fillId="9" borderId="0" xfId="0" applyNumberFormat="1" applyFont="1" applyFill="1" applyBorder="1" applyAlignment="1" applyProtection="1">
      <alignment horizontal="center" vertical="top" wrapText="1"/>
    </xf>
    <xf numFmtId="49" fontId="22" fillId="8" borderId="21" xfId="25" applyFont="1" applyFill="1" applyBorder="1" applyAlignment="1" applyProtection="1">
      <alignment horizontal="left" vertical="center" indent="1"/>
    </xf>
    <xf numFmtId="49" fontId="22" fillId="8" borderId="21" xfId="0" applyFont="1" applyFill="1" applyBorder="1" applyAlignment="1" applyProtection="1">
      <alignment horizontal="left" vertical="center" indent="1"/>
    </xf>
    <xf numFmtId="49" fontId="28" fillId="0" borderId="5" xfId="0" applyFont="1" applyFill="1" applyBorder="1" applyAlignment="1" applyProtection="1">
      <alignment horizontal="center" vertical="top" wrapText="1"/>
    </xf>
    <xf numFmtId="49" fontId="0" fillId="0" borderId="6" xfId="0" applyNumberFormat="1" applyFill="1" applyBorder="1" applyAlignment="1" applyProtection="1">
      <alignment horizontal="left" vertical="center" wrapText="1" indent="1"/>
    </xf>
    <xf numFmtId="4" fontId="1" fillId="7" borderId="4" xfId="0" applyNumberFormat="1" applyFont="1" applyFill="1" applyBorder="1" applyAlignment="1" applyProtection="1">
      <alignment horizontal="right" vertical="center"/>
      <protection locked="0"/>
    </xf>
    <xf numFmtId="49" fontId="1" fillId="3" borderId="5" xfId="0" applyFont="1" applyFill="1" applyBorder="1" applyAlignment="1" applyProtection="1">
      <alignment vertical="center" wrapText="1"/>
      <protection locked="0"/>
    </xf>
    <xf numFmtId="4" fontId="1" fillId="16" borderId="4" xfId="0" applyNumberFormat="1" applyFont="1" applyFill="1" applyBorder="1" applyAlignment="1" applyProtection="1">
      <alignment horizontal="right" vertical="center" wrapText="1"/>
    </xf>
    <xf numFmtId="4" fontId="1" fillId="16" borderId="4" xfId="0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Alignment="1">
      <alignment horizontal="right" vertical="center"/>
    </xf>
    <xf numFmtId="49" fontId="0" fillId="0" borderId="0" xfId="0" applyNumberFormat="1" applyFill="1">
      <alignment vertical="top"/>
    </xf>
    <xf numFmtId="0" fontId="61" fillId="0" borderId="4" xfId="33" applyNumberFormat="1" applyFont="1" applyFill="1" applyBorder="1" applyAlignment="1" applyProtection="1">
      <alignment horizontal="left" vertical="center" wrapText="1" indent="2"/>
    </xf>
    <xf numFmtId="0" fontId="3" fillId="0" borderId="4" xfId="33" applyNumberFormat="1" applyFont="1" applyFill="1" applyBorder="1" applyAlignment="1" applyProtection="1">
      <alignment horizontal="left" vertical="center" wrapText="1" indent="3"/>
    </xf>
    <xf numFmtId="0" fontId="61" fillId="0" borderId="4" xfId="33" applyNumberFormat="1" applyFont="1" applyFill="1" applyBorder="1" applyAlignment="1" applyProtection="1">
      <alignment horizontal="left" vertical="center" wrapText="1" indent="3"/>
    </xf>
    <xf numFmtId="0" fontId="3" fillId="0" borderId="4" xfId="33" applyNumberFormat="1" applyFont="1" applyFill="1" applyBorder="1" applyAlignment="1" applyProtection="1">
      <alignment horizontal="left" vertical="center" wrapText="1" indent="2"/>
    </xf>
    <xf numFmtId="0" fontId="72" fillId="0" borderId="4" xfId="33" applyNumberFormat="1" applyFont="1" applyFill="1" applyBorder="1" applyAlignment="1" applyProtection="1">
      <alignment horizontal="left" vertical="center" wrapText="1" indent="2"/>
    </xf>
    <xf numFmtId="0" fontId="3" fillId="10" borderId="12" xfId="0" applyNumberFormat="1" applyFont="1" applyFill="1" applyBorder="1" applyAlignment="1" applyProtection="1">
      <alignment horizontal="left" vertical="center" wrapText="1" indent="1"/>
    </xf>
    <xf numFmtId="49" fontId="1" fillId="5" borderId="4" xfId="0" applyNumberFormat="1" applyFont="1" applyFill="1" applyBorder="1" applyAlignment="1" applyProtection="1">
      <alignment horizontal="center" vertical="center" wrapText="1"/>
    </xf>
    <xf numFmtId="0" fontId="0" fillId="14" borderId="0" xfId="0" applyNumberFormat="1" applyFill="1" applyAlignment="1" applyProtection="1">
      <alignment horizontal="right" vertical="center"/>
    </xf>
    <xf numFmtId="0" fontId="8" fillId="0" borderId="0" xfId="0" applyNumberFormat="1" applyFont="1" applyFill="1" applyAlignment="1" applyProtection="1">
      <alignment vertical="center" wrapText="1"/>
    </xf>
    <xf numFmtId="49" fontId="1" fillId="0" borderId="21" xfId="0" applyNumberFormat="1" applyFont="1" applyFill="1" applyBorder="1" applyAlignment="1" applyProtection="1">
      <alignment horizontal="center" vertical="center" wrapText="1"/>
    </xf>
    <xf numFmtId="49" fontId="22" fillId="8" borderId="12" xfId="25" applyFont="1" applyFill="1" applyBorder="1" applyAlignment="1" applyProtection="1">
      <alignment horizontal="left" vertical="center" indent="1"/>
    </xf>
    <xf numFmtId="4" fontId="22" fillId="6" borderId="4" xfId="0" applyNumberFormat="1" applyFont="1" applyFill="1" applyBorder="1" applyAlignment="1" applyProtection="1">
      <alignment horizontal="right" vertical="center" wrapText="1"/>
    </xf>
    <xf numFmtId="4" fontId="0" fillId="3" borderId="4" xfId="0" applyNumberFormat="1" applyFill="1" applyBorder="1" applyAlignment="1" applyProtection="1">
      <alignment horizontal="right" vertical="center" wrapText="1"/>
      <protection locked="0"/>
    </xf>
    <xf numFmtId="49" fontId="0" fillId="9" borderId="0" xfId="0" applyNumberFormat="1" applyFill="1" applyBorder="1" applyAlignment="1" applyProtection="1">
      <alignment horizontal="center" vertical="center" wrapText="1"/>
    </xf>
    <xf numFmtId="49" fontId="1" fillId="7" borderId="4" xfId="0" applyNumberFormat="1" applyFont="1" applyFill="1" applyBorder="1" applyAlignment="1" applyProtection="1">
      <alignment horizontal="left" vertical="center" wrapText="1" indent="1"/>
      <protection locked="0"/>
    </xf>
    <xf numFmtId="49" fontId="0" fillId="6" borderId="6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ont="1" applyFill="1" applyBorder="1" applyAlignment="1" applyProtection="1">
      <alignment horizontal="left" vertical="center" wrapText="1" indent="1"/>
    </xf>
    <xf numFmtId="49" fontId="1" fillId="9" borderId="0" xfId="0" applyNumberFormat="1" applyFont="1" applyFill="1" applyBorder="1" applyAlignment="1" applyProtection="1">
      <alignment horizontal="left" vertical="center" wrapText="1" indent="1"/>
    </xf>
    <xf numFmtId="49" fontId="0" fillId="6" borderId="4" xfId="0" applyFill="1" applyBorder="1" applyAlignment="1" applyProtection="1">
      <alignment horizontal="center" vertical="center" wrapText="1"/>
    </xf>
    <xf numFmtId="49" fontId="22" fillId="6" borderId="4" xfId="0" applyFont="1" applyFill="1" applyBorder="1" applyAlignment="1" applyProtection="1">
      <alignment horizontal="left" vertical="center" wrapText="1" indent="1"/>
    </xf>
    <xf numFmtId="49" fontId="1" fillId="6" borderId="4" xfId="0" applyFont="1" applyFill="1" applyBorder="1" applyAlignment="1" applyProtection="1">
      <alignment horizontal="left" vertical="center" wrapText="1" indent="1"/>
    </xf>
    <xf numFmtId="4" fontId="0" fillId="6" borderId="4" xfId="0" applyNumberFormat="1" applyFill="1" applyBorder="1" applyAlignment="1" applyProtection="1">
      <alignment horizontal="right" vertical="center" wrapText="1"/>
    </xf>
    <xf numFmtId="4" fontId="82" fillId="6" borderId="4" xfId="0" applyNumberFormat="1" applyFont="1" applyFill="1" applyBorder="1" applyAlignment="1" applyProtection="1">
      <alignment horizontal="right" vertical="center" wrapText="1"/>
    </xf>
    <xf numFmtId="4" fontId="82" fillId="3" borderId="4" xfId="0" applyNumberFormat="1" applyFont="1" applyFill="1" applyBorder="1" applyAlignment="1" applyProtection="1">
      <alignment horizontal="right" vertical="center" wrapText="1"/>
      <protection locked="0"/>
    </xf>
    <xf numFmtId="4" fontId="71" fillId="0" borderId="0" xfId="0" applyNumberFormat="1" applyFont="1" applyFill="1" applyBorder="1" applyAlignment="1" applyProtection="1">
      <alignment horizontal="right" vertical="center" wrapText="1"/>
    </xf>
    <xf numFmtId="0" fontId="1" fillId="15" borderId="4" xfId="0" applyNumberFormat="1" applyFont="1" applyFill="1" applyBorder="1" applyAlignment="1" applyProtection="1">
      <alignment horizontal="center" vertical="center" wrapText="1"/>
    </xf>
    <xf numFmtId="4" fontId="30" fillId="3" borderId="4" xfId="0" applyNumberFormat="1" applyFont="1" applyFill="1" applyBorder="1" applyAlignment="1" applyProtection="1">
      <alignment horizontal="right" vertical="center"/>
      <protection locked="0"/>
    </xf>
    <xf numFmtId="49" fontId="0" fillId="19" borderId="0" xfId="0" applyFont="1" applyFill="1" applyAlignment="1">
      <alignment vertical="center" wrapText="1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8" fillId="5" borderId="4" xfId="0" applyNumberFormat="1" applyFont="1" applyFill="1" applyBorder="1" applyAlignment="1" applyProtection="1">
      <alignment vertical="center" wrapText="1"/>
    </xf>
    <xf numFmtId="49" fontId="3" fillId="4" borderId="4" xfId="0" applyNumberFormat="1" applyFont="1" applyFill="1" applyBorder="1" applyAlignment="1" applyProtection="1">
      <alignment horizontal="center" vertical="center" wrapText="1"/>
    </xf>
    <xf numFmtId="4" fontId="1" fillId="6" borderId="4" xfId="0" applyNumberFormat="1" applyFont="1" applyFill="1" applyBorder="1" applyAlignment="1" applyProtection="1">
      <alignment horizontal="right" vertical="center"/>
    </xf>
    <xf numFmtId="49" fontId="3" fillId="4" borderId="4" xfId="0" applyNumberFormat="1" applyFont="1" applyFill="1" applyBorder="1" applyAlignment="1" applyProtection="1">
      <alignment horizontal="center" vertical="center" wrapText="1"/>
    </xf>
    <xf numFmtId="4" fontId="1" fillId="6" borderId="4" xfId="0" applyNumberFormat="1" applyFont="1" applyFill="1" applyBorder="1" applyAlignment="1" applyProtection="1">
      <alignment horizontal="right" vertical="center"/>
    </xf>
    <xf numFmtId="0" fontId="8" fillId="4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Alignment="1" applyProtection="1">
      <alignment horizontal="center" vertical="center" wrapText="1"/>
    </xf>
    <xf numFmtId="0" fontId="8" fillId="0" borderId="0" xfId="0" applyNumberFormat="1" applyFont="1" applyAlignment="1" applyProtection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49" fontId="0" fillId="0" borderId="11" xfId="0" applyBorder="1">
      <alignment vertical="top"/>
    </xf>
    <xf numFmtId="49" fontId="3" fillId="0" borderId="6" xfId="0" applyFont="1" applyBorder="1" applyAlignment="1" applyProtection="1">
      <alignment horizontal="center" vertical="center"/>
    </xf>
    <xf numFmtId="49" fontId="41" fillId="0" borderId="10" xfId="0" applyFont="1" applyBorder="1" applyAlignment="1" applyProtection="1">
      <alignment horizontal="left" vertical="center" indent="1"/>
    </xf>
    <xf numFmtId="49" fontId="3" fillId="52" borderId="4" xfId="0" applyNumberFormat="1" applyFont="1" applyFill="1" applyBorder="1" applyAlignment="1" applyProtection="1">
      <alignment horizontal="left" vertical="center" wrapText="1" indent="2"/>
    </xf>
    <xf numFmtId="0" fontId="0" fillId="0" borderId="0" xfId="0" applyNumberFormat="1" applyBorder="1" applyAlignment="1">
      <alignment horizontal="left" vertical="center" indent="1"/>
    </xf>
    <xf numFmtId="49" fontId="3" fillId="52" borderId="4" xfId="0" applyNumberFormat="1" applyFont="1" applyFill="1" applyBorder="1" applyAlignment="1" applyProtection="1">
      <alignment horizontal="left" vertical="center" wrapText="1" indent="3"/>
    </xf>
    <xf numFmtId="49" fontId="3" fillId="10" borderId="4" xfId="0" applyNumberFormat="1" applyFont="1" applyFill="1" applyBorder="1" applyAlignment="1" applyProtection="1">
      <alignment horizontal="left" vertical="center" wrapText="1" indent="2"/>
    </xf>
    <xf numFmtId="49" fontId="3" fillId="53" borderId="4" xfId="0" applyNumberFormat="1" applyFont="1" applyFill="1" applyBorder="1" applyAlignment="1" applyProtection="1">
      <alignment horizontal="left" vertical="center" wrapText="1" indent="2"/>
    </xf>
    <xf numFmtId="49" fontId="3" fillId="54" borderId="4" xfId="0" applyNumberFormat="1" applyFont="1" applyFill="1" applyBorder="1" applyAlignment="1" applyProtection="1">
      <alignment horizontal="left" vertical="center" wrapText="1" indent="2"/>
    </xf>
    <xf numFmtId="49" fontId="3" fillId="55" borderId="4" xfId="0" applyNumberFormat="1" applyFont="1" applyFill="1" applyBorder="1" applyAlignment="1" applyProtection="1">
      <alignment horizontal="left" vertical="center" wrapText="1" indent="2"/>
    </xf>
    <xf numFmtId="49" fontId="3" fillId="55" borderId="4" xfId="0" applyNumberFormat="1" applyFont="1" applyFill="1" applyBorder="1" applyAlignment="1" applyProtection="1">
      <alignment horizontal="left" vertical="center" wrapText="1" indent="3"/>
    </xf>
    <xf numFmtId="49" fontId="41" fillId="56" borderId="4" xfId="0" applyNumberFormat="1" applyFont="1" applyFill="1" applyBorder="1" applyAlignment="1" applyProtection="1">
      <alignment horizontal="left" vertical="center" wrapText="1" indent="2"/>
    </xf>
    <xf numFmtId="49" fontId="41" fillId="56" borderId="4" xfId="0" applyNumberFormat="1" applyFont="1" applyFill="1" applyBorder="1" applyAlignment="1" applyProtection="1">
      <alignment horizontal="left" vertical="center" wrapText="1" indent="3"/>
    </xf>
    <xf numFmtId="49" fontId="41" fillId="57" borderId="4" xfId="0" applyNumberFormat="1" applyFont="1" applyFill="1" applyBorder="1" applyAlignment="1" applyProtection="1">
      <alignment horizontal="left" vertical="center" wrapText="1" indent="2"/>
    </xf>
    <xf numFmtId="49" fontId="41" fillId="58" borderId="4" xfId="0" applyNumberFormat="1" applyFont="1" applyFill="1" applyBorder="1" applyAlignment="1" applyProtection="1">
      <alignment horizontal="left" vertical="center" wrapText="1" indent="2"/>
    </xf>
    <xf numFmtId="49" fontId="41" fillId="58" borderId="4" xfId="0" applyNumberFormat="1" applyFont="1" applyFill="1" applyBorder="1" applyAlignment="1" applyProtection="1">
      <alignment horizontal="left" vertical="center" wrapText="1" indent="3"/>
    </xf>
    <xf numFmtId="49" fontId="3" fillId="15" borderId="4" xfId="0" applyNumberFormat="1" applyFont="1" applyFill="1" applyBorder="1" applyAlignment="1" applyProtection="1">
      <alignment horizontal="left" vertical="center" wrapText="1" indent="2"/>
    </xf>
    <xf numFmtId="49" fontId="41" fillId="59" borderId="16" xfId="0" applyNumberFormat="1" applyFont="1" applyFill="1" applyBorder="1" applyAlignment="1" applyProtection="1">
      <alignment horizontal="left" vertical="center" wrapText="1" indent="2"/>
    </xf>
    <xf numFmtId="49" fontId="3" fillId="16" borderId="4" xfId="0" applyNumberFormat="1" applyFont="1" applyFill="1" applyBorder="1" applyAlignment="1" applyProtection="1">
      <alignment horizontal="left" vertical="center" wrapText="1" indent="2"/>
    </xf>
    <xf numFmtId="49" fontId="41" fillId="60" borderId="4" xfId="0" applyNumberFormat="1" applyFont="1" applyFill="1" applyBorder="1" applyAlignment="1" applyProtection="1">
      <alignment horizontal="left" vertical="center" wrapText="1" indent="2"/>
    </xf>
    <xf numFmtId="49" fontId="3" fillId="61" borderId="4" xfId="0" applyNumberFormat="1" applyFont="1" applyFill="1" applyBorder="1" applyAlignment="1" applyProtection="1">
      <alignment horizontal="left" vertical="center" wrapText="1" indent="2"/>
    </xf>
    <xf numFmtId="49" fontId="41" fillId="62" borderId="4" xfId="0" applyNumberFormat="1" applyFont="1" applyFill="1" applyBorder="1" applyAlignment="1" applyProtection="1">
      <alignment horizontal="left" vertical="center" wrapText="1" indent="2"/>
    </xf>
    <xf numFmtId="49" fontId="3" fillId="63" borderId="4" xfId="0" applyNumberFormat="1" applyFont="1" applyFill="1" applyBorder="1" applyAlignment="1" applyProtection="1">
      <alignment horizontal="left" vertical="center" wrapText="1" indent="2"/>
    </xf>
    <xf numFmtId="49" fontId="3" fillId="9" borderId="4" xfId="0" applyNumberFormat="1" applyFont="1" applyFill="1" applyBorder="1" applyAlignment="1" applyProtection="1">
      <alignment horizontal="left" vertical="center" wrapText="1" indent="2"/>
    </xf>
    <xf numFmtId="0" fontId="41" fillId="9" borderId="10" xfId="0" applyNumberFormat="1" applyFont="1" applyFill="1" applyBorder="1" applyAlignment="1" applyProtection="1">
      <alignment horizontal="left" vertical="center" indent="1"/>
    </xf>
    <xf numFmtId="49" fontId="41" fillId="59" borderId="4" xfId="0" applyNumberFormat="1" applyFont="1" applyFill="1" applyBorder="1" applyAlignment="1" applyProtection="1">
      <alignment horizontal="left" vertical="center" wrapText="1" indent="2"/>
    </xf>
    <xf numFmtId="0" fontId="41" fillId="0" borderId="10" xfId="0" applyNumberFormat="1" applyFont="1" applyBorder="1" applyAlignment="1" applyProtection="1">
      <alignment horizontal="left" vertical="center" indent="1"/>
    </xf>
    <xf numFmtId="49" fontId="41" fillId="4" borderId="10" xfId="0" applyNumberFormat="1" applyFont="1" applyFill="1" applyBorder="1" applyAlignment="1" applyProtection="1">
      <alignment horizontal="left" vertical="center" wrapText="1" indent="1"/>
    </xf>
    <xf numFmtId="0" fontId="41" fillId="4" borderId="10" xfId="0" applyNumberFormat="1" applyFont="1" applyFill="1" applyBorder="1" applyAlignment="1" applyProtection="1">
      <alignment horizontal="left" vertical="center" wrapText="1" indent="1"/>
    </xf>
    <xf numFmtId="4" fontId="0" fillId="9" borderId="11" xfId="0" applyNumberFormat="1" applyFont="1" applyFill="1" applyBorder="1" applyAlignment="1" applyProtection="1">
      <alignment vertical="top"/>
    </xf>
    <xf numFmtId="4" fontId="24" fillId="5" borderId="5" xfId="0" applyNumberFormat="1" applyFont="1" applyFill="1" applyBorder="1" applyAlignment="1" applyProtection="1">
      <alignment horizontal="right" vertical="center"/>
    </xf>
    <xf numFmtId="4" fontId="0" fillId="9" borderId="17" xfId="0" applyNumberFormat="1" applyFont="1" applyFill="1" applyBorder="1" applyAlignment="1" applyProtection="1">
      <alignment vertical="top"/>
    </xf>
    <xf numFmtId="4" fontId="30" fillId="3" borderId="5" xfId="0" applyNumberFormat="1" applyFont="1" applyFill="1" applyBorder="1" applyAlignment="1" applyProtection="1">
      <alignment horizontal="right" vertical="center"/>
      <protection locked="0"/>
    </xf>
    <xf numFmtId="4" fontId="24" fillId="6" borderId="4" xfId="0" applyNumberFormat="1" applyFont="1" applyFill="1" applyBorder="1" applyAlignment="1" applyProtection="1">
      <alignment horizontal="right" vertical="center"/>
    </xf>
    <xf numFmtId="4" fontId="0" fillId="9" borderId="16" xfId="0" applyNumberFormat="1" applyFont="1" applyFill="1" applyBorder="1" applyAlignment="1" applyProtection="1">
      <alignment vertical="top"/>
    </xf>
    <xf numFmtId="4" fontId="9" fillId="3" borderId="5" xfId="0" applyNumberFormat="1" applyFont="1" applyFill="1" applyBorder="1" applyAlignment="1" applyProtection="1">
      <alignment horizontal="right" vertical="center"/>
      <protection locked="0"/>
    </xf>
    <xf numFmtId="4" fontId="1" fillId="5" borderId="5" xfId="0" applyNumberFormat="1" applyFont="1" applyFill="1" applyBorder="1" applyAlignment="1" applyProtection="1">
      <alignment horizontal="right" vertical="center"/>
    </xf>
    <xf numFmtId="49" fontId="44" fillId="4" borderId="14" xfId="0" applyFont="1" applyFill="1" applyBorder="1" applyAlignment="1" applyProtection="1">
      <alignment vertical="center" textRotation="90" wrapText="1"/>
    </xf>
    <xf numFmtId="49" fontId="3" fillId="4" borderId="6" xfId="0" applyFont="1" applyFill="1" applyBorder="1">
      <alignment vertical="top"/>
    </xf>
    <xf numFmtId="49" fontId="0" fillId="0" borderId="4" xfId="0" applyFont="1" applyBorder="1">
      <alignment vertical="top"/>
    </xf>
    <xf numFmtId="49" fontId="3" fillId="4" borderId="10" xfId="0" applyFont="1" applyFill="1" applyBorder="1">
      <alignment vertical="top"/>
    </xf>
    <xf numFmtId="49" fontId="0" fillId="0" borderId="11" xfId="0" applyFont="1" applyBorder="1">
      <alignment vertical="top"/>
    </xf>
    <xf numFmtId="49" fontId="3" fillId="15" borderId="5" xfId="33" applyFont="1" applyFill="1" applyBorder="1" applyAlignment="1" applyProtection="1">
      <alignment horizontal="left" vertical="center" wrapText="1" indent="1"/>
    </xf>
    <xf numFmtId="49" fontId="3" fillId="15" borderId="5" xfId="33" applyFont="1" applyFill="1" applyBorder="1" applyAlignment="1" applyProtection="1">
      <alignment horizontal="left" vertical="center" wrapText="1" indent="2"/>
    </xf>
    <xf numFmtId="0" fontId="76" fillId="15" borderId="5" xfId="33" applyNumberFormat="1" applyFont="1" applyFill="1" applyBorder="1" applyAlignment="1" applyProtection="1">
      <alignment horizontal="left" vertical="center" wrapText="1" indent="1"/>
    </xf>
    <xf numFmtId="0" fontId="61" fillId="0" borderId="5" xfId="33" applyNumberFormat="1" applyFont="1" applyFill="1" applyBorder="1" applyAlignment="1" applyProtection="1">
      <alignment horizontal="left" vertical="center" wrapText="1" indent="2"/>
    </xf>
    <xf numFmtId="49" fontId="3" fillId="15" borderId="4" xfId="33" applyFont="1" applyFill="1" applyBorder="1" applyAlignment="1" applyProtection="1">
      <alignment horizontal="left" vertical="center" wrapText="1" indent="1"/>
    </xf>
    <xf numFmtId="4" fontId="0" fillId="0" borderId="4" xfId="0" applyNumberFormat="1" applyFont="1" applyFill="1" applyBorder="1" applyAlignment="1" applyProtection="1">
      <alignment vertical="top"/>
    </xf>
    <xf numFmtId="49" fontId="3" fillId="15" borderId="4" xfId="33" applyFont="1" applyFill="1" applyBorder="1" applyAlignment="1" applyProtection="1">
      <alignment horizontal="left" vertical="center" wrapText="1" indent="2"/>
    </xf>
    <xf numFmtId="49" fontId="3" fillId="9" borderId="3" xfId="0" applyNumberFormat="1" applyFont="1" applyFill="1" applyBorder="1" applyAlignment="1" applyProtection="1">
      <alignment horizontal="left" vertical="center" wrapText="1" indent="1"/>
    </xf>
    <xf numFmtId="49" fontId="3" fillId="9" borderId="10" xfId="0" applyNumberFormat="1" applyFont="1" applyFill="1" applyBorder="1" applyAlignment="1" applyProtection="1">
      <alignment horizontal="left" vertical="center" wrapText="1" indent="2"/>
    </xf>
    <xf numFmtId="49" fontId="73" fillId="64" borderId="4" xfId="0" applyNumberFormat="1" applyFont="1" applyFill="1" applyBorder="1" applyAlignment="1">
      <alignment horizontal="left" vertical="center" indent="1"/>
    </xf>
    <xf numFmtId="49" fontId="1" fillId="6" borderId="5" xfId="0" applyNumberFormat="1" applyFont="1" applyFill="1" applyBorder="1" applyAlignment="1" applyProtection="1">
      <alignment horizontal="left" vertical="center" wrapText="1" indent="1"/>
    </xf>
    <xf numFmtId="49" fontId="3" fillId="4" borderId="4" xfId="0" applyNumberFormat="1" applyFont="1" applyFill="1" applyBorder="1" applyAlignment="1" applyProtection="1">
      <alignment horizontal="center" vertical="center" wrapText="1"/>
    </xf>
    <xf numFmtId="4" fontId="1" fillId="6" borderId="4" xfId="0" applyNumberFormat="1" applyFont="1" applyFill="1" applyBorder="1" applyAlignment="1" applyProtection="1">
      <alignment horizontal="right" vertical="center"/>
    </xf>
    <xf numFmtId="4" fontId="1" fillId="5" borderId="10" xfId="0" applyNumberFormat="1" applyFont="1" applyFill="1" applyBorder="1" applyAlignment="1" applyProtection="1">
      <alignment horizontal="right" vertical="center"/>
    </xf>
    <xf numFmtId="49" fontId="1" fillId="5" borderId="4" xfId="0" applyNumberFormat="1" applyFont="1" applyFill="1" applyBorder="1" applyAlignment="1" applyProtection="1">
      <alignment horizontal="center" vertical="center" wrapText="1"/>
    </xf>
    <xf numFmtId="49" fontId="27" fillId="0" borderId="4" xfId="0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Font="1" applyBorder="1" applyAlignment="1" applyProtection="1">
      <alignment horizontal="center" vertical="center"/>
    </xf>
    <xf numFmtId="4" fontId="1" fillId="6" borderId="4" xfId="0" applyNumberFormat="1" applyFont="1" applyFill="1" applyBorder="1" applyAlignment="1" applyProtection="1">
      <alignment horizontal="right" vertical="center"/>
    </xf>
    <xf numFmtId="0" fontId="0" fillId="0" borderId="0" xfId="0" applyNumberFormat="1" applyProtection="1">
      <alignment vertical="top"/>
    </xf>
    <xf numFmtId="0" fontId="0" fillId="0" borderId="0" xfId="0" applyNumberFormat="1">
      <alignment vertical="top"/>
    </xf>
    <xf numFmtId="49" fontId="0" fillId="4" borderId="0" xfId="0" applyNumberFormat="1" applyFill="1">
      <alignment vertical="top"/>
    </xf>
    <xf numFmtId="49" fontId="0" fillId="4" borderId="0" xfId="0" applyNumberFormat="1" applyFill="1" applyAlignment="1">
      <alignment horizontal="right" vertical="center"/>
    </xf>
    <xf numFmtId="49" fontId="99" fillId="0" borderId="0" xfId="0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49" fontId="100" fillId="4" borderId="9" xfId="0" applyFont="1" applyFill="1" applyBorder="1" applyAlignment="1" applyProtection="1">
      <alignment horizontal="center" vertical="center"/>
    </xf>
    <xf numFmtId="0" fontId="1" fillId="0" borderId="0" xfId="0" applyNumberFormat="1" applyFont="1" applyBorder="1" applyAlignment="1" applyProtection="1">
      <alignment vertical="center"/>
    </xf>
    <xf numFmtId="49" fontId="100" fillId="4" borderId="17" xfId="0" applyFont="1" applyFill="1" applyBorder="1" applyAlignment="1" applyProtection="1">
      <alignment horizontal="center" vertical="center"/>
    </xf>
    <xf numFmtId="0" fontId="1" fillId="0" borderId="9" xfId="0" applyNumberFormat="1" applyFont="1" applyBorder="1" applyAlignment="1" applyProtection="1">
      <alignment vertical="center"/>
    </xf>
    <xf numFmtId="0" fontId="1" fillId="0" borderId="3" xfId="0" applyNumberFormat="1" applyFont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left" vertical="center" wrapText="1"/>
    </xf>
    <xf numFmtId="49" fontId="10" fillId="0" borderId="4" xfId="0" applyFont="1" applyFill="1" applyBorder="1" applyAlignment="1" applyProtection="1">
      <alignment horizontal="right" vertical="center" wrapText="1" indent="1"/>
    </xf>
    <xf numFmtId="49" fontId="10" fillId="3" borderId="4" xfId="0" applyFont="1" applyFill="1" applyBorder="1" applyAlignment="1" applyProtection="1">
      <alignment horizontal="left" vertical="center" wrapText="1" indent="1"/>
      <protection locked="0"/>
    </xf>
    <xf numFmtId="49" fontId="10" fillId="0" borderId="0" xfId="0" applyFont="1" applyFill="1" applyBorder="1" applyAlignment="1" applyProtection="1">
      <alignment horizontal="left" wrapText="1"/>
    </xf>
    <xf numFmtId="49" fontId="4" fillId="0" borderId="0" xfId="0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horizontal="left" vertical="center" wrapText="1" indent="1"/>
    </xf>
    <xf numFmtId="49" fontId="0" fillId="0" borderId="0" xfId="0" applyNumberFormat="1" applyFill="1" applyBorder="1" applyAlignment="1" applyProtection="1">
      <alignment horizontal="left" vertical="center" wrapText="1" indent="1"/>
    </xf>
    <xf numFmtId="49" fontId="0" fillId="0" borderId="0" xfId="0" applyBorder="1" applyAlignment="1">
      <alignment horizontal="right" vertical="top" indent="1"/>
    </xf>
    <xf numFmtId="49" fontId="38" fillId="0" borderId="0" xfId="25" applyNumberFormat="1" applyFill="1" applyBorder="1" applyAlignment="1" applyProtection="1">
      <alignment horizontal="left" vertical="center" wrapText="1" indent="1"/>
    </xf>
    <xf numFmtId="49" fontId="38" fillId="0" borderId="0" xfId="0" applyNumberFormat="1" applyFont="1" applyFill="1" applyBorder="1" applyAlignment="1" applyProtection="1">
      <alignment horizontal="left" vertical="center" wrapText="1" indent="1"/>
    </xf>
    <xf numFmtId="49" fontId="0" fillId="0" borderId="0" xfId="0" applyBorder="1" applyAlignment="1">
      <alignment horizontal="right" vertical="center" indent="1"/>
    </xf>
    <xf numFmtId="49" fontId="10" fillId="0" borderId="0" xfId="0" applyFont="1" applyFill="1" applyBorder="1" applyAlignment="1" applyProtection="1">
      <alignment horizontal="justify" vertical="justify" wrapText="1"/>
    </xf>
    <xf numFmtId="49" fontId="0" fillId="0" borderId="0" xfId="0" applyFill="1" applyBorder="1" applyAlignment="1" applyProtection="1">
      <alignment horizontal="right" vertical="center" wrapText="1" indent="1"/>
    </xf>
    <xf numFmtId="49" fontId="0" fillId="0" borderId="0" xfId="0" applyFont="1" applyFill="1" applyBorder="1" applyAlignment="1" applyProtection="1">
      <alignment horizontal="right" vertical="center" wrapText="1" indent="1"/>
    </xf>
    <xf numFmtId="49" fontId="4" fillId="0" borderId="0" xfId="0" applyFont="1" applyFill="1" applyBorder="1" applyAlignment="1" applyProtection="1">
      <alignment horizontal="right" vertical="center" wrapText="1" indent="1"/>
    </xf>
    <xf numFmtId="0" fontId="1" fillId="0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left" vertical="center"/>
    </xf>
    <xf numFmtId="0" fontId="4" fillId="9" borderId="23" xfId="0" applyNumberFormat="1" applyFont="1" applyFill="1" applyBorder="1" applyAlignment="1">
      <alignment horizontal="center" vertical="center" wrapText="1"/>
    </xf>
    <xf numFmtId="0" fontId="4" fillId="9" borderId="24" xfId="0" applyNumberFormat="1" applyFont="1" applyFill="1" applyBorder="1" applyAlignment="1">
      <alignment horizontal="center" vertical="center" wrapText="1"/>
    </xf>
    <xf numFmtId="0" fontId="4" fillId="9" borderId="25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justify" vertical="top" wrapText="1"/>
    </xf>
    <xf numFmtId="49" fontId="10" fillId="0" borderId="22" xfId="0" applyFont="1" applyFill="1" applyBorder="1" applyAlignment="1" applyProtection="1">
      <alignment vertical="center" wrapText="1"/>
    </xf>
    <xf numFmtId="49" fontId="10" fillId="0" borderId="0" xfId="0" applyFont="1" applyFill="1" applyBorder="1" applyAlignment="1" applyProtection="1">
      <alignment vertical="center" wrapText="1"/>
    </xf>
    <xf numFmtId="49" fontId="10" fillId="0" borderId="22" xfId="0" applyFont="1" applyFill="1" applyBorder="1" applyAlignment="1" applyProtection="1">
      <alignment horizontal="left" vertical="center" wrapText="1"/>
    </xf>
    <xf numFmtId="49" fontId="10" fillId="0" borderId="0" xfId="0" applyFont="1" applyFill="1" applyBorder="1" applyAlignment="1" applyProtection="1">
      <alignment horizontal="left" vertical="center" wrapText="1"/>
    </xf>
    <xf numFmtId="49" fontId="0" fillId="3" borderId="6" xfId="0" applyFill="1" applyBorder="1" applyAlignment="1" applyProtection="1">
      <alignment horizontal="left" vertical="center" indent="1"/>
      <protection locked="0"/>
    </xf>
    <xf numFmtId="49" fontId="0" fillId="3" borderId="12" xfId="0" applyFill="1" applyBorder="1" applyAlignment="1" applyProtection="1">
      <alignment horizontal="left" vertical="center" indent="1"/>
      <protection locked="0"/>
    </xf>
    <xf numFmtId="49" fontId="0" fillId="3" borderId="5" xfId="0" applyFill="1" applyBorder="1" applyAlignment="1" applyProtection="1">
      <alignment horizontal="left" vertical="center" indent="1"/>
      <protection locked="0"/>
    </xf>
    <xf numFmtId="0" fontId="10" fillId="0" borderId="0" xfId="0" applyNumberFormat="1" applyFont="1" applyFill="1" applyBorder="1" applyAlignment="1" applyProtection="1">
      <alignment horizontal="justify" vertical="center" wrapText="1"/>
    </xf>
    <xf numFmtId="0" fontId="0" fillId="4" borderId="19" xfId="0" applyNumberFormat="1" applyFill="1" applyBorder="1" applyAlignment="1" applyProtection="1">
      <alignment horizontal="right" vertical="center" wrapText="1" indent="1"/>
    </xf>
    <xf numFmtId="0" fontId="0" fillId="4" borderId="19" xfId="0" applyNumberFormat="1" applyFont="1" applyFill="1" applyBorder="1" applyAlignment="1" applyProtection="1">
      <alignment horizontal="right" vertical="center" wrapText="1" indent="1"/>
    </xf>
    <xf numFmtId="49" fontId="4" fillId="4" borderId="5" xfId="0" applyFont="1" applyFill="1" applyBorder="1" applyAlignment="1" applyProtection="1">
      <alignment horizontal="center" vertical="center"/>
    </xf>
    <xf numFmtId="49" fontId="4" fillId="4" borderId="4" xfId="0" applyFont="1" applyFill="1" applyBorder="1" applyAlignment="1" applyProtection="1">
      <alignment horizontal="center" vertical="center"/>
    </xf>
    <xf numFmtId="49" fontId="4" fillId="4" borderId="6" xfId="0" applyFont="1" applyFill="1" applyBorder="1" applyAlignment="1" applyProtection="1">
      <alignment horizontal="center" vertical="center"/>
    </xf>
    <xf numFmtId="49" fontId="0" fillId="4" borderId="19" xfId="0" applyFont="1" applyFill="1" applyBorder="1" applyAlignment="1" applyProtection="1">
      <alignment horizontal="right" vertical="center" wrapText="1" indent="1"/>
    </xf>
    <xf numFmtId="0" fontId="0" fillId="4" borderId="28" xfId="0" applyNumberFormat="1" applyFont="1" applyFill="1" applyBorder="1" applyAlignment="1" applyProtection="1">
      <alignment horizontal="right" vertical="center" wrapText="1" indent="1"/>
    </xf>
    <xf numFmtId="0" fontId="0" fillId="4" borderId="29" xfId="0" applyNumberFormat="1" applyFont="1" applyFill="1" applyBorder="1" applyAlignment="1" applyProtection="1">
      <alignment horizontal="right" vertical="center" wrapText="1" indent="1"/>
    </xf>
    <xf numFmtId="0" fontId="0" fillId="4" borderId="30" xfId="0" applyNumberFormat="1" applyFont="1" applyFill="1" applyBorder="1" applyAlignment="1" applyProtection="1">
      <alignment horizontal="right" vertical="center" wrapText="1" indent="1"/>
    </xf>
    <xf numFmtId="0" fontId="0" fillId="4" borderId="31" xfId="0" applyNumberFormat="1" applyFont="1" applyFill="1" applyBorder="1" applyAlignment="1" applyProtection="1">
      <alignment horizontal="right" vertical="center" wrapText="1" indent="1"/>
    </xf>
    <xf numFmtId="0" fontId="8" fillId="4" borderId="19" xfId="0" applyNumberFormat="1" applyFont="1" applyFill="1" applyBorder="1" applyAlignment="1" applyProtection="1">
      <alignment horizontal="right" vertical="center" wrapText="1" indent="1"/>
    </xf>
    <xf numFmtId="49" fontId="67" fillId="0" borderId="26" xfId="0" applyFont="1" applyFill="1" applyBorder="1" applyAlignment="1" applyProtection="1">
      <alignment horizontal="center" vertical="center" wrapText="1"/>
    </xf>
    <xf numFmtId="49" fontId="67" fillId="0" borderId="27" xfId="0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left" vertical="center" wrapText="1" indent="7"/>
    </xf>
    <xf numFmtId="49" fontId="67" fillId="0" borderId="0" xfId="0" applyNumberFormat="1" applyFont="1" applyFill="1" applyBorder="1" applyAlignment="1" applyProtection="1">
      <alignment horizontal="left" vertical="center" wrapText="1" indent="1"/>
    </xf>
    <xf numFmtId="49" fontId="32" fillId="0" borderId="0" xfId="0" applyNumberFormat="1" applyFont="1" applyFill="1" applyBorder="1" applyAlignment="1" applyProtection="1">
      <alignment horizontal="left" vertical="center" wrapText="1" indent="1"/>
    </xf>
    <xf numFmtId="0" fontId="0" fillId="4" borderId="11" xfId="0" applyNumberFormat="1" applyFont="1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1" fillId="4" borderId="4" xfId="0" applyNumberFormat="1" applyFon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17" xfId="0" applyNumberFormat="1" applyFont="1" applyFill="1" applyBorder="1" applyAlignment="1" applyProtection="1">
      <alignment horizontal="center" vertical="center" wrapText="1"/>
    </xf>
    <xf numFmtId="0" fontId="4" fillId="4" borderId="5" xfId="0" applyNumberFormat="1" applyFont="1" applyFill="1" applyBorder="1" applyAlignment="1" applyProtection="1">
      <alignment horizontal="left" vertical="center" indent="4"/>
    </xf>
    <xf numFmtId="0" fontId="4" fillId="4" borderId="4" xfId="0" applyNumberFormat="1" applyFont="1" applyFill="1" applyBorder="1" applyAlignment="1" applyProtection="1">
      <alignment horizontal="left" vertical="center" indent="4"/>
    </xf>
    <xf numFmtId="0" fontId="4" fillId="4" borderId="6" xfId="0" applyNumberFormat="1" applyFont="1" applyFill="1" applyBorder="1" applyAlignment="1" applyProtection="1">
      <alignment horizontal="left" vertical="center" indent="4"/>
    </xf>
    <xf numFmtId="0" fontId="0" fillId="4" borderId="17" xfId="0" applyNumberFormat="1" applyFill="1" applyBorder="1" applyAlignment="1" applyProtection="1">
      <alignment horizontal="center" vertical="center" wrapText="1"/>
    </xf>
    <xf numFmtId="0" fontId="0" fillId="4" borderId="16" xfId="0" applyNumberFormat="1" applyFill="1" applyBorder="1" applyAlignment="1" applyProtection="1">
      <alignment horizontal="center" vertical="center" wrapText="1"/>
    </xf>
    <xf numFmtId="49" fontId="2" fillId="0" borderId="0" xfId="0" applyFont="1" applyFill="1" applyBorder="1" applyAlignment="1" applyProtection="1">
      <alignment horizontal="center" vertical="center" wrapText="1" shrinkToFit="1"/>
    </xf>
    <xf numFmtId="0" fontId="71" fillId="9" borderId="4" xfId="0" applyNumberFormat="1" applyFont="1" applyFill="1" applyBorder="1" applyAlignment="1" applyProtection="1">
      <alignment horizontal="center" vertical="center" wrapText="1"/>
    </xf>
    <xf numFmtId="0" fontId="8" fillId="9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49" fontId="0" fillId="6" borderId="4" xfId="0" applyNumberFormat="1" applyFill="1" applyBorder="1" applyAlignment="1" applyProtection="1">
      <alignment horizontal="center" vertical="top" wrapText="1"/>
    </xf>
    <xf numFmtId="0" fontId="1" fillId="6" borderId="4" xfId="0" applyNumberFormat="1" applyFont="1" applyFill="1" applyBorder="1" applyAlignment="1" applyProtection="1">
      <alignment horizontal="center" vertical="top" wrapText="1"/>
    </xf>
    <xf numFmtId="0" fontId="1" fillId="6" borderId="4" xfId="0" applyNumberFormat="1" applyFont="1" applyFill="1" applyBorder="1" applyAlignment="1" applyProtection="1">
      <alignment horizontal="left" vertical="top" wrapText="1" indent="1"/>
    </xf>
    <xf numFmtId="0" fontId="0" fillId="0" borderId="11" xfId="32" applyFont="1" applyFill="1" applyBorder="1" applyAlignment="1" applyProtection="1">
      <alignment horizontal="center" vertical="center" wrapText="1"/>
    </xf>
    <xf numFmtId="0" fontId="0" fillId="0" borderId="17" xfId="32" applyFont="1" applyFill="1" applyBorder="1" applyAlignment="1" applyProtection="1">
      <alignment horizontal="center" vertical="center" wrapText="1"/>
    </xf>
    <xf numFmtId="0" fontId="1" fillId="0" borderId="4" xfId="32" applyFont="1" applyFill="1" applyBorder="1" applyAlignment="1" applyProtection="1">
      <alignment horizontal="center" vertical="center" wrapText="1"/>
    </xf>
    <xf numFmtId="0" fontId="1" fillId="0" borderId="11" xfId="32" applyFont="1" applyFill="1" applyBorder="1" applyAlignment="1" applyProtection="1">
      <alignment horizontal="center" vertical="center" wrapText="1"/>
    </xf>
    <xf numFmtId="0" fontId="1" fillId="0" borderId="4" xfId="32" quotePrefix="1" applyFont="1" applyFill="1" applyBorder="1" applyAlignment="1" applyProtection="1">
      <alignment horizontal="center" vertical="center" wrapText="1"/>
    </xf>
    <xf numFmtId="0" fontId="1" fillId="4" borderId="11" xfId="0" applyNumberFormat="1" applyFont="1" applyFill="1" applyBorder="1" applyAlignment="1" applyProtection="1">
      <alignment horizontal="center" vertical="center" wrapText="1"/>
    </xf>
    <xf numFmtId="0" fontId="0" fillId="0" borderId="11" xfId="32" quotePrefix="1" applyFont="1" applyFill="1" applyBorder="1" applyAlignment="1" applyProtection="1">
      <alignment horizontal="center" vertical="center" wrapText="1"/>
    </xf>
    <xf numFmtId="0" fontId="0" fillId="0" borderId="10" xfId="32" quotePrefix="1" applyFont="1" applyFill="1" applyBorder="1" applyAlignment="1" applyProtection="1">
      <alignment horizontal="center" vertical="center" wrapText="1"/>
    </xf>
    <xf numFmtId="0" fontId="0" fillId="0" borderId="14" xfId="32" quotePrefix="1" applyFont="1" applyFill="1" applyBorder="1" applyAlignment="1" applyProtection="1">
      <alignment horizontal="center" vertical="center" wrapText="1"/>
    </xf>
    <xf numFmtId="0" fontId="0" fillId="0" borderId="32" xfId="32" quotePrefix="1" applyFont="1" applyFill="1" applyBorder="1" applyAlignment="1" applyProtection="1">
      <alignment horizontal="center" vertical="center" wrapText="1"/>
    </xf>
    <xf numFmtId="0" fontId="0" fillId="0" borderId="15" xfId="32" quotePrefix="1" applyFont="1" applyFill="1" applyBorder="1" applyAlignment="1" applyProtection="1">
      <alignment horizontal="center" vertical="center" wrapText="1"/>
    </xf>
    <xf numFmtId="0" fontId="0" fillId="0" borderId="4" xfId="32" applyFont="1" applyFill="1" applyBorder="1" applyAlignment="1" applyProtection="1">
      <alignment horizontal="center" vertical="center" wrapText="1"/>
    </xf>
    <xf numFmtId="0" fontId="1" fillId="4" borderId="17" xfId="0" applyNumberFormat="1" applyFont="1" applyFill="1" applyBorder="1" applyAlignment="1" applyProtection="1">
      <alignment horizontal="center" vertical="center" wrapText="1"/>
    </xf>
    <xf numFmtId="0" fontId="1" fillId="4" borderId="5" xfId="0" applyNumberFormat="1" applyFont="1" applyFill="1" applyBorder="1" applyAlignment="1" applyProtection="1">
      <alignment horizontal="center" vertical="center" wrapText="1"/>
    </xf>
    <xf numFmtId="0" fontId="1" fillId="4" borderId="14" xfId="0" applyNumberFormat="1" applyFont="1" applyFill="1" applyBorder="1" applyAlignment="1" applyProtection="1">
      <alignment horizontal="center" vertical="center" wrapText="1"/>
    </xf>
    <xf numFmtId="0" fontId="1" fillId="4" borderId="6" xfId="0" applyNumberFormat="1" applyFont="1" applyFill="1" applyBorder="1" applyAlignment="1" applyProtection="1">
      <alignment horizontal="center" vertical="center" wrapText="1"/>
    </xf>
    <xf numFmtId="0" fontId="1" fillId="4" borderId="10" xfId="0" applyNumberFormat="1" applyFont="1" applyFill="1" applyBorder="1" applyAlignment="1" applyProtection="1">
      <alignment horizontal="center" vertical="center" wrapText="1"/>
    </xf>
    <xf numFmtId="0" fontId="0" fillId="4" borderId="4" xfId="0" applyNumberFormat="1" applyFont="1" applyFill="1" applyBorder="1" applyAlignment="1" applyProtection="1">
      <alignment horizontal="center" vertical="center" wrapText="1"/>
    </xf>
    <xf numFmtId="0" fontId="22" fillId="0" borderId="0" xfId="0" quotePrefix="1" applyNumberFormat="1" applyFont="1" applyFill="1" applyBorder="1" applyAlignment="1" applyProtection="1">
      <alignment horizontal="left" vertical="center" wrapText="1" indent="1"/>
    </xf>
    <xf numFmtId="0" fontId="22" fillId="0" borderId="0" xfId="0" applyNumberFormat="1" applyFont="1" applyFill="1" applyBorder="1" applyAlignment="1" applyProtection="1">
      <alignment horizontal="left" vertical="center" wrapText="1" indent="1"/>
    </xf>
    <xf numFmtId="0" fontId="0" fillId="4" borderId="10" xfId="0" applyNumberFormat="1" applyFont="1" applyFill="1" applyBorder="1" applyAlignment="1" applyProtection="1">
      <alignment horizontal="center" vertical="center" wrapText="1"/>
    </xf>
    <xf numFmtId="0" fontId="0" fillId="4" borderId="3" xfId="0" applyNumberFormat="1" applyFont="1" applyFill="1" applyBorder="1" applyAlignment="1" applyProtection="1">
      <alignment horizontal="center" vertical="center" wrapText="1"/>
    </xf>
    <xf numFmtId="0" fontId="0" fillId="4" borderId="14" xfId="0" applyNumberFormat="1" applyFont="1" applyFill="1" applyBorder="1" applyAlignment="1" applyProtection="1">
      <alignment horizontal="center" vertical="center" wrapText="1"/>
    </xf>
    <xf numFmtId="0" fontId="0" fillId="6" borderId="4" xfId="0" applyNumberFormat="1" applyFont="1" applyFill="1" applyBorder="1" applyAlignment="1" applyProtection="1">
      <alignment horizontal="left" vertical="top" wrapText="1" indent="1"/>
    </xf>
    <xf numFmtId="0" fontId="0" fillId="6" borderId="4" xfId="0" applyNumberFormat="1" applyFill="1" applyBorder="1" applyAlignment="1" applyProtection="1">
      <alignment horizontal="center" vertical="top"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12" xfId="0" applyNumberFormat="1" applyFill="1" applyBorder="1" applyAlignment="1" applyProtection="1">
      <alignment horizontal="center" vertical="center" wrapText="1"/>
    </xf>
    <xf numFmtId="0" fontId="0" fillId="4" borderId="5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9" borderId="16" xfId="0" applyNumberFormat="1" applyFill="1" applyBorder="1" applyAlignment="1" applyProtection="1">
      <alignment horizontal="center" vertical="center" wrapText="1"/>
    </xf>
    <xf numFmtId="49" fontId="0" fillId="0" borderId="11" xfId="0" applyFill="1" applyBorder="1" applyAlignment="1" applyProtection="1">
      <alignment horizontal="center" vertical="center" wrapText="1"/>
    </xf>
    <xf numFmtId="49" fontId="0" fillId="0" borderId="16" xfId="0" applyFill="1" applyBorder="1" applyAlignment="1" applyProtection="1">
      <alignment horizontal="center" vertical="center" wrapText="1"/>
    </xf>
    <xf numFmtId="49" fontId="0" fillId="0" borderId="6" xfId="0" applyFill="1" applyBorder="1" applyAlignment="1" applyProtection="1">
      <alignment horizontal="center" vertical="center" wrapText="1"/>
    </xf>
    <xf numFmtId="49" fontId="0" fillId="0" borderId="12" xfId="0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center" vertical="center" wrapText="1"/>
    </xf>
    <xf numFmtId="0" fontId="1" fillId="4" borderId="12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49" fontId="0" fillId="0" borderId="4" xfId="0" applyFill="1" applyBorder="1" applyAlignment="1" applyProtection="1">
      <alignment horizontal="center" vertical="center" wrapText="1"/>
    </xf>
    <xf numFmtId="49" fontId="1" fillId="0" borderId="4" xfId="0" applyFont="1" applyFill="1" applyBorder="1" applyAlignment="1" applyProtection="1">
      <alignment horizontal="center" vertical="center" wrapText="1"/>
    </xf>
    <xf numFmtId="0" fontId="1" fillId="4" borderId="13" xfId="0" applyNumberFormat="1" applyFont="1" applyFill="1" applyBorder="1" applyAlignment="1" applyProtection="1">
      <alignment horizontal="center" vertical="center" wrapText="1"/>
    </xf>
    <xf numFmtId="0" fontId="0" fillId="0" borderId="10" xfId="32" applyFont="1" applyFill="1" applyBorder="1" applyAlignment="1" applyProtection="1">
      <alignment horizontal="center" vertical="center" wrapText="1"/>
    </xf>
    <xf numFmtId="0" fontId="0" fillId="0" borderId="14" xfId="32" applyFont="1" applyFill="1" applyBorder="1" applyAlignment="1" applyProtection="1">
      <alignment horizontal="center" vertical="center" wrapText="1"/>
    </xf>
    <xf numFmtId="0" fontId="0" fillId="0" borderId="13" xfId="32" applyFont="1" applyFill="1" applyBorder="1" applyAlignment="1" applyProtection="1">
      <alignment horizontal="center" vertical="center" wrapText="1"/>
    </xf>
    <xf numFmtId="0" fontId="0" fillId="0" borderId="32" xfId="32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49" fontId="0" fillId="0" borderId="16" xfId="0" applyBorder="1">
      <alignment vertical="top"/>
    </xf>
    <xf numFmtId="4" fontId="0" fillId="3" borderId="11" xfId="0" applyNumberFormat="1" applyFill="1" applyBorder="1" applyAlignment="1" applyProtection="1">
      <alignment horizontal="right" vertical="top" wrapText="1"/>
      <protection locked="0"/>
    </xf>
    <xf numFmtId="4" fontId="0" fillId="3" borderId="16" xfId="0" applyNumberFormat="1" applyFill="1" applyBorder="1" applyAlignment="1" applyProtection="1">
      <alignment horizontal="right" vertical="top" wrapText="1"/>
      <protection locked="0"/>
    </xf>
    <xf numFmtId="4" fontId="0" fillId="9" borderId="11" xfId="0" applyNumberFormat="1" applyFill="1" applyBorder="1" applyAlignment="1" applyProtection="1">
      <alignment horizontal="right" vertical="top" wrapText="1"/>
    </xf>
    <xf numFmtId="4" fontId="0" fillId="9" borderId="16" xfId="0" applyNumberFormat="1" applyFill="1" applyBorder="1" applyAlignment="1" applyProtection="1">
      <alignment horizontal="right" vertical="top" wrapText="1"/>
    </xf>
    <xf numFmtId="4" fontId="0" fillId="16" borderId="11" xfId="0" applyNumberFormat="1" applyFill="1" applyBorder="1" applyAlignment="1" applyProtection="1">
      <alignment horizontal="right" vertical="top" wrapText="1"/>
    </xf>
    <xf numFmtId="4" fontId="0" fillId="16" borderId="16" xfId="0" applyNumberFormat="1" applyFill="1" applyBorder="1" applyAlignment="1" applyProtection="1">
      <alignment horizontal="right" vertical="top" wrapText="1"/>
    </xf>
    <xf numFmtId="4" fontId="0" fillId="3" borderId="10" xfId="0" applyNumberFormat="1" applyFill="1" applyBorder="1" applyAlignment="1" applyProtection="1">
      <alignment horizontal="right" vertical="top" wrapText="1"/>
      <protection locked="0"/>
    </xf>
    <xf numFmtId="4" fontId="0" fillId="3" borderId="32" xfId="0" applyNumberFormat="1" applyFill="1" applyBorder="1" applyAlignment="1" applyProtection="1">
      <alignment horizontal="right" vertical="top" wrapText="1"/>
      <protection locked="0"/>
    </xf>
    <xf numFmtId="4" fontId="0" fillId="6" borderId="11" xfId="0" applyNumberFormat="1" applyFill="1" applyBorder="1" applyAlignment="1" applyProtection="1">
      <alignment horizontal="right" vertical="top" wrapText="1"/>
    </xf>
    <xf numFmtId="4" fontId="0" fillId="6" borderId="16" xfId="0" applyNumberFormat="1" applyFill="1" applyBorder="1" applyAlignment="1" applyProtection="1">
      <alignment horizontal="right" vertical="top" wrapText="1"/>
    </xf>
    <xf numFmtId="49" fontId="8" fillId="18" borderId="0" xfId="0" applyFont="1" applyFill="1" applyAlignment="1" applyProtection="1">
      <alignment horizontal="center" vertical="top"/>
    </xf>
    <xf numFmtId="4" fontId="0" fillId="16" borderId="10" xfId="0" applyNumberFormat="1" applyFill="1" applyBorder="1" applyAlignment="1" applyProtection="1">
      <alignment horizontal="right" vertical="top" wrapText="1"/>
    </xf>
    <xf numFmtId="4" fontId="0" fillId="16" borderId="32" xfId="0" applyNumberFormat="1" applyFill="1" applyBorder="1" applyAlignment="1" applyProtection="1">
      <alignment horizontal="right" vertical="top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1" fillId="5" borderId="4" xfId="0" applyNumberFormat="1" applyFont="1" applyFill="1" applyBorder="1" applyAlignment="1" applyProtection="1">
      <alignment horizontal="center" vertical="center" wrapText="1"/>
    </xf>
    <xf numFmtId="49" fontId="1" fillId="9" borderId="10" xfId="0" applyNumberFormat="1" applyFont="1" applyFill="1" applyBorder="1" applyAlignment="1" applyProtection="1">
      <alignment horizontal="center" vertical="center" wrapText="1"/>
    </xf>
    <xf numFmtId="49" fontId="1" fillId="9" borderId="32" xfId="0" applyNumberFormat="1" applyFont="1" applyFill="1" applyBorder="1" applyAlignment="1" applyProtection="1">
      <alignment horizontal="center" vertical="center" wrapText="1"/>
    </xf>
    <xf numFmtId="49" fontId="0" fillId="16" borderId="4" xfId="0" applyFill="1" applyBorder="1" applyAlignment="1" applyProtection="1">
      <alignment horizontal="left" vertical="center" wrapText="1" indent="1"/>
    </xf>
    <xf numFmtId="49" fontId="1" fillId="16" borderId="4" xfId="0" applyFont="1" applyFill="1" applyBorder="1" applyAlignment="1" applyProtection="1">
      <alignment horizontal="left" vertical="center" wrapText="1" indent="1"/>
    </xf>
    <xf numFmtId="49" fontId="1" fillId="16" borderId="4" xfId="0" applyNumberFormat="1" applyFont="1" applyFill="1" applyBorder="1" applyAlignment="1" applyProtection="1">
      <alignment horizontal="left" vertical="center" wrapText="1" indent="1"/>
    </xf>
    <xf numFmtId="49" fontId="28" fillId="0" borderId="3" xfId="0" applyFont="1" applyFill="1" applyBorder="1" applyAlignment="1" applyProtection="1">
      <alignment horizontal="center" vertical="top" wrapText="1"/>
    </xf>
    <xf numFmtId="49" fontId="28" fillId="0" borderId="21" xfId="0" applyFont="1" applyFill="1" applyBorder="1" applyAlignment="1" applyProtection="1">
      <alignment horizontal="center" vertical="top" wrapText="1"/>
    </xf>
    <xf numFmtId="49" fontId="0" fillId="0" borderId="6" xfId="0" applyNumberFormat="1" applyFill="1" applyBorder="1" applyAlignment="1" applyProtection="1">
      <alignment horizontal="left" vertical="top" wrapText="1" indent="1"/>
    </xf>
    <xf numFmtId="49" fontId="1" fillId="0" borderId="6" xfId="0" applyNumberFormat="1" applyFont="1" applyFill="1" applyBorder="1" applyAlignment="1" applyProtection="1">
      <alignment horizontal="left" vertical="top" wrapText="1" indent="1"/>
    </xf>
    <xf numFmtId="49" fontId="0" fillId="6" borderId="4" xfId="0" applyNumberFormat="1" applyFill="1" applyBorder="1" applyAlignment="1" applyProtection="1">
      <alignment horizontal="left" vertical="top" wrapText="1" indent="1"/>
    </xf>
    <xf numFmtId="0" fontId="0" fillId="6" borderId="4" xfId="0" applyNumberFormat="1" applyFill="1" applyBorder="1" applyAlignment="1" applyProtection="1">
      <alignment horizontal="left" vertical="top" wrapText="1" indent="1"/>
    </xf>
    <xf numFmtId="49" fontId="1" fillId="6" borderId="4" xfId="0" applyNumberFormat="1" applyFont="1" applyFill="1" applyBorder="1" applyAlignment="1" applyProtection="1">
      <alignment horizontal="left" vertical="top" wrapText="1" indent="1"/>
    </xf>
    <xf numFmtId="49" fontId="0" fillId="6" borderId="6" xfId="0" applyNumberFormat="1" applyFill="1" applyBorder="1" applyAlignment="1" applyProtection="1">
      <alignment horizontal="left" vertical="top" wrapText="1" indent="1"/>
    </xf>
    <xf numFmtId="49" fontId="1" fillId="6" borderId="6" xfId="0" applyNumberFormat="1" applyFont="1" applyFill="1" applyBorder="1" applyAlignment="1" applyProtection="1">
      <alignment horizontal="left" vertical="top" wrapText="1" indent="1"/>
    </xf>
    <xf numFmtId="49" fontId="22" fillId="8" borderId="11" xfId="0" applyFont="1" applyFill="1" applyBorder="1" applyAlignment="1" applyProtection="1">
      <alignment horizontal="center" vertical="center"/>
    </xf>
    <xf numFmtId="49" fontId="22" fillId="8" borderId="16" xfId="0" applyFont="1" applyFill="1" applyBorder="1" applyAlignment="1" applyProtection="1">
      <alignment horizontal="center" vertical="center"/>
    </xf>
    <xf numFmtId="49" fontId="27" fillId="0" borderId="4" xfId="0" applyFont="1" applyFill="1" applyBorder="1" applyAlignment="1" applyProtection="1">
      <alignment horizontal="center" vertical="top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3" fillId="4" borderId="33" xfId="0" applyNumberFormat="1" applyFont="1" applyFill="1" applyBorder="1" applyAlignment="1" applyProtection="1">
      <alignment horizontal="center" vertical="center" wrapText="1"/>
    </xf>
    <xf numFmtId="49" fontId="3" fillId="4" borderId="7" xfId="0" applyNumberFormat="1" applyFont="1" applyFill="1" applyBorder="1" applyAlignment="1" applyProtection="1">
      <alignment horizontal="center" vertical="center" wrapText="1"/>
    </xf>
    <xf numFmtId="168" fontId="3" fillId="4" borderId="34" xfId="0" applyNumberFormat="1" applyFont="1" applyFill="1" applyBorder="1" applyAlignment="1" applyProtection="1">
      <alignment horizontal="center" vertical="center" wrapText="1"/>
    </xf>
    <xf numFmtId="168" fontId="3" fillId="4" borderId="35" xfId="0" applyNumberFormat="1" applyFont="1" applyFill="1" applyBorder="1" applyAlignment="1" applyProtection="1">
      <alignment horizontal="center" vertical="center" wrapText="1"/>
    </xf>
    <xf numFmtId="168" fontId="3" fillId="4" borderId="4" xfId="0" applyNumberFormat="1" applyFont="1" applyFill="1" applyBorder="1" applyAlignment="1" applyProtection="1">
      <alignment horizontal="center" vertical="center" wrapText="1"/>
    </xf>
    <xf numFmtId="168" fontId="3" fillId="4" borderId="11" xfId="0" applyNumberFormat="1" applyFont="1" applyFill="1" applyBorder="1" applyAlignment="1" applyProtection="1">
      <alignment horizontal="center" vertical="center" wrapText="1"/>
    </xf>
    <xf numFmtId="0" fontId="3" fillId="6" borderId="4" xfId="0" applyNumberFormat="1" applyFont="1" applyFill="1" applyBorder="1" applyAlignment="1" applyProtection="1">
      <alignment horizontal="center" vertical="center" wrapText="1"/>
    </xf>
    <xf numFmtId="49" fontId="3" fillId="6" borderId="4" xfId="0" applyFont="1" applyFill="1" applyBorder="1" applyAlignment="1" applyProtection="1">
      <alignment horizontal="center" vertical="center" wrapText="1"/>
    </xf>
    <xf numFmtId="49" fontId="8" fillId="18" borderId="0" xfId="0" applyFont="1" applyFill="1" applyBorder="1" applyAlignment="1" applyProtection="1">
      <alignment horizontal="center" vertical="top" wrapText="1"/>
    </xf>
    <xf numFmtId="0" fontId="3" fillId="4" borderId="11" xfId="0" applyNumberFormat="1" applyFont="1" applyFill="1" applyBorder="1" applyAlignment="1" applyProtection="1">
      <alignment horizontal="center" vertical="center" wrapText="1"/>
    </xf>
    <xf numFmtId="49" fontId="45" fillId="0" borderId="21" xfId="0" applyFont="1" applyBorder="1" applyAlignment="1" applyProtection="1">
      <alignment horizontal="center" vertical="center" wrapText="1"/>
    </xf>
    <xf numFmtId="0" fontId="3" fillId="4" borderId="6" xfId="0" applyNumberFormat="1" applyFont="1" applyFill="1" applyBorder="1" applyAlignment="1" applyProtection="1">
      <alignment horizontal="center" vertical="center" wrapText="1"/>
    </xf>
    <xf numFmtId="0" fontId="3" fillId="4" borderId="12" xfId="0" applyNumberFormat="1" applyFont="1" applyFill="1" applyBorder="1" applyAlignment="1" applyProtection="1">
      <alignment horizontal="center" vertical="center" wrapText="1"/>
    </xf>
    <xf numFmtId="0" fontId="64" fillId="6" borderId="11" xfId="0" applyNumberFormat="1" applyFont="1" applyFill="1" applyBorder="1" applyAlignment="1" applyProtection="1">
      <alignment horizontal="center" vertical="center" wrapText="1"/>
    </xf>
    <xf numFmtId="49" fontId="64" fillId="6" borderId="11" xfId="0" applyFont="1" applyFill="1" applyBorder="1" applyAlignment="1" applyProtection="1">
      <alignment horizontal="center" vertical="center" wrapText="1"/>
    </xf>
    <xf numFmtId="49" fontId="8" fillId="0" borderId="21" xfId="0" applyFont="1" applyBorder="1" applyAlignment="1" applyProtection="1">
      <alignment horizontal="center" vertical="center" wrapText="1"/>
    </xf>
    <xf numFmtId="0" fontId="3" fillId="4" borderId="5" xfId="0" applyNumberFormat="1" applyFont="1" applyFill="1" applyBorder="1" applyAlignment="1" applyProtection="1">
      <alignment horizontal="center" vertical="center" wrapText="1"/>
    </xf>
    <xf numFmtId="49" fontId="3" fillId="4" borderId="4" xfId="0" applyNumberFormat="1" applyFont="1" applyFill="1" applyBorder="1" applyAlignment="1" applyProtection="1">
      <alignment horizontal="center" vertical="center" wrapText="1"/>
    </xf>
    <xf numFmtId="0" fontId="64" fillId="6" borderId="4" xfId="0" applyNumberFormat="1" applyFont="1" applyFill="1" applyBorder="1" applyAlignment="1" applyProtection="1">
      <alignment horizontal="center" vertical="center" wrapText="1"/>
    </xf>
    <xf numFmtId="49" fontId="64" fillId="6" borderId="4" xfId="0" applyFont="1" applyFill="1" applyBorder="1" applyAlignment="1" applyProtection="1">
      <alignment horizontal="center" vertical="center" wrapText="1"/>
    </xf>
    <xf numFmtId="49" fontId="8" fillId="18" borderId="0" xfId="0" applyFont="1" applyFill="1" applyBorder="1" applyAlignment="1" applyProtection="1">
      <alignment horizontal="left" vertical="top" wrapText="1" indent="1"/>
    </xf>
    <xf numFmtId="0" fontId="3" fillId="6" borderId="11" xfId="0" applyNumberFormat="1" applyFont="1" applyFill="1" applyBorder="1" applyAlignment="1" applyProtection="1">
      <alignment horizontal="center" vertical="center" wrapText="1"/>
    </xf>
    <xf numFmtId="49" fontId="3" fillId="6" borderId="11" xfId="0" applyFont="1" applyFill="1" applyBorder="1" applyAlignment="1" applyProtection="1">
      <alignment horizontal="center" vertical="center" wrapText="1"/>
    </xf>
    <xf numFmtId="0" fontId="64" fillId="6" borderId="6" xfId="0" applyNumberFormat="1" applyFont="1" applyFill="1" applyBorder="1" applyAlignment="1" applyProtection="1">
      <alignment horizontal="center" vertical="center" wrapText="1"/>
    </xf>
    <xf numFmtId="0" fontId="64" fillId="6" borderId="12" xfId="0" applyNumberFormat="1" applyFont="1" applyFill="1" applyBorder="1" applyAlignment="1" applyProtection="1">
      <alignment horizontal="center" vertical="center" wrapText="1"/>
    </xf>
    <xf numFmtId="0" fontId="64" fillId="6" borderId="5" xfId="0" applyNumberFormat="1" applyFont="1" applyFill="1" applyBorder="1" applyAlignment="1" applyProtection="1">
      <alignment horizontal="center" vertical="center" wrapText="1"/>
    </xf>
    <xf numFmtId="0" fontId="3" fillId="6" borderId="6" xfId="0" applyNumberFormat="1" applyFont="1" applyFill="1" applyBorder="1" applyAlignment="1" applyProtection="1">
      <alignment horizontal="center" vertical="center" wrapText="1"/>
    </xf>
    <xf numFmtId="0" fontId="3" fillId="6" borderId="12" xfId="0" applyNumberFormat="1" applyFont="1" applyFill="1" applyBorder="1" applyAlignment="1" applyProtection="1">
      <alignment horizontal="center" vertical="center" wrapText="1"/>
    </xf>
    <xf numFmtId="0" fontId="3" fillId="6" borderId="5" xfId="0" applyNumberFormat="1" applyFont="1" applyFill="1" applyBorder="1" applyAlignment="1" applyProtection="1">
      <alignment horizontal="center" vertical="center" wrapText="1"/>
    </xf>
    <xf numFmtId="49" fontId="1" fillId="0" borderId="4" xfId="0" applyFont="1" applyBorder="1" applyAlignment="1" applyProtection="1">
      <alignment horizontal="center" vertical="center"/>
    </xf>
    <xf numFmtId="49" fontId="1" fillId="6" borderId="33" xfId="0" applyFont="1" applyFill="1" applyBorder="1" applyAlignment="1" applyProtection="1">
      <alignment horizontal="center" vertical="center"/>
    </xf>
    <xf numFmtId="49" fontId="1" fillId="6" borderId="7" xfId="0" applyFont="1" applyFill="1" applyBorder="1" applyAlignment="1" applyProtection="1">
      <alignment horizontal="center" vertical="center"/>
    </xf>
    <xf numFmtId="0" fontId="4" fillId="6" borderId="34" xfId="0" applyNumberFormat="1" applyFont="1" applyFill="1" applyBorder="1" applyAlignment="1" applyProtection="1">
      <alignment horizontal="center" vertical="center" wrapText="1"/>
    </xf>
    <xf numFmtId="49" fontId="4" fillId="6" borderId="35" xfId="0" applyFont="1" applyFill="1" applyBorder="1" applyAlignment="1" applyProtection="1">
      <alignment horizontal="center" vertical="center" wrapText="1"/>
    </xf>
    <xf numFmtId="49" fontId="1" fillId="0" borderId="33" xfId="0" applyFont="1" applyBorder="1" applyAlignment="1" applyProtection="1">
      <alignment horizontal="center" vertical="center"/>
    </xf>
    <xf numFmtId="49" fontId="1" fillId="0" borderId="24" xfId="0" applyFont="1" applyBorder="1" applyAlignment="1" applyProtection="1">
      <alignment horizontal="center" vertical="center"/>
    </xf>
    <xf numFmtId="49" fontId="1" fillId="0" borderId="44" xfId="0" applyFont="1" applyBorder="1" applyAlignment="1" applyProtection="1">
      <alignment horizontal="center" vertical="center"/>
    </xf>
    <xf numFmtId="49" fontId="4" fillId="6" borderId="34" xfId="0" applyFont="1" applyFill="1" applyBorder="1" applyAlignment="1" applyProtection="1">
      <alignment horizontal="center" vertical="center" wrapText="1"/>
    </xf>
    <xf numFmtId="49" fontId="1" fillId="0" borderId="40" xfId="0" applyFont="1" applyBorder="1" applyAlignment="1" applyProtection="1">
      <alignment horizontal="center" vertical="center"/>
    </xf>
    <xf numFmtId="49" fontId="1" fillId="0" borderId="42" xfId="0" applyFont="1" applyBorder="1" applyAlignment="1" applyProtection="1">
      <alignment horizontal="center" vertical="center"/>
    </xf>
    <xf numFmtId="49" fontId="1" fillId="0" borderId="41" xfId="0" applyFont="1" applyBorder="1" applyAlignment="1" applyProtection="1">
      <alignment horizontal="center" vertical="center"/>
    </xf>
    <xf numFmtId="49" fontId="1" fillId="0" borderId="43" xfId="0" applyFont="1" applyBorder="1" applyAlignment="1" applyProtection="1">
      <alignment horizontal="center" vertical="center"/>
    </xf>
    <xf numFmtId="49" fontId="4" fillId="9" borderId="11" xfId="0" applyFont="1" applyFill="1" applyBorder="1" applyAlignment="1" applyProtection="1">
      <alignment horizontal="center" vertical="center"/>
    </xf>
    <xf numFmtId="49" fontId="4" fillId="9" borderId="16" xfId="0" applyFont="1" applyFill="1" applyBorder="1" applyAlignment="1" applyProtection="1">
      <alignment horizontal="center" vertical="center"/>
    </xf>
    <xf numFmtId="49" fontId="4" fillId="6" borderId="5" xfId="0" applyFont="1" applyFill="1" applyBorder="1" applyAlignment="1" applyProtection="1">
      <alignment horizontal="center" vertical="center"/>
    </xf>
    <xf numFmtId="49" fontId="4" fillId="6" borderId="4" xfId="0" applyFont="1" applyFill="1" applyBorder="1" applyAlignment="1" applyProtection="1">
      <alignment horizontal="center" vertical="center"/>
    </xf>
    <xf numFmtId="49" fontId="3" fillId="4" borderId="34" xfId="0" applyNumberFormat="1" applyFont="1" applyFill="1" applyBorder="1" applyAlignment="1" applyProtection="1">
      <alignment horizontal="center" vertical="center" wrapText="1"/>
    </xf>
    <xf numFmtId="49" fontId="3" fillId="4" borderId="35" xfId="0" applyNumberFormat="1" applyFont="1" applyFill="1" applyBorder="1" applyAlignment="1" applyProtection="1">
      <alignment horizontal="center" vertical="center" wrapText="1"/>
    </xf>
    <xf numFmtId="49" fontId="3" fillId="0" borderId="11" xfId="0" applyFont="1" applyFill="1" applyBorder="1" applyAlignment="1" applyProtection="1">
      <alignment horizontal="center" vertical="center" wrapText="1"/>
    </xf>
    <xf numFmtId="49" fontId="3" fillId="0" borderId="16" xfId="0" applyFont="1" applyFill="1" applyBorder="1" applyAlignment="1" applyProtection="1">
      <alignment horizontal="center" vertical="center" wrapText="1"/>
    </xf>
    <xf numFmtId="49" fontId="3" fillId="4" borderId="11" xfId="0" applyNumberFormat="1" applyFont="1" applyFill="1" applyBorder="1" applyAlignment="1" applyProtection="1">
      <alignment horizontal="center" vertical="center" wrapText="1"/>
    </xf>
    <xf numFmtId="49" fontId="3" fillId="4" borderId="16" xfId="0" applyNumberFormat="1" applyFont="1" applyFill="1" applyBorder="1" applyAlignment="1" applyProtection="1">
      <alignment horizontal="center" vertical="center" wrapText="1"/>
    </xf>
    <xf numFmtId="49" fontId="3" fillId="4" borderId="24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49" fontId="3" fillId="0" borderId="20" xfId="0" applyFont="1" applyFill="1" applyBorder="1" applyAlignment="1" applyProtection="1">
      <alignment horizontal="center" vertical="center" wrapText="1"/>
    </xf>
    <xf numFmtId="49" fontId="3" fillId="0" borderId="37" xfId="0" applyFont="1" applyFill="1" applyBorder="1" applyAlignment="1" applyProtection="1">
      <alignment horizontal="center" vertical="center" wrapText="1"/>
    </xf>
    <xf numFmtId="49" fontId="3" fillId="0" borderId="39" xfId="0" applyFont="1" applyFill="1" applyBorder="1" applyAlignment="1" applyProtection="1">
      <alignment horizontal="center" vertical="center" wrapText="1"/>
    </xf>
    <xf numFmtId="49" fontId="0" fillId="0" borderId="12" xfId="0" applyFill="1" applyBorder="1" applyAlignment="1" applyProtection="1">
      <alignment horizontal="center" vertical="center"/>
    </xf>
    <xf numFmtId="49" fontId="1" fillId="0" borderId="12" xfId="0" applyFont="1" applyFill="1" applyBorder="1" applyAlignment="1" applyProtection="1">
      <alignment horizontal="center" vertical="center"/>
    </xf>
    <xf numFmtId="49" fontId="3" fillId="0" borderId="10" xfId="0" applyFont="1" applyFill="1" applyBorder="1" applyAlignment="1" applyProtection="1">
      <alignment horizontal="center" vertical="center" wrapText="1"/>
    </xf>
    <xf numFmtId="49" fontId="3" fillId="0" borderId="13" xfId="0" applyFont="1" applyFill="1" applyBorder="1" applyAlignment="1" applyProtection="1">
      <alignment horizontal="center" vertical="center" wrapText="1"/>
    </xf>
    <xf numFmtId="49" fontId="3" fillId="4" borderId="20" xfId="0" applyNumberFormat="1" applyFont="1" applyFill="1" applyBorder="1" applyAlignment="1" applyProtection="1">
      <alignment horizontal="center" vertical="center" wrapText="1"/>
    </xf>
    <xf numFmtId="49" fontId="3" fillId="4" borderId="37" xfId="0" applyNumberFormat="1" applyFont="1" applyFill="1" applyBorder="1" applyAlignment="1" applyProtection="1">
      <alignment horizontal="center" vertical="center" wrapText="1"/>
    </xf>
    <xf numFmtId="49" fontId="3" fillId="4" borderId="39" xfId="0" applyNumberFormat="1" applyFont="1" applyFill="1" applyBorder="1" applyAlignment="1" applyProtection="1">
      <alignment horizontal="center" vertical="center" wrapText="1"/>
    </xf>
    <xf numFmtId="49" fontId="3" fillId="4" borderId="40" xfId="0" applyNumberFormat="1" applyFont="1" applyFill="1" applyBorder="1" applyAlignment="1" applyProtection="1">
      <alignment horizontal="center" vertical="center" wrapText="1"/>
    </xf>
    <xf numFmtId="49" fontId="3" fillId="4" borderId="41" xfId="0" applyNumberFormat="1" applyFont="1" applyFill="1" applyBorder="1" applyAlignment="1" applyProtection="1">
      <alignment horizontal="center" vertical="center" wrapText="1"/>
    </xf>
    <xf numFmtId="49" fontId="3" fillId="0" borderId="38" xfId="0" applyFont="1" applyFill="1" applyBorder="1" applyAlignment="1" applyProtection="1">
      <alignment horizontal="center" vertical="center" wrapText="1"/>
    </xf>
    <xf numFmtId="0" fontId="3" fillId="4" borderId="10" xfId="0" applyNumberFormat="1" applyFont="1" applyFill="1" applyBorder="1" applyAlignment="1" applyProtection="1">
      <alignment horizontal="center" vertical="center" wrapText="1"/>
    </xf>
    <xf numFmtId="0" fontId="3" fillId="4" borderId="13" xfId="0" applyNumberFormat="1" applyFont="1" applyFill="1" applyBorder="1" applyAlignment="1" applyProtection="1">
      <alignment horizontal="center" vertical="center" wrapText="1"/>
    </xf>
    <xf numFmtId="49" fontId="3" fillId="4" borderId="36" xfId="0" applyNumberFormat="1" applyFont="1" applyFill="1" applyBorder="1" applyAlignment="1" applyProtection="1">
      <alignment horizontal="center" vertical="center" wrapText="1"/>
    </xf>
    <xf numFmtId="49" fontId="3" fillId="4" borderId="38" xfId="0" applyNumberFormat="1" applyFont="1" applyFill="1" applyBorder="1" applyAlignment="1" applyProtection="1">
      <alignment horizontal="center" vertical="center" wrapText="1"/>
    </xf>
    <xf numFmtId="0" fontId="3" fillId="4" borderId="16" xfId="0" applyNumberFormat="1" applyFont="1" applyFill="1" applyBorder="1" applyAlignment="1" applyProtection="1">
      <alignment horizontal="center" vertical="center" wrapText="1"/>
    </xf>
    <xf numFmtId="49" fontId="1" fillId="0" borderId="34" xfId="0" applyFont="1" applyBorder="1" applyAlignment="1" applyProtection="1">
      <alignment horizontal="center" vertical="center"/>
    </xf>
    <xf numFmtId="49" fontId="1" fillId="0" borderId="36" xfId="0" applyFont="1" applyBorder="1" applyAlignment="1" applyProtection="1">
      <alignment horizontal="center" vertical="center"/>
    </xf>
    <xf numFmtId="49" fontId="1" fillId="0" borderId="45" xfId="0" applyFont="1" applyBorder="1" applyAlignment="1" applyProtection="1">
      <alignment horizontal="center" vertical="center"/>
    </xf>
    <xf numFmtId="49" fontId="4" fillId="9" borderId="4" xfId="0" applyFont="1" applyFill="1" applyBorder="1" applyAlignment="1" applyProtection="1">
      <alignment horizontal="center" vertical="center"/>
    </xf>
    <xf numFmtId="49" fontId="3" fillId="4" borderId="4" xfId="0" applyFont="1" applyFill="1" applyBorder="1" applyAlignment="1" applyProtection="1">
      <alignment horizontal="center" vertical="center" wrapText="1"/>
    </xf>
    <xf numFmtId="2" fontId="0" fillId="0" borderId="12" xfId="0" applyNumberFormat="1" applyFill="1" applyBorder="1" applyAlignment="1" applyProtection="1">
      <alignment horizontal="center" vertical="center"/>
    </xf>
    <xf numFmtId="2" fontId="0" fillId="0" borderId="12" xfId="0" applyNumberFormat="1" applyFont="1" applyFill="1" applyBorder="1" applyAlignment="1" applyProtection="1">
      <alignment horizontal="center" vertical="center"/>
    </xf>
    <xf numFmtId="49" fontId="3" fillId="0" borderId="34" xfId="0" applyFont="1" applyFill="1" applyBorder="1" applyAlignment="1" applyProtection="1">
      <alignment horizontal="center" vertical="center" wrapText="1"/>
    </xf>
    <xf numFmtId="49" fontId="3" fillId="0" borderId="35" xfId="0" applyFont="1" applyFill="1" applyBorder="1" applyAlignment="1" applyProtection="1">
      <alignment horizontal="center" vertical="center" wrapText="1"/>
    </xf>
    <xf numFmtId="49" fontId="3" fillId="4" borderId="33" xfId="0" applyFont="1" applyFill="1" applyBorder="1" applyAlignment="1" applyProtection="1">
      <alignment horizontal="center" vertical="center" wrapText="1"/>
    </xf>
    <xf numFmtId="49" fontId="3" fillId="4" borderId="24" xfId="0" applyFont="1" applyFill="1" applyBorder="1" applyAlignment="1" applyProtection="1">
      <alignment horizontal="center" vertical="center" wrapText="1"/>
    </xf>
    <xf numFmtId="49" fontId="3" fillId="4" borderId="7" xfId="0" applyFont="1" applyFill="1" applyBorder="1" applyAlignment="1" applyProtection="1">
      <alignment horizontal="center" vertical="center" wrapText="1"/>
    </xf>
    <xf numFmtId="49" fontId="3" fillId="4" borderId="40" xfId="0" applyFont="1" applyFill="1" applyBorder="1" applyAlignment="1" applyProtection="1">
      <alignment horizontal="center" vertical="center" wrapText="1"/>
    </xf>
    <xf numFmtId="49" fontId="3" fillId="4" borderId="42" xfId="0" applyFont="1" applyFill="1" applyBorder="1" applyAlignment="1" applyProtection="1">
      <alignment horizontal="center" vertical="center" wrapText="1"/>
    </xf>
    <xf numFmtId="49" fontId="3" fillId="4" borderId="41" xfId="0" applyFont="1" applyFill="1" applyBorder="1" applyAlignment="1" applyProtection="1">
      <alignment horizontal="center" vertical="center" wrapText="1"/>
    </xf>
    <xf numFmtId="49" fontId="3" fillId="4" borderId="46" xfId="0" applyFont="1" applyFill="1" applyBorder="1" applyAlignment="1" applyProtection="1">
      <alignment horizontal="center" vertical="center" wrapText="1"/>
    </xf>
    <xf numFmtId="49" fontId="3" fillId="4" borderId="37" xfId="0" applyFont="1" applyFill="1" applyBorder="1" applyAlignment="1" applyProtection="1">
      <alignment horizontal="center" vertical="center" wrapText="1"/>
    </xf>
    <xf numFmtId="49" fontId="3" fillId="4" borderId="39" xfId="0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 indent="4"/>
    </xf>
    <xf numFmtId="0" fontId="4" fillId="0" borderId="6" xfId="0" applyNumberFormat="1" applyFont="1" applyFill="1" applyBorder="1" applyAlignment="1" applyProtection="1">
      <alignment horizontal="left" vertical="center" wrapText="1" indent="4"/>
    </xf>
    <xf numFmtId="49" fontId="3" fillId="4" borderId="5" xfId="0" applyFont="1" applyFill="1" applyBorder="1" applyAlignment="1" applyProtection="1">
      <alignment horizontal="center" vertical="center" wrapText="1"/>
    </xf>
    <xf numFmtId="168" fontId="3" fillId="4" borderId="33" xfId="0" applyNumberFormat="1" applyFont="1" applyFill="1" applyBorder="1" applyAlignment="1" applyProtection="1">
      <alignment horizontal="center" vertical="center" wrapText="1"/>
    </xf>
    <xf numFmtId="168" fontId="3" fillId="4" borderId="7" xfId="0" applyNumberFormat="1" applyFont="1" applyFill="1" applyBorder="1" applyAlignment="1" applyProtection="1">
      <alignment horizontal="center" vertical="center" wrapText="1"/>
    </xf>
    <xf numFmtId="168" fontId="42" fillId="4" borderId="5" xfId="0" applyNumberFormat="1" applyFont="1" applyFill="1" applyBorder="1" applyAlignment="1" applyProtection="1">
      <alignment horizontal="center" vertical="center" wrapText="1"/>
    </xf>
    <xf numFmtId="168" fontId="42" fillId="4" borderId="4" xfId="0" applyNumberFormat="1" applyFont="1" applyFill="1" applyBorder="1" applyAlignment="1" applyProtection="1">
      <alignment horizontal="center" vertical="center" wrapText="1"/>
    </xf>
    <xf numFmtId="168" fontId="42" fillId="4" borderId="14" xfId="0" applyNumberFormat="1" applyFont="1" applyFill="1" applyBorder="1" applyAlignment="1" applyProtection="1">
      <alignment horizontal="center" vertical="center" wrapText="1"/>
    </xf>
    <xf numFmtId="168" fontId="42" fillId="4" borderId="11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4" borderId="6" xfId="0" applyNumberFormat="1" applyFont="1" applyFill="1" applyBorder="1" applyAlignment="1" applyProtection="1">
      <alignment horizontal="center" vertical="center" wrapText="1"/>
    </xf>
    <xf numFmtId="4" fontId="1" fillId="6" borderId="4" xfId="0" applyNumberFormat="1" applyFont="1" applyFill="1" applyBorder="1" applyAlignment="1" applyProtection="1">
      <alignment horizontal="right" vertical="center"/>
    </xf>
    <xf numFmtId="4" fontId="0" fillId="6" borderId="4" xfId="0" applyNumberFormat="1" applyFont="1" applyFill="1" applyBorder="1" applyAlignment="1" applyProtection="1">
      <alignment horizontal="right" vertical="top"/>
    </xf>
    <xf numFmtId="49" fontId="4" fillId="9" borderId="17" xfId="0" applyFont="1" applyFill="1" applyBorder="1" applyAlignment="1" applyProtection="1">
      <alignment horizontal="center" vertical="center"/>
    </xf>
    <xf numFmtId="4" fontId="22" fillId="9" borderId="0" xfId="0" applyNumberFormat="1" applyFont="1" applyFill="1" applyBorder="1" applyAlignment="1" applyProtection="1">
      <alignment horizontal="right" vertical="center"/>
    </xf>
    <xf numFmtId="49" fontId="3" fillId="4" borderId="12" xfId="0" applyNumberFormat="1" applyFont="1" applyFill="1" applyBorder="1" applyAlignment="1" applyProtection="1">
      <alignment horizontal="center" vertical="center" wrapText="1"/>
    </xf>
    <xf numFmtId="49" fontId="3" fillId="4" borderId="5" xfId="0" applyNumberFormat="1" applyFont="1" applyFill="1" applyBorder="1" applyAlignment="1" applyProtection="1">
      <alignment horizontal="center" vertical="center" wrapText="1"/>
    </xf>
    <xf numFmtId="49" fontId="0" fillId="0" borderId="16" xfId="0" applyBorder="1" applyAlignment="1">
      <alignment vertical="top"/>
    </xf>
    <xf numFmtId="49" fontId="4" fillId="6" borderId="11" xfId="0" applyFont="1" applyFill="1" applyBorder="1" applyAlignment="1" applyProtection="1">
      <alignment horizontal="center" vertical="center"/>
    </xf>
    <xf numFmtId="49" fontId="3" fillId="4" borderId="17" xfId="0" applyNumberFormat="1" applyFont="1" applyFill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center" vertical="center" wrapText="1"/>
    </xf>
    <xf numFmtId="49" fontId="3" fillId="4" borderId="3" xfId="0" applyNumberFormat="1" applyFont="1" applyFill="1" applyBorder="1" applyAlignment="1" applyProtection="1">
      <alignment horizontal="center" vertical="center" wrapText="1"/>
    </xf>
    <xf numFmtId="49" fontId="3" fillId="4" borderId="14" xfId="0" applyNumberFormat="1" applyFont="1" applyFill="1" applyBorder="1" applyAlignment="1" applyProtection="1">
      <alignment horizontal="center" vertical="center" wrapText="1"/>
    </xf>
    <xf numFmtId="49" fontId="1" fillId="0" borderId="7" xfId="0" applyFont="1" applyBorder="1" applyAlignment="1" applyProtection="1">
      <alignment horizontal="center" vertical="center"/>
    </xf>
    <xf numFmtId="49" fontId="1" fillId="0" borderId="35" xfId="0" applyFont="1" applyBorder="1" applyAlignment="1" applyProtection="1">
      <alignment horizontal="center" vertical="center"/>
    </xf>
    <xf numFmtId="49" fontId="9" fillId="0" borderId="12" xfId="0" applyFont="1" applyFill="1" applyBorder="1" applyAlignment="1" applyProtection="1">
      <alignment horizontal="center" vertical="center"/>
    </xf>
  </cellXfs>
  <cellStyles count="80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52" builtinId="30" hidden="1"/>
    <cellStyle name="20% — акцент2" xfId="56" builtinId="34" hidden="1"/>
    <cellStyle name="20% — акцент3" xfId="60" builtinId="38" hidden="1"/>
    <cellStyle name="20% — акцент4" xfId="64" builtinId="42" hidden="1"/>
    <cellStyle name="20% — акцент5" xfId="68" builtinId="46" hidden="1"/>
    <cellStyle name="20% — акцент6" xfId="72" builtinId="50" hidden="1"/>
    <cellStyle name="40% — акцент1" xfId="53" builtinId="31" hidden="1"/>
    <cellStyle name="40% — акцент2" xfId="57" builtinId="35" hidden="1"/>
    <cellStyle name="40% — акцент3" xfId="61" builtinId="39" hidden="1"/>
    <cellStyle name="40% — акцент4" xfId="65" builtinId="43" hidden="1"/>
    <cellStyle name="40% — акцент5" xfId="69" builtinId="47" hidden="1"/>
    <cellStyle name="40% — акцент6" xfId="73" builtinId="51" hidden="1"/>
    <cellStyle name="60% — акцент1" xfId="54" builtinId="32" hidden="1"/>
    <cellStyle name="60% — акцент2" xfId="58" builtinId="36" hidden="1"/>
    <cellStyle name="60% — акцент3" xfId="62" builtinId="40" hidden="1"/>
    <cellStyle name="60% — акцент4" xfId="66" builtinId="44" hidden="1"/>
    <cellStyle name="60% — акцент5" xfId="70" builtinId="48" hidden="1"/>
    <cellStyle name="60% — акцент6" xfId="74" builtinId="52" hidden="1"/>
    <cellStyle name="Currency [0]" xfId="16"/>
    <cellStyle name="Currency2" xfId="17"/>
    <cellStyle name="Followed Hyperlink" xfId="18"/>
    <cellStyle name="Hyperlink" xfId="19"/>
    <cellStyle name="normal" xfId="20"/>
    <cellStyle name="Normal1" xfId="21"/>
    <cellStyle name="Normal2" xfId="22"/>
    <cellStyle name="Percent1" xfId="23"/>
    <cellStyle name="Акцент1" xfId="51" builtinId="29" hidden="1"/>
    <cellStyle name="Акцент2" xfId="55" builtinId="33" hidden="1"/>
    <cellStyle name="Акцент3" xfId="59" builtinId="37" hidden="1"/>
    <cellStyle name="Акцент4" xfId="63" builtinId="41" hidden="1"/>
    <cellStyle name="Акцент5" xfId="67" builtinId="45" hidden="1"/>
    <cellStyle name="Акцент6" xfId="71" builtinId="49" hidden="1"/>
    <cellStyle name="Ввод " xfId="24" builtinId="20" customBuiltin="1"/>
    <cellStyle name="Вывод" xfId="43" builtinId="21" hidden="1"/>
    <cellStyle name="Вычисление" xfId="44" builtinId="22" hidden="1"/>
    <cellStyle name="Гиперссылка" xfId="25" builtinId="8"/>
    <cellStyle name="Денежный" xfId="77" builtinId="4" hidden="1"/>
    <cellStyle name="Денежный [0]" xfId="78" builtinId="7" hidden="1"/>
    <cellStyle name="Заголовок 1" xfId="36" builtinId="16" hidden="1"/>
    <cellStyle name="Заголовок 2" xfId="37" builtinId="17" hidden="1"/>
    <cellStyle name="Заголовок 3" xfId="38" builtinId="18" hidden="1"/>
    <cellStyle name="Заголовок 4" xfId="39" builtinId="19" hidden="1"/>
    <cellStyle name="Значение" xfId="26"/>
    <cellStyle name="Итог" xfId="50" builtinId="25" hidden="1"/>
    <cellStyle name="Контрольная ячейка" xfId="46" builtinId="23" hidden="1"/>
    <cellStyle name="Название" xfId="35" builtinId="15" hidden="1"/>
    <cellStyle name="Нейтральный" xfId="42" builtinId="28" hidden="1"/>
    <cellStyle name="Обычный" xfId="0" builtinId="0"/>
    <cellStyle name="Обычный 10" xfId="27"/>
    <cellStyle name="Обычный 20" xfId="28"/>
    <cellStyle name="Обычный 21" xfId="29"/>
    <cellStyle name="Обычный 22" xfId="30"/>
    <cellStyle name="Обычный 23" xfId="31"/>
    <cellStyle name="Обычный 3" xfId="32"/>
    <cellStyle name="Обычный_13 12 11_1 затраты+" xfId="33"/>
    <cellStyle name="Обычный_ЖКУ_проект3" xfId="34"/>
    <cellStyle name="Плохой" xfId="41" builtinId="27" hidden="1"/>
    <cellStyle name="Пояснение" xfId="49" builtinId="53" hidden="1"/>
    <cellStyle name="Примечание" xfId="48" builtinId="10" hidden="1"/>
    <cellStyle name="Процентный" xfId="79" builtinId="5" hidden="1"/>
    <cellStyle name="Связанная ячейка" xfId="45" builtinId="24" hidden="1"/>
    <cellStyle name="Текст предупреждения" xfId="47" builtinId="11" hidden="1"/>
    <cellStyle name="Финансовый" xfId="75" builtinId="3" hidden="1"/>
    <cellStyle name="Финансовый [0]" xfId="76" builtinId="6" hidden="1"/>
    <cellStyle name="Хороший" xfId="40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EAEBEE"/>
      <rgbColor rgb="00FF99CC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D9D9D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jpe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4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8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5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6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7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8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27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7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5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7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5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39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7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5.pn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31.png"/><Relationship Id="rId7" Type="http://schemas.openxmlformats.org/officeDocument/2006/relationships/image" Target="../media/image37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425448</xdr:rowOff>
    </xdr:from>
    <xdr:to>
      <xdr:col>3</xdr:col>
      <xdr:colOff>0</xdr:colOff>
      <xdr:row>107</xdr:row>
      <xdr:rowOff>165098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2925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oneCell">
    <xdr:from>
      <xdr:col>1</xdr:col>
      <xdr:colOff>0</xdr:colOff>
      <xdr:row>17</xdr:row>
      <xdr:rowOff>152398</xdr:rowOff>
    </xdr:from>
    <xdr:to>
      <xdr:col>3</xdr:col>
      <xdr:colOff>0</xdr:colOff>
      <xdr:row>18</xdr:row>
      <xdr:rowOff>425448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290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oneCell">
    <xdr:from>
      <xdr:col>1</xdr:col>
      <xdr:colOff>0</xdr:colOff>
      <xdr:row>15</xdr:row>
      <xdr:rowOff>69848</xdr:rowOff>
    </xdr:from>
    <xdr:to>
      <xdr:col>3</xdr:col>
      <xdr:colOff>0</xdr:colOff>
      <xdr:row>17</xdr:row>
      <xdr:rowOff>152398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654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oneCell">
    <xdr:from>
      <xdr:col>1</xdr:col>
      <xdr:colOff>0</xdr:colOff>
      <xdr:row>12</xdr:row>
      <xdr:rowOff>473073</xdr:rowOff>
    </xdr:from>
    <xdr:to>
      <xdr:col>3</xdr:col>
      <xdr:colOff>0</xdr:colOff>
      <xdr:row>15</xdr:row>
      <xdr:rowOff>69848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019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oneCell">
    <xdr:from>
      <xdr:col>1</xdr:col>
      <xdr:colOff>0</xdr:colOff>
      <xdr:row>12</xdr:row>
      <xdr:rowOff>9523</xdr:rowOff>
    </xdr:from>
    <xdr:to>
      <xdr:col>3</xdr:col>
      <xdr:colOff>0</xdr:colOff>
      <xdr:row>12</xdr:row>
      <xdr:rowOff>473073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383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oneCell">
    <xdr:from>
      <xdr:col>1</xdr:col>
      <xdr:colOff>0</xdr:colOff>
      <xdr:row>10</xdr:row>
      <xdr:rowOff>41273</xdr:rowOff>
    </xdr:from>
    <xdr:to>
      <xdr:col>3</xdr:col>
      <xdr:colOff>0</xdr:colOff>
      <xdr:row>12</xdr:row>
      <xdr:rowOff>9523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748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oneCell">
    <xdr:from>
      <xdr:col>1</xdr:col>
      <xdr:colOff>0</xdr:colOff>
      <xdr:row>7</xdr:row>
      <xdr:rowOff>92073</xdr:rowOff>
    </xdr:from>
    <xdr:to>
      <xdr:col>3</xdr:col>
      <xdr:colOff>0</xdr:colOff>
      <xdr:row>10</xdr:row>
      <xdr:rowOff>41273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112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0</xdr:colOff>
      <xdr:row>98</xdr:row>
      <xdr:rowOff>0</xdr:rowOff>
    </xdr:from>
    <xdr:to>
      <xdr:col>9</xdr:col>
      <xdr:colOff>182880</xdr:colOff>
      <xdr:row>100</xdr:row>
      <xdr:rowOff>38100</xdr:rowOff>
    </xdr:to>
    <xdr:sp macro="[0]!Instruction.cmdGetUpdate_Click" textlink="">
      <xdr:nvSpPr>
        <xdr:cNvPr id="13" name="cmdGetUpdate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571750" y="2466975"/>
          <a:ext cx="1668780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98</xdr:row>
      <xdr:rowOff>0</xdr:rowOff>
    </xdr:from>
    <xdr:to>
      <xdr:col>15</xdr:col>
      <xdr:colOff>192405</xdr:colOff>
      <xdr:row>100</xdr:row>
      <xdr:rowOff>38100</xdr:rowOff>
    </xdr:to>
    <xdr:sp macro="[0]!Instruction.cmdShowHideUpdateLog_Click" textlink="">
      <xdr:nvSpPr>
        <xdr:cNvPr id="14" name="cmdShowHideUpdateLog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352925" y="2466975"/>
          <a:ext cx="1668780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1976467" name="Pict 9" descr="тест">
          <a:extLst>
            <a:ext uri="{FF2B5EF4-FFF2-40B4-BE49-F238E27FC236}">
              <a16:creationId xmlns:a16="http://schemas.microsoft.com/office/drawing/2014/main" id="{00000000-0008-0000-0000-000093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1976468" name="Pict 9" descr="тест">
          <a:extLst>
            <a:ext uri="{FF2B5EF4-FFF2-40B4-BE49-F238E27FC236}">
              <a16:creationId xmlns:a16="http://schemas.microsoft.com/office/drawing/2014/main" id="{00000000-0008-0000-0000-000094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1976469" name="Pict 9" descr="тест">
          <a:extLst>
            <a:ext uri="{FF2B5EF4-FFF2-40B4-BE49-F238E27FC236}">
              <a16:creationId xmlns:a16="http://schemas.microsoft.com/office/drawing/2014/main" id="{00000000-0008-0000-0000-000095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400048</xdr:rowOff>
    </xdr:from>
    <xdr:to>
      <xdr:col>3</xdr:col>
      <xdr:colOff>0</xdr:colOff>
      <xdr:row>7</xdr:row>
      <xdr:rowOff>92073</xdr:rowOff>
    </xdr:to>
    <xdr:sp macro="[0]!Instruction.BlockClick" textlink="">
      <xdr:nvSpPr>
        <xdr:cNvPr id="18" name="InstrBlock_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19075" y="1047748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25400</xdr:colOff>
      <xdr:row>5</xdr:row>
      <xdr:rowOff>38098</xdr:rowOff>
    </xdr:from>
    <xdr:to>
      <xdr:col>1</xdr:col>
      <xdr:colOff>454025</xdr:colOff>
      <xdr:row>7</xdr:row>
      <xdr:rowOff>85723</xdr:rowOff>
    </xdr:to>
    <xdr:pic macro="[0]!Instruction.BlockClick">
      <xdr:nvPicPr>
        <xdr:cNvPr id="1976471" name="InstrImg_1" descr="icon1">
          <a:extLst>
            <a:ext uri="{FF2B5EF4-FFF2-40B4-BE49-F238E27FC236}">
              <a16:creationId xmlns:a16="http://schemas.microsoft.com/office/drawing/2014/main" id="{00000000-0008-0000-0000-000097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1085848"/>
          <a:ext cx="4286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7</xdr:row>
      <xdr:rowOff>130173</xdr:rowOff>
    </xdr:from>
    <xdr:to>
      <xdr:col>1</xdr:col>
      <xdr:colOff>444500</xdr:colOff>
      <xdr:row>10</xdr:row>
      <xdr:rowOff>34923</xdr:rowOff>
    </xdr:to>
    <xdr:pic macro="[0]!Instruction.BlockClick">
      <xdr:nvPicPr>
        <xdr:cNvPr id="1976472" name="InstrImg_2" descr="icon2">
          <a:extLst>
            <a:ext uri="{FF2B5EF4-FFF2-40B4-BE49-F238E27FC236}">
              <a16:creationId xmlns:a16="http://schemas.microsoft.com/office/drawing/2014/main" id="{00000000-0008-0000-0000-000098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1549398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10</xdr:row>
      <xdr:rowOff>79373</xdr:rowOff>
    </xdr:from>
    <xdr:to>
      <xdr:col>1</xdr:col>
      <xdr:colOff>406400</xdr:colOff>
      <xdr:row>12</xdr:row>
      <xdr:rowOff>3173</xdr:rowOff>
    </xdr:to>
    <xdr:pic macro="[0]!Instruction.BlockClick">
      <xdr:nvPicPr>
        <xdr:cNvPr id="1976473" name="InstrImg_3" descr="icon3">
          <a:extLst>
            <a:ext uri="{FF2B5EF4-FFF2-40B4-BE49-F238E27FC236}">
              <a16:creationId xmlns:a16="http://schemas.microsoft.com/office/drawing/2014/main" id="{00000000-0008-0000-0000-000099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012948"/>
          <a:ext cx="381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12</xdr:row>
      <xdr:rowOff>47623</xdr:rowOff>
    </xdr:from>
    <xdr:to>
      <xdr:col>1</xdr:col>
      <xdr:colOff>406400</xdr:colOff>
      <xdr:row>12</xdr:row>
      <xdr:rowOff>466723</xdr:rowOff>
    </xdr:to>
    <xdr:pic macro="[0]!Instruction.BlockClick">
      <xdr:nvPicPr>
        <xdr:cNvPr id="1976474" name="InstrImg_4" descr="icon4">
          <a:extLst>
            <a:ext uri="{FF2B5EF4-FFF2-40B4-BE49-F238E27FC236}">
              <a16:creationId xmlns:a16="http://schemas.microsoft.com/office/drawing/2014/main" id="{00000000-0008-0000-0000-00009A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476498"/>
          <a:ext cx="3810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13</xdr:row>
      <xdr:rowOff>25398</xdr:rowOff>
    </xdr:from>
    <xdr:to>
      <xdr:col>1</xdr:col>
      <xdr:colOff>444500</xdr:colOff>
      <xdr:row>15</xdr:row>
      <xdr:rowOff>63498</xdr:rowOff>
    </xdr:to>
    <xdr:pic macro="[0]!Instruction.BlockClick">
      <xdr:nvPicPr>
        <xdr:cNvPr id="1976475" name="InstrImg_5" descr="icon5">
          <a:extLst>
            <a:ext uri="{FF2B5EF4-FFF2-40B4-BE49-F238E27FC236}">
              <a16:creationId xmlns:a16="http://schemas.microsoft.com/office/drawing/2014/main" id="{00000000-0008-0000-0000-00009B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2940048"/>
          <a:ext cx="419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15</xdr:row>
      <xdr:rowOff>107948</xdr:rowOff>
    </xdr:from>
    <xdr:to>
      <xdr:col>1</xdr:col>
      <xdr:colOff>415925</xdr:colOff>
      <xdr:row>17</xdr:row>
      <xdr:rowOff>146048</xdr:rowOff>
    </xdr:to>
    <xdr:pic macro="[0]!Instruction.BlockClick">
      <xdr:nvPicPr>
        <xdr:cNvPr id="1976476" name="InstrImg_6" descr="icon6">
          <a:extLst>
            <a:ext uri="{FF2B5EF4-FFF2-40B4-BE49-F238E27FC236}">
              <a16:creationId xmlns:a16="http://schemas.microsoft.com/office/drawing/2014/main" id="{00000000-0008-0000-0000-00009C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403598"/>
          <a:ext cx="390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17</xdr:row>
      <xdr:rowOff>175258</xdr:rowOff>
    </xdr:from>
    <xdr:to>
      <xdr:col>1</xdr:col>
      <xdr:colOff>425450</xdr:colOff>
      <xdr:row>18</xdr:row>
      <xdr:rowOff>419098</xdr:rowOff>
    </xdr:to>
    <xdr:pic macro="[0]!Instruction.BlockClick">
      <xdr:nvPicPr>
        <xdr:cNvPr id="1976477" name="InstrImg_7" descr="icon7">
          <a:extLst>
            <a:ext uri="{FF2B5EF4-FFF2-40B4-BE49-F238E27FC236}">
              <a16:creationId xmlns:a16="http://schemas.microsoft.com/office/drawing/2014/main" id="{00000000-0008-0000-0000-00009D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3867148"/>
          <a:ext cx="4000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1976478" name="Pict 9" descr="тест">
          <a:extLst>
            <a:ext uri="{FF2B5EF4-FFF2-40B4-BE49-F238E27FC236}">
              <a16:creationId xmlns:a16="http://schemas.microsoft.com/office/drawing/2014/main" id="{00000000-0008-0000-0000-00009E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67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1976479" name="Pict 9" descr="тест">
          <a:extLst>
            <a:ext uri="{FF2B5EF4-FFF2-40B4-BE49-F238E27FC236}">
              <a16:creationId xmlns:a16="http://schemas.microsoft.com/office/drawing/2014/main" id="{00000000-0008-0000-0000-00009F281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910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25400</xdr:colOff>
      <xdr:row>18</xdr:row>
      <xdr:rowOff>463548</xdr:rowOff>
    </xdr:from>
    <xdr:to>
      <xdr:col>1</xdr:col>
      <xdr:colOff>434975</xdr:colOff>
      <xdr:row>107</xdr:row>
      <xdr:rowOff>158748</xdr:rowOff>
    </xdr:to>
    <xdr:pic macro="[0]!Instruction.BlockClick">
      <xdr:nvPicPr>
        <xdr:cNvPr id="1976480" name="InstrImg_8" descr="icon8.png">
          <a:extLst>
            <a:ext uri="{FF2B5EF4-FFF2-40B4-BE49-F238E27FC236}">
              <a16:creationId xmlns:a16="http://schemas.microsoft.com/office/drawing/2014/main" id="{00000000-0008-0000-0000-0000A0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475" y="4330698"/>
          <a:ext cx="4095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1976481" name="chkGetUpdatesTrue" descr="check_yes.jpg">
          <a:extLst>
            <a:ext uri="{FF2B5EF4-FFF2-40B4-BE49-F238E27FC236}">
              <a16:creationId xmlns:a16="http://schemas.microsoft.com/office/drawing/2014/main" id="{00000000-0008-0000-0000-0000A1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1976482" name="chkNoUpdatesFalse" descr="check_no.png">
          <a:extLst>
            <a:ext uri="{FF2B5EF4-FFF2-40B4-BE49-F238E27FC236}">
              <a16:creationId xmlns:a16="http://schemas.microsoft.com/office/drawing/2014/main" id="{00000000-0008-0000-0000-0000A2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1976483" name="chkNoUpdatesTrue" descr="check_yes.jpg" hidden="1">
          <a:extLst>
            <a:ext uri="{FF2B5EF4-FFF2-40B4-BE49-F238E27FC236}">
              <a16:creationId xmlns:a16="http://schemas.microsoft.com/office/drawing/2014/main" id="{00000000-0008-0000-0000-0000A3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1976484" name="chkGetUpdatesFalse" descr="check_no.png" hidden="1">
          <a:extLst>
            <a:ext uri="{FF2B5EF4-FFF2-40B4-BE49-F238E27FC236}">
              <a16:creationId xmlns:a16="http://schemas.microsoft.com/office/drawing/2014/main" id="{00000000-0008-0000-0000-0000A4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5</xdr:col>
      <xdr:colOff>123825</xdr:colOff>
      <xdr:row>100</xdr:row>
      <xdr:rowOff>38100</xdr:rowOff>
    </xdr:to>
    <xdr:pic macro="[0]!Instruction.cmdGetUpdate_Click">
      <xdr:nvPicPr>
        <xdr:cNvPr id="1976485" name="cmdGetUpdateImg" descr="icon11.png" hidden="1">
          <a:extLst>
            <a:ext uri="{FF2B5EF4-FFF2-40B4-BE49-F238E27FC236}">
              <a16:creationId xmlns:a16="http://schemas.microsoft.com/office/drawing/2014/main" id="{00000000-0008-0000-0000-0000A5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45910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98</xdr:row>
      <xdr:rowOff>0</xdr:rowOff>
    </xdr:from>
    <xdr:to>
      <xdr:col>11</xdr:col>
      <xdr:colOff>123825</xdr:colOff>
      <xdr:row>100</xdr:row>
      <xdr:rowOff>38100</xdr:rowOff>
    </xdr:to>
    <xdr:pic macro="[0]!Instruction.cmdShowHideUpdateLog_Click">
      <xdr:nvPicPr>
        <xdr:cNvPr id="1976486" name="cmdShowHideUpdateLogImg" descr="icon13.png" hidden="1">
          <a:extLst>
            <a:ext uri="{FF2B5EF4-FFF2-40B4-BE49-F238E27FC236}">
              <a16:creationId xmlns:a16="http://schemas.microsoft.com/office/drawing/2014/main" id="{00000000-0008-0000-0000-0000A6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459105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371780</xdr:colOff>
      <xdr:row>2</xdr:row>
      <xdr:rowOff>9392</xdr:rowOff>
    </xdr:from>
    <xdr:to>
      <xdr:col>2</xdr:col>
      <xdr:colOff>1467906</xdr:colOff>
      <xdr:row>2</xdr:row>
      <xdr:rowOff>223955</xdr:rowOff>
    </xdr:to>
    <xdr:sp macro="" textlink="">
      <xdr:nvSpPr>
        <xdr:cNvPr id="35" name="cmdAc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171880" y="352292"/>
          <a:ext cx="1096126" cy="214563"/>
        </a:xfrm>
        <a:prstGeom prst="rect">
          <a:avLst/>
        </a:prstGeom>
        <a:solidFill>
          <a:srgbClr val="CCFFCC"/>
        </a:solidFill>
        <a:ln>
          <a:noFill/>
        </a:ln>
      </xdr:spPr>
      <xdr:txBody>
        <a:bodyPr vertOverflow="clip" wrap="square" lIns="360000" tIns="36000" rIns="36000" bIns="36000" anchor="ctr"/>
        <a:lstStyle/>
        <a:p>
          <a:pPr marL="0" indent="0"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1976488" name="cmdAct_2" descr="icon15.png" hidden="1">
          <a:extLst>
            <a:ext uri="{FF2B5EF4-FFF2-40B4-BE49-F238E27FC236}">
              <a16:creationId xmlns:a16="http://schemas.microsoft.com/office/drawing/2014/main" id="{00000000-0008-0000-0000-0000A8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403860</xdr:colOff>
      <xdr:row>2</xdr:row>
      <xdr:rowOff>9525</xdr:rowOff>
    </xdr:from>
    <xdr:to>
      <xdr:col>4</xdr:col>
      <xdr:colOff>272150</xdr:colOff>
      <xdr:row>2</xdr:row>
      <xdr:rowOff>219075</xdr:rowOff>
    </xdr:to>
    <xdr:sp macro="[0]!Instruction.cmdGetUpdate_Click" textlink="">
      <xdr:nvSpPr>
        <xdr:cNvPr id="37" name="cmdNoAct_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203960" y="352425"/>
          <a:ext cx="1639940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1976490" name="cmdNoAct_2" descr="icon16.png">
          <a:extLst>
            <a:ext uri="{FF2B5EF4-FFF2-40B4-BE49-F238E27FC236}">
              <a16:creationId xmlns:a16="http://schemas.microsoft.com/office/drawing/2014/main" id="{00000000-0008-0000-0000-0000AA28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250916</xdr:colOff>
      <xdr:row>2</xdr:row>
      <xdr:rowOff>3612</xdr:rowOff>
    </xdr:from>
    <xdr:to>
      <xdr:col>4</xdr:col>
      <xdr:colOff>179635</xdr:colOff>
      <xdr:row>2</xdr:row>
      <xdr:rowOff>219612</xdr:rowOff>
    </xdr:to>
    <xdr:sp macro="" textlink="">
      <xdr:nvSpPr>
        <xdr:cNvPr id="39" name="cmdNoInet_1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051016" y="346512"/>
          <a:ext cx="1700369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33236" cy="374141"/>
    <xdr:sp macro="" textlink="">
      <xdr:nvSpPr>
        <xdr:cNvPr id="40" name="cmdNoInet_2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1047750" y="270313"/>
          <a:ext cx="23323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0</xdr:col>
      <xdr:colOff>76200</xdr:colOff>
      <xdr:row>0</xdr:row>
      <xdr:rowOff>68580</xdr:rowOff>
    </xdr:from>
    <xdr:to>
      <xdr:col>25</xdr:col>
      <xdr:colOff>346718</xdr:colOff>
      <xdr:row>109</xdr:row>
      <xdr:rowOff>76200</xdr:rowOff>
    </xdr:to>
    <xdr:sp macro="" textlink="">
      <xdr:nvSpPr>
        <xdr:cNvPr id="42" name="Скругленный прямоугольни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6200" y="68580"/>
          <a:ext cx="9052568" cy="5008245"/>
        </a:xfrm>
        <a:prstGeom prst="roundRect">
          <a:avLst>
            <a:gd name="adj" fmla="val 0"/>
          </a:avLst>
        </a:prstGeom>
        <a:noFill/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 editAs="oneCell">
    <xdr:from>
      <xdr:col>18</xdr:col>
      <xdr:colOff>47625</xdr:colOff>
      <xdr:row>1</xdr:row>
      <xdr:rowOff>47625</xdr:rowOff>
    </xdr:from>
    <xdr:to>
      <xdr:col>25</xdr:col>
      <xdr:colOff>6821</xdr:colOff>
      <xdr:row>2</xdr:row>
      <xdr:rowOff>152400</xdr:rowOff>
    </xdr:to>
    <xdr:sp macro="[0]!Instruction.cmdRegionChange_Click" textlink="">
      <xdr:nvSpPr>
        <xdr:cNvPr id="47" name="cmdRegionChange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762750" y="180975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Перейти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13</xdr:row>
      <xdr:rowOff>9525</xdr:rowOff>
    </xdr:from>
    <xdr:to>
      <xdr:col>4</xdr:col>
      <xdr:colOff>333375</xdr:colOff>
      <xdr:row>13</xdr:row>
      <xdr:rowOff>333375</xdr:rowOff>
    </xdr:to>
    <xdr:pic macro="[0]!SHEET_TITLE.cmdUpdateReestrOrganization_Click">
      <xdr:nvPicPr>
        <xdr:cNvPr id="1964389" name="UPDATE_PLAN1X_DATA" descr="update_org.png">
          <a:extLst>
            <a:ext uri="{FF2B5EF4-FFF2-40B4-BE49-F238E27FC236}">
              <a16:creationId xmlns:a16="http://schemas.microsoft.com/office/drawing/2014/main" id="{00000000-0008-0000-0200-000065F9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45732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36</xdr:row>
      <xdr:rowOff>47625</xdr:rowOff>
    </xdr:from>
    <xdr:to>
      <xdr:col>4</xdr:col>
      <xdr:colOff>333375</xdr:colOff>
      <xdr:row>38</xdr:row>
      <xdr:rowOff>104775</xdr:rowOff>
    </xdr:to>
    <xdr:pic>
      <xdr:nvPicPr>
        <xdr:cNvPr id="1964390" name="PHONE_PIC" descr="update_org.png">
          <a:extLst>
            <a:ext uri="{FF2B5EF4-FFF2-40B4-BE49-F238E27FC236}">
              <a16:creationId xmlns:a16="http://schemas.microsoft.com/office/drawing/2014/main" id="{00000000-0008-0000-0200-000066F9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750570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3</xdr:row>
      <xdr:rowOff>19050</xdr:rowOff>
    </xdr:from>
    <xdr:to>
      <xdr:col>4</xdr:col>
      <xdr:colOff>323850</xdr:colOff>
      <xdr:row>4</xdr:row>
      <xdr:rowOff>190500</xdr:rowOff>
    </xdr:to>
    <xdr:pic macro="[0]!SHEET_TITLE.cmdUpdateValidationIndicators_Click">
      <xdr:nvPicPr>
        <xdr:cNvPr id="1964391" name="UPDATE_RESTRICTIONS_DATA" descr="preload.png">
          <a:extLst>
            <a:ext uri="{FF2B5EF4-FFF2-40B4-BE49-F238E27FC236}">
              <a16:creationId xmlns:a16="http://schemas.microsoft.com/office/drawing/2014/main" id="{00000000-0008-0000-0200-000067F91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1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2</xdr:row>
      <xdr:rowOff>28575</xdr:rowOff>
    </xdr:from>
    <xdr:to>
      <xdr:col>5</xdr:col>
      <xdr:colOff>371475</xdr:colOff>
      <xdr:row>4</xdr:row>
      <xdr:rowOff>104775</xdr:rowOff>
    </xdr:to>
    <xdr:pic macro="[0]!LIST_MO.UPDATE_AREAS_HANDLER">
      <xdr:nvPicPr>
        <xdr:cNvPr id="1959620" name="UPDATE_REESTR_MO" descr="update_mo.png">
          <a:extLst>
            <a:ext uri="{FF2B5EF4-FFF2-40B4-BE49-F238E27FC236}">
              <a16:creationId xmlns:a16="http://schemas.microsoft.com/office/drawing/2014/main" id="{00000000-0008-0000-0400-0000C4E6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</xdr:row>
      <xdr:rowOff>28575</xdr:rowOff>
    </xdr:from>
    <xdr:to>
      <xdr:col>4</xdr:col>
      <xdr:colOff>190500</xdr:colOff>
      <xdr:row>4</xdr:row>
      <xdr:rowOff>104775</xdr:rowOff>
    </xdr:to>
    <xdr:pic macro="[0]!modUIButtons.FREEZE_PANES">
      <xdr:nvPicPr>
        <xdr:cNvPr id="1959621" name="UNFREEZE_PANES" descr="update_org.png" hidden="1">
          <a:extLst>
            <a:ext uri="{FF2B5EF4-FFF2-40B4-BE49-F238E27FC236}">
              <a16:creationId xmlns:a16="http://schemas.microsoft.com/office/drawing/2014/main" id="{00000000-0008-0000-0400-0000C5E6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</xdr:row>
      <xdr:rowOff>28575</xdr:rowOff>
    </xdr:from>
    <xdr:to>
      <xdr:col>4</xdr:col>
      <xdr:colOff>190500</xdr:colOff>
      <xdr:row>4</xdr:row>
      <xdr:rowOff>104775</xdr:rowOff>
    </xdr:to>
    <xdr:pic macro="[0]!modUIButtons.FREEZE_PANES">
      <xdr:nvPicPr>
        <xdr:cNvPr id="1959622" name="FREEZE_PANES" descr="update_org.png">
          <a:extLst>
            <a:ext uri="{FF2B5EF4-FFF2-40B4-BE49-F238E27FC236}">
              <a16:creationId xmlns:a16="http://schemas.microsoft.com/office/drawing/2014/main" id="{00000000-0008-0000-0400-0000C6E6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390525</xdr:colOff>
      <xdr:row>2</xdr:row>
      <xdr:rowOff>28575</xdr:rowOff>
    </xdr:from>
    <xdr:to>
      <xdr:col>6</xdr:col>
      <xdr:colOff>352425</xdr:colOff>
      <xdr:row>4</xdr:row>
      <xdr:rowOff>104775</xdr:rowOff>
    </xdr:to>
    <xdr:pic macro="[0]!LIST_MO.CHECKOUT_PLAN1X_DATA_HANDLER">
      <xdr:nvPicPr>
        <xdr:cNvPr id="1959623" name="CHECKOUT_PLAN1X_DATA" descr="preload.png">
          <a:extLst>
            <a:ext uri="{FF2B5EF4-FFF2-40B4-BE49-F238E27FC236}">
              <a16:creationId xmlns:a16="http://schemas.microsoft.com/office/drawing/2014/main" id="{00000000-0008-0000-0400-0000C7E6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28575</xdr:rowOff>
    </xdr:from>
    <xdr:to>
      <xdr:col>4</xdr:col>
      <xdr:colOff>190500</xdr:colOff>
      <xdr:row>4</xdr:row>
      <xdr:rowOff>104775</xdr:rowOff>
    </xdr:to>
    <xdr:pic macro="[0]!modUIButtons.FREEZE_PANES">
      <xdr:nvPicPr>
        <xdr:cNvPr id="1961298" name="UNFREEZE_PANES" descr="update_org.png">
          <a:extLst>
            <a:ext uri="{FF2B5EF4-FFF2-40B4-BE49-F238E27FC236}">
              <a16:creationId xmlns:a16="http://schemas.microsoft.com/office/drawing/2014/main" id="{00000000-0008-0000-0500-000052ED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</xdr:row>
      <xdr:rowOff>28575</xdr:rowOff>
    </xdr:from>
    <xdr:to>
      <xdr:col>4</xdr:col>
      <xdr:colOff>190500</xdr:colOff>
      <xdr:row>4</xdr:row>
      <xdr:rowOff>104775</xdr:rowOff>
    </xdr:to>
    <xdr:pic macro="[0]!modUIButtons.FREEZE_PANES">
      <xdr:nvPicPr>
        <xdr:cNvPr id="1961299" name="FREEZE_PANES" descr="update_org.png" hidden="1">
          <a:extLst>
            <a:ext uri="{FF2B5EF4-FFF2-40B4-BE49-F238E27FC236}">
              <a16:creationId xmlns:a16="http://schemas.microsoft.com/office/drawing/2014/main" id="{00000000-0008-0000-0500-000053ED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4095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28575</xdr:colOff>
      <xdr:row>2</xdr:row>
      <xdr:rowOff>28575</xdr:rowOff>
    </xdr:from>
    <xdr:to>
      <xdr:col>5</xdr:col>
      <xdr:colOff>104775</xdr:colOff>
      <xdr:row>4</xdr:row>
      <xdr:rowOff>38100</xdr:rowOff>
    </xdr:to>
    <xdr:pic macro="[0]!modUIButtons.FREEZE_PANES">
      <xdr:nvPicPr>
        <xdr:cNvPr id="1947430" name="UNFREEZE_PANES" descr="update_org.png">
          <a:extLst>
            <a:ext uri="{FF2B5EF4-FFF2-40B4-BE49-F238E27FC236}">
              <a16:creationId xmlns:a16="http://schemas.microsoft.com/office/drawing/2014/main" id="{00000000-0008-0000-0600-000026B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</xdr:col>
      <xdr:colOff>28575</xdr:colOff>
      <xdr:row>2</xdr:row>
      <xdr:rowOff>28575</xdr:rowOff>
    </xdr:from>
    <xdr:to>
      <xdr:col>5</xdr:col>
      <xdr:colOff>104775</xdr:colOff>
      <xdr:row>4</xdr:row>
      <xdr:rowOff>38100</xdr:rowOff>
    </xdr:to>
    <xdr:pic macro="[0]!modUIButtons.FREEZE_PANES">
      <xdr:nvPicPr>
        <xdr:cNvPr id="1947431" name="FREEZE_PANES" descr="update_org.png" hidden="1">
          <a:extLst>
            <a:ext uri="{FF2B5EF4-FFF2-40B4-BE49-F238E27FC236}">
              <a16:creationId xmlns:a16="http://schemas.microsoft.com/office/drawing/2014/main" id="{00000000-0008-0000-0600-000027B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2</xdr:row>
      <xdr:rowOff>28575</xdr:rowOff>
    </xdr:from>
    <xdr:to>
      <xdr:col>6</xdr:col>
      <xdr:colOff>9525</xdr:colOff>
      <xdr:row>4</xdr:row>
      <xdr:rowOff>38100</xdr:rowOff>
    </xdr:to>
    <xdr:pic macro="[0]!LIST_CNCSN.cmdUpdateData">
      <xdr:nvPicPr>
        <xdr:cNvPr id="1947432" name="UPDATE_DICTIONARIES" descr="preload.png">
          <a:extLst>
            <a:ext uri="{FF2B5EF4-FFF2-40B4-BE49-F238E27FC236}">
              <a16:creationId xmlns:a16="http://schemas.microsoft.com/office/drawing/2014/main" id="{00000000-0008-0000-0600-000028B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85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28575</xdr:colOff>
      <xdr:row>2</xdr:row>
      <xdr:rowOff>28575</xdr:rowOff>
    </xdr:from>
    <xdr:to>
      <xdr:col>5</xdr:col>
      <xdr:colOff>104775</xdr:colOff>
      <xdr:row>4</xdr:row>
      <xdr:rowOff>38100</xdr:rowOff>
    </xdr:to>
    <xdr:pic macro="[0]!modUIButtons.FREEZE_PANES">
      <xdr:nvPicPr>
        <xdr:cNvPr id="1969380" name="UNFREEZE_PANES" descr="update_org.png">
          <a:extLst>
            <a:ext uri="{FF2B5EF4-FFF2-40B4-BE49-F238E27FC236}">
              <a16:creationId xmlns:a16="http://schemas.microsoft.com/office/drawing/2014/main" id="{00000000-0008-0000-0700-0000E40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4</xdr:col>
      <xdr:colOff>28575</xdr:colOff>
      <xdr:row>2</xdr:row>
      <xdr:rowOff>28575</xdr:rowOff>
    </xdr:from>
    <xdr:to>
      <xdr:col>5</xdr:col>
      <xdr:colOff>104775</xdr:colOff>
      <xdr:row>4</xdr:row>
      <xdr:rowOff>38100</xdr:rowOff>
    </xdr:to>
    <xdr:pic macro="[0]!modUIButtons.FREEZE_PANES">
      <xdr:nvPicPr>
        <xdr:cNvPr id="1969381" name="FREEZE_PANES" descr="update_org.png" hidden="1">
          <a:extLst>
            <a:ext uri="{FF2B5EF4-FFF2-40B4-BE49-F238E27FC236}">
              <a16:creationId xmlns:a16="http://schemas.microsoft.com/office/drawing/2014/main" id="{00000000-0008-0000-0700-0000E50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19050</xdr:rowOff>
    </xdr:from>
    <xdr:to>
      <xdr:col>5</xdr:col>
      <xdr:colOff>9525</xdr:colOff>
      <xdr:row>119</xdr:row>
      <xdr:rowOff>66675</xdr:rowOff>
    </xdr:to>
    <xdr:pic macro="[0]!modUIButtons.FREEZE_PANES">
      <xdr:nvPicPr>
        <xdr:cNvPr id="1917914" name="UNFREEZE_PANES" descr="update_org.png">
          <a:extLst>
            <a:ext uri="{FF2B5EF4-FFF2-40B4-BE49-F238E27FC236}">
              <a16:creationId xmlns:a16="http://schemas.microsoft.com/office/drawing/2014/main" id="{00000000-0008-0000-1200-0000DA43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00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117</xdr:row>
      <xdr:rowOff>19050</xdr:rowOff>
    </xdr:from>
    <xdr:to>
      <xdr:col>5</xdr:col>
      <xdr:colOff>9525</xdr:colOff>
      <xdr:row>119</xdr:row>
      <xdr:rowOff>47625</xdr:rowOff>
    </xdr:to>
    <xdr:pic macro="[0]!modUIButtons.FREEZE_PANES">
      <xdr:nvPicPr>
        <xdr:cNvPr id="1917915" name="FREEZE_PANES" descr="update_org.png" hidden="1">
          <a:extLst>
            <a:ext uri="{FF2B5EF4-FFF2-40B4-BE49-F238E27FC236}">
              <a16:creationId xmlns:a16="http://schemas.microsoft.com/office/drawing/2014/main" id="{00000000-0008-0000-1200-0000DB43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116</xdr:row>
      <xdr:rowOff>19050</xdr:rowOff>
    </xdr:from>
    <xdr:to>
      <xdr:col>5</xdr:col>
      <xdr:colOff>38100</xdr:colOff>
      <xdr:row>118</xdr:row>
      <xdr:rowOff>47625</xdr:rowOff>
    </xdr:to>
    <xdr:pic macro="[0]!modUIButtons.FREEZE_PANES">
      <xdr:nvPicPr>
        <xdr:cNvPr id="1914848" name="UNFREEZE_PANES" descr="update_org.png">
          <a:extLst>
            <a:ext uri="{FF2B5EF4-FFF2-40B4-BE49-F238E27FC236}">
              <a16:creationId xmlns:a16="http://schemas.microsoft.com/office/drawing/2014/main" id="{00000000-0008-0000-1300-0000E03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116</xdr:row>
      <xdr:rowOff>28575</xdr:rowOff>
    </xdr:from>
    <xdr:to>
      <xdr:col>5</xdr:col>
      <xdr:colOff>38100</xdr:colOff>
      <xdr:row>118</xdr:row>
      <xdr:rowOff>47625</xdr:rowOff>
    </xdr:to>
    <xdr:pic macro="[0]!modUIButtons.FREEZE_PANES">
      <xdr:nvPicPr>
        <xdr:cNvPr id="1914849" name="FREEZE_PANES" descr="update_org.png" hidden="1">
          <a:extLst>
            <a:ext uri="{FF2B5EF4-FFF2-40B4-BE49-F238E27FC236}">
              <a16:creationId xmlns:a16="http://schemas.microsoft.com/office/drawing/2014/main" id="{00000000-0008-0000-1300-0000E13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72881" name="TOGGLE_YEAR_ENABLED" descr="update_org.png">
          <a:extLst>
            <a:ext uri="{FF2B5EF4-FFF2-40B4-BE49-F238E27FC236}">
              <a16:creationId xmlns:a16="http://schemas.microsoft.com/office/drawing/2014/main" id="{00000000-0008-0000-1400-000091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72882" name="TOGGLE_YEAR_DISABLED" descr="update_org.png" hidden="1">
          <a:extLst>
            <a:ext uri="{FF2B5EF4-FFF2-40B4-BE49-F238E27FC236}">
              <a16:creationId xmlns:a16="http://schemas.microsoft.com/office/drawing/2014/main" id="{00000000-0008-0000-1400-000092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2883" name="TOGGLE_1HY_ENABLED" descr="update_org.png">
          <a:extLst>
            <a:ext uri="{FF2B5EF4-FFF2-40B4-BE49-F238E27FC236}">
              <a16:creationId xmlns:a16="http://schemas.microsoft.com/office/drawing/2014/main" id="{00000000-0008-0000-1400-000093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2884" name="TOGGLE_1HY_DISABLED" descr="update_org.png" hidden="1">
          <a:extLst>
            <a:ext uri="{FF2B5EF4-FFF2-40B4-BE49-F238E27FC236}">
              <a16:creationId xmlns:a16="http://schemas.microsoft.com/office/drawing/2014/main" id="{00000000-0008-0000-1400-000094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72885" name="TOGGLE_2HY_ENABLED" descr="update_org.png">
          <a:extLst>
            <a:ext uri="{FF2B5EF4-FFF2-40B4-BE49-F238E27FC236}">
              <a16:creationId xmlns:a16="http://schemas.microsoft.com/office/drawing/2014/main" id="{00000000-0008-0000-1400-000095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72886" name="TOGGLE_2HY_DISABLED" descr="update_org.png" hidden="1">
          <a:extLst>
            <a:ext uri="{FF2B5EF4-FFF2-40B4-BE49-F238E27FC236}">
              <a16:creationId xmlns:a16="http://schemas.microsoft.com/office/drawing/2014/main" id="{00000000-0008-0000-1400-000096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180975</xdr:colOff>
      <xdr:row>11</xdr:row>
      <xdr:rowOff>133350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72887" name="PRINTABLE_MODE" descr="update_org.png">
          <a:extLst>
            <a:ext uri="{FF2B5EF4-FFF2-40B4-BE49-F238E27FC236}">
              <a16:creationId xmlns:a16="http://schemas.microsoft.com/office/drawing/2014/main" id="{00000000-0008-0000-1400-0000971A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19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absolute">
    <xdr:from>
      <xdr:col>36</xdr:col>
      <xdr:colOff>57150</xdr:colOff>
      <xdr:row>8</xdr:row>
      <xdr:rowOff>57150</xdr:rowOff>
    </xdr:from>
    <xdr:to>
      <xdr:col>38</xdr:col>
      <xdr:colOff>276225</xdr:colOff>
      <xdr:row>11</xdr:row>
      <xdr:rowOff>0</xdr:rowOff>
    </xdr:to>
    <xdr:pic macro="[0]!modUIButtons.FREEZE_PANES">
      <xdr:nvPicPr>
        <xdr:cNvPr id="1972888" name="FREEZE_PANES" descr="update_org.png" hidden="1">
          <a:extLst>
            <a:ext uri="{FF2B5EF4-FFF2-40B4-BE49-F238E27FC236}">
              <a16:creationId xmlns:a16="http://schemas.microsoft.com/office/drawing/2014/main" id="{00000000-0008-0000-1400-000098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57150</xdr:rowOff>
    </xdr:from>
    <xdr:to>
      <xdr:col>38</xdr:col>
      <xdr:colOff>276225</xdr:colOff>
      <xdr:row>11</xdr:row>
      <xdr:rowOff>0</xdr:rowOff>
    </xdr:to>
    <xdr:pic macro="[0]!modUIButtons.FREEZE_PANES">
      <xdr:nvPicPr>
        <xdr:cNvPr id="1972889" name="UNFREEZE_PANES" descr="update_org.png">
          <a:extLst>
            <a:ext uri="{FF2B5EF4-FFF2-40B4-BE49-F238E27FC236}">
              <a16:creationId xmlns:a16="http://schemas.microsoft.com/office/drawing/2014/main" id="{00000000-0008-0000-1400-0000991A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000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71142" name="TOGGLE_YEAR_ENABLED" descr="update_org.png">
          <a:extLst>
            <a:ext uri="{FF2B5EF4-FFF2-40B4-BE49-F238E27FC236}">
              <a16:creationId xmlns:a16="http://schemas.microsoft.com/office/drawing/2014/main" id="{00000000-0008-0000-1500-0000C6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71143" name="TOGGLE_YEAR_DISABLED" descr="update_org.png" hidden="1">
          <a:extLst>
            <a:ext uri="{FF2B5EF4-FFF2-40B4-BE49-F238E27FC236}">
              <a16:creationId xmlns:a16="http://schemas.microsoft.com/office/drawing/2014/main" id="{00000000-0008-0000-1500-0000C7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1144" name="TOGGLE_1HY_ENABLED" descr="update_org.png">
          <a:extLst>
            <a:ext uri="{FF2B5EF4-FFF2-40B4-BE49-F238E27FC236}">
              <a16:creationId xmlns:a16="http://schemas.microsoft.com/office/drawing/2014/main" id="{00000000-0008-0000-1500-0000C8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1145" name="TOGGLE_1HY_DISABLED" descr="update_org.png" hidden="1">
          <a:extLst>
            <a:ext uri="{FF2B5EF4-FFF2-40B4-BE49-F238E27FC236}">
              <a16:creationId xmlns:a16="http://schemas.microsoft.com/office/drawing/2014/main" id="{00000000-0008-0000-1500-0000C9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71146" name="TOGGLE_2HY_ENABLED" descr="update_org.png">
          <a:extLst>
            <a:ext uri="{FF2B5EF4-FFF2-40B4-BE49-F238E27FC236}">
              <a16:creationId xmlns:a16="http://schemas.microsoft.com/office/drawing/2014/main" id="{00000000-0008-0000-1500-0000CA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71147" name="TOGGLE_2HY_DISABLED" descr="update_org.png" hidden="1">
          <a:extLst>
            <a:ext uri="{FF2B5EF4-FFF2-40B4-BE49-F238E27FC236}">
              <a16:creationId xmlns:a16="http://schemas.microsoft.com/office/drawing/2014/main" id="{00000000-0008-0000-1500-0000CB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57150</xdr:rowOff>
    </xdr:from>
    <xdr:to>
      <xdr:col>38</xdr:col>
      <xdr:colOff>276225</xdr:colOff>
      <xdr:row>10</xdr:row>
      <xdr:rowOff>142875</xdr:rowOff>
    </xdr:to>
    <xdr:pic macro="[0]!modUIButtons.FREEZE_PANES">
      <xdr:nvPicPr>
        <xdr:cNvPr id="1971148" name="UNFREEZE_PANES" descr="update_org.png">
          <a:extLst>
            <a:ext uri="{FF2B5EF4-FFF2-40B4-BE49-F238E27FC236}">
              <a16:creationId xmlns:a16="http://schemas.microsoft.com/office/drawing/2014/main" id="{00000000-0008-0000-1500-0000CC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57150</xdr:rowOff>
    </xdr:from>
    <xdr:to>
      <xdr:col>38</xdr:col>
      <xdr:colOff>276225</xdr:colOff>
      <xdr:row>10</xdr:row>
      <xdr:rowOff>142875</xdr:rowOff>
    </xdr:to>
    <xdr:pic macro="[0]!modUIButtons.FREEZE_PANES">
      <xdr:nvPicPr>
        <xdr:cNvPr id="1971149" name="FREEZE_PANES" descr="update_org.png" hidden="1">
          <a:extLst>
            <a:ext uri="{FF2B5EF4-FFF2-40B4-BE49-F238E27FC236}">
              <a16:creationId xmlns:a16="http://schemas.microsoft.com/office/drawing/2014/main" id="{00000000-0008-0000-1500-0000CD13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37</xdr:col>
      <xdr:colOff>180975</xdr:colOff>
      <xdr:row>11</xdr:row>
      <xdr:rowOff>142875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71150" name="PRINTABLE_MODE" descr="update_org.png">
          <a:extLst>
            <a:ext uri="{FF2B5EF4-FFF2-40B4-BE49-F238E27FC236}">
              <a16:creationId xmlns:a16="http://schemas.microsoft.com/office/drawing/2014/main" id="{00000000-0008-0000-1500-0000CE13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00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47625</xdr:rowOff>
    </xdr:to>
    <xdr:pic macro="[0]!modUIButtons.FREEZE_PANES">
      <xdr:nvPicPr>
        <xdr:cNvPr id="1918938" name="UNFREEZE_PANES" descr="update_org.png">
          <a:extLst>
            <a:ext uri="{FF2B5EF4-FFF2-40B4-BE49-F238E27FC236}">
              <a16:creationId xmlns:a16="http://schemas.microsoft.com/office/drawing/2014/main" id="{00000000-0008-0000-1600-0000DA4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38100</xdr:rowOff>
    </xdr:to>
    <xdr:pic macro="[0]!modUIButtons.FREEZE_PANES">
      <xdr:nvPicPr>
        <xdr:cNvPr id="1918939" name="FREEZE_PANES" descr="update_org.png" hidden="1">
          <a:extLst>
            <a:ext uri="{FF2B5EF4-FFF2-40B4-BE49-F238E27FC236}">
              <a16:creationId xmlns:a16="http://schemas.microsoft.com/office/drawing/2014/main" id="{00000000-0008-0000-1600-0000DB47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47625</xdr:rowOff>
    </xdr:to>
    <xdr:pic macro="[0]!modUIButtons.FREEZE_PANES">
      <xdr:nvPicPr>
        <xdr:cNvPr id="1916891" name="FREEZE_PANES" descr="update_org.png" hidden="1">
          <a:extLst>
            <a:ext uri="{FF2B5EF4-FFF2-40B4-BE49-F238E27FC236}">
              <a16:creationId xmlns:a16="http://schemas.microsoft.com/office/drawing/2014/main" id="{00000000-0008-0000-1700-0000DB3F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57150</xdr:rowOff>
    </xdr:to>
    <xdr:pic macro="[0]!modUIButtons.FREEZE_PANES">
      <xdr:nvPicPr>
        <xdr:cNvPr id="1916892" name="UNFREEZE_PANES" descr="update_org.png">
          <a:extLst>
            <a:ext uri="{FF2B5EF4-FFF2-40B4-BE49-F238E27FC236}">
              <a16:creationId xmlns:a16="http://schemas.microsoft.com/office/drawing/2014/main" id="{00000000-0008-0000-1700-0000DC3F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77353" name="TOGGLE_YEAR_ENABLED" descr="update_org.png">
          <a:extLst>
            <a:ext uri="{FF2B5EF4-FFF2-40B4-BE49-F238E27FC236}">
              <a16:creationId xmlns:a16="http://schemas.microsoft.com/office/drawing/2014/main" id="{00000000-0008-0000-1800-000009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77354" name="TOGGLE_YEAR_DISABLED" descr="update_org.png" hidden="1">
          <a:extLst>
            <a:ext uri="{FF2B5EF4-FFF2-40B4-BE49-F238E27FC236}">
              <a16:creationId xmlns:a16="http://schemas.microsoft.com/office/drawing/2014/main" id="{00000000-0008-0000-1800-00000A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7355" name="TOGGLE_1HY_ENABLED" descr="update_org.png">
          <a:extLst>
            <a:ext uri="{FF2B5EF4-FFF2-40B4-BE49-F238E27FC236}">
              <a16:creationId xmlns:a16="http://schemas.microsoft.com/office/drawing/2014/main" id="{00000000-0008-0000-1800-00000B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7356" name="TOGGLE_1HY_DISABLED" descr="update_org.png" hidden="1">
          <a:extLst>
            <a:ext uri="{FF2B5EF4-FFF2-40B4-BE49-F238E27FC236}">
              <a16:creationId xmlns:a16="http://schemas.microsoft.com/office/drawing/2014/main" id="{00000000-0008-0000-1800-00000C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77357" name="TOGGLE_2HY_ENABLED" descr="update_org.png">
          <a:extLst>
            <a:ext uri="{FF2B5EF4-FFF2-40B4-BE49-F238E27FC236}">
              <a16:creationId xmlns:a16="http://schemas.microsoft.com/office/drawing/2014/main" id="{00000000-0008-0000-1800-00000D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77358" name="TOGGLE_2HY_DISABLED" descr="update_org.png" hidden="1">
          <a:extLst>
            <a:ext uri="{FF2B5EF4-FFF2-40B4-BE49-F238E27FC236}">
              <a16:creationId xmlns:a16="http://schemas.microsoft.com/office/drawing/2014/main" id="{00000000-0008-0000-1800-00000E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77359" name="UNFREEZE_PANES" descr="update_org.png">
          <a:extLst>
            <a:ext uri="{FF2B5EF4-FFF2-40B4-BE49-F238E27FC236}">
              <a16:creationId xmlns:a16="http://schemas.microsoft.com/office/drawing/2014/main" id="{00000000-0008-0000-1800-00000F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77360" name="FREEZE_PANES" descr="update_org.png" hidden="1">
          <a:extLst>
            <a:ext uri="{FF2B5EF4-FFF2-40B4-BE49-F238E27FC236}">
              <a16:creationId xmlns:a16="http://schemas.microsoft.com/office/drawing/2014/main" id="{00000000-0008-0000-1800-0000102C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0</xdr:colOff>
      <xdr:row>11</xdr:row>
      <xdr:rowOff>142875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77361" name="PRINTABLE_MODE" descr="update_org.png">
          <a:extLst>
            <a:ext uri="{FF2B5EF4-FFF2-40B4-BE49-F238E27FC236}">
              <a16:creationId xmlns:a16="http://schemas.microsoft.com/office/drawing/2014/main" id="{00000000-0008-0000-1800-0000112C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00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69143" name="TOGGLE_YEAR_ENABLED" descr="update_org.png">
          <a:extLst>
            <a:ext uri="{FF2B5EF4-FFF2-40B4-BE49-F238E27FC236}">
              <a16:creationId xmlns:a16="http://schemas.microsoft.com/office/drawing/2014/main" id="{00000000-0008-0000-1900-0000F7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69144" name="TOGGLE_YEAR_DISABLED" descr="update_org.png" hidden="1">
          <a:extLst>
            <a:ext uri="{FF2B5EF4-FFF2-40B4-BE49-F238E27FC236}">
              <a16:creationId xmlns:a16="http://schemas.microsoft.com/office/drawing/2014/main" id="{00000000-0008-0000-1900-0000F8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69145" name="TOGGLE_1HY_ENABLED" descr="update_org.png">
          <a:extLst>
            <a:ext uri="{FF2B5EF4-FFF2-40B4-BE49-F238E27FC236}">
              <a16:creationId xmlns:a16="http://schemas.microsoft.com/office/drawing/2014/main" id="{00000000-0008-0000-1900-0000F9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69146" name="TOGGLE_1HY_DISABLED" descr="update_org.png" hidden="1">
          <a:extLst>
            <a:ext uri="{FF2B5EF4-FFF2-40B4-BE49-F238E27FC236}">
              <a16:creationId xmlns:a16="http://schemas.microsoft.com/office/drawing/2014/main" id="{00000000-0008-0000-1900-0000FA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69147" name="TOGGLE_2HY_ENABLED" descr="update_org.png">
          <a:extLst>
            <a:ext uri="{FF2B5EF4-FFF2-40B4-BE49-F238E27FC236}">
              <a16:creationId xmlns:a16="http://schemas.microsoft.com/office/drawing/2014/main" id="{00000000-0008-0000-1900-0000FB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69148" name="TOGGLE_2HY_DISABLED" descr="update_org.png" hidden="1">
          <a:extLst>
            <a:ext uri="{FF2B5EF4-FFF2-40B4-BE49-F238E27FC236}">
              <a16:creationId xmlns:a16="http://schemas.microsoft.com/office/drawing/2014/main" id="{00000000-0008-0000-1900-0000FC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69149" name="UNFREEZE_PANES" descr="update_org.png">
          <a:extLst>
            <a:ext uri="{FF2B5EF4-FFF2-40B4-BE49-F238E27FC236}">
              <a16:creationId xmlns:a16="http://schemas.microsoft.com/office/drawing/2014/main" id="{00000000-0008-0000-1900-0000FD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69150" name="FREEZE_PANES" descr="update_org.png" hidden="1">
          <a:extLst>
            <a:ext uri="{FF2B5EF4-FFF2-40B4-BE49-F238E27FC236}">
              <a16:creationId xmlns:a16="http://schemas.microsoft.com/office/drawing/2014/main" id="{00000000-0008-0000-1900-0000FE0B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0</xdr:colOff>
      <xdr:row>11</xdr:row>
      <xdr:rowOff>142875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69151" name="PRINTABLE_MODE" descr="update_org.png">
          <a:extLst>
            <a:ext uri="{FF2B5EF4-FFF2-40B4-BE49-F238E27FC236}">
              <a16:creationId xmlns:a16="http://schemas.microsoft.com/office/drawing/2014/main" id="{00000000-0008-0000-1900-0000FF0B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00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47625</xdr:rowOff>
    </xdr:to>
    <xdr:pic macro="[0]!modUIButtons.FREEZE_PANES">
      <xdr:nvPicPr>
        <xdr:cNvPr id="1919962" name="FREEZE_PANES" descr="update_org.png" hidden="1">
          <a:extLst>
            <a:ext uri="{FF2B5EF4-FFF2-40B4-BE49-F238E27FC236}">
              <a16:creationId xmlns:a16="http://schemas.microsoft.com/office/drawing/2014/main" id="{00000000-0008-0000-1A00-0000DA4B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57150</xdr:rowOff>
    </xdr:to>
    <xdr:pic macro="[0]!modUIButtons.FREEZE_PANES">
      <xdr:nvPicPr>
        <xdr:cNvPr id="1919963" name="UNFREEZE_PANES" descr="update_org.png">
          <a:extLst>
            <a:ext uri="{FF2B5EF4-FFF2-40B4-BE49-F238E27FC236}">
              <a16:creationId xmlns:a16="http://schemas.microsoft.com/office/drawing/2014/main" id="{00000000-0008-0000-1A00-0000DB4B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38100</xdr:rowOff>
    </xdr:to>
    <xdr:pic macro="[0]!modUIButtons.FREEZE_PANES">
      <xdr:nvPicPr>
        <xdr:cNvPr id="1920986" name="FREEZE_PANES" descr="update_org.png" hidden="1">
          <a:extLst>
            <a:ext uri="{FF2B5EF4-FFF2-40B4-BE49-F238E27FC236}">
              <a16:creationId xmlns:a16="http://schemas.microsoft.com/office/drawing/2014/main" id="{00000000-0008-0000-1B00-0000DA4F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117</xdr:row>
      <xdr:rowOff>19050</xdr:rowOff>
    </xdr:from>
    <xdr:to>
      <xdr:col>5</xdr:col>
      <xdr:colOff>28575</xdr:colOff>
      <xdr:row>119</xdr:row>
      <xdr:rowOff>47625</xdr:rowOff>
    </xdr:to>
    <xdr:pic macro="[0]!modUIButtons.FREEZE_PANES">
      <xdr:nvPicPr>
        <xdr:cNvPr id="1920987" name="UNFREEZE_PANES" descr="update_org.png">
          <a:extLst>
            <a:ext uri="{FF2B5EF4-FFF2-40B4-BE49-F238E27FC236}">
              <a16:creationId xmlns:a16="http://schemas.microsoft.com/office/drawing/2014/main" id="{00000000-0008-0000-1B00-0000DB4F1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4000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68122" name="TOGGLE_YEAR_ENABLED" descr="update_org.png">
          <a:extLst>
            <a:ext uri="{FF2B5EF4-FFF2-40B4-BE49-F238E27FC236}">
              <a16:creationId xmlns:a16="http://schemas.microsoft.com/office/drawing/2014/main" id="{00000000-0008-0000-1C00-0000FA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68123" name="TOGGLE_YEAR_DISABLED" descr="update_org.png" hidden="1">
          <a:extLst>
            <a:ext uri="{FF2B5EF4-FFF2-40B4-BE49-F238E27FC236}">
              <a16:creationId xmlns:a16="http://schemas.microsoft.com/office/drawing/2014/main" id="{00000000-0008-0000-1C00-0000FB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68124" name="TOGGLE_1HY_ENABLED" descr="update_org.png">
          <a:extLst>
            <a:ext uri="{FF2B5EF4-FFF2-40B4-BE49-F238E27FC236}">
              <a16:creationId xmlns:a16="http://schemas.microsoft.com/office/drawing/2014/main" id="{00000000-0008-0000-1C00-0000FC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68125" name="TOGGLE_1HY_DISABLED" descr="update_org.png" hidden="1">
          <a:extLst>
            <a:ext uri="{FF2B5EF4-FFF2-40B4-BE49-F238E27FC236}">
              <a16:creationId xmlns:a16="http://schemas.microsoft.com/office/drawing/2014/main" id="{00000000-0008-0000-1C00-0000FD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68126" name="TOGGLE_2HY_ENABLED" descr="update_org.png">
          <a:extLst>
            <a:ext uri="{FF2B5EF4-FFF2-40B4-BE49-F238E27FC236}">
              <a16:creationId xmlns:a16="http://schemas.microsoft.com/office/drawing/2014/main" id="{00000000-0008-0000-1C00-0000FE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68127" name="TOGGLE_2HY_DISABLED" descr="update_org.png" hidden="1">
          <a:extLst>
            <a:ext uri="{FF2B5EF4-FFF2-40B4-BE49-F238E27FC236}">
              <a16:creationId xmlns:a16="http://schemas.microsoft.com/office/drawing/2014/main" id="{00000000-0008-0000-1C00-0000FF07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83488" name="UNFREEZE_PANES" descr="update_org.png">
          <a:extLst>
            <a:ext uri="{FF2B5EF4-FFF2-40B4-BE49-F238E27FC236}">
              <a16:creationId xmlns:a16="http://schemas.microsoft.com/office/drawing/2014/main" id="{00000000-0008-0000-1C00-00000044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83489" name="FREEZE_PANES" descr="update_org.png" hidden="1">
          <a:extLst>
            <a:ext uri="{FF2B5EF4-FFF2-40B4-BE49-F238E27FC236}">
              <a16:creationId xmlns:a16="http://schemas.microsoft.com/office/drawing/2014/main" id="{00000000-0008-0000-1C00-00000144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0</xdr:colOff>
      <xdr:row>11</xdr:row>
      <xdr:rowOff>142875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83490" name="PRINTABLE_MODE" descr="update_org.png">
          <a:extLst>
            <a:ext uri="{FF2B5EF4-FFF2-40B4-BE49-F238E27FC236}">
              <a16:creationId xmlns:a16="http://schemas.microsoft.com/office/drawing/2014/main" id="{00000000-0008-0000-1C00-00000244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00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1333500</xdr:colOff>
      <xdr:row>8</xdr:row>
      <xdr:rowOff>57150</xdr:rowOff>
    </xdr:from>
    <xdr:to>
      <xdr:col>39</xdr:col>
      <xdr:colOff>1733550</xdr:colOff>
      <xdr:row>10</xdr:row>
      <xdr:rowOff>142875</xdr:rowOff>
    </xdr:to>
    <xdr:pic macro="[0]!modUIButtons.TOGGLE_YEAR">
      <xdr:nvPicPr>
        <xdr:cNvPr id="1973831" name="TOGGLE_YEAR_ENABLED" descr="update_org.png">
          <a:extLst>
            <a:ext uri="{FF2B5EF4-FFF2-40B4-BE49-F238E27FC236}">
              <a16:creationId xmlns:a16="http://schemas.microsoft.com/office/drawing/2014/main" id="{00000000-0008-0000-1D00-000047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1343025</xdr:colOff>
      <xdr:row>8</xdr:row>
      <xdr:rowOff>57150</xdr:rowOff>
    </xdr:from>
    <xdr:to>
      <xdr:col>39</xdr:col>
      <xdr:colOff>1743075</xdr:colOff>
      <xdr:row>10</xdr:row>
      <xdr:rowOff>142875</xdr:rowOff>
    </xdr:to>
    <xdr:pic macro="[0]!modUIButtons.TOGGLE_YEAR">
      <xdr:nvPicPr>
        <xdr:cNvPr id="1973832" name="TOGGLE_YEAR_DISABLED" descr="update_org.png" hidden="1">
          <a:extLst>
            <a:ext uri="{FF2B5EF4-FFF2-40B4-BE49-F238E27FC236}">
              <a16:creationId xmlns:a16="http://schemas.microsoft.com/office/drawing/2014/main" id="{00000000-0008-0000-1D00-000048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3833" name="TOGGLE_1HY_ENABLED" descr="update_org.png">
          <a:extLst>
            <a:ext uri="{FF2B5EF4-FFF2-40B4-BE49-F238E27FC236}">
              <a16:creationId xmlns:a16="http://schemas.microsoft.com/office/drawing/2014/main" id="{00000000-0008-0000-1D00-000049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1790700</xdr:colOff>
      <xdr:row>8</xdr:row>
      <xdr:rowOff>57150</xdr:rowOff>
    </xdr:from>
    <xdr:to>
      <xdr:col>39</xdr:col>
      <xdr:colOff>2190750</xdr:colOff>
      <xdr:row>10</xdr:row>
      <xdr:rowOff>142875</xdr:rowOff>
    </xdr:to>
    <xdr:pic macro="[0]!modUIButtons.TOGGLE_1HY">
      <xdr:nvPicPr>
        <xdr:cNvPr id="1973834" name="TOGGLE_1HY_DISABLED" descr="update_org.png" hidden="1">
          <a:extLst>
            <a:ext uri="{FF2B5EF4-FFF2-40B4-BE49-F238E27FC236}">
              <a16:creationId xmlns:a16="http://schemas.microsoft.com/office/drawing/2014/main" id="{00000000-0008-0000-1D00-00004A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2247900</xdr:colOff>
      <xdr:row>8</xdr:row>
      <xdr:rowOff>57150</xdr:rowOff>
    </xdr:from>
    <xdr:to>
      <xdr:col>39</xdr:col>
      <xdr:colOff>2647950</xdr:colOff>
      <xdr:row>10</xdr:row>
      <xdr:rowOff>142875</xdr:rowOff>
    </xdr:to>
    <xdr:pic macro="[0]!modUIButtons.TOGGLE_2HY">
      <xdr:nvPicPr>
        <xdr:cNvPr id="1973835" name="TOGGLE_2HY_ENABLED" descr="update_org.png">
          <a:extLst>
            <a:ext uri="{FF2B5EF4-FFF2-40B4-BE49-F238E27FC236}">
              <a16:creationId xmlns:a16="http://schemas.microsoft.com/office/drawing/2014/main" id="{00000000-0008-0000-1D00-00004B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39</xdr:col>
      <xdr:colOff>2238375</xdr:colOff>
      <xdr:row>8</xdr:row>
      <xdr:rowOff>57150</xdr:rowOff>
    </xdr:from>
    <xdr:to>
      <xdr:col>39</xdr:col>
      <xdr:colOff>2638425</xdr:colOff>
      <xdr:row>10</xdr:row>
      <xdr:rowOff>142875</xdr:rowOff>
    </xdr:to>
    <xdr:pic macro="[0]!modUIButtons.TOGGLE_2HY">
      <xdr:nvPicPr>
        <xdr:cNvPr id="1973836" name="TOGGLE_2HY_DISABLED" descr="update_org.png" hidden="1">
          <a:extLst>
            <a:ext uri="{FF2B5EF4-FFF2-40B4-BE49-F238E27FC236}">
              <a16:creationId xmlns:a16="http://schemas.microsoft.com/office/drawing/2014/main" id="{00000000-0008-0000-1D00-00004C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715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73837" name="UNFREEZE_PANES" descr="update_org.png">
          <a:extLst>
            <a:ext uri="{FF2B5EF4-FFF2-40B4-BE49-F238E27FC236}">
              <a16:creationId xmlns:a16="http://schemas.microsoft.com/office/drawing/2014/main" id="{00000000-0008-0000-1D00-00004D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36</xdr:col>
      <xdr:colOff>57150</xdr:colOff>
      <xdr:row>8</xdr:row>
      <xdr:rowOff>38100</xdr:rowOff>
    </xdr:from>
    <xdr:to>
      <xdr:col>38</xdr:col>
      <xdr:colOff>276225</xdr:colOff>
      <xdr:row>10</xdr:row>
      <xdr:rowOff>123825</xdr:rowOff>
    </xdr:to>
    <xdr:pic macro="[0]!modUIButtons.FREEZE_PANES">
      <xdr:nvPicPr>
        <xdr:cNvPr id="1973838" name="FREEZE_PANES" descr="update_org.png" hidden="1">
          <a:extLst>
            <a:ext uri="{FF2B5EF4-FFF2-40B4-BE49-F238E27FC236}">
              <a16:creationId xmlns:a16="http://schemas.microsoft.com/office/drawing/2014/main" id="{00000000-0008-0000-1D00-00004E1E1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400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38</xdr:col>
      <xdr:colOff>0</xdr:colOff>
      <xdr:row>11</xdr:row>
      <xdr:rowOff>142875</xdr:rowOff>
    </xdr:from>
    <xdr:to>
      <xdr:col>38</xdr:col>
      <xdr:colOff>371475</xdr:colOff>
      <xdr:row>13</xdr:row>
      <xdr:rowOff>0</xdr:rowOff>
    </xdr:to>
    <xdr:pic macro="[0]!modGeneralAPI.PRINTABLE_MODE_TRIGGER">
      <xdr:nvPicPr>
        <xdr:cNvPr id="1973839" name="PRINTABLE_MODE" descr="update_org.png">
          <a:extLst>
            <a:ext uri="{FF2B5EF4-FFF2-40B4-BE49-F238E27FC236}">
              <a16:creationId xmlns:a16="http://schemas.microsoft.com/office/drawing/2014/main" id="{00000000-0008-0000-1D00-00004F1E1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0075"/>
          <a:ext cx="3714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ias.ru/files/shablon/manual_loading_through_monitoring.pdf" TargetMode="External"/><Relationship Id="rId1" Type="http://schemas.openxmlformats.org/officeDocument/2006/relationships/hyperlink" Target="http://eias.ru/files/shablon/manual_loading_through_monitoring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4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6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7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8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9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10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1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C108"/>
  <sheetViews>
    <sheetView showGridLines="0" zoomScaleNormal="100" workbookViewId="0"/>
  </sheetViews>
  <sheetFormatPr defaultColWidth="9.125" defaultRowHeight="13.8"/>
  <cols>
    <col min="1" max="1" width="3.25" style="89" customWidth="1"/>
    <col min="2" max="2" width="8.75" style="89" customWidth="1"/>
    <col min="3" max="3" width="22.25" style="89" customWidth="1"/>
    <col min="4" max="4" width="4.25" style="89" customWidth="1"/>
    <col min="5" max="6" width="4.375" style="89" customWidth="1"/>
    <col min="7" max="7" width="4.625" style="89" customWidth="1"/>
    <col min="8" max="24" width="4.375" style="89" customWidth="1"/>
    <col min="25" max="25" width="4.375" style="90" customWidth="1"/>
    <col min="26" max="26" width="9.125" style="89"/>
    <col min="27" max="27" width="9.125" style="91"/>
    <col min="28" max="16384" width="9.125" style="89"/>
  </cols>
  <sheetData>
    <row r="1" spans="1:29" ht="10.5" customHeight="1">
      <c r="A1"/>
      <c r="AA1" s="91" t="s">
        <v>238</v>
      </c>
    </row>
    <row r="2" spans="1:29" ht="16.5" customHeight="1">
      <c r="B2" s="781" t="str">
        <f>"Код отчёта: " &amp; GetCode()</f>
        <v>Код отчёта: CALC.WARM.MULTI.2.52</v>
      </c>
      <c r="C2" s="781"/>
      <c r="D2" s="781"/>
      <c r="E2" s="781"/>
      <c r="F2" s="781"/>
      <c r="G2" s="781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3"/>
      <c r="W2" s="92"/>
      <c r="X2" s="92"/>
    </row>
    <row r="3" spans="1:29" ht="18" customHeight="1">
      <c r="B3" s="782" t="str">
        <f>"Версия " &amp; GetVersion()</f>
        <v>Версия 5.3.2</v>
      </c>
      <c r="C3" s="782"/>
      <c r="D3" s="94"/>
      <c r="E3" s="94"/>
      <c r="F3" s="94"/>
      <c r="G3" s="94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2"/>
      <c r="T3" s="92"/>
      <c r="U3" s="92"/>
      <c r="V3" s="93"/>
      <c r="W3" s="93"/>
      <c r="X3" s="93"/>
      <c r="Y3" s="93"/>
    </row>
    <row r="4" spans="1:29" ht="6" customHeight="1">
      <c r="B4" s="95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</row>
    <row r="5" spans="1:29" ht="31.95" customHeight="1">
      <c r="A5" s="96"/>
      <c r="B5" s="783" t="str">
        <f>"Показатели организаций коммунального комплекса за " &amp; PERIOD &amp; " год (факт)"</f>
        <v>Показатели организаций коммунального комплекса за 2024 год (факт)</v>
      </c>
      <c r="C5" s="784"/>
      <c r="D5" s="784"/>
      <c r="E5" s="784"/>
      <c r="F5" s="784"/>
      <c r="G5" s="784"/>
      <c r="H5" s="784"/>
      <c r="I5" s="784"/>
      <c r="J5" s="784"/>
      <c r="K5" s="784"/>
      <c r="L5" s="784"/>
      <c r="M5" s="784"/>
      <c r="N5" s="784"/>
      <c r="O5" s="784"/>
      <c r="P5" s="784"/>
      <c r="Q5" s="784"/>
      <c r="R5" s="784"/>
      <c r="S5" s="784"/>
      <c r="T5" s="784"/>
      <c r="U5" s="784"/>
      <c r="V5" s="784"/>
      <c r="W5" s="784"/>
      <c r="X5" s="784"/>
      <c r="Y5" s="785"/>
      <c r="Z5" s="96"/>
      <c r="AB5" s="96"/>
      <c r="AC5" s="96"/>
    </row>
    <row r="6" spans="1:29" ht="11.4" customHeight="1">
      <c r="A6" s="97"/>
      <c r="B6" s="98"/>
      <c r="C6" s="99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100"/>
    </row>
    <row r="7" spans="1:29" ht="18" customHeight="1">
      <c r="A7" s="97"/>
      <c r="B7" s="97"/>
      <c r="C7" s="101"/>
      <c r="D7" s="98"/>
      <c r="E7" s="786" t="s">
        <v>2480</v>
      </c>
      <c r="F7" s="786"/>
      <c r="G7" s="786"/>
      <c r="H7" s="786"/>
      <c r="I7" s="786"/>
      <c r="J7" s="786"/>
      <c r="K7" s="786"/>
      <c r="L7" s="786"/>
      <c r="M7" s="786"/>
      <c r="N7" s="786"/>
      <c r="O7" s="786"/>
      <c r="P7" s="786"/>
      <c r="Q7" s="786"/>
      <c r="R7" s="786"/>
      <c r="S7" s="786"/>
      <c r="T7" s="786"/>
      <c r="U7" s="786"/>
      <c r="V7" s="786"/>
      <c r="W7" s="786"/>
      <c r="X7" s="786"/>
      <c r="Y7" s="100"/>
    </row>
    <row r="8" spans="1:29" ht="15" customHeight="1">
      <c r="A8" s="97"/>
      <c r="B8" s="97"/>
      <c r="C8" s="101"/>
      <c r="D8" s="98"/>
      <c r="E8" s="786"/>
      <c r="F8" s="786"/>
      <c r="G8" s="786"/>
      <c r="H8" s="786"/>
      <c r="I8" s="786"/>
      <c r="J8" s="786"/>
      <c r="K8" s="786"/>
      <c r="L8" s="786"/>
      <c r="M8" s="786"/>
      <c r="N8" s="786"/>
      <c r="O8" s="786"/>
      <c r="P8" s="786"/>
      <c r="Q8" s="786"/>
      <c r="R8" s="786"/>
      <c r="S8" s="786"/>
      <c r="T8" s="786"/>
      <c r="U8" s="786"/>
      <c r="V8" s="786"/>
      <c r="W8" s="786"/>
      <c r="X8" s="786"/>
      <c r="Y8" s="100"/>
    </row>
    <row r="9" spans="1:29" ht="15" customHeight="1">
      <c r="A9" s="97"/>
      <c r="B9" s="97"/>
      <c r="C9" s="101"/>
      <c r="D9" s="98"/>
      <c r="E9" s="786"/>
      <c r="F9" s="786"/>
      <c r="G9" s="786"/>
      <c r="H9" s="786"/>
      <c r="I9" s="786"/>
      <c r="J9" s="786"/>
      <c r="K9" s="786"/>
      <c r="L9" s="786"/>
      <c r="M9" s="786"/>
      <c r="N9" s="786"/>
      <c r="O9" s="786"/>
      <c r="P9" s="786"/>
      <c r="Q9" s="786"/>
      <c r="R9" s="786"/>
      <c r="S9" s="786"/>
      <c r="T9" s="786"/>
      <c r="U9" s="786"/>
      <c r="V9" s="786"/>
      <c r="W9" s="786"/>
      <c r="X9" s="786"/>
      <c r="Y9" s="100"/>
    </row>
    <row r="10" spans="1:29" ht="10.5" customHeight="1">
      <c r="A10" s="97"/>
      <c r="B10" s="97"/>
      <c r="C10" s="101"/>
      <c r="D10" s="98"/>
      <c r="E10" s="786"/>
      <c r="F10" s="786"/>
      <c r="G10" s="786"/>
      <c r="H10" s="786"/>
      <c r="I10" s="786"/>
      <c r="J10" s="786"/>
      <c r="K10" s="786"/>
      <c r="L10" s="786"/>
      <c r="M10" s="786"/>
      <c r="N10" s="786"/>
      <c r="O10" s="786"/>
      <c r="P10" s="786"/>
      <c r="Q10" s="786"/>
      <c r="R10" s="786"/>
      <c r="S10" s="786"/>
      <c r="T10" s="786"/>
      <c r="U10" s="786"/>
      <c r="V10" s="786"/>
      <c r="W10" s="786"/>
      <c r="X10" s="786"/>
      <c r="Y10" s="100"/>
    </row>
    <row r="11" spans="1:29" ht="27" customHeight="1">
      <c r="A11" s="97"/>
      <c r="B11" s="97"/>
      <c r="C11" s="101"/>
      <c r="D11" s="98"/>
      <c r="E11" s="786"/>
      <c r="F11" s="786"/>
      <c r="G11" s="786"/>
      <c r="H11" s="786"/>
      <c r="I11" s="786"/>
      <c r="J11" s="786"/>
      <c r="K11" s="786"/>
      <c r="L11" s="786"/>
      <c r="M11" s="786"/>
      <c r="N11" s="786"/>
      <c r="O11" s="786"/>
      <c r="P11" s="786"/>
      <c r="Q11" s="786"/>
      <c r="R11" s="786"/>
      <c r="S11" s="786"/>
      <c r="T11" s="786"/>
      <c r="U11" s="786"/>
      <c r="V11" s="786"/>
      <c r="W11" s="786"/>
      <c r="X11" s="786"/>
      <c r="Y11" s="100"/>
    </row>
    <row r="12" spans="1:29" ht="12" customHeight="1">
      <c r="A12" s="97"/>
      <c r="B12" s="97"/>
      <c r="C12" s="101"/>
      <c r="D12" s="98"/>
      <c r="E12" s="786"/>
      <c r="F12" s="786"/>
      <c r="G12" s="786"/>
      <c r="H12" s="786"/>
      <c r="I12" s="786"/>
      <c r="J12" s="786"/>
      <c r="K12" s="786"/>
      <c r="L12" s="786"/>
      <c r="M12" s="786"/>
      <c r="N12" s="786"/>
      <c r="O12" s="786"/>
      <c r="P12" s="786"/>
      <c r="Q12" s="786"/>
      <c r="R12" s="786"/>
      <c r="S12" s="786"/>
      <c r="T12" s="786"/>
      <c r="U12" s="786"/>
      <c r="V12" s="786"/>
      <c r="W12" s="786"/>
      <c r="X12" s="786"/>
      <c r="Y12" s="100"/>
    </row>
    <row r="13" spans="1:29" ht="38.25" customHeight="1">
      <c r="A13" s="97"/>
      <c r="B13" s="97"/>
      <c r="C13" s="101"/>
      <c r="D13" s="98"/>
      <c r="E13" s="786"/>
      <c r="F13" s="786"/>
      <c r="G13" s="786"/>
      <c r="H13" s="786"/>
      <c r="I13" s="786"/>
      <c r="J13" s="786"/>
      <c r="K13" s="786"/>
      <c r="L13" s="786"/>
      <c r="M13" s="786"/>
      <c r="N13" s="786"/>
      <c r="O13" s="786"/>
      <c r="P13" s="786"/>
      <c r="Q13" s="786"/>
      <c r="R13" s="786"/>
      <c r="S13" s="786"/>
      <c r="T13" s="786"/>
      <c r="U13" s="786"/>
      <c r="V13" s="786"/>
      <c r="W13" s="786"/>
      <c r="X13" s="786"/>
      <c r="Y13" s="102"/>
    </row>
    <row r="14" spans="1:29" ht="15" customHeight="1">
      <c r="A14" s="97"/>
      <c r="B14" s="97"/>
      <c r="C14" s="101"/>
      <c r="D14" s="98"/>
      <c r="E14" s="786"/>
      <c r="F14" s="786"/>
      <c r="G14" s="786"/>
      <c r="H14" s="786"/>
      <c r="I14" s="786"/>
      <c r="J14" s="786"/>
      <c r="K14" s="786"/>
      <c r="L14" s="786"/>
      <c r="M14" s="786"/>
      <c r="N14" s="786"/>
      <c r="O14" s="786"/>
      <c r="P14" s="786"/>
      <c r="Q14" s="786"/>
      <c r="R14" s="786"/>
      <c r="S14" s="786"/>
      <c r="T14" s="786"/>
      <c r="U14" s="786"/>
      <c r="V14" s="786"/>
      <c r="W14" s="786"/>
      <c r="X14" s="786"/>
      <c r="Y14" s="100"/>
    </row>
    <row r="15" spans="1:29">
      <c r="A15" s="97"/>
      <c r="B15" s="97"/>
      <c r="C15" s="101"/>
      <c r="D15" s="98"/>
      <c r="E15" s="786"/>
      <c r="F15" s="786"/>
      <c r="G15" s="786"/>
      <c r="H15" s="786"/>
      <c r="I15" s="786"/>
      <c r="J15" s="786"/>
      <c r="K15" s="786"/>
      <c r="L15" s="786"/>
      <c r="M15" s="786"/>
      <c r="N15" s="786"/>
      <c r="O15" s="786"/>
      <c r="P15" s="786"/>
      <c r="Q15" s="786"/>
      <c r="R15" s="786"/>
      <c r="S15" s="786"/>
      <c r="T15" s="786"/>
      <c r="U15" s="786"/>
      <c r="V15" s="786"/>
      <c r="W15" s="786"/>
      <c r="X15" s="786"/>
      <c r="Y15" s="100"/>
    </row>
    <row r="16" spans="1:29">
      <c r="A16" s="97"/>
      <c r="B16" s="97"/>
      <c r="C16" s="101"/>
      <c r="D16" s="98"/>
      <c r="E16" s="786"/>
      <c r="F16" s="786"/>
      <c r="G16" s="786"/>
      <c r="H16" s="786"/>
      <c r="I16" s="786"/>
      <c r="J16" s="786"/>
      <c r="K16" s="786"/>
      <c r="L16" s="786"/>
      <c r="M16" s="786"/>
      <c r="N16" s="786"/>
      <c r="O16" s="786"/>
      <c r="P16" s="786"/>
      <c r="Q16" s="786"/>
      <c r="R16" s="786"/>
      <c r="S16" s="786"/>
      <c r="T16" s="786"/>
      <c r="U16" s="786"/>
      <c r="V16" s="786"/>
      <c r="W16" s="786"/>
      <c r="X16" s="786"/>
      <c r="Y16" s="100"/>
    </row>
    <row r="17" spans="1:25" ht="15" customHeight="1">
      <c r="A17" s="97"/>
      <c r="B17" s="97"/>
      <c r="C17" s="101"/>
      <c r="D17" s="98"/>
      <c r="E17" s="786"/>
      <c r="F17" s="786"/>
      <c r="G17" s="786"/>
      <c r="H17" s="786"/>
      <c r="I17" s="786"/>
      <c r="J17" s="786"/>
      <c r="K17" s="786"/>
      <c r="L17" s="786"/>
      <c r="M17" s="786"/>
      <c r="N17" s="786"/>
      <c r="O17" s="786"/>
      <c r="P17" s="786"/>
      <c r="Q17" s="786"/>
      <c r="R17" s="786"/>
      <c r="S17" s="786"/>
      <c r="T17" s="786"/>
      <c r="U17" s="786"/>
      <c r="V17" s="786"/>
      <c r="W17" s="786"/>
      <c r="X17" s="786"/>
      <c r="Y17" s="100"/>
    </row>
    <row r="18" spans="1:25">
      <c r="A18" s="97"/>
      <c r="B18" s="97"/>
      <c r="C18" s="101"/>
      <c r="D18" s="98"/>
      <c r="E18" s="786"/>
      <c r="F18" s="786"/>
      <c r="G18" s="786"/>
      <c r="H18" s="786"/>
      <c r="I18" s="786"/>
      <c r="J18" s="786"/>
      <c r="K18" s="786"/>
      <c r="L18" s="786"/>
      <c r="M18" s="786"/>
      <c r="N18" s="786"/>
      <c r="O18" s="786"/>
      <c r="P18" s="786"/>
      <c r="Q18" s="786"/>
      <c r="R18" s="786"/>
      <c r="S18" s="786"/>
      <c r="T18" s="786"/>
      <c r="U18" s="786"/>
      <c r="V18" s="786"/>
      <c r="W18" s="786"/>
      <c r="X18" s="786"/>
      <c r="Y18" s="100"/>
    </row>
    <row r="19" spans="1:25" ht="57" customHeight="1">
      <c r="A19" s="97"/>
      <c r="B19" s="97"/>
      <c r="C19" s="101"/>
      <c r="D19" s="101"/>
      <c r="E19" s="786"/>
      <c r="F19" s="786"/>
      <c r="G19" s="786"/>
      <c r="H19" s="786"/>
      <c r="I19" s="786"/>
      <c r="J19" s="786"/>
      <c r="K19" s="786"/>
      <c r="L19" s="786"/>
      <c r="M19" s="786"/>
      <c r="N19" s="786"/>
      <c r="O19" s="786"/>
      <c r="P19" s="786"/>
      <c r="Q19" s="786"/>
      <c r="R19" s="786"/>
      <c r="S19" s="786"/>
      <c r="T19" s="786"/>
      <c r="U19" s="786"/>
      <c r="V19" s="786"/>
      <c r="W19" s="786"/>
      <c r="X19" s="786"/>
      <c r="Y19" s="100"/>
    </row>
    <row r="20" spans="1:25" hidden="1">
      <c r="A20" s="97"/>
      <c r="B20" s="97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0"/>
    </row>
    <row r="21" spans="1:25" ht="14.25" hidden="1" customHeight="1">
      <c r="A21" s="97"/>
      <c r="B21" s="97"/>
      <c r="C21" s="101"/>
      <c r="D21" s="98"/>
      <c r="E21" s="103" t="s">
        <v>702</v>
      </c>
      <c r="F21" s="787" t="s">
        <v>120</v>
      </c>
      <c r="G21" s="788"/>
      <c r="H21" s="788"/>
      <c r="I21" s="788"/>
      <c r="J21" s="788"/>
      <c r="K21" s="788"/>
      <c r="L21" s="788"/>
      <c r="M21" s="788"/>
      <c r="N21" s="98"/>
      <c r="O21" s="104" t="s">
        <v>702</v>
      </c>
      <c r="P21" s="789" t="s">
        <v>634</v>
      </c>
      <c r="Q21" s="790"/>
      <c r="R21" s="790"/>
      <c r="S21" s="790"/>
      <c r="T21" s="790"/>
      <c r="U21" s="790"/>
      <c r="V21" s="790"/>
      <c r="W21" s="790"/>
      <c r="X21" s="790"/>
      <c r="Y21" s="100"/>
    </row>
    <row r="22" spans="1:25" ht="14.4" hidden="1" customHeight="1">
      <c r="A22" s="97"/>
      <c r="B22" s="97"/>
      <c r="C22" s="101"/>
      <c r="D22" s="98"/>
      <c r="E22" s="105" t="s">
        <v>702</v>
      </c>
      <c r="F22" s="787" t="s">
        <v>635</v>
      </c>
      <c r="G22" s="788"/>
      <c r="H22" s="788"/>
      <c r="I22" s="788"/>
      <c r="J22" s="788"/>
      <c r="K22" s="788"/>
      <c r="L22" s="788"/>
      <c r="M22" s="788"/>
      <c r="N22" s="98"/>
      <c r="O22" s="106" t="s">
        <v>702</v>
      </c>
      <c r="P22" s="789" t="s">
        <v>239</v>
      </c>
      <c r="Q22" s="790"/>
      <c r="R22" s="790"/>
      <c r="S22" s="790"/>
      <c r="T22" s="790"/>
      <c r="U22" s="790"/>
      <c r="V22" s="790"/>
      <c r="W22" s="790"/>
      <c r="X22" s="790"/>
      <c r="Y22" s="100"/>
    </row>
    <row r="23" spans="1:25" ht="27" hidden="1" customHeight="1">
      <c r="A23" s="97"/>
      <c r="B23" s="97"/>
      <c r="C23" s="101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100"/>
    </row>
    <row r="24" spans="1:25" ht="10.5" hidden="1" customHeight="1">
      <c r="A24" s="97"/>
      <c r="B24" s="97"/>
      <c r="C24" s="101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100"/>
    </row>
    <row r="25" spans="1:25" ht="27" hidden="1" customHeight="1">
      <c r="A25" s="97"/>
      <c r="B25" s="97"/>
      <c r="C25" s="101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100"/>
    </row>
    <row r="26" spans="1:25" ht="12" hidden="1" customHeight="1">
      <c r="A26" s="97"/>
      <c r="B26" s="97"/>
      <c r="C26" s="101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100"/>
    </row>
    <row r="27" spans="1:25" ht="31.5" hidden="1" customHeight="1">
      <c r="A27" s="97"/>
      <c r="B27" s="97"/>
      <c r="C27" s="101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100"/>
    </row>
    <row r="28" spans="1:25" hidden="1">
      <c r="A28" s="97"/>
      <c r="B28" s="97"/>
      <c r="C28" s="101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100"/>
    </row>
    <row r="29" spans="1:25" hidden="1">
      <c r="A29" s="97"/>
      <c r="B29" s="97"/>
      <c r="C29" s="101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100"/>
    </row>
    <row r="30" spans="1:25" hidden="1">
      <c r="A30" s="97"/>
      <c r="B30" s="97"/>
      <c r="C30" s="101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100"/>
    </row>
    <row r="31" spans="1:25" hidden="1">
      <c r="A31" s="97"/>
      <c r="B31" s="97"/>
      <c r="C31" s="101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100"/>
    </row>
    <row r="32" spans="1:25" hidden="1">
      <c r="A32" s="97"/>
      <c r="B32" s="97"/>
      <c r="C32" s="101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100"/>
    </row>
    <row r="33" spans="1:25" ht="26.4" hidden="1" customHeight="1">
      <c r="A33" s="97"/>
      <c r="B33" s="97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0"/>
    </row>
    <row r="34" spans="1:25" hidden="1">
      <c r="A34" s="97"/>
      <c r="B34" s="97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0"/>
    </row>
    <row r="35" spans="1:25" ht="24" hidden="1" customHeight="1">
      <c r="A35" s="97"/>
      <c r="B35" s="97"/>
      <c r="C35" s="101"/>
      <c r="D35" s="98"/>
      <c r="E35" s="794" t="s">
        <v>769</v>
      </c>
      <c r="F35" s="794"/>
      <c r="G35" s="794"/>
      <c r="H35" s="794"/>
      <c r="I35" s="794"/>
      <c r="J35" s="794"/>
      <c r="K35" s="794"/>
      <c r="L35" s="794"/>
      <c r="M35" s="794"/>
      <c r="N35" s="794"/>
      <c r="O35" s="794"/>
      <c r="P35" s="794"/>
      <c r="Q35" s="794"/>
      <c r="R35" s="794"/>
      <c r="S35" s="794"/>
      <c r="T35" s="794"/>
      <c r="U35" s="794"/>
      <c r="V35" s="794"/>
      <c r="W35" s="794"/>
      <c r="X35" s="794"/>
      <c r="Y35" s="100"/>
    </row>
    <row r="36" spans="1:25" ht="38.25" hidden="1" customHeight="1">
      <c r="A36" s="97"/>
      <c r="B36" s="97"/>
      <c r="C36" s="101"/>
      <c r="D36" s="98"/>
      <c r="E36" s="794"/>
      <c r="F36" s="794"/>
      <c r="G36" s="794"/>
      <c r="H36" s="794"/>
      <c r="I36" s="794"/>
      <c r="J36" s="794"/>
      <c r="K36" s="794"/>
      <c r="L36" s="794"/>
      <c r="M36" s="794"/>
      <c r="N36" s="794"/>
      <c r="O36" s="794"/>
      <c r="P36" s="794"/>
      <c r="Q36" s="794"/>
      <c r="R36" s="794"/>
      <c r="S36" s="794"/>
      <c r="T36" s="794"/>
      <c r="U36" s="794"/>
      <c r="V36" s="794"/>
      <c r="W36" s="794"/>
      <c r="X36" s="794"/>
      <c r="Y36" s="100"/>
    </row>
    <row r="37" spans="1:25" ht="9.75" hidden="1" customHeight="1">
      <c r="A37" s="97"/>
      <c r="B37" s="97"/>
      <c r="C37" s="101"/>
      <c r="D37" s="98"/>
      <c r="E37" s="794"/>
      <c r="F37" s="794"/>
      <c r="G37" s="794"/>
      <c r="H37" s="794"/>
      <c r="I37" s="794"/>
      <c r="J37" s="794"/>
      <c r="K37" s="794"/>
      <c r="L37" s="794"/>
      <c r="M37" s="794"/>
      <c r="N37" s="794"/>
      <c r="O37" s="794"/>
      <c r="P37" s="794"/>
      <c r="Q37" s="794"/>
      <c r="R37" s="794"/>
      <c r="S37" s="794"/>
      <c r="T37" s="794"/>
      <c r="U37" s="794"/>
      <c r="V37" s="794"/>
      <c r="W37" s="794"/>
      <c r="X37" s="794"/>
      <c r="Y37" s="100"/>
    </row>
    <row r="38" spans="1:25" ht="51" hidden="1" customHeight="1">
      <c r="A38" s="97"/>
      <c r="B38" s="97"/>
      <c r="C38" s="101"/>
      <c r="D38" s="98"/>
      <c r="E38" s="794"/>
      <c r="F38" s="794"/>
      <c r="G38" s="794"/>
      <c r="H38" s="794"/>
      <c r="I38" s="794"/>
      <c r="J38" s="794"/>
      <c r="K38" s="794"/>
      <c r="L38" s="794"/>
      <c r="M38" s="794"/>
      <c r="N38" s="794"/>
      <c r="O38" s="794"/>
      <c r="P38" s="794"/>
      <c r="Q38" s="794"/>
      <c r="R38" s="794"/>
      <c r="S38" s="794"/>
      <c r="T38" s="794"/>
      <c r="U38" s="794"/>
      <c r="V38" s="794"/>
      <c r="W38" s="794"/>
      <c r="X38" s="794"/>
      <c r="Y38" s="100"/>
    </row>
    <row r="39" spans="1:25" ht="15" hidden="1" customHeight="1">
      <c r="A39" s="97"/>
      <c r="B39" s="97"/>
      <c r="C39" s="101"/>
      <c r="D39" s="98"/>
      <c r="E39" s="794"/>
      <c r="F39" s="794"/>
      <c r="G39" s="794"/>
      <c r="H39" s="794"/>
      <c r="I39" s="794"/>
      <c r="J39" s="794"/>
      <c r="K39" s="794"/>
      <c r="L39" s="794"/>
      <c r="M39" s="794"/>
      <c r="N39" s="794"/>
      <c r="O39" s="794"/>
      <c r="P39" s="794"/>
      <c r="Q39" s="794"/>
      <c r="R39" s="794"/>
      <c r="S39" s="794"/>
      <c r="T39" s="794"/>
      <c r="U39" s="794"/>
      <c r="V39" s="794"/>
      <c r="W39" s="794"/>
      <c r="X39" s="794"/>
      <c r="Y39" s="100"/>
    </row>
    <row r="40" spans="1:25" ht="12" hidden="1" customHeight="1">
      <c r="A40" s="97"/>
      <c r="B40" s="97"/>
      <c r="C40" s="101"/>
      <c r="D40" s="98"/>
      <c r="E40" s="404"/>
      <c r="F40" s="404"/>
      <c r="G40" s="404"/>
      <c r="H40" s="404"/>
      <c r="I40" s="404"/>
      <c r="J40" s="404"/>
      <c r="K40" s="404"/>
      <c r="L40" s="404"/>
      <c r="M40" s="404"/>
      <c r="N40" s="404"/>
      <c r="O40" s="404"/>
      <c r="P40" s="404"/>
      <c r="Q40" s="404"/>
      <c r="R40" s="404"/>
      <c r="S40" s="404"/>
      <c r="T40" s="404"/>
      <c r="U40" s="404"/>
      <c r="V40" s="404"/>
      <c r="W40" s="404"/>
      <c r="X40" s="404"/>
      <c r="Y40" s="100"/>
    </row>
    <row r="41" spans="1:25" ht="36.75" hidden="1" customHeight="1">
      <c r="A41" s="97"/>
      <c r="B41" s="97"/>
      <c r="C41" s="101"/>
      <c r="D41" s="98"/>
      <c r="E41" s="767" t="s">
        <v>773</v>
      </c>
      <c r="F41" s="767"/>
      <c r="G41" s="767"/>
      <c r="H41" s="767"/>
      <c r="I41" s="767"/>
      <c r="J41" s="767"/>
      <c r="K41" s="767"/>
      <c r="L41" s="767"/>
      <c r="M41" s="767"/>
      <c r="N41" s="767"/>
      <c r="O41" s="767"/>
      <c r="P41" s="767"/>
      <c r="Q41" s="767"/>
      <c r="R41" s="791" t="s">
        <v>2176</v>
      </c>
      <c r="S41" s="792"/>
      <c r="T41" s="792"/>
      <c r="U41" s="792"/>
      <c r="V41" s="792"/>
      <c r="W41" s="792"/>
      <c r="X41" s="792"/>
      <c r="Y41" s="793"/>
    </row>
    <row r="42" spans="1:25" hidden="1">
      <c r="A42" s="97"/>
      <c r="B42" s="97"/>
      <c r="C42" s="101"/>
      <c r="D42" s="98"/>
      <c r="E42" s="403"/>
      <c r="F42" s="403"/>
      <c r="G42" s="403"/>
      <c r="H42" s="403"/>
      <c r="I42" s="403"/>
      <c r="J42" s="403"/>
      <c r="K42" s="403"/>
      <c r="L42" s="403"/>
      <c r="M42" s="403"/>
      <c r="N42" s="403"/>
      <c r="O42" s="403"/>
      <c r="P42" s="403"/>
      <c r="Q42" s="403"/>
      <c r="R42" s="403"/>
      <c r="S42" s="403"/>
      <c r="T42" s="403"/>
      <c r="U42" s="403"/>
      <c r="V42" s="403"/>
      <c r="W42" s="403"/>
      <c r="X42" s="403"/>
      <c r="Y42" s="100"/>
    </row>
    <row r="43" spans="1:25" hidden="1">
      <c r="A43" s="97"/>
      <c r="B43" s="97"/>
      <c r="C43" s="101"/>
      <c r="D43" s="98"/>
      <c r="E43" s="403"/>
      <c r="F43" s="403"/>
      <c r="G43" s="403"/>
      <c r="H43" s="403"/>
      <c r="I43" s="403"/>
      <c r="J43" s="403"/>
      <c r="K43" s="403"/>
      <c r="L43" s="403"/>
      <c r="M43" s="403"/>
      <c r="N43" s="403"/>
      <c r="O43" s="403"/>
      <c r="P43" s="403"/>
      <c r="Q43" s="403"/>
      <c r="R43" s="403"/>
      <c r="S43" s="403"/>
      <c r="T43" s="403"/>
      <c r="U43" s="403"/>
      <c r="V43" s="403"/>
      <c r="W43" s="403"/>
      <c r="X43" s="403"/>
      <c r="Y43" s="100"/>
    </row>
    <row r="44" spans="1:25" ht="36.6" hidden="1" customHeight="1">
      <c r="A44" s="97"/>
      <c r="B44" s="97"/>
      <c r="C44" s="101"/>
      <c r="D44" s="101"/>
      <c r="E44" s="403"/>
      <c r="F44" s="403"/>
      <c r="G44" s="403"/>
      <c r="H44" s="403"/>
      <c r="I44" s="403"/>
      <c r="J44" s="403"/>
      <c r="K44" s="403"/>
      <c r="L44" s="403"/>
      <c r="M44" s="403"/>
      <c r="N44" s="403"/>
      <c r="O44" s="403"/>
      <c r="P44" s="403"/>
      <c r="Q44" s="403"/>
      <c r="R44" s="403"/>
      <c r="S44" s="403"/>
      <c r="T44" s="403"/>
      <c r="U44" s="403"/>
      <c r="V44" s="403"/>
      <c r="W44" s="403"/>
      <c r="X44" s="403"/>
      <c r="Y44" s="100"/>
    </row>
    <row r="45" spans="1:25" hidden="1">
      <c r="A45" s="97"/>
      <c r="B45" s="97"/>
      <c r="C45" s="101"/>
      <c r="D45" s="101"/>
      <c r="E45" s="403"/>
      <c r="F45" s="403"/>
      <c r="G45" s="403"/>
      <c r="H45" s="403"/>
      <c r="I45" s="403"/>
      <c r="J45" s="403"/>
      <c r="K45" s="403"/>
      <c r="L45" s="403"/>
      <c r="M45" s="403"/>
      <c r="N45" s="403"/>
      <c r="O45" s="403"/>
      <c r="P45" s="403"/>
      <c r="Q45" s="403"/>
      <c r="R45" s="403"/>
      <c r="S45" s="403"/>
      <c r="T45" s="403"/>
      <c r="U45" s="403"/>
      <c r="V45" s="403"/>
      <c r="W45" s="403"/>
      <c r="X45" s="403"/>
      <c r="Y45" s="100"/>
    </row>
    <row r="46" spans="1:25" ht="24" hidden="1" customHeight="1">
      <c r="A46" s="97"/>
      <c r="B46" s="97"/>
      <c r="C46" s="101"/>
      <c r="D46" s="98"/>
      <c r="E46" s="786" t="s">
        <v>408</v>
      </c>
      <c r="F46" s="786"/>
      <c r="G46" s="786"/>
      <c r="H46" s="786"/>
      <c r="I46" s="786"/>
      <c r="J46" s="786"/>
      <c r="K46" s="786"/>
      <c r="L46" s="786"/>
      <c r="M46" s="786"/>
      <c r="N46" s="786"/>
      <c r="O46" s="786"/>
      <c r="P46" s="786"/>
      <c r="Q46" s="786"/>
      <c r="R46" s="786"/>
      <c r="S46" s="786"/>
      <c r="T46" s="786"/>
      <c r="U46" s="786"/>
      <c r="V46" s="786"/>
      <c r="W46" s="786"/>
      <c r="X46" s="786"/>
      <c r="Y46" s="100"/>
    </row>
    <row r="47" spans="1:25" ht="37.5" hidden="1" customHeight="1">
      <c r="A47" s="97"/>
      <c r="B47" s="97"/>
      <c r="C47" s="101"/>
      <c r="D47" s="98"/>
      <c r="E47" s="786"/>
      <c r="F47" s="786"/>
      <c r="G47" s="786"/>
      <c r="H47" s="786"/>
      <c r="I47" s="786"/>
      <c r="J47" s="786"/>
      <c r="K47" s="786"/>
      <c r="L47" s="786"/>
      <c r="M47" s="786"/>
      <c r="N47" s="786"/>
      <c r="O47" s="786"/>
      <c r="P47" s="786"/>
      <c r="Q47" s="786"/>
      <c r="R47" s="786"/>
      <c r="S47" s="786"/>
      <c r="T47" s="786"/>
      <c r="U47" s="786"/>
      <c r="V47" s="786"/>
      <c r="W47" s="786"/>
      <c r="X47" s="786"/>
      <c r="Y47" s="100"/>
    </row>
    <row r="48" spans="1:25" ht="24" hidden="1" customHeight="1">
      <c r="A48" s="97"/>
      <c r="B48" s="97"/>
      <c r="C48" s="101"/>
      <c r="D48" s="98"/>
      <c r="E48" s="786"/>
      <c r="F48" s="786"/>
      <c r="G48" s="786"/>
      <c r="H48" s="786"/>
      <c r="I48" s="786"/>
      <c r="J48" s="786"/>
      <c r="K48" s="786"/>
      <c r="L48" s="786"/>
      <c r="M48" s="786"/>
      <c r="N48" s="786"/>
      <c r="O48" s="786"/>
      <c r="P48" s="786"/>
      <c r="Q48" s="786"/>
      <c r="R48" s="786"/>
      <c r="S48" s="786"/>
      <c r="T48" s="786"/>
      <c r="U48" s="786"/>
      <c r="V48" s="786"/>
      <c r="W48" s="786"/>
      <c r="X48" s="786"/>
      <c r="Y48" s="100"/>
    </row>
    <row r="49" spans="1:25" ht="51" hidden="1" customHeight="1">
      <c r="A49" s="97"/>
      <c r="B49" s="97"/>
      <c r="C49" s="101"/>
      <c r="D49" s="98"/>
      <c r="E49" s="786"/>
      <c r="F49" s="786"/>
      <c r="G49" s="786"/>
      <c r="H49" s="786"/>
      <c r="I49" s="786"/>
      <c r="J49" s="786"/>
      <c r="K49" s="786"/>
      <c r="L49" s="786"/>
      <c r="M49" s="786"/>
      <c r="N49" s="786"/>
      <c r="O49" s="786"/>
      <c r="P49" s="786"/>
      <c r="Q49" s="786"/>
      <c r="R49" s="786"/>
      <c r="S49" s="786"/>
      <c r="T49" s="786"/>
      <c r="U49" s="786"/>
      <c r="V49" s="786"/>
      <c r="W49" s="786"/>
      <c r="X49" s="786"/>
      <c r="Y49" s="100"/>
    </row>
    <row r="50" spans="1:25" hidden="1">
      <c r="A50" s="97"/>
      <c r="B50" s="97"/>
      <c r="C50" s="101"/>
      <c r="D50" s="98"/>
      <c r="E50" s="786"/>
      <c r="F50" s="786"/>
      <c r="G50" s="786"/>
      <c r="H50" s="786"/>
      <c r="I50" s="786"/>
      <c r="J50" s="786"/>
      <c r="K50" s="786"/>
      <c r="L50" s="786"/>
      <c r="M50" s="786"/>
      <c r="N50" s="786"/>
      <c r="O50" s="786"/>
      <c r="P50" s="786"/>
      <c r="Q50" s="786"/>
      <c r="R50" s="786"/>
      <c r="S50" s="786"/>
      <c r="T50" s="786"/>
      <c r="U50" s="786"/>
      <c r="V50" s="786"/>
      <c r="W50" s="786"/>
      <c r="X50" s="786"/>
      <c r="Y50" s="100"/>
    </row>
    <row r="51" spans="1:25" hidden="1">
      <c r="A51" s="97"/>
      <c r="B51" s="97"/>
      <c r="C51" s="101"/>
      <c r="D51" s="98"/>
      <c r="E51" s="786"/>
      <c r="F51" s="786"/>
      <c r="G51" s="786"/>
      <c r="H51" s="786"/>
      <c r="I51" s="786"/>
      <c r="J51" s="786"/>
      <c r="K51" s="786"/>
      <c r="L51" s="786"/>
      <c r="M51" s="786"/>
      <c r="N51" s="786"/>
      <c r="O51" s="786"/>
      <c r="P51" s="786"/>
      <c r="Q51" s="786"/>
      <c r="R51" s="786"/>
      <c r="S51" s="786"/>
      <c r="T51" s="786"/>
      <c r="U51" s="786"/>
      <c r="V51" s="786"/>
      <c r="W51" s="786"/>
      <c r="X51" s="786"/>
      <c r="Y51" s="100"/>
    </row>
    <row r="52" spans="1:25" hidden="1">
      <c r="A52" s="97"/>
      <c r="B52" s="97"/>
      <c r="C52" s="101"/>
      <c r="D52" s="98"/>
      <c r="E52" s="786"/>
      <c r="F52" s="786"/>
      <c r="G52" s="786"/>
      <c r="H52" s="786"/>
      <c r="I52" s="786"/>
      <c r="J52" s="786"/>
      <c r="K52" s="786"/>
      <c r="L52" s="786"/>
      <c r="M52" s="786"/>
      <c r="N52" s="786"/>
      <c r="O52" s="786"/>
      <c r="P52" s="786"/>
      <c r="Q52" s="786"/>
      <c r="R52" s="786"/>
      <c r="S52" s="786"/>
      <c r="T52" s="786"/>
      <c r="U52" s="786"/>
      <c r="V52" s="786"/>
      <c r="W52" s="786"/>
      <c r="X52" s="786"/>
      <c r="Y52" s="100"/>
    </row>
    <row r="53" spans="1:25" hidden="1">
      <c r="A53" s="97"/>
      <c r="B53" s="97"/>
      <c r="C53" s="101"/>
      <c r="D53" s="98"/>
      <c r="E53" s="786"/>
      <c r="F53" s="786"/>
      <c r="G53" s="786"/>
      <c r="H53" s="786"/>
      <c r="I53" s="786"/>
      <c r="J53" s="786"/>
      <c r="K53" s="786"/>
      <c r="L53" s="786"/>
      <c r="M53" s="786"/>
      <c r="N53" s="786"/>
      <c r="O53" s="786"/>
      <c r="P53" s="786"/>
      <c r="Q53" s="786"/>
      <c r="R53" s="786"/>
      <c r="S53" s="786"/>
      <c r="T53" s="786"/>
      <c r="U53" s="786"/>
      <c r="V53" s="786"/>
      <c r="W53" s="786"/>
      <c r="X53" s="786"/>
      <c r="Y53" s="100"/>
    </row>
    <row r="54" spans="1:25" hidden="1">
      <c r="A54" s="97"/>
      <c r="B54" s="97"/>
      <c r="C54" s="101"/>
      <c r="D54" s="98"/>
      <c r="E54" s="786"/>
      <c r="F54" s="786"/>
      <c r="G54" s="786"/>
      <c r="H54" s="786"/>
      <c r="I54" s="786"/>
      <c r="J54" s="786"/>
      <c r="K54" s="786"/>
      <c r="L54" s="786"/>
      <c r="M54" s="786"/>
      <c r="N54" s="786"/>
      <c r="O54" s="786"/>
      <c r="P54" s="786"/>
      <c r="Q54" s="786"/>
      <c r="R54" s="786"/>
      <c r="S54" s="786"/>
      <c r="T54" s="786"/>
      <c r="U54" s="786"/>
      <c r="V54" s="786"/>
      <c r="W54" s="786"/>
      <c r="X54" s="786"/>
      <c r="Y54" s="100"/>
    </row>
    <row r="55" spans="1:25" hidden="1">
      <c r="A55" s="97"/>
      <c r="B55" s="97"/>
      <c r="C55" s="101"/>
      <c r="D55" s="98"/>
      <c r="E55" s="786"/>
      <c r="F55" s="786"/>
      <c r="G55" s="786"/>
      <c r="H55" s="786"/>
      <c r="I55" s="786"/>
      <c r="J55" s="786"/>
      <c r="K55" s="786"/>
      <c r="L55" s="786"/>
      <c r="M55" s="786"/>
      <c r="N55" s="786"/>
      <c r="O55" s="786"/>
      <c r="P55" s="786"/>
      <c r="Q55" s="786"/>
      <c r="R55" s="786"/>
      <c r="S55" s="786"/>
      <c r="T55" s="786"/>
      <c r="U55" s="786"/>
      <c r="V55" s="786"/>
      <c r="W55" s="786"/>
      <c r="X55" s="786"/>
      <c r="Y55" s="100"/>
    </row>
    <row r="56" spans="1:25" ht="26.25" hidden="1" customHeight="1">
      <c r="A56" s="97"/>
      <c r="B56" s="97"/>
      <c r="C56" s="101"/>
      <c r="D56" s="101"/>
      <c r="E56" s="786"/>
      <c r="F56" s="786"/>
      <c r="G56" s="786"/>
      <c r="H56" s="786"/>
      <c r="I56" s="786"/>
      <c r="J56" s="786"/>
      <c r="K56" s="786"/>
      <c r="L56" s="786"/>
      <c r="M56" s="786"/>
      <c r="N56" s="786"/>
      <c r="O56" s="786"/>
      <c r="P56" s="786"/>
      <c r="Q56" s="786"/>
      <c r="R56" s="786"/>
      <c r="S56" s="786"/>
      <c r="T56" s="786"/>
      <c r="U56" s="786"/>
      <c r="V56" s="786"/>
      <c r="W56" s="786"/>
      <c r="X56" s="786"/>
      <c r="Y56" s="100"/>
    </row>
    <row r="57" spans="1:25" hidden="1">
      <c r="A57" s="97"/>
      <c r="B57" s="97"/>
      <c r="C57" s="101"/>
      <c r="D57" s="101"/>
      <c r="E57" s="786"/>
      <c r="F57" s="786"/>
      <c r="G57" s="786"/>
      <c r="H57" s="786"/>
      <c r="I57" s="786"/>
      <c r="J57" s="786"/>
      <c r="K57" s="786"/>
      <c r="L57" s="786"/>
      <c r="M57" s="786"/>
      <c r="N57" s="786"/>
      <c r="O57" s="786"/>
      <c r="P57" s="786"/>
      <c r="Q57" s="786"/>
      <c r="R57" s="786"/>
      <c r="S57" s="786"/>
      <c r="T57" s="786"/>
      <c r="U57" s="786"/>
      <c r="V57" s="786"/>
      <c r="W57" s="786"/>
      <c r="X57" s="786"/>
      <c r="Y57" s="100"/>
    </row>
    <row r="58" spans="1:25" ht="15" hidden="1" customHeight="1">
      <c r="A58" s="97"/>
      <c r="B58" s="97"/>
      <c r="C58" s="101"/>
      <c r="D58" s="98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00"/>
    </row>
    <row r="59" spans="1:25" ht="15" hidden="1" customHeight="1">
      <c r="A59" s="97"/>
      <c r="B59" s="97"/>
      <c r="C59" s="101"/>
      <c r="D59" s="98"/>
      <c r="E59" s="773" t="s">
        <v>16</v>
      </c>
      <c r="F59" s="773"/>
      <c r="G59" s="773"/>
      <c r="H59" s="773"/>
      <c r="I59" s="773"/>
      <c r="J59" s="773"/>
      <c r="K59" s="774" t="s">
        <v>11</v>
      </c>
      <c r="L59" s="774"/>
      <c r="M59" s="774"/>
      <c r="N59" s="774"/>
      <c r="O59" s="774"/>
      <c r="P59" s="774"/>
      <c r="Q59" s="774"/>
      <c r="R59" s="774"/>
      <c r="S59" s="774"/>
      <c r="T59" s="774"/>
      <c r="U59" s="774"/>
      <c r="V59" s="774"/>
      <c r="W59" s="774"/>
      <c r="X59" s="774"/>
      <c r="Y59" s="100"/>
    </row>
    <row r="60" spans="1:25" ht="15" hidden="1" customHeight="1">
      <c r="A60" s="97"/>
      <c r="B60" s="97"/>
      <c r="C60" s="101"/>
      <c r="D60" s="98"/>
      <c r="E60" s="776" t="s">
        <v>117</v>
      </c>
      <c r="F60" s="776"/>
      <c r="G60" s="776"/>
      <c r="H60" s="776"/>
      <c r="I60" s="776"/>
      <c r="J60" s="776"/>
      <c r="K60" s="775" t="s">
        <v>13</v>
      </c>
      <c r="L60" s="775"/>
      <c r="M60" s="775"/>
      <c r="N60" s="775"/>
      <c r="O60" s="775"/>
      <c r="P60" s="775"/>
      <c r="Q60" s="775"/>
      <c r="R60" s="775"/>
      <c r="S60" s="775"/>
      <c r="T60" s="775"/>
      <c r="U60" s="775"/>
      <c r="V60" s="775"/>
      <c r="W60" s="775"/>
      <c r="X60" s="775"/>
      <c r="Y60" s="100"/>
    </row>
    <row r="61" spans="1:25" ht="15" hidden="1" customHeight="1">
      <c r="A61" s="97"/>
      <c r="B61" s="97"/>
      <c r="C61" s="101"/>
      <c r="D61" s="98"/>
      <c r="E61" s="107"/>
      <c r="F61" s="1"/>
      <c r="G61" s="108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00"/>
    </row>
    <row r="62" spans="1:25" ht="27.75" hidden="1" customHeight="1">
      <c r="A62" s="97"/>
      <c r="B62" s="97"/>
      <c r="C62" s="101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100"/>
    </row>
    <row r="63" spans="1:25" hidden="1">
      <c r="A63" s="97"/>
      <c r="B63" s="97"/>
      <c r="C63" s="101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100"/>
    </row>
    <row r="64" spans="1:25" hidden="1">
      <c r="A64" s="97"/>
      <c r="B64" s="97"/>
      <c r="C64" s="101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100"/>
    </row>
    <row r="65" spans="1:25" hidden="1">
      <c r="A65" s="97"/>
      <c r="B65" s="97"/>
      <c r="C65" s="101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100"/>
    </row>
    <row r="66" spans="1:25" hidden="1">
      <c r="A66" s="97"/>
      <c r="B66" s="97"/>
      <c r="C66" s="101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100"/>
    </row>
    <row r="67" spans="1:25" hidden="1">
      <c r="A67" s="97"/>
      <c r="B67" s="97"/>
      <c r="C67" s="101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100"/>
    </row>
    <row r="68" spans="1:25" ht="90" hidden="1" customHeight="1">
      <c r="A68" s="97"/>
      <c r="B68" s="97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0"/>
    </row>
    <row r="69" spans="1:25" hidden="1">
      <c r="A69" s="97"/>
      <c r="B69" s="97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0"/>
    </row>
    <row r="70" spans="1:25" ht="26.25" hidden="1" customHeight="1">
      <c r="A70" s="97"/>
      <c r="B70" s="97"/>
      <c r="C70" s="101"/>
      <c r="D70" s="98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0"/>
    </row>
    <row r="71" spans="1:25" ht="29.25" hidden="1" customHeight="1">
      <c r="A71" s="97"/>
      <c r="B71" s="97"/>
      <c r="C71" s="101"/>
      <c r="D71" s="98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0"/>
    </row>
    <row r="72" spans="1:25" ht="27" hidden="1" customHeight="1">
      <c r="A72" s="97"/>
      <c r="B72" s="97"/>
      <c r="C72" s="101"/>
      <c r="D72" s="98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0"/>
    </row>
    <row r="73" spans="1:25" ht="38.25" hidden="1" customHeight="1">
      <c r="A73" s="97"/>
      <c r="B73" s="97"/>
      <c r="C73" s="101"/>
      <c r="D73" s="98"/>
      <c r="E73" s="778" t="s">
        <v>2177</v>
      </c>
      <c r="F73" s="779"/>
      <c r="G73" s="779"/>
      <c r="H73" s="779"/>
      <c r="I73" s="779"/>
      <c r="J73" s="779"/>
      <c r="K73" s="774" t="s">
        <v>2178</v>
      </c>
      <c r="L73" s="774"/>
      <c r="M73" s="774"/>
      <c r="N73" s="774"/>
      <c r="O73" s="774"/>
      <c r="P73" s="774"/>
      <c r="Q73" s="774"/>
      <c r="R73" s="774"/>
      <c r="S73" s="774"/>
      <c r="T73" s="774"/>
      <c r="U73" s="774"/>
      <c r="V73" s="774"/>
      <c r="W73" s="774"/>
      <c r="X73" s="774"/>
      <c r="Y73" s="100"/>
    </row>
    <row r="74" spans="1:25" hidden="1">
      <c r="A74" s="97"/>
      <c r="B74" s="97"/>
      <c r="C74" s="101"/>
      <c r="D74" s="98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00"/>
    </row>
    <row r="75" spans="1:25" ht="132" hidden="1" customHeight="1">
      <c r="A75" s="97"/>
      <c r="B75" s="97"/>
      <c r="C75" s="101"/>
      <c r="D75" s="98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00"/>
    </row>
    <row r="76" spans="1:25" hidden="1">
      <c r="A76" s="97"/>
      <c r="B76" s="97"/>
      <c r="C76" s="101"/>
      <c r="D76" s="98"/>
      <c r="E76" s="770"/>
      <c r="F76" s="770"/>
      <c r="G76" s="770"/>
      <c r="H76" s="771"/>
      <c r="I76" s="772"/>
      <c r="J76" s="772"/>
      <c r="K76" s="772"/>
      <c r="L76" s="772"/>
      <c r="M76" s="772"/>
      <c r="N76" s="772"/>
      <c r="O76" s="772"/>
      <c r="P76" s="772"/>
      <c r="Q76" s="772"/>
      <c r="R76" s="772"/>
      <c r="S76" s="772"/>
      <c r="T76" s="772"/>
      <c r="U76" s="772"/>
      <c r="V76" s="772"/>
      <c r="W76" s="772"/>
      <c r="X76" s="772"/>
      <c r="Y76" s="100"/>
    </row>
    <row r="77" spans="1:25" ht="15" hidden="1" customHeight="1">
      <c r="A77" s="97"/>
      <c r="B77" s="97"/>
      <c r="C77" s="101"/>
      <c r="D77" s="98"/>
      <c r="E77" s="773" t="s">
        <v>10</v>
      </c>
      <c r="F77" s="773"/>
      <c r="G77" s="773"/>
      <c r="H77" s="773"/>
      <c r="I77" s="773"/>
      <c r="J77" s="773"/>
      <c r="K77" s="774" t="s">
        <v>11</v>
      </c>
      <c r="L77" s="774"/>
      <c r="M77" s="774"/>
      <c r="N77" s="774"/>
      <c r="O77" s="774"/>
      <c r="P77" s="774"/>
      <c r="Q77" s="774"/>
      <c r="R77" s="774"/>
      <c r="S77" s="774"/>
      <c r="T77" s="774"/>
      <c r="U77" s="774"/>
      <c r="V77" s="774"/>
      <c r="W77" s="774"/>
      <c r="X77" s="774"/>
      <c r="Y77" s="100"/>
    </row>
    <row r="78" spans="1:25" ht="15" hidden="1" customHeight="1">
      <c r="A78" s="97"/>
      <c r="B78" s="97"/>
      <c r="C78" s="101"/>
      <c r="D78" s="98"/>
      <c r="E78" s="776" t="s">
        <v>12</v>
      </c>
      <c r="F78" s="776"/>
      <c r="G78" s="776"/>
      <c r="H78" s="776"/>
      <c r="I78" s="776"/>
      <c r="J78" s="776"/>
      <c r="K78" s="775" t="s">
        <v>766</v>
      </c>
      <c r="L78" s="775"/>
      <c r="M78" s="775"/>
      <c r="N78" s="775"/>
      <c r="O78" s="775"/>
      <c r="P78" s="775"/>
      <c r="Q78" s="775"/>
      <c r="R78" s="775"/>
      <c r="S78" s="775"/>
      <c r="T78" s="775"/>
      <c r="U78" s="775"/>
      <c r="V78" s="775"/>
      <c r="W78" s="775"/>
      <c r="X78" s="775"/>
      <c r="Y78" s="100"/>
    </row>
    <row r="79" spans="1:25" ht="15" hidden="1" customHeight="1">
      <c r="A79" s="97"/>
      <c r="B79" s="97"/>
      <c r="C79" s="101"/>
      <c r="D79" s="98"/>
      <c r="E79" s="780" t="s">
        <v>14</v>
      </c>
      <c r="F79" s="780"/>
      <c r="G79" s="780"/>
      <c r="H79" s="780"/>
      <c r="I79" s="780"/>
      <c r="J79" s="780"/>
      <c r="K79" s="775" t="s">
        <v>15</v>
      </c>
      <c r="L79" s="775"/>
      <c r="M79" s="775"/>
      <c r="N79" s="775"/>
      <c r="O79" s="775"/>
      <c r="P79" s="775"/>
      <c r="Q79" s="775"/>
      <c r="R79" s="775"/>
      <c r="S79" s="775"/>
      <c r="T79" s="775"/>
      <c r="U79" s="775"/>
      <c r="V79" s="775"/>
      <c r="W79" s="775"/>
      <c r="X79" s="775"/>
      <c r="Y79" s="100"/>
    </row>
    <row r="80" spans="1:25" hidden="1">
      <c r="A80" s="97"/>
      <c r="B80" s="97"/>
      <c r="C80" s="101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100"/>
    </row>
    <row r="81" spans="1:27" hidden="1">
      <c r="A81" s="97"/>
      <c r="B81" s="97"/>
      <c r="C81" s="101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100"/>
    </row>
    <row r="82" spans="1:27" hidden="1">
      <c r="A82" s="97"/>
      <c r="B82" s="97"/>
      <c r="C82" s="101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100"/>
    </row>
    <row r="83" spans="1:27" hidden="1">
      <c r="A83" s="97"/>
      <c r="B83" s="97"/>
      <c r="C83" s="101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100"/>
    </row>
    <row r="84" spans="1:27" hidden="1">
      <c r="A84" s="97"/>
      <c r="B84" s="97"/>
      <c r="C84" s="101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100"/>
    </row>
    <row r="85" spans="1:27" hidden="1">
      <c r="A85" s="97"/>
      <c r="B85" s="97"/>
      <c r="C85" s="101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100"/>
    </row>
    <row r="86" spans="1:27" hidden="1">
      <c r="A86" s="97"/>
      <c r="B86" s="97"/>
      <c r="C86" s="101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100"/>
    </row>
    <row r="87" spans="1:27" hidden="1">
      <c r="A87" s="97"/>
      <c r="B87" s="97"/>
      <c r="C87" s="101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100"/>
    </row>
    <row r="88" spans="1:27" hidden="1">
      <c r="A88" s="97"/>
      <c r="B88" s="97"/>
      <c r="C88" s="101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100"/>
    </row>
    <row r="89" spans="1:27" hidden="1">
      <c r="A89" s="97"/>
      <c r="B89" s="97"/>
      <c r="C89" s="101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100"/>
    </row>
    <row r="90" spans="1:27" hidden="1">
      <c r="A90" s="97"/>
      <c r="B90" s="97"/>
      <c r="C90" s="101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100"/>
    </row>
    <row r="91" spans="1:27" ht="27.75" hidden="1" customHeight="1">
      <c r="A91" s="97"/>
      <c r="B91" s="97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0"/>
    </row>
    <row r="92" spans="1:27" hidden="1">
      <c r="A92" s="97"/>
      <c r="B92" s="97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0"/>
    </row>
    <row r="93" spans="1:27" ht="25.5" hidden="1" customHeight="1">
      <c r="A93" s="97"/>
      <c r="B93" s="97"/>
      <c r="C93" s="101"/>
      <c r="D93" s="98"/>
      <c r="E93" s="777" t="s">
        <v>409</v>
      </c>
      <c r="F93" s="777"/>
      <c r="G93" s="777"/>
      <c r="H93" s="777"/>
      <c r="I93" s="777"/>
      <c r="J93" s="777"/>
      <c r="K93" s="777"/>
      <c r="L93" s="777"/>
      <c r="M93" s="777"/>
      <c r="N93" s="777"/>
      <c r="O93" s="777"/>
      <c r="P93" s="777"/>
      <c r="Q93" s="777"/>
      <c r="R93" s="777"/>
      <c r="S93" s="777"/>
      <c r="T93" s="777"/>
      <c r="U93" s="777"/>
      <c r="V93" s="777"/>
      <c r="W93" s="777"/>
      <c r="X93" s="777"/>
      <c r="Y93" s="100"/>
    </row>
    <row r="94" spans="1:27" ht="15" hidden="1" customHeight="1">
      <c r="A94" s="97"/>
      <c r="B94" s="97"/>
      <c r="C94" s="101"/>
      <c r="D94" s="98"/>
      <c r="E94" s="98"/>
      <c r="F94" s="98"/>
      <c r="G94" s="98"/>
      <c r="H94" s="111"/>
      <c r="I94" s="111"/>
      <c r="J94" s="111"/>
      <c r="K94" s="111"/>
      <c r="L94" s="111"/>
      <c r="M94" s="111"/>
      <c r="N94" s="111"/>
      <c r="O94" s="112"/>
      <c r="P94" s="112"/>
      <c r="Q94" s="112"/>
      <c r="R94" s="112"/>
      <c r="S94" s="112"/>
      <c r="T94" s="112"/>
      <c r="U94" s="98"/>
      <c r="V94" s="98"/>
      <c r="W94" s="98"/>
      <c r="X94" s="98"/>
      <c r="Y94" s="100"/>
    </row>
    <row r="95" spans="1:27" ht="15" hidden="1" customHeight="1">
      <c r="A95" s="97"/>
      <c r="B95" s="97"/>
      <c r="C95" s="101"/>
      <c r="D95" s="98"/>
      <c r="E95" s="113"/>
      <c r="F95" s="769" t="s">
        <v>410</v>
      </c>
      <c r="G95" s="769"/>
      <c r="H95" s="769"/>
      <c r="I95" s="769"/>
      <c r="J95" s="769"/>
      <c r="K95" s="769"/>
      <c r="L95" s="769"/>
      <c r="M95" s="769"/>
      <c r="N95" s="769"/>
      <c r="O95" s="769"/>
      <c r="P95" s="769"/>
      <c r="Q95" s="769"/>
      <c r="R95" s="769"/>
      <c r="S95" s="769"/>
      <c r="T95" s="112"/>
      <c r="U95" s="98"/>
      <c r="V95" s="98"/>
      <c r="W95" s="98"/>
      <c r="X95" s="98"/>
      <c r="Y95" s="100"/>
      <c r="AA95" s="91" t="s">
        <v>411</v>
      </c>
    </row>
    <row r="96" spans="1:27" ht="15" hidden="1" customHeight="1">
      <c r="A96" s="97"/>
      <c r="B96" s="97"/>
      <c r="C96" s="101"/>
      <c r="D96" s="98"/>
      <c r="E96" s="98"/>
      <c r="F96" s="98"/>
      <c r="G96" s="98"/>
      <c r="H96" s="111"/>
      <c r="I96" s="111"/>
      <c r="J96" s="111"/>
      <c r="K96" s="111"/>
      <c r="L96" s="111"/>
      <c r="M96" s="111"/>
      <c r="N96" s="111"/>
      <c r="O96" s="112"/>
      <c r="P96" s="112"/>
      <c r="Q96" s="112"/>
      <c r="R96" s="112"/>
      <c r="S96" s="112"/>
      <c r="T96" s="112"/>
      <c r="U96" s="98"/>
      <c r="V96" s="98"/>
      <c r="W96" s="98"/>
      <c r="X96" s="98"/>
      <c r="Y96" s="100"/>
    </row>
    <row r="97" spans="1:25" hidden="1">
      <c r="A97" s="97"/>
      <c r="B97" s="97"/>
      <c r="C97" s="101"/>
      <c r="D97" s="98"/>
      <c r="E97" s="98"/>
      <c r="F97" s="769" t="s">
        <v>412</v>
      </c>
      <c r="G97" s="769"/>
      <c r="H97" s="769"/>
      <c r="I97" s="769"/>
      <c r="J97" s="769"/>
      <c r="K97" s="769"/>
      <c r="L97" s="769"/>
      <c r="M97" s="769"/>
      <c r="N97" s="769"/>
      <c r="O97" s="769"/>
      <c r="P97" s="769"/>
      <c r="Q97" s="769"/>
      <c r="R97" s="769"/>
      <c r="S97" s="769"/>
      <c r="T97" s="769"/>
      <c r="U97" s="769"/>
      <c r="V97" s="769"/>
      <c r="W97" s="769"/>
      <c r="X97" s="769"/>
      <c r="Y97" s="100"/>
    </row>
    <row r="98" spans="1:25" hidden="1">
      <c r="A98" s="97"/>
      <c r="B98" s="97"/>
      <c r="C98" s="101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100"/>
    </row>
    <row r="99" spans="1:25" hidden="1">
      <c r="A99" s="97"/>
      <c r="B99" s="97"/>
      <c r="C99" s="101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100"/>
    </row>
    <row r="100" spans="1:25" hidden="1">
      <c r="A100" s="97"/>
      <c r="B100" s="97"/>
      <c r="C100" s="101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100"/>
    </row>
    <row r="101" spans="1:25" hidden="1">
      <c r="A101" s="97"/>
      <c r="B101" s="97"/>
      <c r="C101" s="101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100"/>
    </row>
    <row r="102" spans="1:25" hidden="1">
      <c r="A102" s="97"/>
      <c r="B102" s="97"/>
      <c r="C102" s="101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100"/>
    </row>
    <row r="103" spans="1:25" hidden="1">
      <c r="A103" s="97"/>
      <c r="B103" s="97"/>
      <c r="C103" s="101"/>
      <c r="D103" s="98"/>
      <c r="E103" s="767" t="s">
        <v>770</v>
      </c>
      <c r="F103" s="767"/>
      <c r="G103" s="767"/>
      <c r="H103" s="767"/>
      <c r="I103" s="767"/>
      <c r="J103" s="767"/>
      <c r="K103" s="767"/>
      <c r="L103" s="767"/>
      <c r="M103" s="767"/>
      <c r="N103" s="767"/>
      <c r="O103" s="767"/>
      <c r="P103" s="767"/>
      <c r="Q103" s="767"/>
      <c r="R103" s="768" t="s">
        <v>129</v>
      </c>
      <c r="S103" s="768"/>
      <c r="T103" s="768"/>
      <c r="U103" s="768"/>
      <c r="V103" s="768"/>
      <c r="W103" s="768"/>
      <c r="X103" s="768"/>
      <c r="Y103" s="768"/>
    </row>
    <row r="104" spans="1:25" hidden="1">
      <c r="A104" s="97"/>
      <c r="B104" s="97"/>
      <c r="C104" s="101"/>
      <c r="D104" s="98"/>
      <c r="E104" s="767" t="s">
        <v>771</v>
      </c>
      <c r="F104" s="767"/>
      <c r="G104" s="767"/>
      <c r="H104" s="767"/>
      <c r="I104" s="767"/>
      <c r="J104" s="767"/>
      <c r="K104" s="767"/>
      <c r="L104" s="767"/>
      <c r="M104" s="767"/>
      <c r="N104" s="767"/>
      <c r="O104" s="767"/>
      <c r="P104" s="767"/>
      <c r="Q104" s="767"/>
      <c r="R104" s="768"/>
      <c r="S104" s="768"/>
      <c r="T104" s="768"/>
      <c r="U104" s="768"/>
      <c r="V104" s="768"/>
      <c r="W104" s="768"/>
      <c r="X104" s="768"/>
      <c r="Y104" s="768"/>
    </row>
    <row r="105" spans="1:25" hidden="1">
      <c r="A105" s="97"/>
      <c r="B105" s="97"/>
      <c r="C105" s="101"/>
      <c r="D105" s="98"/>
      <c r="E105" s="767" t="s">
        <v>772</v>
      </c>
      <c r="F105" s="767"/>
      <c r="G105" s="767"/>
      <c r="H105" s="767"/>
      <c r="I105" s="767"/>
      <c r="J105" s="767"/>
      <c r="K105" s="767"/>
      <c r="L105" s="767"/>
      <c r="M105" s="767"/>
      <c r="N105" s="767"/>
      <c r="O105" s="767"/>
      <c r="P105" s="767"/>
      <c r="Q105" s="767"/>
      <c r="R105" s="768"/>
      <c r="S105" s="768"/>
      <c r="T105" s="768"/>
      <c r="U105" s="768"/>
      <c r="V105" s="768"/>
      <c r="W105" s="768"/>
      <c r="X105" s="768"/>
      <c r="Y105" s="768"/>
    </row>
    <row r="106" spans="1:25" ht="30" hidden="1" customHeight="1">
      <c r="A106" s="97"/>
      <c r="B106" s="97"/>
      <c r="C106" s="101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100"/>
    </row>
    <row r="107" spans="1:25" ht="32.25" hidden="1" customHeight="1">
      <c r="A107" s="97"/>
      <c r="B107" s="97"/>
      <c r="C107" s="101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100"/>
    </row>
    <row r="108" spans="1:25" ht="18" customHeight="1">
      <c r="A108" s="97"/>
      <c r="B108" s="97"/>
      <c r="C108" s="10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0"/>
    </row>
  </sheetData>
  <sheetProtection algorithmName="SHA-512" hashValue="XzkYOCaM3rqZwD/EgydL+rKgXyrTp1GVFO9qFEpdwT7mox+huJ37l4BgRNshU4RMY1/itjToBtHirNGb3JTD3g==" saltValue="ummgcx4Hc8t/BFdOu/6epw==" spinCount="100000" sheet="1" objects="1" scenarios="1" formatColumns="0" formatRows="0"/>
  <dataConsolidate leftLabels="1"/>
  <mergeCells count="35">
    <mergeCell ref="E60:J60"/>
    <mergeCell ref="K60:X60"/>
    <mergeCell ref="F21:M21"/>
    <mergeCell ref="P21:X21"/>
    <mergeCell ref="P22:X22"/>
    <mergeCell ref="E41:Q41"/>
    <mergeCell ref="R41:Y41"/>
    <mergeCell ref="E46:X57"/>
    <mergeCell ref="E59:J59"/>
    <mergeCell ref="K59:X59"/>
    <mergeCell ref="E35:X39"/>
    <mergeCell ref="B2:G2"/>
    <mergeCell ref="B3:C3"/>
    <mergeCell ref="B5:Y5"/>
    <mergeCell ref="E7:X19"/>
    <mergeCell ref="F22:M22"/>
    <mergeCell ref="E73:J73"/>
    <mergeCell ref="K73:X73"/>
    <mergeCell ref="E103:Q103"/>
    <mergeCell ref="R103:Y103"/>
    <mergeCell ref="E104:Q104"/>
    <mergeCell ref="R104:Y104"/>
    <mergeCell ref="E79:J79"/>
    <mergeCell ref="E105:Q105"/>
    <mergeCell ref="R105:Y105"/>
    <mergeCell ref="F97:X97"/>
    <mergeCell ref="E76:G76"/>
    <mergeCell ref="H76:X76"/>
    <mergeCell ref="E77:J77"/>
    <mergeCell ref="K77:X77"/>
    <mergeCell ref="K79:X79"/>
    <mergeCell ref="E78:J78"/>
    <mergeCell ref="K78:X78"/>
    <mergeCell ref="E93:X93"/>
    <mergeCell ref="F95:S95"/>
  </mergeCells>
  <phoneticPr fontId="0" type="noConversion"/>
  <dataValidations count="1">
    <dataValidation type="list" allowBlank="1" showInputMessage="1" showErrorMessage="1" sqref="R103">
      <formula1>YES_NO</formula1>
    </dataValidation>
  </dataValidations>
  <hyperlinks>
    <hyperlink ref="K59:X59" location="'Инструкция'!A1" tooltip="Обратиться за помощью" display="Обратиться за помощью"/>
    <hyperlink ref="K60:X60" location="'Инструкция'!A1" tooltip="Перейти" display="Перейти"/>
    <hyperlink ref="K79" r:id="rId1" location="'Инструкция'!A1" display="http://eias.ru/files/shablon/manual_loading_through_monitoring.pdf"/>
    <hyperlink ref="K79:X79" location="'Инструкция'!A1" tooltip="Руководство по загрузке документов" display="Руководство по загрузке документов"/>
    <hyperlink ref="K77:X77" location="'Инструкция'!A1" tooltip="Обратиться за помощью" display="Обратиться за помощью"/>
    <hyperlink ref="K78:X78" location="'Инструкция'!A1" tooltip="Перейти к отчётным формам" display="Перейти к разделу"/>
    <hyperlink ref="K73" r:id="rId2" location="'Инструкция'!A1" display="http://eias.ru/files/shablon/manual_loading_through_monitoring.pdf"/>
    <hyperlink ref="K73:X73" location="Инструкция!A1" tooltip="Перейти к руководству по заполнению" display="Перейти к руководству по заполнению"/>
  </hyperlinks>
  <pageMargins left="0.7" right="0.7" top="0.75" bottom="0.75" header="0.3" footer="0.3"/>
  <pageSetup paperSize="9" orientation="portrait" horizontalDpi="180" verticalDpi="18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2:E7"/>
  <sheetViews>
    <sheetView showGridLines="0" topLeftCell="B1" zoomScaleNormal="100" workbookViewId="0"/>
  </sheetViews>
  <sheetFormatPr defaultColWidth="10.25" defaultRowHeight="11.4"/>
  <cols>
    <col min="1" max="1" width="4.875" style="2" hidden="1" customWidth="1"/>
    <col min="2" max="2" width="34.375" style="14" customWidth="1"/>
    <col min="3" max="3" width="90.75" style="5" customWidth="1"/>
    <col min="4" max="4" width="29.875" style="15" customWidth="1"/>
    <col min="5" max="16384" width="10.25" style="2"/>
  </cols>
  <sheetData>
    <row r="2" spans="1:5" ht="24" customHeight="1">
      <c r="A2" s="2" t="s">
        <v>119</v>
      </c>
      <c r="B2" s="81" t="s">
        <v>108</v>
      </c>
      <c r="C2" s="80" t="s">
        <v>109</v>
      </c>
      <c r="D2" s="82" t="s">
        <v>110</v>
      </c>
      <c r="E2" s="4"/>
    </row>
    <row r="3" spans="1:5">
      <c r="B3" s="14" t="s">
        <v>15026</v>
      </c>
      <c r="C3" s="5" t="s">
        <v>15027</v>
      </c>
      <c r="D3" s="15" t="s">
        <v>15028</v>
      </c>
    </row>
    <row r="4" spans="1:5">
      <c r="B4" s="14" t="s">
        <v>15029</v>
      </c>
      <c r="C4" s="5" t="s">
        <v>15030</v>
      </c>
      <c r="D4" s="15" t="s">
        <v>15028</v>
      </c>
    </row>
    <row r="5" spans="1:5" ht="125.4">
      <c r="B5" s="14" t="s">
        <v>15029</v>
      </c>
      <c r="C5" s="5" t="s">
        <v>15031</v>
      </c>
      <c r="D5" s="15" t="s">
        <v>15028</v>
      </c>
    </row>
    <row r="6" spans="1:5">
      <c r="B6" s="14" t="s">
        <v>15029</v>
      </c>
      <c r="C6" s="5" t="s">
        <v>15032</v>
      </c>
      <c r="D6" s="15" t="s">
        <v>15028</v>
      </c>
    </row>
    <row r="7" spans="1:5">
      <c r="B7" s="14" t="s">
        <v>15033</v>
      </c>
      <c r="C7" s="5" t="s">
        <v>15034</v>
      </c>
      <c r="D7" s="15" t="s">
        <v>15035</v>
      </c>
    </row>
  </sheetData>
  <sheetProtection algorithmName="SHA-512" hashValue="J+Bq03rwQ/FYAAFHro/G+vKS4IBQO3CZkgAYqr2RQPr0OcPdrIqURbxR+9zf8DpTkgMllp9iEUf9yRl3wR+0UQ==" saltValue="Fi2NKfGvISRRAatu0V0XVg==" spinCount="100000" sheet="1" objects="1" scenarios="1" formatColumns="0" formatRows="0" autoFilter="0"/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SHEET_TITLE">
    <tabColor indexed="11"/>
  </sheetPr>
  <dimension ref="A1:Q49"/>
  <sheetViews>
    <sheetView showGridLines="0" tabSelected="1" topLeftCell="D3" zoomScale="90" zoomScaleNormal="90" workbookViewId="0">
      <pane ySplit="3" topLeftCell="A17" activePane="bottomLeft" state="frozen"/>
      <selection pane="bottomLeft" activeCell="H43" sqref="H43"/>
    </sheetView>
  </sheetViews>
  <sheetFormatPr defaultColWidth="9.125" defaultRowHeight="11.4"/>
  <cols>
    <col min="1" max="1" width="2.75" style="22" hidden="1" customWidth="1"/>
    <col min="2" max="3" width="2.75" style="129" hidden="1" customWidth="1"/>
    <col min="4" max="4" width="2.75" style="129" customWidth="1"/>
    <col min="5" max="5" width="19.75" style="45" customWidth="1"/>
    <col min="6" max="6" width="22.75" style="129" customWidth="1"/>
    <col min="7" max="7" width="0.125" style="129" customWidth="1"/>
    <col min="8" max="8" width="59.75" style="129" customWidth="1"/>
    <col min="9" max="9" width="2.75" style="31" customWidth="1"/>
    <col min="10" max="10" width="12.75" style="31" customWidth="1"/>
    <col min="11" max="11" width="2.75" style="31" customWidth="1"/>
    <col min="12" max="13" width="16.75" style="31" customWidth="1"/>
    <col min="14" max="14" width="9.125" style="31"/>
    <col min="15" max="15" width="22.625" style="31" hidden="1" customWidth="1"/>
    <col min="16" max="16" width="9.125" style="31"/>
    <col min="17" max="17" width="15.75" style="31" hidden="1" customWidth="1"/>
    <col min="18" max="16384" width="9.125" style="31"/>
  </cols>
  <sheetData>
    <row r="1" spans="1:17" s="129" customFormat="1" ht="12" hidden="1" customHeight="1">
      <c r="A1" s="19"/>
      <c r="E1" s="45"/>
    </row>
    <row r="2" spans="1:17" s="129" customFormat="1" ht="12" hidden="1" customHeight="1">
      <c r="A2" s="19"/>
      <c r="E2" s="45"/>
      <c r="F2" s="45"/>
      <c r="G2" s="45"/>
      <c r="H2" s="583"/>
    </row>
    <row r="3" spans="1:17" s="129" customFormat="1" ht="3" customHeight="1">
      <c r="A3" s="19"/>
      <c r="E3" s="45"/>
      <c r="F3" s="415"/>
      <c r="G3" s="415"/>
      <c r="H3" s="415"/>
    </row>
    <row r="4" spans="1:17" s="129" customFormat="1" ht="12" customHeight="1">
      <c r="A4" s="19"/>
      <c r="E4" s="582" t="s">
        <v>2112</v>
      </c>
      <c r="F4" s="415"/>
      <c r="G4" s="415"/>
      <c r="H4" s="571"/>
    </row>
    <row r="5" spans="1:17" s="129" customFormat="1" ht="18" customHeight="1">
      <c r="A5" s="19"/>
      <c r="D5" s="581"/>
      <c r="E5" s="797" t="s">
        <v>2113</v>
      </c>
      <c r="F5" s="798"/>
      <c r="G5" s="799"/>
      <c r="H5" s="799"/>
    </row>
    <row r="6" spans="1:17" s="129" customFormat="1" ht="9" customHeight="1">
      <c r="A6" s="19"/>
      <c r="E6" s="45"/>
      <c r="F6" s="51"/>
      <c r="G6" s="51"/>
      <c r="H6" s="51"/>
    </row>
    <row r="7" spans="1:17" s="129" customFormat="1" ht="24" customHeight="1">
      <c r="A7" s="19"/>
      <c r="E7" s="800" t="s">
        <v>2111</v>
      </c>
      <c r="F7" s="800"/>
      <c r="G7" s="51"/>
      <c r="H7" s="580" t="s">
        <v>73</v>
      </c>
      <c r="Q7" s="606" t="s">
        <v>2181</v>
      </c>
    </row>
    <row r="8" spans="1:17" s="129" customFormat="1" ht="9" customHeight="1">
      <c r="A8" s="19"/>
      <c r="E8" s="575"/>
      <c r="F8" s="578"/>
      <c r="G8" s="51"/>
    </row>
    <row r="9" spans="1:17" s="129" customFormat="1" ht="15" customHeight="1">
      <c r="A9" s="19"/>
      <c r="E9" s="801" t="s">
        <v>2110</v>
      </c>
      <c r="F9" s="802"/>
      <c r="G9" s="415"/>
      <c r="H9" s="579" t="s">
        <v>2563</v>
      </c>
      <c r="Q9" s="606" t="s">
        <v>2181</v>
      </c>
    </row>
    <row r="10" spans="1:17" s="129" customFormat="1" ht="15" customHeight="1">
      <c r="A10" s="19"/>
      <c r="E10" s="803"/>
      <c r="F10" s="804"/>
      <c r="G10" s="415"/>
      <c r="H10" s="579" t="s">
        <v>20</v>
      </c>
      <c r="Q10" s="606" t="s">
        <v>2181</v>
      </c>
    </row>
    <row r="11" spans="1:17" s="129" customFormat="1" ht="9" customHeight="1">
      <c r="A11" s="19"/>
      <c r="E11" s="575"/>
      <c r="F11" s="578"/>
      <c r="G11" s="51"/>
    </row>
    <row r="12" spans="1:17" s="129" customFormat="1" ht="12" hidden="1" customHeight="1">
      <c r="E12" s="805" t="s">
        <v>292</v>
      </c>
      <c r="F12" s="805"/>
      <c r="G12" s="27"/>
      <c r="H12" s="611" t="s">
        <v>12375</v>
      </c>
      <c r="Q12" s="606" t="s">
        <v>2181</v>
      </c>
    </row>
    <row r="13" spans="1:17" s="129" customFormat="1" ht="9" hidden="1" customHeight="1">
      <c r="A13" s="19"/>
      <c r="E13" s="575"/>
      <c r="F13" s="578"/>
      <c r="G13" s="51"/>
      <c r="H13" s="51"/>
    </row>
    <row r="14" spans="1:17" ht="39" customHeight="1">
      <c r="E14" s="796" t="s">
        <v>126</v>
      </c>
      <c r="F14" s="796"/>
      <c r="G14" s="51"/>
      <c r="H14" s="580" t="s">
        <v>12376</v>
      </c>
      <c r="O14" s="129"/>
      <c r="Q14" s="606" t="s">
        <v>2181</v>
      </c>
    </row>
    <row r="15" spans="1:17" ht="24" customHeight="1">
      <c r="E15" s="795" t="s">
        <v>1206</v>
      </c>
      <c r="F15" s="796"/>
      <c r="G15" s="54"/>
      <c r="H15" s="577" t="s">
        <v>2169</v>
      </c>
      <c r="O15" s="607" t="s">
        <v>13901</v>
      </c>
      <c r="Q15" s="606" t="s">
        <v>2182</v>
      </c>
    </row>
    <row r="16" spans="1:17" s="129" customFormat="1" ht="14.25" customHeight="1">
      <c r="E16" s="796" t="s">
        <v>124</v>
      </c>
      <c r="F16" s="796"/>
      <c r="G16" s="415"/>
      <c r="H16" s="577" t="s">
        <v>12377</v>
      </c>
      <c r="O16" s="607" t="s">
        <v>14151</v>
      </c>
      <c r="Q16" s="606" t="s">
        <v>2181</v>
      </c>
    </row>
    <row r="17" spans="1:17" s="129" customFormat="1" ht="14.25" customHeight="1">
      <c r="E17" s="796" t="s">
        <v>125</v>
      </c>
      <c r="F17" s="796"/>
      <c r="G17" s="415"/>
      <c r="H17" s="577" t="s">
        <v>12201</v>
      </c>
      <c r="O17" s="607" t="s">
        <v>13968</v>
      </c>
      <c r="Q17" s="606" t="s">
        <v>2181</v>
      </c>
    </row>
    <row r="18" spans="1:17" s="129" customFormat="1" ht="24" customHeight="1">
      <c r="E18" s="795" t="s">
        <v>1299</v>
      </c>
      <c r="F18" s="796"/>
      <c r="G18" s="415"/>
      <c r="H18" s="577" t="s">
        <v>1223</v>
      </c>
      <c r="J18" s="605" t="s">
        <v>2180</v>
      </c>
      <c r="Q18" s="606" t="s">
        <v>2181</v>
      </c>
    </row>
    <row r="19" spans="1:17" s="129" customFormat="1" ht="24" customHeight="1">
      <c r="E19" s="795" t="s">
        <v>828</v>
      </c>
      <c r="F19" s="796"/>
      <c r="G19" s="415"/>
      <c r="H19" s="580" t="s">
        <v>2574</v>
      </c>
      <c r="O19" s="684">
        <f>IF(LEN(H19)=0,"",VLOOKUP(H19,VDET_ID_LIST,2,FALSE))</f>
        <v>2386758237</v>
      </c>
      <c r="Q19" s="606" t="s">
        <v>2181</v>
      </c>
    </row>
    <row r="20" spans="1:17" s="129" customFormat="1" ht="15" customHeight="1">
      <c r="E20" s="795" t="str">
        <f>"Наличие статуса " &amp; SPHERE_SPECIFIC_STATUS &amp; " *"</f>
        <v>Наличие статуса ЕТО *</v>
      </c>
      <c r="F20" s="796"/>
      <c r="G20" s="415"/>
      <c r="H20" s="580" t="s">
        <v>129</v>
      </c>
      <c r="J20" s="608" t="str">
        <f>IF(SPHERE_SPECIFIC_STATUS_DESCRIPTION="","",SPHERE_SPECIFIC_STATUS_DESCRIPTION)</f>
        <v>* ЕТО - единая теплоснабжающая организация</v>
      </c>
      <c r="Q20" s="606" t="s">
        <v>2182</v>
      </c>
    </row>
    <row r="21" spans="1:17" s="129" customFormat="1" ht="25.5" customHeight="1">
      <c r="E21" s="795" t="str">
        <f>"URL-ссылка на документ, подтверждающий статус " &amp; SPHERE_SPECIFIC_STATUS</f>
        <v>URL-ссылка на документ, подтверждающий статус ЕТО</v>
      </c>
      <c r="F21" s="796"/>
      <c r="G21" s="415"/>
      <c r="H21" s="609" t="s">
        <v>2169</v>
      </c>
      <c r="Q21" s="606" t="s">
        <v>2182</v>
      </c>
    </row>
    <row r="22" spans="1:17" s="129" customFormat="1" ht="6" customHeight="1">
      <c r="E22" s="575"/>
      <c r="F22" s="574"/>
      <c r="G22" s="415"/>
      <c r="H22" s="415"/>
    </row>
    <row r="23" spans="1:17" s="129" customFormat="1" ht="39" customHeight="1">
      <c r="E23" s="795" t="str">
        <f>"Наличие нерегулируемых (других регулируемых, кроме " &amp; TEMPLATE_SPHERE &amp; ") видов деятельности"</f>
        <v>Наличие нерегулируемых (других регулируемых, кроме теплоснабжения) видов деятельности</v>
      </c>
      <c r="F23" s="796"/>
      <c r="G23" s="415"/>
      <c r="H23" s="568" t="s">
        <v>131</v>
      </c>
      <c r="Q23" s="606" t="s">
        <v>2181</v>
      </c>
    </row>
    <row r="24" spans="1:17" s="129" customFormat="1" ht="39" customHeight="1">
      <c r="E24" s="795" t="str">
        <f>"Наличие раздельного учёта затрат по регулируемым видам деятельности в сфере " &amp; TEMPLATE_SPHERE</f>
        <v>Наличие раздельного учёта затрат по регулируемым видам деятельности в сфере теплоснабжения</v>
      </c>
      <c r="F24" s="796"/>
      <c r="G24" s="415"/>
      <c r="H24" s="568" t="s">
        <v>131</v>
      </c>
      <c r="Q24" s="606" t="s">
        <v>2181</v>
      </c>
    </row>
    <row r="25" spans="1:17" s="129" customFormat="1" ht="15" customHeight="1">
      <c r="E25" s="795" t="s">
        <v>127</v>
      </c>
      <c r="F25" s="796"/>
      <c r="G25" s="415"/>
      <c r="H25" s="568" t="s">
        <v>131</v>
      </c>
      <c r="Q25" s="606" t="s">
        <v>2181</v>
      </c>
    </row>
    <row r="26" spans="1:17" s="129" customFormat="1" ht="26.25" customHeight="1">
      <c r="E26" s="795" t="s">
        <v>2183</v>
      </c>
      <c r="F26" s="796"/>
      <c r="G26" s="415"/>
      <c r="H26" s="568" t="s">
        <v>129</v>
      </c>
      <c r="Q26" s="606" t="s">
        <v>2181</v>
      </c>
    </row>
    <row r="27" spans="1:17" s="129" customFormat="1" ht="39" customHeight="1">
      <c r="E27" s="795" t="str">
        <f>"Является ли деятельность в сфере " &amp; TEMPLATE_SPHERE &amp; " профильным видом деятельности"</f>
        <v>Является ли деятельность в сфере теплоснабжения профильным видом деятельности</v>
      </c>
      <c r="F27" s="796"/>
      <c r="G27" s="415"/>
      <c r="H27" s="568" t="s">
        <v>129</v>
      </c>
      <c r="Q27" s="606" t="s">
        <v>2181</v>
      </c>
    </row>
    <row r="28" spans="1:17" s="129" customFormat="1" ht="4.5" customHeight="1">
      <c r="E28" s="415"/>
      <c r="F28" s="415"/>
      <c r="G28" s="415"/>
      <c r="H28" s="415"/>
    </row>
    <row r="29" spans="1:17" s="129" customFormat="1" ht="4.5" customHeight="1">
      <c r="E29" s="415"/>
      <c r="F29" s="415"/>
      <c r="G29" s="415"/>
      <c r="H29" s="415"/>
    </row>
    <row r="30" spans="1:17" s="129" customFormat="1" ht="14.25" customHeight="1">
      <c r="E30" s="795" t="s">
        <v>2184</v>
      </c>
      <c r="F30" s="796"/>
      <c r="G30" s="415"/>
      <c r="H30" s="568" t="s">
        <v>14152</v>
      </c>
      <c r="J30" s="605" t="s">
        <v>2180</v>
      </c>
      <c r="L30" s="610"/>
      <c r="M30" s="610"/>
      <c r="Q30" s="606" t="s">
        <v>2181</v>
      </c>
    </row>
    <row r="31" spans="1:17" s="129" customFormat="1" ht="14.25" customHeight="1">
      <c r="E31" s="796" t="s">
        <v>2185</v>
      </c>
      <c r="F31" s="796"/>
      <c r="G31" s="415"/>
      <c r="H31" s="568" t="s">
        <v>14153</v>
      </c>
      <c r="J31" s="605" t="s">
        <v>2180</v>
      </c>
      <c r="Q31" s="606" t="s">
        <v>2181</v>
      </c>
    </row>
    <row r="32" spans="1:17" s="129" customFormat="1" ht="6" customHeight="1">
      <c r="A32" s="22"/>
      <c r="E32" s="576"/>
      <c r="F32" s="576"/>
      <c r="G32" s="576"/>
      <c r="H32" s="576"/>
    </row>
    <row r="33" spans="1:17" s="129" customFormat="1" ht="14.25" customHeight="1">
      <c r="E33" s="795" t="str">
        <f>"Государственное и (или) муниципальное участие " &amp; IF(H17="отсутствует","в индивидуальном предпринимателе","в юридическом лице")</f>
        <v>Государственное и (или) муниципальное участие в юридическом лице</v>
      </c>
      <c r="F33" s="612" t="s">
        <v>2242</v>
      </c>
      <c r="G33" s="415"/>
      <c r="H33" s="568" t="s">
        <v>129</v>
      </c>
      <c r="Q33" s="606" t="s">
        <v>2181</v>
      </c>
    </row>
    <row r="34" spans="1:17" s="129" customFormat="1" ht="26.25" customHeight="1">
      <c r="E34" s="795"/>
      <c r="F34" s="612" t="s">
        <v>2243</v>
      </c>
      <c r="G34" s="415"/>
      <c r="H34" s="580" t="s">
        <v>2238</v>
      </c>
      <c r="Q34" s="606" t="s">
        <v>2181</v>
      </c>
    </row>
    <row r="35" spans="1:17" s="129" customFormat="1" ht="39" customHeight="1">
      <c r="E35" s="795"/>
      <c r="F35" s="612" t="str">
        <f>"Преобладающий тип собственности " &amp; IF(H17="отсутствует","в индивидуальном предпринимателе","в юридическом лице")</f>
        <v>Преобладающий тип собственности в юридическом лице</v>
      </c>
      <c r="G35" s="415"/>
      <c r="H35" s="580" t="s">
        <v>2254</v>
      </c>
      <c r="Q35" s="606" t="s">
        <v>2181</v>
      </c>
    </row>
    <row r="36" spans="1:17" s="129" customFormat="1" ht="6" customHeight="1">
      <c r="A36" s="22"/>
      <c r="E36" s="576"/>
      <c r="F36" s="576"/>
      <c r="G36" s="576"/>
      <c r="H36" s="576"/>
    </row>
    <row r="37" spans="1:17" s="129" customFormat="1" ht="6" customHeight="1">
      <c r="E37" s="575"/>
      <c r="F37" s="574"/>
      <c r="G37" s="415"/>
      <c r="H37" s="415"/>
    </row>
    <row r="38" spans="1:17" s="129" customFormat="1" ht="15" customHeight="1">
      <c r="E38" s="808" t="s">
        <v>2109</v>
      </c>
      <c r="F38" s="808"/>
      <c r="G38" s="808"/>
      <c r="H38" s="808"/>
    </row>
    <row r="39" spans="1:17" s="129" customFormat="1" ht="9" customHeight="1">
      <c r="E39" s="575"/>
      <c r="F39" s="574"/>
      <c r="G39" s="415"/>
      <c r="H39" s="415"/>
    </row>
    <row r="40" spans="1:17" s="129" customFormat="1" ht="15" customHeight="1">
      <c r="E40" s="795" t="s">
        <v>132</v>
      </c>
      <c r="F40" s="573" t="s">
        <v>133</v>
      </c>
      <c r="G40" s="415"/>
      <c r="H40" s="568" t="s">
        <v>15001</v>
      </c>
      <c r="Q40" s="606" t="s">
        <v>2181</v>
      </c>
    </row>
    <row r="41" spans="1:17" s="129" customFormat="1" ht="15" customHeight="1">
      <c r="E41" s="796"/>
      <c r="F41" s="573" t="s">
        <v>111</v>
      </c>
      <c r="G41" s="415"/>
      <c r="H41" s="568" t="s">
        <v>15002</v>
      </c>
      <c r="Q41" s="606" t="s">
        <v>2181</v>
      </c>
    </row>
    <row r="42" spans="1:17" s="129" customFormat="1" ht="15" customHeight="1">
      <c r="E42" s="796"/>
      <c r="F42" s="573" t="s">
        <v>2108</v>
      </c>
      <c r="G42" s="415"/>
      <c r="H42" s="568" t="s">
        <v>15003</v>
      </c>
      <c r="Q42" s="606" t="s">
        <v>2181</v>
      </c>
    </row>
    <row r="43" spans="1:17" s="129" customFormat="1" ht="15" customHeight="1">
      <c r="E43" s="796"/>
      <c r="F43" s="573" t="s">
        <v>118</v>
      </c>
      <c r="G43" s="415"/>
      <c r="H43" s="568" t="s">
        <v>15004</v>
      </c>
      <c r="Q43" s="606" t="s">
        <v>2181</v>
      </c>
    </row>
    <row r="44" spans="1:17" s="129" customFormat="1" ht="9" customHeight="1">
      <c r="E44" s="45"/>
      <c r="F44" s="415"/>
      <c r="G44" s="415"/>
      <c r="H44" s="415"/>
    </row>
    <row r="45" spans="1:17" s="129" customFormat="1" ht="11.25" customHeight="1">
      <c r="A45" s="22"/>
      <c r="E45" s="809" t="s">
        <v>13067</v>
      </c>
      <c r="F45" s="809"/>
      <c r="G45" s="809"/>
      <c r="H45" s="809"/>
    </row>
    <row r="46" spans="1:17" s="129" customFormat="1" ht="11.25" customHeight="1">
      <c r="A46" s="22"/>
      <c r="E46" s="809" t="s">
        <v>15013</v>
      </c>
      <c r="F46" s="809"/>
      <c r="G46" s="809"/>
      <c r="H46" s="809"/>
    </row>
    <row r="47" spans="1:17" s="129" customFormat="1" ht="11.25" customHeight="1">
      <c r="A47" s="22"/>
      <c r="E47" s="809" t="s">
        <v>13323</v>
      </c>
      <c r="F47" s="809"/>
      <c r="G47" s="809"/>
      <c r="H47" s="809"/>
    </row>
    <row r="48" spans="1:17" ht="9" customHeight="1"/>
    <row r="49" spans="5:8" ht="18" customHeight="1">
      <c r="E49" s="806" t="s">
        <v>311</v>
      </c>
      <c r="F49" s="807"/>
      <c r="H49" s="587" t="s">
        <v>2169</v>
      </c>
    </row>
  </sheetData>
  <sheetProtection algorithmName="SHA-512" hashValue="vsT2ln99wJ/lgmwTdnWtMblvAj3/n7SWdPV4tYWRL+9X69h5zOO1XW6F9qTKRER5g7odM2ewu8LIHBAK3PVwZw==" saltValue="ZK2IN8nf63S2qLK6/I98xQ==" spinCount="100000" sheet="1" objects="1" scenarios="1" formatColumns="0" formatRows="0"/>
  <mergeCells count="26">
    <mergeCell ref="E25:F25"/>
    <mergeCell ref="E26:F26"/>
    <mergeCell ref="E30:F30"/>
    <mergeCell ref="E31:F31"/>
    <mergeCell ref="E49:F49"/>
    <mergeCell ref="E38:H38"/>
    <mergeCell ref="E40:E43"/>
    <mergeCell ref="E45:H45"/>
    <mergeCell ref="E46:H46"/>
    <mergeCell ref="E47:H47"/>
    <mergeCell ref="E24:F24"/>
    <mergeCell ref="E27:F27"/>
    <mergeCell ref="E33:E35"/>
    <mergeCell ref="E5:H5"/>
    <mergeCell ref="E7:F7"/>
    <mergeCell ref="E9:F10"/>
    <mergeCell ref="E12:F12"/>
    <mergeCell ref="E14:F14"/>
    <mergeCell ref="E15:F15"/>
    <mergeCell ref="E16:F16"/>
    <mergeCell ref="E17:F17"/>
    <mergeCell ref="E18:F18"/>
    <mergeCell ref="E19:F19"/>
    <mergeCell ref="E20:F20"/>
    <mergeCell ref="E21:F21"/>
    <mergeCell ref="E23:F23"/>
  </mergeCells>
  <dataValidations disablePrompts="1" count="1">
    <dataValidation type="list" allowBlank="1" showInputMessage="1" showErrorMessage="1" errorTitle="Внимание" error="Пожалуйста, выберите значение из списка!" sqref="H33 H23:H27">
      <formula1>YES_NO</formula1>
    </dataValidation>
  </dataValidations>
  <hyperlinks>
    <hyperlink ref="J30" location="'Титульный'!A1" tooltip="Перейти к поиску ОГРН / ОГРНИП" display="Как узнать"/>
    <hyperlink ref="J31" location="'Титульный'!A1" tooltip="Перейти к поиску ОКПО" display="Как узнать?"/>
    <hyperlink ref="J18" location="'Титульный'!A1" tooltip="Перейти к поиску ОГРН / ОГРНИП" display="Как узнать"/>
  </hyperlinks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Title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ntry="1" codeName="LIST_MO">
    <tabColor indexed="11"/>
  </sheetPr>
  <dimension ref="A1:EM19"/>
  <sheetViews>
    <sheetView showGridLines="0" topLeftCell="C3" zoomScale="90" zoomScaleNormal="90" workbookViewId="0">
      <selection activeCell="H16" sqref="H16"/>
    </sheetView>
  </sheetViews>
  <sheetFormatPr defaultColWidth="9.125" defaultRowHeight="11.4"/>
  <cols>
    <col min="1" max="1" width="3.625" style="22" hidden="1" customWidth="1"/>
    <col min="2" max="2" width="3.625" style="20" hidden="1" customWidth="1"/>
    <col min="3" max="3" width="3.75" style="20" customWidth="1"/>
    <col min="4" max="4" width="3.75" hidden="1" customWidth="1"/>
    <col min="5" max="5" width="3.75" style="20" customWidth="1"/>
    <col min="6" max="6" width="6.75" style="20" customWidth="1"/>
    <col min="7" max="8" width="27.75" style="20" customWidth="1"/>
    <col min="9" max="9" width="17.75" style="21" customWidth="1"/>
    <col min="10" max="10" width="23.625" style="21" customWidth="1"/>
    <col min="11" max="12" width="1.75" style="20" hidden="1" customWidth="1"/>
    <col min="13" max="13" width="11.75" style="20" customWidth="1"/>
    <col min="14" max="14" width="24.75" style="20" customWidth="1"/>
    <col min="15" max="15" width="1.75" style="20" hidden="1" customWidth="1"/>
    <col min="16" max="16" width="19.75" style="20" customWidth="1"/>
    <col min="17" max="17" width="12.75" style="20" hidden="1" customWidth="1"/>
    <col min="18" max="28" width="1.75" style="20" hidden="1" customWidth="1"/>
    <col min="29" max="29" width="24.75" style="22" customWidth="1"/>
    <col min="30" max="35" width="1.75" style="20" hidden="1" customWidth="1"/>
    <col min="36" max="36" width="24.75" style="2" hidden="1" customWidth="1"/>
    <col min="37" max="42" width="1.75" style="20" hidden="1" customWidth="1"/>
    <col min="43" max="43" width="24.875" style="2" hidden="1" customWidth="1"/>
    <col min="44" max="73" width="1.75" style="20" hidden="1" customWidth="1"/>
    <col min="74" max="74" width="21.75" style="20" customWidth="1"/>
    <col min="75" max="86" width="1.75" style="20" hidden="1" customWidth="1"/>
    <col min="87" max="87" width="0.75" style="2" customWidth="1"/>
    <col min="88" max="99" width="8.75" style="2" customWidth="1"/>
    <col min="100" max="142" width="1.75" style="20" hidden="1" customWidth="1"/>
    <col min="143" max="143" width="0.125" style="20" customWidth="1"/>
    <col min="144" max="16384" width="9.125" style="2"/>
  </cols>
  <sheetData>
    <row r="1" spans="1:143" s="20" customFormat="1" ht="12" hidden="1" customHeight="1">
      <c r="A1" s="19"/>
      <c r="D1"/>
      <c r="AC1" s="22"/>
    </row>
    <row r="2" spans="1:143" s="20" customFormat="1" ht="12" hidden="1" customHeight="1">
      <c r="A2" s="19"/>
      <c r="D2"/>
      <c r="E2"/>
      <c r="F2" s="48"/>
      <c r="G2" s="48"/>
      <c r="H2" s="48"/>
      <c r="I2" s="48"/>
      <c r="J2" s="48"/>
      <c r="AC2" s="27"/>
    </row>
    <row r="3" spans="1:143" s="20" customFormat="1" ht="9.75" customHeight="1">
      <c r="A3" s="19"/>
      <c r="D3"/>
      <c r="E3" s="23"/>
      <c r="F3" s="23"/>
      <c r="G3" s="23"/>
      <c r="H3" s="23"/>
      <c r="I3" s="23"/>
      <c r="J3" s="23"/>
      <c r="AC3" s="23"/>
    </row>
    <row r="4" spans="1:143" s="20" customFormat="1" ht="15" customHeight="1">
      <c r="A4" s="19"/>
      <c r="C4" s="52"/>
      <c r="D4"/>
      <c r="E4" s="52"/>
      <c r="G4" s="817" t="str">
        <f>"Перечень муниципальных образований, на территории которых организация оказывает услуги " &amp; TEMPLATE_SPHERE</f>
        <v>Перечень муниципальных образований, на территории которых организация оказывает услуги теплоснабжения</v>
      </c>
      <c r="H4" s="818"/>
      <c r="I4" s="818"/>
      <c r="J4" s="818"/>
      <c r="K4" s="818"/>
      <c r="L4" s="818"/>
      <c r="M4" s="818"/>
      <c r="N4" s="81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27"/>
      <c r="AD4" s="50"/>
      <c r="AE4" s="50"/>
      <c r="AF4" s="50"/>
      <c r="AG4" s="50"/>
      <c r="AH4" s="50"/>
      <c r="AI4" s="50"/>
      <c r="AK4" s="50"/>
      <c r="AL4" s="50"/>
      <c r="AM4" s="50"/>
      <c r="AN4" s="50"/>
      <c r="AO4" s="50"/>
      <c r="AP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</row>
    <row r="5" spans="1:143" s="20" customFormat="1" ht="9" customHeight="1">
      <c r="A5" s="19"/>
      <c r="D5"/>
      <c r="E5" s="51"/>
      <c r="F5" s="51"/>
      <c r="G5" s="51"/>
      <c r="H5" s="51"/>
      <c r="I5" s="822"/>
      <c r="J5" s="822"/>
      <c r="K5" s="50"/>
      <c r="L5" s="50"/>
      <c r="M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27"/>
      <c r="AD5" s="50"/>
      <c r="AE5" s="50"/>
      <c r="AF5" s="50"/>
      <c r="AG5" s="50"/>
      <c r="AH5" s="50"/>
      <c r="AI5" s="50"/>
      <c r="AK5" s="50"/>
      <c r="AL5" s="50"/>
      <c r="AM5" s="50"/>
      <c r="AN5" s="50"/>
      <c r="AO5" s="50"/>
      <c r="AP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</row>
    <row r="6" spans="1:143" s="20" customFormat="1" ht="12" hidden="1" customHeight="1">
      <c r="A6" s="19"/>
      <c r="D6"/>
      <c r="E6" s="51"/>
      <c r="F6" s="51"/>
      <c r="G6" s="51"/>
      <c r="H6" s="51"/>
    </row>
    <row r="7" spans="1:143" s="20" customFormat="1" ht="12" hidden="1" customHeight="1">
      <c r="A7" s="19"/>
      <c r="D7"/>
      <c r="E7" s="51"/>
      <c r="F7" s="51"/>
      <c r="G7" s="51"/>
      <c r="H7" s="51"/>
    </row>
    <row r="8" spans="1:143" s="20" customFormat="1" ht="12" hidden="1" customHeight="1">
      <c r="A8" s="19"/>
      <c r="D8"/>
      <c r="E8" s="51"/>
      <c r="F8" s="51"/>
      <c r="G8" s="51"/>
      <c r="H8" s="51"/>
    </row>
    <row r="9" spans="1:143" s="20" customFormat="1" ht="12" hidden="1" customHeight="1">
      <c r="A9" s="19"/>
      <c r="D9"/>
      <c r="E9" s="51"/>
      <c r="F9" s="51"/>
      <c r="G9" s="51"/>
      <c r="H9" s="51"/>
    </row>
    <row r="10" spans="1:143" s="20" customFormat="1" ht="12" hidden="1" customHeight="1">
      <c r="A10" s="19"/>
      <c r="D10"/>
      <c r="E10" s="51"/>
      <c r="F10" s="51"/>
      <c r="G10" s="51"/>
      <c r="I10" s="21"/>
      <c r="J10" s="21"/>
      <c r="K10" s="21"/>
      <c r="L10" s="21"/>
      <c r="M10" s="21"/>
      <c r="N10" s="21"/>
      <c r="O10" s="21"/>
      <c r="P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</row>
    <row r="11" spans="1:143" s="20" customFormat="1" ht="12" hidden="1" customHeight="1">
      <c r="A11" s="19"/>
      <c r="D11"/>
      <c r="E11" s="51"/>
      <c r="F11" s="51"/>
      <c r="G11" s="51"/>
      <c r="H11" s="51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</row>
    <row r="12" spans="1:143" ht="12" customHeight="1">
      <c r="E12" s="51"/>
      <c r="F12" s="814" t="s">
        <v>104</v>
      </c>
      <c r="G12" s="813" t="s">
        <v>121</v>
      </c>
      <c r="H12" s="813" t="s">
        <v>122</v>
      </c>
      <c r="I12" s="813" t="s">
        <v>106</v>
      </c>
      <c r="J12" s="813" t="s">
        <v>260</v>
      </c>
      <c r="K12" s="823"/>
      <c r="L12" s="823"/>
      <c r="M12" s="814" t="s">
        <v>127</v>
      </c>
      <c r="N12" s="815" t="s">
        <v>2179</v>
      </c>
      <c r="O12" s="572"/>
      <c r="P12" s="815" t="s">
        <v>2260</v>
      </c>
      <c r="Q12" s="824" t="s">
        <v>2250</v>
      </c>
      <c r="R12" s="572"/>
      <c r="S12" s="572"/>
      <c r="T12" s="572"/>
      <c r="U12" s="572"/>
      <c r="V12" s="572"/>
      <c r="W12" s="572"/>
      <c r="X12" s="572"/>
      <c r="Y12" s="572"/>
      <c r="Z12" s="572"/>
      <c r="AA12" s="572"/>
      <c r="AB12" s="572"/>
      <c r="AC12" s="815" t="s">
        <v>827</v>
      </c>
      <c r="AD12" s="572"/>
      <c r="AE12" s="572"/>
      <c r="AF12" s="572"/>
      <c r="AG12" s="572"/>
      <c r="AH12" s="572"/>
      <c r="AI12" s="572"/>
      <c r="AJ12" s="813" t="s">
        <v>686</v>
      </c>
      <c r="AK12" s="572"/>
      <c r="AL12" s="572"/>
      <c r="AM12" s="572"/>
      <c r="AN12" s="572"/>
      <c r="AO12" s="572"/>
      <c r="AP12" s="572"/>
      <c r="AQ12" s="813" t="s">
        <v>826</v>
      </c>
      <c r="AR12" s="572"/>
      <c r="AS12" s="572"/>
      <c r="AT12" s="572"/>
      <c r="AU12" s="572"/>
      <c r="AV12" s="572"/>
      <c r="AW12" s="572"/>
      <c r="AX12" s="572"/>
      <c r="AY12" s="572"/>
      <c r="AZ12" s="572"/>
      <c r="BA12" s="572"/>
      <c r="BB12" s="572"/>
      <c r="BC12" s="572"/>
      <c r="BD12" s="572"/>
      <c r="BE12" s="572"/>
      <c r="BF12" s="572"/>
      <c r="BG12" s="572"/>
      <c r="BH12" s="572"/>
      <c r="BI12" s="572"/>
      <c r="BJ12" s="572"/>
      <c r="BK12" s="572"/>
      <c r="BL12" s="572"/>
      <c r="BM12" s="572"/>
      <c r="BN12" s="572"/>
      <c r="BO12" s="572"/>
      <c r="BP12" s="572"/>
      <c r="BQ12" s="572"/>
      <c r="BR12" s="572"/>
      <c r="BS12" s="572"/>
      <c r="BT12" s="572"/>
      <c r="BU12" s="572"/>
      <c r="BV12" s="814" t="str">
        <f>IF(TEMPLATE_SPHERE_CODE="HEAT","Размерность тарифа на транспортировку " &amp; RESOURCE_IDENTIFIER,"")</f>
        <v>Размерность тарифа на транспортировку ТЭ</v>
      </c>
      <c r="BW12" s="572"/>
      <c r="BX12" s="572"/>
      <c r="BY12" s="572"/>
      <c r="BZ12" s="572"/>
      <c r="CA12" s="572"/>
      <c r="CB12" s="572"/>
      <c r="CC12" s="572"/>
      <c r="CD12" s="572"/>
      <c r="CE12" s="572"/>
      <c r="CF12" s="572"/>
      <c r="CG12" s="572"/>
      <c r="CH12" s="572"/>
      <c r="CI12" s="813" t="str">
        <f>"Оказание услуг в течение " &amp; god &amp; " года (все потребители, включая собственные нужды)"</f>
        <v>Оказание услуг в течение 2024 года (все потребители, включая собственные нужды)</v>
      </c>
      <c r="CJ12" s="814"/>
      <c r="CK12" s="814"/>
      <c r="CL12" s="814"/>
      <c r="CM12" s="814"/>
      <c r="CN12" s="814"/>
      <c r="CO12" s="814"/>
      <c r="CP12" s="814"/>
      <c r="CQ12" s="814"/>
      <c r="CR12" s="814"/>
      <c r="CS12" s="814"/>
      <c r="CT12" s="814"/>
      <c r="CU12" s="814"/>
      <c r="CV12" s="572"/>
      <c r="CW12" s="572"/>
      <c r="CX12" s="572"/>
      <c r="CY12" s="572"/>
      <c r="CZ12" s="572"/>
      <c r="DA12" s="572"/>
      <c r="DB12" s="572"/>
      <c r="DC12" s="572"/>
      <c r="DD12" s="572"/>
      <c r="DE12" s="572"/>
      <c r="DF12" s="572"/>
      <c r="DG12" s="572"/>
      <c r="DH12" s="572"/>
      <c r="DI12" s="572"/>
      <c r="DJ12" s="572"/>
      <c r="DK12" s="572"/>
      <c r="DL12" s="572"/>
      <c r="DM12" s="572"/>
      <c r="DN12" s="572"/>
      <c r="DO12" s="572"/>
      <c r="DP12" s="572"/>
      <c r="DQ12" s="572"/>
      <c r="DR12" s="572"/>
      <c r="DS12" s="572"/>
      <c r="DT12" s="572"/>
      <c r="DU12" s="572"/>
      <c r="DV12" s="572"/>
      <c r="DW12" s="572"/>
      <c r="DX12" s="572"/>
      <c r="DY12" s="572"/>
      <c r="DZ12" s="572"/>
      <c r="EA12" s="572"/>
      <c r="EB12" s="572"/>
      <c r="EC12" s="572"/>
      <c r="ED12" s="572"/>
      <c r="EE12" s="572"/>
      <c r="EF12" s="572"/>
      <c r="EG12" s="572"/>
      <c r="EH12" s="572"/>
      <c r="EI12" s="572"/>
      <c r="EJ12" s="572"/>
      <c r="EK12" s="572"/>
      <c r="EL12" s="572"/>
      <c r="EM12" s="572"/>
    </row>
    <row r="13" spans="1:143" ht="12" customHeight="1">
      <c r="E13" s="54"/>
      <c r="F13" s="814"/>
      <c r="G13" s="814"/>
      <c r="H13" s="814"/>
      <c r="I13" s="814"/>
      <c r="J13" s="814"/>
      <c r="K13" s="823"/>
      <c r="L13" s="823"/>
      <c r="M13" s="814"/>
      <c r="N13" s="816"/>
      <c r="O13" s="572"/>
      <c r="P13" s="820"/>
      <c r="Q13" s="824"/>
      <c r="R13" s="572"/>
      <c r="S13" s="572"/>
      <c r="T13" s="572"/>
      <c r="U13" s="572"/>
      <c r="V13" s="572"/>
      <c r="W13" s="572"/>
      <c r="X13" s="572"/>
      <c r="Y13" s="572"/>
      <c r="Z13" s="572"/>
      <c r="AA13" s="572"/>
      <c r="AB13" s="572"/>
      <c r="AC13" s="820"/>
      <c r="AD13" s="572"/>
      <c r="AE13" s="572"/>
      <c r="AF13" s="572"/>
      <c r="AG13" s="572"/>
      <c r="AH13" s="572"/>
      <c r="AI13" s="572"/>
      <c r="AJ13" s="814"/>
      <c r="AK13" s="572"/>
      <c r="AL13" s="572"/>
      <c r="AM13" s="572"/>
      <c r="AN13" s="572"/>
      <c r="AO13" s="572"/>
      <c r="AP13" s="572"/>
      <c r="AQ13" s="814"/>
      <c r="AR13" s="572"/>
      <c r="AS13" s="572"/>
      <c r="AT13" s="572"/>
      <c r="AU13" s="572"/>
      <c r="AV13" s="572"/>
      <c r="AW13" s="572"/>
      <c r="AX13" s="572"/>
      <c r="AY13" s="572"/>
      <c r="AZ13" s="572"/>
      <c r="BA13" s="572"/>
      <c r="BB13" s="572"/>
      <c r="BC13" s="572"/>
      <c r="BD13" s="572"/>
      <c r="BE13" s="572"/>
      <c r="BF13" s="572"/>
      <c r="BG13" s="572"/>
      <c r="BH13" s="572"/>
      <c r="BI13" s="572"/>
      <c r="BJ13" s="572"/>
      <c r="BK13" s="572"/>
      <c r="BL13" s="572"/>
      <c r="BM13" s="572"/>
      <c r="BN13" s="572"/>
      <c r="BO13" s="572"/>
      <c r="BP13" s="572"/>
      <c r="BQ13" s="572"/>
      <c r="BR13" s="572"/>
      <c r="BS13" s="572"/>
      <c r="BT13" s="572"/>
      <c r="BU13" s="572"/>
      <c r="BV13" s="814"/>
      <c r="BW13" s="572"/>
      <c r="BX13" s="572"/>
      <c r="BY13" s="572"/>
      <c r="BZ13" s="572"/>
      <c r="CA13" s="572"/>
      <c r="CB13" s="572"/>
      <c r="CC13" s="572"/>
      <c r="CD13" s="572"/>
      <c r="CE13" s="572"/>
      <c r="CF13" s="572"/>
      <c r="CG13" s="572"/>
      <c r="CH13" s="572"/>
      <c r="CI13" s="811"/>
      <c r="CJ13" s="811" t="s">
        <v>687</v>
      </c>
      <c r="CK13" s="811" t="s">
        <v>261</v>
      </c>
      <c r="CL13" s="811" t="s">
        <v>262</v>
      </c>
      <c r="CM13" s="811" t="s">
        <v>263</v>
      </c>
      <c r="CN13" s="811" t="s">
        <v>264</v>
      </c>
      <c r="CO13" s="811" t="s">
        <v>265</v>
      </c>
      <c r="CP13" s="811" t="s">
        <v>266</v>
      </c>
      <c r="CQ13" s="811" t="s">
        <v>267</v>
      </c>
      <c r="CR13" s="811" t="s">
        <v>268</v>
      </c>
      <c r="CS13" s="811" t="s">
        <v>269</v>
      </c>
      <c r="CT13" s="811" t="s">
        <v>270</v>
      </c>
      <c r="CU13" s="811" t="s">
        <v>271</v>
      </c>
      <c r="CV13" s="572"/>
      <c r="CW13" s="572"/>
      <c r="CX13" s="572"/>
      <c r="CY13" s="572"/>
      <c r="CZ13" s="572"/>
      <c r="DA13" s="572"/>
      <c r="DB13" s="572"/>
      <c r="DC13" s="572"/>
      <c r="DD13" s="572"/>
      <c r="DE13" s="572"/>
      <c r="DF13" s="572"/>
      <c r="DG13" s="572"/>
      <c r="DH13" s="572"/>
      <c r="DI13" s="572"/>
      <c r="DJ13" s="572"/>
      <c r="DK13" s="572"/>
      <c r="DL13" s="572"/>
      <c r="DM13" s="572"/>
      <c r="DN13" s="572"/>
      <c r="DO13" s="572"/>
      <c r="DP13" s="572"/>
      <c r="DQ13" s="572"/>
      <c r="DR13" s="572"/>
      <c r="DS13" s="572"/>
      <c r="DT13" s="572"/>
      <c r="DU13" s="572"/>
      <c r="DV13" s="572"/>
      <c r="DW13" s="572"/>
      <c r="DX13" s="572"/>
      <c r="DY13" s="572"/>
      <c r="DZ13" s="572"/>
      <c r="EA13" s="572"/>
      <c r="EB13" s="572"/>
      <c r="EC13" s="572"/>
      <c r="ED13" s="572"/>
      <c r="EE13" s="572"/>
      <c r="EF13" s="572"/>
      <c r="EG13" s="572"/>
      <c r="EH13" s="572"/>
      <c r="EI13" s="572"/>
      <c r="EJ13" s="572"/>
      <c r="EK13" s="572"/>
      <c r="EL13" s="572"/>
      <c r="EM13" s="572"/>
    </row>
    <row r="14" spans="1:143" s="20" customFormat="1" ht="12" customHeight="1">
      <c r="A14" s="22"/>
      <c r="D14"/>
      <c r="E14" s="54"/>
      <c r="F14" s="814"/>
      <c r="G14" s="814"/>
      <c r="H14" s="814"/>
      <c r="I14" s="814"/>
      <c r="J14" s="814"/>
      <c r="K14" s="823"/>
      <c r="L14" s="823"/>
      <c r="M14" s="814"/>
      <c r="N14" s="812"/>
      <c r="O14" s="572"/>
      <c r="P14" s="821"/>
      <c r="Q14" s="824"/>
      <c r="R14" s="572"/>
      <c r="S14" s="572"/>
      <c r="T14" s="572"/>
      <c r="U14" s="572"/>
      <c r="V14" s="572"/>
      <c r="W14" s="572"/>
      <c r="X14" s="572"/>
      <c r="Y14" s="572"/>
      <c r="Z14" s="572"/>
      <c r="AA14" s="572"/>
      <c r="AB14" s="572"/>
      <c r="AC14" s="821"/>
      <c r="AD14" s="572"/>
      <c r="AE14" s="572"/>
      <c r="AF14" s="572"/>
      <c r="AG14" s="572"/>
      <c r="AH14" s="572"/>
      <c r="AI14" s="572"/>
      <c r="AJ14" s="814"/>
      <c r="AK14" s="572"/>
      <c r="AL14" s="572"/>
      <c r="AM14" s="572"/>
      <c r="AN14" s="572"/>
      <c r="AO14" s="572"/>
      <c r="AP14" s="572"/>
      <c r="AQ14" s="814"/>
      <c r="AR14" s="572"/>
      <c r="AS14" s="572"/>
      <c r="AT14" s="572"/>
      <c r="AU14" s="572"/>
      <c r="AV14" s="572"/>
      <c r="AW14" s="572"/>
      <c r="AX14" s="572"/>
      <c r="AY14" s="572"/>
      <c r="AZ14" s="572"/>
      <c r="BA14" s="572"/>
      <c r="BB14" s="572"/>
      <c r="BC14" s="572"/>
      <c r="BD14" s="572"/>
      <c r="BE14" s="572"/>
      <c r="BF14" s="572"/>
      <c r="BG14" s="572"/>
      <c r="BH14" s="572"/>
      <c r="BI14" s="572"/>
      <c r="BJ14" s="572"/>
      <c r="BK14" s="572"/>
      <c r="BL14" s="572"/>
      <c r="BM14" s="572"/>
      <c r="BN14" s="572"/>
      <c r="BO14" s="572"/>
      <c r="BP14" s="572"/>
      <c r="BQ14" s="572"/>
      <c r="BR14" s="572"/>
      <c r="BS14" s="572"/>
      <c r="BT14" s="572"/>
      <c r="BU14" s="572"/>
      <c r="BV14" s="814"/>
      <c r="BW14" s="572"/>
      <c r="BX14" s="572"/>
      <c r="BY14" s="572"/>
      <c r="BZ14" s="572"/>
      <c r="CA14" s="572"/>
      <c r="CB14" s="572"/>
      <c r="CC14" s="572"/>
      <c r="CD14" s="572"/>
      <c r="CE14" s="572"/>
      <c r="CF14" s="572"/>
      <c r="CG14" s="572"/>
      <c r="CH14" s="572"/>
      <c r="CI14" s="812"/>
      <c r="CJ14" s="812"/>
      <c r="CK14" s="812"/>
      <c r="CL14" s="812"/>
      <c r="CM14" s="812"/>
      <c r="CN14" s="812"/>
      <c r="CO14" s="812"/>
      <c r="CP14" s="812"/>
      <c r="CQ14" s="812"/>
      <c r="CR14" s="812"/>
      <c r="CS14" s="812"/>
      <c r="CT14" s="812"/>
      <c r="CU14" s="812"/>
      <c r="CV14" s="572"/>
      <c r="CW14" s="572"/>
      <c r="CX14" s="572"/>
      <c r="CY14" s="572"/>
      <c r="CZ14" s="572"/>
      <c r="DA14" s="572"/>
      <c r="DB14" s="572"/>
      <c r="DC14" s="572"/>
      <c r="DD14" s="572"/>
      <c r="DE14" s="572"/>
      <c r="DF14" s="572"/>
      <c r="DG14" s="572"/>
      <c r="DH14" s="572"/>
      <c r="DI14" s="572"/>
      <c r="DJ14" s="572"/>
      <c r="DK14" s="572"/>
      <c r="DL14" s="572"/>
      <c r="DM14" s="572"/>
      <c r="DN14" s="572"/>
      <c r="DO14" s="572"/>
      <c r="DP14" s="572"/>
      <c r="DQ14" s="572"/>
      <c r="DR14" s="572"/>
      <c r="DS14" s="572"/>
      <c r="DT14" s="572"/>
      <c r="DU14" s="572"/>
      <c r="DV14" s="572"/>
      <c r="DW14" s="572"/>
      <c r="DX14" s="572"/>
      <c r="DY14" s="572"/>
      <c r="DZ14" s="572"/>
      <c r="EA14" s="572"/>
      <c r="EB14" s="572"/>
      <c r="EC14" s="572"/>
      <c r="ED14" s="572"/>
      <c r="EE14" s="572"/>
      <c r="EF14" s="572"/>
      <c r="EG14" s="572"/>
      <c r="EH14" s="572"/>
      <c r="EI14" s="572"/>
      <c r="EJ14" s="572"/>
      <c r="EK14" s="572"/>
      <c r="EL14" s="572"/>
      <c r="EM14" s="572"/>
    </row>
    <row r="15" spans="1:143" ht="0.75" customHeight="1">
      <c r="E15" s="54"/>
      <c r="F15" s="141">
        <v>0</v>
      </c>
      <c r="G15" s="60"/>
      <c r="H15" s="60"/>
      <c r="I15" s="60"/>
      <c r="J15" s="60"/>
      <c r="K15" s="402"/>
      <c r="L15" s="402"/>
      <c r="M15" s="60"/>
      <c r="N15" s="60"/>
      <c r="O15" s="402"/>
      <c r="P15" s="60"/>
      <c r="Q15" s="402"/>
      <c r="R15" s="402"/>
      <c r="S15" s="402"/>
      <c r="T15" s="402"/>
      <c r="U15" s="402"/>
      <c r="V15" s="402"/>
      <c r="W15" s="402"/>
      <c r="X15" s="402"/>
      <c r="Y15" s="402"/>
      <c r="Z15" s="402"/>
      <c r="AA15" s="402"/>
      <c r="AB15" s="402"/>
      <c r="AC15" s="60"/>
      <c r="AD15" s="402"/>
      <c r="AE15" s="402"/>
      <c r="AF15" s="402"/>
      <c r="AG15" s="402"/>
      <c r="AH15" s="402"/>
      <c r="AI15" s="402"/>
      <c r="AJ15" s="60"/>
      <c r="AK15" s="402"/>
      <c r="AL15" s="402"/>
      <c r="AM15" s="402"/>
      <c r="AN15" s="402"/>
      <c r="AO15" s="402"/>
      <c r="AP15" s="402"/>
      <c r="AQ15" s="60"/>
      <c r="AR15" s="402"/>
      <c r="AS15" s="402"/>
      <c r="AT15" s="402"/>
      <c r="AU15" s="402"/>
      <c r="AV15" s="402"/>
      <c r="AW15" s="402"/>
      <c r="AX15" s="402"/>
      <c r="AY15" s="402"/>
      <c r="AZ15" s="402"/>
      <c r="BA15" s="402"/>
      <c r="BB15" s="402"/>
      <c r="BC15" s="402"/>
      <c r="BD15" s="402"/>
      <c r="BE15" s="402"/>
      <c r="BF15" s="402"/>
      <c r="BG15" s="402"/>
      <c r="BH15" s="402"/>
      <c r="BI15" s="402"/>
      <c r="BJ15" s="402"/>
      <c r="BK15" s="402"/>
      <c r="BL15" s="402"/>
      <c r="BM15" s="402"/>
      <c r="BN15" s="402"/>
      <c r="BO15" s="402"/>
      <c r="BP15" s="402"/>
      <c r="BQ15" s="402"/>
      <c r="BR15" s="402"/>
      <c r="BS15" s="402"/>
      <c r="BT15" s="402"/>
      <c r="BU15" s="402"/>
      <c r="BV15" s="60"/>
      <c r="BW15" s="402"/>
      <c r="BX15" s="402"/>
      <c r="BY15" s="402"/>
      <c r="BZ15" s="402"/>
      <c r="CA15" s="402"/>
      <c r="CB15" s="402"/>
      <c r="CC15" s="402"/>
      <c r="CD15" s="402"/>
      <c r="CE15" s="402"/>
      <c r="CF15" s="402"/>
      <c r="CG15" s="402"/>
      <c r="CH15" s="402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402"/>
      <c r="CW15" s="402"/>
      <c r="CX15" s="402"/>
      <c r="CY15" s="402"/>
      <c r="CZ15" s="402"/>
      <c r="DA15" s="402"/>
      <c r="DB15" s="402"/>
      <c r="DC15" s="402"/>
      <c r="DD15" s="402"/>
      <c r="DE15" s="402"/>
      <c r="DF15" s="402"/>
      <c r="DG15" s="402"/>
      <c r="DH15" s="402"/>
      <c r="DI15" s="402"/>
      <c r="DJ15" s="402"/>
      <c r="DK15" s="402"/>
      <c r="DL15" s="402"/>
      <c r="DM15" s="402"/>
      <c r="DN15" s="402"/>
      <c r="DO15" s="402"/>
      <c r="DP15" s="402"/>
      <c r="DQ15" s="402"/>
      <c r="DR15" s="402"/>
      <c r="DS15" s="402"/>
      <c r="DT15" s="402"/>
      <c r="DU15" s="402"/>
      <c r="DV15" s="402"/>
      <c r="DW15" s="402"/>
      <c r="DX15" s="402"/>
      <c r="DY15" s="402"/>
      <c r="DZ15" s="402"/>
      <c r="EA15" s="402"/>
      <c r="EB15" s="402"/>
      <c r="EC15" s="402"/>
      <c r="ED15" s="402"/>
      <c r="EE15" s="402"/>
      <c r="EF15" s="402"/>
      <c r="EG15" s="402"/>
      <c r="EH15" s="402"/>
      <c r="EI15" s="402"/>
      <c r="EJ15" s="402"/>
      <c r="EK15" s="402"/>
      <c r="EL15" s="402"/>
      <c r="EM15" s="430"/>
    </row>
    <row r="16" spans="1:143" ht="36" customHeight="1">
      <c r="D16" s="216"/>
      <c r="E16" s="217" t="s">
        <v>592</v>
      </c>
      <c r="F16" s="752" t="s">
        <v>105</v>
      </c>
      <c r="G16" s="568" t="s">
        <v>3128</v>
      </c>
      <c r="H16" s="585" t="s">
        <v>3128</v>
      </c>
      <c r="I16" s="453" t="s">
        <v>3129</v>
      </c>
      <c r="J16" s="586" t="str">
        <f>IF(LEN(I16)=0,"",VLOOKUP(I16,OKTMO_VS_TYPE_LIST,2,FALSE))</f>
        <v>городской округ</v>
      </c>
      <c r="K16" s="430"/>
      <c r="L16" s="430"/>
      <c r="M16" s="613" t="str">
        <f>IF(TAX="","",TAX)</f>
        <v>да</v>
      </c>
      <c r="N16" s="597"/>
      <c r="O16" s="430"/>
      <c r="P16" s="617"/>
      <c r="Q16" s="614">
        <f>IF('Список объектов'!$Q$16="","Не определено",'Список объектов'!$Q$16)</f>
        <v>1</v>
      </c>
      <c r="R16" s="430"/>
      <c r="S16" s="760">
        <f>IF(КС!$Q$16="","Не определено",КС!$Q$16)</f>
        <v>0</v>
      </c>
      <c r="T16" s="760">
        <f>IF(ТН!$Q$16="","Не определено",ТН!$Q$16)</f>
        <v>0</v>
      </c>
      <c r="U16" s="430"/>
      <c r="V16" s="430" t="s">
        <v>14993</v>
      </c>
      <c r="W16" s="430"/>
      <c r="X16" s="430"/>
      <c r="Y16" s="430"/>
      <c r="Z16" s="430"/>
      <c r="AA16" s="430"/>
      <c r="AB16" s="430"/>
      <c r="AC16" s="597" t="s">
        <v>15005</v>
      </c>
      <c r="AD16" s="430"/>
      <c r="AE16" s="430"/>
      <c r="AF16" s="430"/>
      <c r="AG16" s="430"/>
      <c r="AH16" s="430"/>
      <c r="AI16" s="430"/>
      <c r="AJ16" s="598"/>
      <c r="AK16" s="430"/>
      <c r="AL16" s="430"/>
      <c r="AM16" s="430"/>
      <c r="AN16" s="430"/>
      <c r="AO16" s="430"/>
      <c r="AP16" s="430"/>
      <c r="AQ16" s="598"/>
      <c r="AR16" s="430"/>
      <c r="AS16" s="430"/>
      <c r="AT16" s="430"/>
      <c r="AU16" s="430"/>
      <c r="AV16" s="430"/>
      <c r="AW16" s="430"/>
      <c r="AX16" s="430"/>
      <c r="AY16" s="430"/>
      <c r="AZ16" s="430"/>
      <c r="BA16" s="430"/>
      <c r="BB16" s="430"/>
      <c r="BC16" s="430"/>
      <c r="BD16" s="430"/>
      <c r="BE16" s="430"/>
      <c r="BF16" s="430"/>
      <c r="BG16" s="430"/>
      <c r="BH16" s="430"/>
      <c r="BI16" s="430"/>
      <c r="BJ16" s="430"/>
      <c r="BK16" s="430"/>
      <c r="BL16" s="430"/>
      <c r="BM16" s="430"/>
      <c r="BN16" s="430"/>
      <c r="BO16" s="430"/>
      <c r="BP16" s="430"/>
      <c r="BQ16" s="430"/>
      <c r="BR16" s="430"/>
      <c r="BS16" s="430"/>
      <c r="BT16" s="430"/>
      <c r="BU16" s="430"/>
      <c r="BV16" s="618"/>
      <c r="BW16" s="430"/>
      <c r="BX16" s="430"/>
      <c r="BY16" s="430"/>
      <c r="BZ16" s="430"/>
      <c r="CA16" s="430"/>
      <c r="CB16" s="430"/>
      <c r="CC16" s="430"/>
      <c r="CD16" s="430"/>
      <c r="CE16" s="430"/>
      <c r="CF16" s="430"/>
      <c r="CG16" s="430"/>
      <c r="CH16" s="430"/>
      <c r="CI16" s="454"/>
      <c r="CJ16" s="455" t="s">
        <v>1300</v>
      </c>
      <c r="CK16" s="455" t="s">
        <v>1300</v>
      </c>
      <c r="CL16" s="455" t="s">
        <v>1300</v>
      </c>
      <c r="CM16" s="455" t="s">
        <v>1300</v>
      </c>
      <c r="CN16" s="455" t="s">
        <v>1300</v>
      </c>
      <c r="CO16" s="455" t="s">
        <v>1300</v>
      </c>
      <c r="CP16" s="455" t="s">
        <v>1300</v>
      </c>
      <c r="CQ16" s="455" t="s">
        <v>1300</v>
      </c>
      <c r="CR16" s="455" t="s">
        <v>1300</v>
      </c>
      <c r="CS16" s="455" t="s">
        <v>1300</v>
      </c>
      <c r="CT16" s="455" t="s">
        <v>1300</v>
      </c>
      <c r="CU16" s="455" t="s">
        <v>1300</v>
      </c>
      <c r="CV16" s="430"/>
      <c r="CW16" s="430"/>
      <c r="CX16" s="430"/>
      <c r="CY16" s="430"/>
      <c r="CZ16" s="430"/>
      <c r="DA16" s="430"/>
      <c r="DB16" s="430"/>
      <c r="DC16" s="430"/>
      <c r="DD16" s="430"/>
      <c r="DE16" s="430"/>
      <c r="DF16" s="430"/>
      <c r="DG16" s="430"/>
      <c r="DH16" s="430"/>
      <c r="DI16" s="430"/>
      <c r="DJ16" s="430"/>
      <c r="DK16" s="430"/>
      <c r="DL16" s="430"/>
      <c r="DM16" s="430"/>
      <c r="DN16" s="430"/>
      <c r="DO16" s="430"/>
      <c r="DP16" s="430"/>
      <c r="DQ16" s="430"/>
      <c r="DR16" s="430"/>
      <c r="DS16" s="430"/>
      <c r="DT16" s="430"/>
      <c r="DU16" s="430"/>
      <c r="DV16" s="430"/>
      <c r="DW16" s="430"/>
      <c r="DX16" s="430"/>
      <c r="DY16" s="430"/>
      <c r="DZ16" s="430"/>
      <c r="EA16" s="430"/>
      <c r="EB16" s="430"/>
      <c r="EC16" s="430"/>
      <c r="ED16" s="430"/>
      <c r="EE16" s="430"/>
      <c r="EF16" s="430"/>
      <c r="EG16" s="430"/>
      <c r="EH16" s="430"/>
      <c r="EI16" s="430"/>
      <c r="EJ16" s="430"/>
      <c r="EK16" s="430"/>
      <c r="EL16" s="430"/>
      <c r="EM16" s="430"/>
    </row>
    <row r="17" spans="1:143" ht="12" customHeight="1">
      <c r="C17" s="20" t="s">
        <v>605</v>
      </c>
      <c r="E17" s="236"/>
      <c r="F17" s="137"/>
      <c r="G17" s="584" t="s">
        <v>2114</v>
      </c>
      <c r="H17" s="138"/>
      <c r="I17" s="138"/>
      <c r="J17" s="138"/>
      <c r="K17" s="138"/>
      <c r="L17" s="138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38"/>
      <c r="X17" s="138"/>
      <c r="Y17" s="138"/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  <c r="BE17" s="138"/>
      <c r="BF17" s="138"/>
      <c r="BG17" s="138"/>
      <c r="BH17" s="138"/>
      <c r="BI17" s="138"/>
      <c r="BJ17" s="138"/>
      <c r="BK17" s="138"/>
      <c r="BL17" s="138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A17" s="138"/>
      <c r="CB17" s="138"/>
      <c r="CC17" s="138"/>
      <c r="CD17" s="138"/>
      <c r="CE17" s="138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8"/>
      <c r="DG17" s="138"/>
      <c r="DH17" s="138"/>
      <c r="DI17" s="138"/>
      <c r="DJ17" s="138"/>
      <c r="DK17" s="138"/>
      <c r="DL17" s="138"/>
      <c r="DM17" s="138"/>
      <c r="DN17" s="138"/>
      <c r="DO17" s="138"/>
      <c r="DP17" s="138"/>
      <c r="DQ17" s="138"/>
      <c r="DR17" s="138"/>
      <c r="DS17" s="138"/>
      <c r="DT17" s="138"/>
      <c r="DU17" s="138"/>
      <c r="DV17" s="138"/>
      <c r="DW17" s="138"/>
      <c r="DX17" s="138"/>
      <c r="DY17" s="138"/>
      <c r="DZ17" s="138"/>
      <c r="EA17" s="138"/>
      <c r="EB17" s="138"/>
      <c r="EC17" s="138"/>
      <c r="ED17" s="138"/>
      <c r="EE17" s="138"/>
      <c r="EF17" s="138"/>
      <c r="EG17" s="138"/>
      <c r="EH17" s="138"/>
      <c r="EI17" s="138"/>
      <c r="EJ17" s="138"/>
      <c r="EK17" s="138"/>
      <c r="EL17" s="138"/>
      <c r="EM17" s="426"/>
    </row>
    <row r="18" spans="1:143" s="20" customFormat="1">
      <c r="D18"/>
      <c r="E18" s="23" t="s">
        <v>734</v>
      </c>
      <c r="F18" s="135"/>
      <c r="G18" s="135"/>
      <c r="H18" s="135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36"/>
      <c r="AS18" s="136"/>
      <c r="AT18" s="136"/>
      <c r="AU18" s="136"/>
      <c r="AV18" s="136"/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36"/>
      <c r="BH18" s="136"/>
      <c r="BI18" s="136"/>
      <c r="BJ18" s="136"/>
      <c r="BK18" s="136"/>
      <c r="BL18" s="136"/>
      <c r="BM18" s="136"/>
      <c r="BN18" s="136"/>
      <c r="BO18" s="136"/>
      <c r="BP18" s="136"/>
      <c r="BQ18" s="136"/>
      <c r="BR18" s="136"/>
      <c r="BS18" s="136"/>
      <c r="BT18" s="136"/>
      <c r="BU18" s="136"/>
      <c r="BV18" s="136"/>
      <c r="BW18" s="136"/>
      <c r="BX18" s="136"/>
      <c r="BY18" s="136"/>
      <c r="BZ18" s="136"/>
      <c r="CA18" s="136"/>
      <c r="CB18" s="136"/>
      <c r="CC18" s="136"/>
      <c r="CD18" s="136"/>
      <c r="CE18" s="136"/>
      <c r="CF18" s="136"/>
      <c r="CG18" s="136"/>
      <c r="CH18" s="136"/>
      <c r="CI18" s="135"/>
      <c r="CJ18" s="135"/>
      <c r="CK18" s="135"/>
      <c r="CL18" s="135"/>
      <c r="CM18" s="135"/>
      <c r="CN18" s="135"/>
      <c r="CO18" s="135"/>
      <c r="CP18" s="135"/>
      <c r="CQ18" s="135"/>
      <c r="CR18" s="135"/>
      <c r="CS18" s="135"/>
      <c r="CT18" s="135"/>
      <c r="CU18" s="135"/>
      <c r="CV18" s="136"/>
      <c r="CW18" s="136"/>
      <c r="CX18" s="136"/>
      <c r="CY18" s="136"/>
      <c r="CZ18" s="136"/>
      <c r="DA18" s="136"/>
      <c r="DB18" s="136"/>
      <c r="DC18" s="136"/>
      <c r="DD18" s="136"/>
      <c r="DE18" s="136"/>
      <c r="DF18" s="136"/>
      <c r="DG18" s="136"/>
      <c r="DH18" s="136"/>
      <c r="DI18" s="136"/>
      <c r="DJ18" s="136"/>
      <c r="DK18" s="136"/>
      <c r="DL18" s="136"/>
      <c r="DM18" s="136"/>
      <c r="DN18" s="136"/>
      <c r="DO18" s="136"/>
      <c r="DP18" s="136"/>
      <c r="DQ18" s="136"/>
      <c r="DR18" s="136"/>
      <c r="DS18" s="136"/>
      <c r="DT18" s="136"/>
      <c r="DU18" s="136"/>
      <c r="DV18" s="136"/>
      <c r="DW18" s="136"/>
      <c r="DX18" s="136"/>
      <c r="DY18" s="136"/>
      <c r="DZ18" s="136"/>
      <c r="EA18" s="136"/>
      <c r="EB18" s="136"/>
      <c r="EC18" s="136"/>
      <c r="ED18" s="136"/>
      <c r="EE18" s="136"/>
      <c r="EF18" s="136"/>
      <c r="EG18" s="136"/>
      <c r="EH18" s="136"/>
      <c r="EI18" s="136"/>
      <c r="EJ18" s="136"/>
      <c r="EK18" s="136"/>
      <c r="EL18" s="136"/>
      <c r="EM18" s="136"/>
    </row>
    <row r="19" spans="1:143" s="20" customFormat="1" ht="24" customHeight="1">
      <c r="A19" s="22"/>
      <c r="D19"/>
      <c r="F19" s="810" t="s">
        <v>3197</v>
      </c>
      <c r="G19" s="810"/>
      <c r="H19" s="810"/>
      <c r="I19" s="810"/>
      <c r="J19" s="810"/>
      <c r="K19" s="810"/>
      <c r="AC19" s="22"/>
    </row>
  </sheetData>
  <sheetProtection algorithmName="SHA-512" hashValue="SjiZItefMEoTeFWeqiFqyN5TlVw804jK2ZM4oxDDY6bT6s0qBOmOB1/tdIpDq+LnkLzFW5B5SRFkb5VAX9/dCw==" saltValue="zmA8Jjj5PwetxF1DHsJKiA==" spinCount="100000" sheet="1" objects="1" scenarios="1" formatColumns="0" formatRows="0"/>
  <mergeCells count="32">
    <mergeCell ref="AQ12:AQ14"/>
    <mergeCell ref="CQ13:CQ14"/>
    <mergeCell ref="CK13:CK14"/>
    <mergeCell ref="CL13:CL14"/>
    <mergeCell ref="BV12:BV14"/>
    <mergeCell ref="J12:J14"/>
    <mergeCell ref="H12:H14"/>
    <mergeCell ref="G12:G14"/>
    <mergeCell ref="G4:N4"/>
    <mergeCell ref="AJ12:AJ14"/>
    <mergeCell ref="AC12:AC14"/>
    <mergeCell ref="I5:J5"/>
    <mergeCell ref="L12:L14"/>
    <mergeCell ref="K12:K14"/>
    <mergeCell ref="P12:P14"/>
    <mergeCell ref="Q12:Q14"/>
    <mergeCell ref="F19:K19"/>
    <mergeCell ref="CI13:CI14"/>
    <mergeCell ref="CI12:CU12"/>
    <mergeCell ref="CJ13:CJ14"/>
    <mergeCell ref="CM13:CM14"/>
    <mergeCell ref="CN13:CN14"/>
    <mergeCell ref="CO13:CO14"/>
    <mergeCell ref="CP13:CP14"/>
    <mergeCell ref="CR13:CR14"/>
    <mergeCell ref="CS13:CS14"/>
    <mergeCell ref="CT13:CT14"/>
    <mergeCell ref="CU13:CU14"/>
    <mergeCell ref="I12:I14"/>
    <mergeCell ref="M12:M14"/>
    <mergeCell ref="N12:N14"/>
    <mergeCell ref="F12:F14"/>
  </mergeCells>
  <phoneticPr fontId="3" type="noConversion"/>
  <dataValidations count="2">
    <dataValidation type="list" allowBlank="1" showInputMessage="1" showErrorMessage="1" errorTitle="Внимание" error="Пожалуйста, выберите МР из списка!" sqref="G16">
      <formula1>MR_LIST</formula1>
    </dataValidation>
    <dataValidation type="list" showInputMessage="1" showErrorMessage="1" errorTitle="Внимание" error="Пожалуйста, выберите МО из списка" sqref="H16">
      <formula1>MO_LIST_49</formula1>
    </dataValidation>
  </dataValidations>
  <hyperlinks>
    <hyperlink ref="G17" location="'Список территорий'!A1" tooltip="Добавить территорию" display="Добавить территорию"/>
    <hyperlink ref="E16" location="'TECH_HORISONTAL'!A1" tooltip="Удалить" display="О"/>
  </hyperlinks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 codeName="LIST_SRC">
    <tabColor indexed="11"/>
  </sheetPr>
  <dimension ref="A1:CD26"/>
  <sheetViews>
    <sheetView showGridLines="0" topLeftCell="C3" zoomScale="90" zoomScaleNormal="90" workbookViewId="0">
      <pane xSplit="14" ySplit="12" topLeftCell="Q15" activePane="bottomRight" state="frozen"/>
      <selection activeCell="C3" sqref="C3"/>
      <selection pane="topRight" activeCell="Q3" sqref="Q3"/>
      <selection pane="bottomLeft" activeCell="C15" sqref="C15"/>
      <selection pane="bottomRight" activeCell="AC17" sqref="AC17"/>
    </sheetView>
  </sheetViews>
  <sheetFormatPr defaultColWidth="9.125" defaultRowHeight="11.4"/>
  <cols>
    <col min="1" max="1" width="8.75" style="22" hidden="1" customWidth="1"/>
    <col min="2" max="2" width="8.75" style="20" hidden="1" customWidth="1"/>
    <col min="3" max="3" width="3.75" style="20" customWidth="1"/>
    <col min="4" max="4" width="9.75" hidden="1" customWidth="1"/>
    <col min="5" max="5" width="3.75" style="20" customWidth="1"/>
    <col min="6" max="6" width="6.75" style="20" customWidth="1"/>
    <col min="7" max="8" width="27.875" style="20" customWidth="1"/>
    <col min="9" max="9" width="17.75" style="21" customWidth="1"/>
    <col min="10" max="16" width="1.75" style="20" hidden="1" customWidth="1"/>
    <col min="17" max="17" width="12.625" style="20" customWidth="1"/>
    <col min="18" max="18" width="8.75" style="20" hidden="1" customWidth="1"/>
    <col min="19" max="24" width="9.75" style="20" hidden="1" customWidth="1"/>
    <col min="25" max="26" width="2.75" style="20" hidden="1" customWidth="1"/>
    <col min="27" max="27" width="3.75" style="20" customWidth="1"/>
    <col min="28" max="28" width="6.75" style="20" customWidth="1"/>
    <col min="29" max="29" width="25.75" style="20" customWidth="1"/>
    <col min="30" max="30" width="14.75" style="20" customWidth="1"/>
    <col min="31" max="35" width="17.75" style="20" customWidth="1"/>
    <col min="36" max="36" width="9.75" style="20" customWidth="1"/>
    <col min="37" max="37" width="12.75" style="20" customWidth="1"/>
    <col min="38" max="38" width="11.75" style="20" customWidth="1"/>
    <col min="39" max="39" width="21.75" style="20" customWidth="1"/>
    <col min="40" max="40" width="12.75" style="22" customWidth="1"/>
    <col min="41" max="41" width="2.75" style="22" hidden="1" customWidth="1"/>
    <col min="42" max="46" width="2.75" style="2" hidden="1" customWidth="1"/>
    <col min="47" max="47" width="17.75" style="22" customWidth="1"/>
    <col min="48" max="48" width="17.75" style="2" customWidth="1"/>
    <col min="49" max="49" width="9.75" style="2" customWidth="1"/>
    <col min="50" max="50" width="12.75" style="2" customWidth="1"/>
    <col min="51" max="51" width="11.75" style="2" customWidth="1"/>
    <col min="52" max="53" width="2.75" style="2" hidden="1" customWidth="1"/>
    <col min="54" max="54" width="2.75" style="22" hidden="1" customWidth="1"/>
    <col min="55" max="59" width="2.75" style="2" hidden="1" customWidth="1"/>
    <col min="60" max="65" width="18.75" style="20" customWidth="1"/>
    <col min="66" max="67" width="1.75" style="2" hidden="1" customWidth="1"/>
    <col min="68" max="68" width="13.75" style="2" hidden="1" customWidth="1"/>
    <col min="69" max="81" width="1.75" style="2" hidden="1" customWidth="1"/>
    <col min="82" max="82" width="22.75" style="2" customWidth="1"/>
    <col min="83" max="16384" width="9.125" style="2"/>
  </cols>
  <sheetData>
    <row r="1" spans="1:82" s="20" customFormat="1" ht="12" hidden="1" customHeight="1">
      <c r="A1" s="19"/>
      <c r="D1"/>
      <c r="AK1" s="23"/>
      <c r="AL1" s="23"/>
      <c r="AM1" s="23"/>
      <c r="AN1" s="22"/>
      <c r="AO1" s="22"/>
      <c r="AU1" s="22"/>
      <c r="BB1" s="22"/>
    </row>
    <row r="2" spans="1:82" s="20" customFormat="1" ht="12" hidden="1" customHeight="1">
      <c r="A2" s="19"/>
      <c r="D2"/>
      <c r="E2"/>
      <c r="F2" s="48"/>
      <c r="G2" s="48"/>
      <c r="H2" s="48"/>
      <c r="I2" s="48"/>
      <c r="J2" s="23"/>
      <c r="K2" s="23"/>
      <c r="L2" s="23"/>
      <c r="M2" s="23"/>
      <c r="N2" s="23"/>
      <c r="O2" s="23"/>
      <c r="P2" s="23"/>
      <c r="AC2" s="23"/>
      <c r="AD2" s="23"/>
      <c r="AE2" s="23"/>
      <c r="AF2" s="23"/>
      <c r="AG2" s="23"/>
      <c r="AH2" s="23"/>
      <c r="AI2" s="23"/>
      <c r="AJ2" s="23"/>
      <c r="AL2" s="36"/>
      <c r="AM2" s="36"/>
      <c r="AN2" s="36"/>
      <c r="AO2" s="27"/>
      <c r="AP2" s="23"/>
      <c r="AQ2" s="23"/>
      <c r="AR2" s="23"/>
      <c r="AS2" s="23"/>
      <c r="AT2" s="23"/>
      <c r="AU2" s="27"/>
      <c r="BB2" s="27"/>
    </row>
    <row r="3" spans="1:82" s="20" customFormat="1" ht="9.75" customHeight="1">
      <c r="A3" s="19"/>
      <c r="D3"/>
      <c r="E3" s="23"/>
      <c r="F3" s="23"/>
      <c r="G3" s="23"/>
      <c r="H3" s="23"/>
      <c r="I3" s="23"/>
      <c r="AC3" s="23"/>
      <c r="AD3" s="23"/>
      <c r="AE3" s="23"/>
      <c r="AF3" s="23"/>
      <c r="AG3" s="23"/>
      <c r="AH3" s="23"/>
      <c r="AI3" s="23"/>
      <c r="AJ3" s="23"/>
      <c r="AL3" s="23"/>
      <c r="AM3" s="23"/>
      <c r="AN3" s="23"/>
      <c r="AO3" s="23"/>
      <c r="AP3" s="23"/>
      <c r="AQ3" s="23"/>
      <c r="AR3" s="23"/>
      <c r="AS3" s="23"/>
      <c r="AT3" s="23"/>
      <c r="AU3" s="27"/>
      <c r="BB3" s="27"/>
    </row>
    <row r="4" spans="1:82" s="20" customFormat="1" ht="15" customHeight="1">
      <c r="A4" s="19"/>
      <c r="C4" s="52"/>
      <c r="D4"/>
      <c r="E4" s="52"/>
      <c r="G4" s="817" t="str">
        <f>"Перечень объектов организаций, оказывающих услуги " &amp; TEMPLATE_SPHERE</f>
        <v>Перечень объектов организаций, оказывающих услуги теплоснабжения</v>
      </c>
      <c r="H4" s="818"/>
      <c r="I4" s="818"/>
      <c r="J4" s="818"/>
      <c r="K4" s="818"/>
      <c r="L4" s="818"/>
      <c r="M4" s="818"/>
      <c r="N4" s="819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27"/>
      <c r="AN4" s="27"/>
      <c r="AO4" s="27"/>
      <c r="AP4" s="23"/>
      <c r="AQ4" s="23"/>
      <c r="AR4" s="23"/>
      <c r="AS4" s="23"/>
      <c r="AT4" s="23"/>
      <c r="AU4" s="27"/>
      <c r="BB4" s="27"/>
      <c r="BH4" s="50"/>
      <c r="BI4" s="50"/>
      <c r="BJ4" s="50"/>
      <c r="BK4" s="50"/>
      <c r="BL4" s="50"/>
      <c r="BM4" s="50"/>
    </row>
    <row r="5" spans="1:82" s="20" customFormat="1" ht="9" customHeight="1">
      <c r="A5" s="19"/>
      <c r="D5"/>
      <c r="E5" s="51"/>
      <c r="F5" s="51"/>
      <c r="G5" s="51"/>
      <c r="H5" s="51"/>
      <c r="I5" s="822"/>
      <c r="J5" s="82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27"/>
      <c r="AN5" s="27"/>
      <c r="AO5" s="27"/>
      <c r="AP5" s="23"/>
      <c r="AQ5" s="23"/>
      <c r="AR5" s="23"/>
      <c r="AS5" s="23"/>
      <c r="AT5" s="23"/>
      <c r="AU5" s="27"/>
      <c r="BB5" s="27"/>
      <c r="BH5" s="50"/>
      <c r="BI5" s="50"/>
      <c r="BJ5" s="50"/>
      <c r="BK5" s="50"/>
      <c r="BL5" s="50"/>
      <c r="BM5" s="50"/>
    </row>
    <row r="6" spans="1:82" s="20" customFormat="1" ht="12" hidden="1" customHeight="1">
      <c r="A6" s="19"/>
      <c r="D6"/>
      <c r="E6" s="51"/>
      <c r="F6" s="51"/>
      <c r="G6" s="51"/>
      <c r="H6" s="51"/>
      <c r="I6" s="49"/>
      <c r="J6" s="51"/>
      <c r="K6" s="51"/>
      <c r="L6" s="51"/>
      <c r="M6" s="51"/>
      <c r="N6" s="51"/>
      <c r="O6" s="51"/>
      <c r="P6" s="51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23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27"/>
      <c r="AU6" s="51"/>
      <c r="AV6" s="51"/>
      <c r="AW6" s="51"/>
      <c r="AX6" s="51"/>
      <c r="AY6" s="27"/>
      <c r="BB6" s="51"/>
      <c r="BC6" s="51"/>
      <c r="BD6" s="51"/>
      <c r="BE6" s="51"/>
      <c r="BF6" s="27"/>
      <c r="BH6" s="50"/>
      <c r="BI6" s="50"/>
      <c r="BJ6" s="50"/>
      <c r="BK6" s="50"/>
      <c r="BL6" s="50"/>
      <c r="BM6" s="50"/>
    </row>
    <row r="7" spans="1:82" s="20" customFormat="1" ht="12" hidden="1" customHeight="1">
      <c r="A7" s="19"/>
      <c r="D7"/>
      <c r="E7" s="51"/>
      <c r="F7" s="51"/>
      <c r="G7" s="51"/>
      <c r="H7" s="23"/>
      <c r="I7" s="49"/>
      <c r="J7" s="51"/>
      <c r="K7" s="51"/>
      <c r="L7" s="51"/>
      <c r="M7" s="51"/>
      <c r="N7" s="51"/>
      <c r="O7" s="51"/>
      <c r="P7" s="51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23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27"/>
      <c r="AU7" s="51"/>
      <c r="AV7" s="51"/>
      <c r="AW7" s="51"/>
      <c r="AX7" s="51"/>
      <c r="AY7" s="27"/>
      <c r="BB7" s="51"/>
      <c r="BC7" s="51"/>
      <c r="BD7" s="51"/>
      <c r="BE7" s="51"/>
      <c r="BF7" s="27"/>
      <c r="BH7" s="50"/>
      <c r="BI7" s="50"/>
      <c r="BJ7" s="50"/>
      <c r="BK7" s="50"/>
      <c r="BL7" s="50"/>
      <c r="BM7" s="50"/>
    </row>
    <row r="8" spans="1:82" s="20" customFormat="1" ht="12" hidden="1" customHeight="1">
      <c r="A8" s="19"/>
      <c r="D8"/>
      <c r="E8" s="51"/>
      <c r="F8" s="51"/>
      <c r="G8" s="51"/>
      <c r="H8" s="23"/>
      <c r="I8" s="49"/>
      <c r="J8" s="51"/>
      <c r="K8" s="51"/>
      <c r="L8" s="51"/>
      <c r="M8" s="51"/>
      <c r="N8" s="51"/>
      <c r="O8" s="51"/>
      <c r="P8" s="51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23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27"/>
      <c r="AU8" s="51"/>
      <c r="AV8" s="51"/>
      <c r="AW8" s="51"/>
      <c r="AX8" s="51"/>
      <c r="AY8" s="27"/>
      <c r="BB8" s="51"/>
      <c r="BC8" s="51"/>
      <c r="BD8" s="51"/>
      <c r="BE8" s="51"/>
      <c r="BF8" s="27"/>
      <c r="BH8" s="50"/>
      <c r="BI8" s="50"/>
      <c r="BJ8" s="50"/>
      <c r="BK8" s="50"/>
      <c r="BL8" s="50"/>
      <c r="BM8" s="50"/>
    </row>
    <row r="9" spans="1:82" s="20" customFormat="1" ht="12" hidden="1" customHeight="1">
      <c r="A9" s="19"/>
      <c r="D9"/>
      <c r="E9" s="51"/>
      <c r="F9" s="51"/>
      <c r="G9" s="51"/>
      <c r="H9" s="23"/>
      <c r="I9" s="49"/>
      <c r="J9" s="51"/>
      <c r="K9" s="51"/>
      <c r="L9" s="51"/>
      <c r="M9" s="51"/>
      <c r="N9" s="51"/>
      <c r="O9" s="51"/>
      <c r="P9" s="51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23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27"/>
      <c r="AU9" s="51"/>
      <c r="AV9" s="51"/>
      <c r="AW9" s="51"/>
      <c r="AX9" s="51"/>
      <c r="AY9" s="27"/>
      <c r="BB9" s="51"/>
      <c r="BC9" s="51"/>
      <c r="BD9" s="51"/>
      <c r="BE9" s="51"/>
      <c r="BF9" s="27"/>
      <c r="BH9" s="50"/>
      <c r="BI9" s="50"/>
      <c r="BJ9" s="50"/>
      <c r="BK9" s="50"/>
      <c r="BL9" s="50"/>
      <c r="BM9" s="50"/>
    </row>
    <row r="10" spans="1:82" s="20" customFormat="1" ht="12" hidden="1" customHeight="1">
      <c r="A10" s="19"/>
      <c r="D10"/>
      <c r="E10" s="51"/>
      <c r="F10" s="51"/>
      <c r="G10" s="51"/>
      <c r="H10" s="23"/>
      <c r="I10" s="49"/>
      <c r="J10" s="51"/>
      <c r="K10" s="51"/>
      <c r="L10" s="51"/>
      <c r="M10" s="51"/>
      <c r="N10" s="51"/>
      <c r="O10" s="51"/>
      <c r="P10" s="51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23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27"/>
      <c r="AU10" s="51"/>
      <c r="AV10" s="51"/>
      <c r="AW10" s="51"/>
      <c r="AX10" s="51"/>
      <c r="AY10" s="27"/>
      <c r="BB10" s="51"/>
      <c r="BC10" s="51"/>
      <c r="BD10" s="51"/>
      <c r="BE10" s="51"/>
      <c r="BF10" s="27"/>
      <c r="BH10" s="50"/>
      <c r="BI10" s="50"/>
      <c r="BJ10" s="50"/>
      <c r="BK10" s="50"/>
      <c r="BL10" s="50"/>
      <c r="BM10" s="50"/>
    </row>
    <row r="11" spans="1:82" s="20" customFormat="1" ht="11.25" hidden="1" customHeight="1">
      <c r="A11" s="19"/>
      <c r="D11"/>
      <c r="E11" s="51"/>
      <c r="F11" s="51"/>
      <c r="G11" s="51"/>
      <c r="H11" s="51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23"/>
      <c r="AS11" s="23"/>
      <c r="AT11" s="23"/>
      <c r="AU11" s="49"/>
      <c r="AV11" s="49"/>
      <c r="AW11" s="49"/>
      <c r="AX11" s="49"/>
      <c r="AY11" s="23"/>
      <c r="AZ11" s="23"/>
      <c r="BA11" s="23"/>
      <c r="BB11" s="49"/>
      <c r="BC11" s="49"/>
      <c r="BD11" s="49"/>
      <c r="BE11" s="49"/>
      <c r="BF11" s="23"/>
      <c r="BG11" s="23"/>
      <c r="BH11" s="49"/>
      <c r="BI11" s="49"/>
      <c r="BJ11" s="49"/>
      <c r="BK11" s="49"/>
      <c r="BL11" s="49"/>
      <c r="BM11" s="49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</row>
    <row r="12" spans="1:82" ht="12" customHeight="1">
      <c r="E12" s="51"/>
      <c r="F12" s="814" t="s">
        <v>104</v>
      </c>
      <c r="G12" s="813" t="s">
        <v>121</v>
      </c>
      <c r="H12" s="813" t="s">
        <v>122</v>
      </c>
      <c r="I12" s="813" t="s">
        <v>106</v>
      </c>
      <c r="J12" s="814"/>
      <c r="K12" s="814"/>
      <c r="L12" s="814"/>
      <c r="M12" s="814"/>
      <c r="N12" s="814"/>
      <c r="O12" s="814"/>
      <c r="P12" s="814"/>
      <c r="Q12" s="813" t="s">
        <v>1091</v>
      </c>
      <c r="R12" s="823" t="s">
        <v>1069</v>
      </c>
      <c r="S12" s="836" t="str">
        <f>IF(TEMPLATE_SPHERE_CODE="HEAT","Производство",IF(TEMPLATE_SPHERE_CODE="COLDVSNA","Производство (подъём / добыча)",IF(TEMPLATE_SPHERE_CODE="VOTV","Приём сточных вод","")))</f>
        <v>Производство</v>
      </c>
      <c r="T12" s="837"/>
      <c r="U12" s="836" t="str">
        <f>IF(TEMPLATE_SPHERE_CODE="HEAT","Передача",IF(TEMPLATE_SPHERE_CODE="COLDVSNA","Очистка воды",IF(TEMPLATE_SPHERE_CODE="VOTV","Очистка сточных вод","")))</f>
        <v>Передача</v>
      </c>
      <c r="V12" s="837"/>
      <c r="W12" s="836" t="str">
        <f>IF(TEMPLATE_SPHERE_CODE="HEAT","Сбыт",IF(TEMPLATE_SPHERE_CODE="COLDVSNA","Транспортировка воды",IF(TEMPLATE_SPHERE_CODE="VOTV","Транспортировка сточных вод","")))</f>
        <v>Сбыт</v>
      </c>
      <c r="X12" s="837"/>
      <c r="Y12" s="814"/>
      <c r="Z12" s="814"/>
      <c r="AA12" s="814"/>
      <c r="AB12" s="846" t="s">
        <v>104</v>
      </c>
      <c r="AC12" s="846" t="s">
        <v>832</v>
      </c>
      <c r="AD12" s="846" t="s">
        <v>833</v>
      </c>
      <c r="AE12" s="831" t="s">
        <v>838</v>
      </c>
      <c r="AF12" s="831"/>
      <c r="AG12" s="831"/>
      <c r="AH12" s="849" t="s">
        <v>834</v>
      </c>
      <c r="AI12" s="850"/>
      <c r="AJ12" s="850"/>
      <c r="AK12" s="850"/>
      <c r="AL12" s="850"/>
      <c r="AM12" s="850"/>
      <c r="AN12" s="851"/>
      <c r="AO12" s="814"/>
      <c r="AP12" s="814"/>
      <c r="AQ12" s="814"/>
      <c r="AR12" s="814"/>
      <c r="AS12" s="814"/>
      <c r="AT12" s="844"/>
      <c r="AU12" s="813" t="s">
        <v>1092</v>
      </c>
      <c r="AV12" s="813"/>
      <c r="AW12" s="813"/>
      <c r="AX12" s="813"/>
      <c r="AY12" s="813"/>
      <c r="AZ12" s="813"/>
      <c r="BA12" s="813"/>
      <c r="BB12" s="813"/>
      <c r="BC12" s="842"/>
      <c r="BD12" s="814"/>
      <c r="BE12" s="814"/>
      <c r="BF12" s="814"/>
      <c r="BG12" s="814"/>
      <c r="BH12" s="833" t="str">
        <f>IF(TEMPLATE_SPHERE_CODE="HEAT","Производство",IF(TEMPLATE_SPHERE_CODE="COLDVSNA","Производство (подъём / добыча)",IF(TEMPLATE_SPHERE_CODE="VOTV","Приём сточных вод","")))</f>
        <v>Производство</v>
      </c>
      <c r="BI12" s="833"/>
      <c r="BJ12" s="833" t="str">
        <f>IF(TEMPLATE_SPHERE_CODE="HEAT","Передача",IF(TEMPLATE_SPHERE_CODE="COLDVSNA","Очистка воды",IF(TEMPLATE_SPHERE_CODE="VOTV","Очистка сточных вод","")))</f>
        <v>Передача</v>
      </c>
      <c r="BK12" s="833"/>
      <c r="BL12" s="833" t="str">
        <f>IF(TEMPLATE_SPHERE_CODE="HEAT","Сбыт",IF(TEMPLATE_SPHERE_CODE="COLDVSNA","Транспортировка воды",IF(TEMPLATE_SPHERE_CODE="VOTV","Транспортировка сточных вод","")))</f>
        <v>Сбыт</v>
      </c>
      <c r="BM12" s="833"/>
      <c r="BN12" s="814"/>
      <c r="BO12" s="814"/>
      <c r="BP12" s="813" t="str">
        <f>IF(TEMPLATE_SPHERE_CODE="HEAT","FUEL_LIST","")</f>
        <v>FUEL_LIST</v>
      </c>
      <c r="BQ12" s="814"/>
      <c r="BR12" s="814"/>
      <c r="BS12" s="814"/>
      <c r="BT12" s="814"/>
      <c r="BU12" s="814"/>
      <c r="BV12" s="814"/>
      <c r="BW12" s="814"/>
      <c r="BX12" s="814"/>
      <c r="BY12" s="814"/>
      <c r="BZ12" s="814"/>
      <c r="CA12" s="834"/>
      <c r="CB12" s="834"/>
      <c r="CC12" s="814"/>
      <c r="CD12" s="815" t="s">
        <v>829</v>
      </c>
    </row>
    <row r="13" spans="1:82" ht="12" customHeight="1">
      <c r="E13" s="54"/>
      <c r="F13" s="814"/>
      <c r="G13" s="814"/>
      <c r="H13" s="814"/>
      <c r="I13" s="814"/>
      <c r="J13" s="814"/>
      <c r="K13" s="814"/>
      <c r="L13" s="814"/>
      <c r="M13" s="814"/>
      <c r="N13" s="814"/>
      <c r="O13" s="814"/>
      <c r="P13" s="814"/>
      <c r="Q13" s="814"/>
      <c r="R13" s="823"/>
      <c r="S13" s="838"/>
      <c r="T13" s="839"/>
      <c r="U13" s="838"/>
      <c r="V13" s="839"/>
      <c r="W13" s="838"/>
      <c r="X13" s="839"/>
      <c r="Y13" s="814"/>
      <c r="Z13" s="814"/>
      <c r="AA13" s="814"/>
      <c r="AB13" s="846"/>
      <c r="AC13" s="846"/>
      <c r="AD13" s="846"/>
      <c r="AE13" s="835" t="str">
        <f>IF(TEMPLATE_SPHERE_CODE="HEAT","Производство",IF(TEMPLATE_SPHERE_CODE="COLDVSNA","Производство (подъём / добыча)",IF(TEMPLATE_SPHERE_CODE="VOTV","Приём сточных вод","")))</f>
        <v>Производство</v>
      </c>
      <c r="AF13" s="835" t="str">
        <f>IF(TEMPLATE_SPHERE_CODE="HEAT","Передача",IF(TEMPLATE_SPHERE_CODE="COLDVSNA","Очистка воды",IF(TEMPLATE_SPHERE_CODE="VOTV","Очистка сточных вод","")))</f>
        <v>Передача</v>
      </c>
      <c r="AG13" s="835" t="str">
        <f>IF(TEMPLATE_SPHERE_CODE="HEAT","Сбыт",IF(TEMPLATE_SPHERE_CODE="COLDVSNA","Транспортировка воды",IF(TEMPLATE_SPHERE_CODE="VOTV","Транспортировка сточных вод","")))</f>
        <v>Сбыт</v>
      </c>
      <c r="AH13" s="829" t="s">
        <v>121</v>
      </c>
      <c r="AI13" s="829" t="s">
        <v>122</v>
      </c>
      <c r="AJ13" s="829" t="s">
        <v>106</v>
      </c>
      <c r="AK13" s="829" t="s">
        <v>835</v>
      </c>
      <c r="AL13" s="829" t="s">
        <v>106</v>
      </c>
      <c r="AM13" s="829" t="s">
        <v>836</v>
      </c>
      <c r="AN13" s="829" t="s">
        <v>837</v>
      </c>
      <c r="AO13" s="814"/>
      <c r="AP13" s="814"/>
      <c r="AQ13" s="814"/>
      <c r="AR13" s="814"/>
      <c r="AS13" s="814"/>
      <c r="AT13" s="844"/>
      <c r="AU13" s="840" t="s">
        <v>121</v>
      </c>
      <c r="AV13" s="840" t="s">
        <v>122</v>
      </c>
      <c r="AW13" s="840" t="s">
        <v>106</v>
      </c>
      <c r="AX13" s="840" t="s">
        <v>835</v>
      </c>
      <c r="AY13" s="840" t="s">
        <v>106</v>
      </c>
      <c r="AZ13" s="835"/>
      <c r="BA13" s="835"/>
      <c r="BB13" s="835"/>
      <c r="BC13" s="842"/>
      <c r="BD13" s="814"/>
      <c r="BE13" s="814"/>
      <c r="BF13" s="814"/>
      <c r="BG13" s="814"/>
      <c r="BH13" s="831" t="str">
        <f>"Установленная мощность, " &amp; IF(TEMPLATE_SPHERE_CODE="HEAT","Гкал/час",IF(TEMPLATE_SPHERE_CODE="COLDVSNA","куб.м/час",IF(TEMPLATE_SPHERE_CODE="VOTV","куб.м/час","")))</f>
        <v>Установленная мощность, Гкал/час</v>
      </c>
      <c r="BI13" s="831" t="str">
        <f>"Подключенная нагрузка, " &amp; IF(TEMPLATE_SPHERE_CODE="HEAT","Гкал/час",IF(TEMPLATE_SPHERE_CODE="COLDVSNA","куб.м/час",IF(TEMPLATE_SPHERE_CODE="VOTV","куб.м/час","")))</f>
        <v>Подключенная нагрузка, Гкал/час</v>
      </c>
      <c r="BJ13" s="831" t="str">
        <f>"Установленная мощность, " &amp; IF(TEMPLATE_SPHERE_CODE="HEAT","Гкал/час",IF(TEMPLATE_SPHERE_CODE="COLDVSNA","куб.м/час",IF(TEMPLATE_SPHERE_CODE="VOTV","куб.м/час","")))</f>
        <v>Установленная мощность, Гкал/час</v>
      </c>
      <c r="BK13" s="831" t="str">
        <f>"Подключенная нагрузка, " &amp; IF(TEMPLATE_SPHERE_CODE="HEAT","Гкал/час",IF(TEMPLATE_SPHERE_CODE="COLDVSNA","куб.м/час",IF(TEMPLATE_SPHERE_CODE="VOTV","куб.м/час","")))</f>
        <v>Подключенная нагрузка, Гкал/час</v>
      </c>
      <c r="BL13" s="831" t="str">
        <f>"Установленная мощность, " &amp; IF(TEMPLATE_SPHERE_CODE="HEAT","Гкал/час",IF(TEMPLATE_SPHERE_CODE="COLDVSNA","куб.м/час",IF(TEMPLATE_SPHERE_CODE="VOTV","куб.м/час","")))</f>
        <v>Установленная мощность, Гкал/час</v>
      </c>
      <c r="BM13" s="831" t="str">
        <f>"Подключенная нагрузка, " &amp; IF(TEMPLATE_SPHERE_CODE="HEAT","Гкал/час",IF(TEMPLATE_SPHERE_CODE="COLDVSNA","куб.м/час",IF(TEMPLATE_SPHERE_CODE="VOTV","куб.м/час","")))</f>
        <v>Подключенная нагрузка, Гкал/час</v>
      </c>
      <c r="BN13" s="814"/>
      <c r="BO13" s="814"/>
      <c r="BP13" s="814"/>
      <c r="BQ13" s="814"/>
      <c r="BR13" s="814"/>
      <c r="BS13" s="814"/>
      <c r="BT13" s="814"/>
      <c r="BU13" s="814"/>
      <c r="BV13" s="814"/>
      <c r="BW13" s="814"/>
      <c r="BX13" s="814"/>
      <c r="BY13" s="814"/>
      <c r="BZ13" s="814"/>
      <c r="CA13" s="841"/>
      <c r="CB13" s="841"/>
      <c r="CC13" s="814"/>
      <c r="CD13" s="841"/>
    </row>
    <row r="14" spans="1:82" s="20" customFormat="1" ht="12" customHeight="1">
      <c r="A14" s="22"/>
      <c r="D14"/>
      <c r="E14" s="54"/>
      <c r="F14" s="834"/>
      <c r="G14" s="814"/>
      <c r="H14" s="814"/>
      <c r="I14" s="814"/>
      <c r="J14" s="834"/>
      <c r="K14" s="834"/>
      <c r="L14" s="834"/>
      <c r="M14" s="834"/>
      <c r="N14" s="834"/>
      <c r="O14" s="834"/>
      <c r="P14" s="834"/>
      <c r="Q14" s="834"/>
      <c r="R14" s="823"/>
      <c r="S14" s="416" t="s">
        <v>637</v>
      </c>
      <c r="T14" s="416" t="s">
        <v>1068</v>
      </c>
      <c r="U14" s="416" t="s">
        <v>637</v>
      </c>
      <c r="V14" s="416" t="s">
        <v>1068</v>
      </c>
      <c r="W14" s="416" t="s">
        <v>637</v>
      </c>
      <c r="X14" s="416" t="s">
        <v>1068</v>
      </c>
      <c r="Y14" s="834"/>
      <c r="Z14" s="834"/>
      <c r="AA14" s="834"/>
      <c r="AB14" s="811"/>
      <c r="AC14" s="811"/>
      <c r="AD14" s="811"/>
      <c r="AE14" s="830"/>
      <c r="AF14" s="830"/>
      <c r="AG14" s="830"/>
      <c r="AH14" s="830"/>
      <c r="AI14" s="830"/>
      <c r="AJ14" s="830"/>
      <c r="AK14" s="830"/>
      <c r="AL14" s="830"/>
      <c r="AM14" s="830"/>
      <c r="AN14" s="830"/>
      <c r="AO14" s="834"/>
      <c r="AP14" s="834"/>
      <c r="AQ14" s="834"/>
      <c r="AR14" s="834"/>
      <c r="AS14" s="834"/>
      <c r="AT14" s="845"/>
      <c r="AU14" s="829"/>
      <c r="AV14" s="829"/>
      <c r="AW14" s="829"/>
      <c r="AX14" s="829"/>
      <c r="AY14" s="829"/>
      <c r="AZ14" s="830"/>
      <c r="BA14" s="830"/>
      <c r="BB14" s="830"/>
      <c r="BC14" s="843"/>
      <c r="BD14" s="834"/>
      <c r="BE14" s="834"/>
      <c r="BF14" s="834"/>
      <c r="BG14" s="834"/>
      <c r="BH14" s="832"/>
      <c r="BI14" s="832"/>
      <c r="BJ14" s="832"/>
      <c r="BK14" s="832"/>
      <c r="BL14" s="832"/>
      <c r="BM14" s="832"/>
      <c r="BN14" s="834"/>
      <c r="BO14" s="834"/>
      <c r="BP14" s="834"/>
      <c r="BQ14" s="834"/>
      <c r="BR14" s="834"/>
      <c r="BS14" s="834"/>
      <c r="BT14" s="834"/>
      <c r="BU14" s="834"/>
      <c r="BV14" s="834"/>
      <c r="BW14" s="834"/>
      <c r="BX14" s="834"/>
      <c r="BY14" s="834"/>
      <c r="BZ14" s="834"/>
      <c r="CA14" s="841"/>
      <c r="CB14" s="841"/>
      <c r="CC14" s="834"/>
      <c r="CD14" s="841"/>
    </row>
    <row r="15" spans="1:82" ht="0.75" customHeight="1">
      <c r="E15" s="54"/>
      <c r="F15" s="427">
        <v>0</v>
      </c>
      <c r="G15" s="428"/>
      <c r="H15" s="428"/>
      <c r="I15" s="428"/>
      <c r="J15" s="429"/>
      <c r="K15" s="429"/>
      <c r="L15" s="429"/>
      <c r="M15" s="429"/>
      <c r="N15" s="429"/>
      <c r="O15" s="429"/>
      <c r="P15" s="429"/>
      <c r="Q15" s="428"/>
      <c r="R15" s="429"/>
      <c r="S15" s="429"/>
      <c r="T15" s="429"/>
      <c r="U15" s="429"/>
      <c r="V15" s="429"/>
      <c r="W15" s="429"/>
      <c r="X15" s="429"/>
      <c r="Y15" s="429"/>
      <c r="Z15" s="429"/>
      <c r="AA15" s="428"/>
      <c r="AB15" s="428"/>
      <c r="AC15" s="428"/>
      <c r="AD15" s="428"/>
      <c r="AE15" s="428"/>
      <c r="AF15" s="428"/>
      <c r="AG15" s="428"/>
      <c r="AH15" s="428"/>
      <c r="AI15" s="428"/>
      <c r="AJ15" s="428"/>
      <c r="AK15" s="428"/>
      <c r="AL15" s="428"/>
      <c r="AM15" s="428"/>
      <c r="AN15" s="428"/>
      <c r="AO15" s="429"/>
      <c r="AP15" s="429"/>
      <c r="AQ15" s="429"/>
      <c r="AR15" s="429"/>
      <c r="AS15" s="429"/>
      <c r="AT15" s="429"/>
      <c r="AU15" s="428"/>
      <c r="AV15" s="428"/>
      <c r="AW15" s="428"/>
      <c r="AX15" s="428"/>
      <c r="AY15" s="428"/>
      <c r="AZ15" s="429"/>
      <c r="BA15" s="429"/>
      <c r="BB15" s="429"/>
      <c r="BC15" s="429"/>
      <c r="BD15" s="429"/>
      <c r="BE15" s="429"/>
      <c r="BF15" s="429"/>
      <c r="BG15" s="429"/>
      <c r="BH15" s="428"/>
      <c r="BI15" s="428"/>
      <c r="BJ15" s="428"/>
      <c r="BK15" s="428"/>
      <c r="BL15" s="428"/>
      <c r="BM15" s="428"/>
      <c r="BN15" s="429"/>
      <c r="BO15" s="429"/>
      <c r="BP15" s="429"/>
      <c r="BQ15" s="429"/>
      <c r="BR15" s="429"/>
      <c r="BS15" s="429"/>
      <c r="BT15" s="429"/>
      <c r="BU15" s="429"/>
      <c r="BV15" s="429"/>
      <c r="BW15" s="429"/>
      <c r="BX15" s="429"/>
      <c r="BY15" s="429"/>
      <c r="BZ15" s="429"/>
      <c r="CA15" s="429"/>
      <c r="CB15" s="429"/>
      <c r="CC15" s="429"/>
      <c r="CD15" s="430"/>
    </row>
    <row r="16" spans="1:82" ht="12" customHeight="1">
      <c r="E16" s="759" t="s">
        <v>134</v>
      </c>
      <c r="F16" s="827" t="str">
        <f>IF('Список территорий'!$F$16="","",'Список территорий'!$F$16)</f>
        <v>1</v>
      </c>
      <c r="G16" s="828" t="str">
        <f>IF('Список территорий'!$G$16="","",'Список территорий'!$G$16)</f>
        <v>город Нижний Новгород</v>
      </c>
      <c r="H16" s="828" t="str">
        <f>IF('Список территорий'!$H$16="","",'Список территорий'!$H$16)</f>
        <v>город Нижний Новгород</v>
      </c>
      <c r="I16" s="828" t="str">
        <f>IF('Список территорий'!$I$16="","",'Список территорий'!$I$16)</f>
        <v>22701000</v>
      </c>
      <c r="J16" s="825"/>
      <c r="K16" s="825"/>
      <c r="L16" s="825"/>
      <c r="M16" s="825"/>
      <c r="N16" s="825"/>
      <c r="O16" s="825"/>
      <c r="P16" s="825"/>
      <c r="Q16" s="826">
        <f>ROW(P18)-ROW(P16)-1</f>
        <v>1</v>
      </c>
      <c r="R16" s="440" t="str">
        <f>F16 &amp; ".0"</f>
        <v>1.0</v>
      </c>
      <c r="S16" s="423">
        <f t="shared" ref="S16:X16" si="0">SUM(BH16:BH18)</f>
        <v>5.6</v>
      </c>
      <c r="T16" s="435">
        <f t="shared" si="0"/>
        <v>4.82</v>
      </c>
      <c r="U16" s="435">
        <f t="shared" si="0"/>
        <v>5.6</v>
      </c>
      <c r="V16" s="435">
        <f t="shared" si="0"/>
        <v>4.82</v>
      </c>
      <c r="W16" s="435">
        <f t="shared" si="0"/>
        <v>5.6</v>
      </c>
      <c r="X16" s="435">
        <f t="shared" si="0"/>
        <v>4.82</v>
      </c>
      <c r="Y16" s="402"/>
      <c r="Z16" s="402"/>
      <c r="AA16" s="411"/>
      <c r="AB16" s="412" t="s">
        <v>831</v>
      </c>
      <c r="AC16" s="425"/>
      <c r="AD16" s="425"/>
      <c r="AE16" s="425"/>
      <c r="AF16" s="425"/>
      <c r="AG16" s="425"/>
      <c r="AH16" s="425"/>
      <c r="AI16" s="425"/>
      <c r="AJ16" s="425"/>
      <c r="AK16" s="425"/>
      <c r="AL16" s="425"/>
      <c r="AM16" s="425"/>
      <c r="AN16" s="425"/>
      <c r="AO16" s="425"/>
      <c r="AP16" s="425"/>
      <c r="AQ16" s="425"/>
      <c r="AR16" s="425"/>
      <c r="AS16" s="425"/>
      <c r="AT16" s="425"/>
      <c r="AU16" s="425"/>
      <c r="AV16" s="425"/>
      <c r="AW16" s="425"/>
      <c r="AX16" s="425"/>
      <c r="AY16" s="425"/>
      <c r="AZ16" s="425"/>
      <c r="BA16" s="425"/>
      <c r="BB16" s="425"/>
      <c r="BC16" s="425"/>
      <c r="BD16" s="425"/>
      <c r="BE16" s="425"/>
      <c r="BF16" s="425"/>
      <c r="BG16" s="425"/>
      <c r="BH16" s="425"/>
      <c r="BI16" s="425"/>
      <c r="BJ16" s="425"/>
      <c r="BK16" s="425"/>
      <c r="BL16" s="425"/>
      <c r="BM16" s="425"/>
      <c r="BN16" s="425"/>
      <c r="BO16" s="425"/>
      <c r="BP16" s="425"/>
      <c r="BQ16" s="425"/>
      <c r="BR16" s="425"/>
      <c r="BS16" s="425"/>
      <c r="BT16" s="425"/>
      <c r="BU16" s="425"/>
      <c r="BV16" s="425"/>
      <c r="BW16" s="425"/>
      <c r="BX16" s="425"/>
      <c r="BY16" s="425"/>
      <c r="BZ16" s="425"/>
      <c r="CA16" s="425"/>
      <c r="CB16" s="425"/>
      <c r="CC16" s="425"/>
      <c r="CD16" s="426"/>
    </row>
    <row r="17" spans="1:82" ht="24" customHeight="1">
      <c r="E17" s="54"/>
      <c r="F17" s="827"/>
      <c r="G17" s="828"/>
      <c r="H17" s="828"/>
      <c r="I17" s="828"/>
      <c r="J17" s="825"/>
      <c r="K17" s="825"/>
      <c r="L17" s="825"/>
      <c r="M17" s="825"/>
      <c r="N17" s="825"/>
      <c r="O17" s="825"/>
      <c r="P17" s="825"/>
      <c r="Q17" s="826"/>
      <c r="R17" s="402"/>
      <c r="S17" s="402"/>
      <c r="T17" s="402"/>
      <c r="U17" s="402"/>
      <c r="V17" s="402"/>
      <c r="W17" s="402"/>
      <c r="X17" s="402"/>
      <c r="Y17" s="434"/>
      <c r="Z17" s="751" t="s">
        <v>128</v>
      </c>
      <c r="AA17" s="432" t="s">
        <v>592</v>
      </c>
      <c r="AB17" s="117" t="s">
        <v>105</v>
      </c>
      <c r="AC17" s="746" t="s">
        <v>15007</v>
      </c>
      <c r="AD17" s="117" t="s">
        <v>15008</v>
      </c>
      <c r="AE17" s="117" t="s">
        <v>131</v>
      </c>
      <c r="AF17" s="117" t="s">
        <v>131</v>
      </c>
      <c r="AG17" s="117" t="s">
        <v>131</v>
      </c>
      <c r="AH17" s="117" t="s">
        <v>3128</v>
      </c>
      <c r="AI17" s="117" t="s">
        <v>3128</v>
      </c>
      <c r="AJ17" s="117" t="s">
        <v>3129</v>
      </c>
      <c r="AK17" s="117" t="s">
        <v>9485</v>
      </c>
      <c r="AL17" s="117" t="s">
        <v>9484</v>
      </c>
      <c r="AM17" s="117" t="s">
        <v>15009</v>
      </c>
      <c r="AN17" s="117" t="s">
        <v>14642</v>
      </c>
      <c r="AO17" s="402"/>
      <c r="AP17" s="402"/>
      <c r="AQ17" s="402"/>
      <c r="AR17" s="402"/>
      <c r="AS17" s="402"/>
      <c r="AT17" s="402"/>
      <c r="AU17" s="117" t="s">
        <v>14994</v>
      </c>
      <c r="AV17" s="117" t="s">
        <v>14994</v>
      </c>
      <c r="AW17" s="117" t="s">
        <v>3129</v>
      </c>
      <c r="AX17" s="117" t="s">
        <v>9485</v>
      </c>
      <c r="AY17" s="117" t="s">
        <v>9484</v>
      </c>
      <c r="AZ17" s="402"/>
      <c r="BA17" s="402"/>
      <c r="BB17" s="402"/>
      <c r="BC17" s="402"/>
      <c r="BD17" s="402"/>
      <c r="BE17" s="402"/>
      <c r="BF17" s="402"/>
      <c r="BG17" s="402"/>
      <c r="BH17" s="433">
        <v>5.6</v>
      </c>
      <c r="BI17" s="433">
        <v>4.82</v>
      </c>
      <c r="BJ17" s="433">
        <v>5.6</v>
      </c>
      <c r="BK17" s="433">
        <v>4.82</v>
      </c>
      <c r="BL17" s="433">
        <v>5.6</v>
      </c>
      <c r="BM17" s="433">
        <v>4.82</v>
      </c>
      <c r="BN17" s="402"/>
      <c r="BO17" s="402"/>
      <c r="BP17" s="750" t="s">
        <v>15012</v>
      </c>
      <c r="BQ17" s="402"/>
      <c r="BR17" s="402"/>
      <c r="BS17" s="402"/>
      <c r="BT17" s="402"/>
      <c r="BU17" s="402"/>
      <c r="BV17" s="402"/>
      <c r="BW17" s="402"/>
      <c r="BX17" s="402"/>
      <c r="BY17" s="402"/>
      <c r="BZ17" s="402"/>
      <c r="CA17" s="402"/>
      <c r="CB17" s="402"/>
      <c r="CC17" s="402"/>
      <c r="CD17" s="410"/>
    </row>
    <row r="18" spans="1:82" ht="11.25" customHeight="1">
      <c r="E18" s="54"/>
      <c r="F18" s="827"/>
      <c r="G18" s="828"/>
      <c r="H18" s="828"/>
      <c r="I18" s="828"/>
      <c r="J18" s="825"/>
      <c r="K18" s="825"/>
      <c r="L18" s="825"/>
      <c r="M18" s="825"/>
      <c r="N18" s="825"/>
      <c r="O18" s="825"/>
      <c r="P18" s="825"/>
      <c r="Q18" s="827"/>
      <c r="R18" s="402"/>
      <c r="S18" s="402"/>
      <c r="T18" s="402"/>
      <c r="U18" s="402"/>
      <c r="V18" s="402"/>
      <c r="W18" s="402"/>
      <c r="X18" s="402"/>
      <c r="Y18" s="402"/>
      <c r="Z18" s="402"/>
      <c r="AA18" s="411"/>
      <c r="AB18" s="425"/>
      <c r="AC18" s="425" t="s">
        <v>830</v>
      </c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5"/>
      <c r="AO18" s="425"/>
      <c r="AP18" s="425"/>
      <c r="AQ18" s="425"/>
      <c r="AR18" s="425"/>
      <c r="AS18" s="425"/>
      <c r="AT18" s="425"/>
      <c r="AU18" s="425"/>
      <c r="AV18" s="425"/>
      <c r="AW18" s="425"/>
      <c r="AX18" s="425"/>
      <c r="AY18" s="425"/>
      <c r="AZ18" s="425"/>
      <c r="BA18" s="425"/>
      <c r="BB18" s="425"/>
      <c r="BC18" s="425"/>
      <c r="BD18" s="425"/>
      <c r="BE18" s="425"/>
      <c r="BF18" s="425"/>
      <c r="BG18" s="425"/>
      <c r="BH18" s="425"/>
      <c r="BI18" s="425"/>
      <c r="BJ18" s="425"/>
      <c r="BK18" s="425"/>
      <c r="BL18" s="425"/>
      <c r="BM18" s="425"/>
      <c r="BN18" s="425"/>
      <c r="BO18" s="425"/>
      <c r="BP18" s="425"/>
      <c r="BQ18" s="425"/>
      <c r="BR18" s="425"/>
      <c r="BS18" s="425"/>
      <c r="BT18" s="425"/>
      <c r="BU18" s="425"/>
      <c r="BV18" s="425"/>
      <c r="BW18" s="425"/>
      <c r="BX18" s="425"/>
      <c r="BY18" s="425"/>
      <c r="BZ18" s="425"/>
      <c r="CA18" s="425"/>
      <c r="CB18" s="425"/>
      <c r="CC18" s="425"/>
      <c r="CD18" s="426"/>
    </row>
    <row r="19" spans="1:82" ht="0.75" customHeight="1">
      <c r="C19" s="20" t="s">
        <v>605</v>
      </c>
      <c r="E19" s="236" t="s">
        <v>605</v>
      </c>
      <c r="F19" s="411"/>
      <c r="G19" s="412" t="s">
        <v>2114</v>
      </c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5"/>
      <c r="AC19" s="425"/>
      <c r="AD19" s="425"/>
      <c r="AE19" s="425"/>
      <c r="AF19" s="425"/>
      <c r="AG19" s="425"/>
      <c r="AH19" s="425"/>
      <c r="AI19" s="425"/>
      <c r="AJ19" s="425"/>
      <c r="AK19" s="425"/>
      <c r="AL19" s="425"/>
      <c r="AM19" s="425"/>
      <c r="AN19" s="425"/>
      <c r="AO19" s="425"/>
      <c r="AP19" s="425"/>
      <c r="AQ19" s="425"/>
      <c r="AR19" s="425"/>
      <c r="AS19" s="425"/>
      <c r="AT19" s="425"/>
      <c r="AU19" s="425"/>
      <c r="AV19" s="425"/>
      <c r="AW19" s="425"/>
      <c r="AX19" s="425"/>
      <c r="AY19" s="425"/>
      <c r="AZ19" s="425"/>
      <c r="BA19" s="425"/>
      <c r="BB19" s="425"/>
      <c r="BC19" s="425"/>
      <c r="BD19" s="425"/>
      <c r="BE19" s="425"/>
      <c r="BF19" s="425"/>
      <c r="BG19" s="425"/>
      <c r="BH19" s="425"/>
      <c r="BI19" s="425"/>
      <c r="BJ19" s="425"/>
      <c r="BK19" s="425"/>
      <c r="BL19" s="425"/>
      <c r="BM19" s="425"/>
      <c r="BN19" s="425"/>
      <c r="BO19" s="425"/>
      <c r="BP19" s="425"/>
      <c r="BQ19" s="425"/>
      <c r="BR19" s="425"/>
      <c r="BS19" s="425"/>
      <c r="BT19" s="425"/>
      <c r="BU19" s="425"/>
      <c r="BV19" s="425"/>
      <c r="BW19" s="425"/>
      <c r="BX19" s="425"/>
      <c r="BY19" s="425"/>
      <c r="BZ19" s="425"/>
      <c r="CA19" s="425"/>
      <c r="CB19" s="425"/>
      <c r="CC19" s="425"/>
      <c r="CD19" s="426"/>
    </row>
    <row r="20" spans="1:82" s="20" customFormat="1">
      <c r="D20"/>
      <c r="E20" s="23" t="s">
        <v>734</v>
      </c>
      <c r="F20" s="135"/>
      <c r="G20" s="135"/>
      <c r="H20" s="135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5"/>
      <c r="AS20" s="135"/>
      <c r="AT20" s="135"/>
      <c r="AU20" s="136"/>
      <c r="AV20" s="136"/>
      <c r="AW20" s="136"/>
      <c r="AX20" s="136"/>
      <c r="AY20" s="135"/>
      <c r="AZ20" s="135"/>
      <c r="BA20" s="135"/>
      <c r="BB20" s="136"/>
      <c r="BC20" s="136"/>
      <c r="BD20" s="136"/>
      <c r="BE20" s="136"/>
      <c r="BF20" s="135"/>
      <c r="BG20" s="135"/>
      <c r="BH20" s="136"/>
      <c r="BI20" s="136"/>
      <c r="BJ20" s="136"/>
      <c r="BK20" s="136"/>
      <c r="BL20" s="136"/>
      <c r="BM20" s="136"/>
      <c r="BN20" s="135"/>
      <c r="BO20" s="135"/>
      <c r="BP20" s="135"/>
      <c r="BQ20" s="135"/>
      <c r="BR20" s="135"/>
      <c r="BS20" s="135"/>
      <c r="BT20" s="135"/>
      <c r="BU20" s="135"/>
      <c r="BV20" s="135"/>
      <c r="BW20" s="135"/>
      <c r="BX20" s="135"/>
      <c r="BY20" s="135"/>
      <c r="BZ20" s="135"/>
      <c r="CA20" s="135"/>
      <c r="CB20" s="135"/>
      <c r="CC20" s="135"/>
      <c r="CD20" s="135"/>
    </row>
    <row r="21" spans="1:82" s="20" customFormat="1">
      <c r="D21"/>
      <c r="E21" s="23"/>
      <c r="F21" s="23"/>
      <c r="G21" s="569" t="s">
        <v>2102</v>
      </c>
      <c r="H21" s="23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23"/>
      <c r="AE21" s="23"/>
      <c r="AF21" s="23"/>
      <c r="AG21" s="23"/>
      <c r="AH21" s="49"/>
      <c r="AI21" s="49"/>
      <c r="AJ21" s="49"/>
      <c r="AK21" s="49"/>
      <c r="AL21" s="23"/>
      <c r="AM21" s="23"/>
      <c r="AN21" s="49"/>
      <c r="AO21" s="49"/>
      <c r="AP21" s="23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23"/>
      <c r="BV21" s="23"/>
      <c r="BW21" s="49"/>
      <c r="BX21" s="49"/>
      <c r="BY21" s="49"/>
      <c r="BZ21" s="49"/>
      <c r="CA21" s="49"/>
      <c r="CB21" s="23"/>
      <c r="CC21" s="23"/>
      <c r="CD21" s="23"/>
    </row>
    <row r="22" spans="1:82" ht="39.75" customHeight="1">
      <c r="G22" s="847" t="s">
        <v>2116</v>
      </c>
      <c r="H22" s="848"/>
      <c r="I22" s="848"/>
      <c r="J22" s="848"/>
      <c r="K22" s="848"/>
      <c r="L22" s="848"/>
      <c r="M22" s="848"/>
      <c r="N22" s="848"/>
      <c r="O22" s="848"/>
      <c r="P22" s="848"/>
      <c r="Q22" s="848"/>
      <c r="AD22" s="2"/>
      <c r="AE22" s="2"/>
      <c r="AF22" s="2"/>
      <c r="AG22" s="2"/>
      <c r="AI22" s="2"/>
      <c r="AJ22" s="2"/>
      <c r="AK22" s="2"/>
      <c r="AL22" s="2"/>
      <c r="AM22" s="2"/>
      <c r="AN22" s="2"/>
      <c r="AO22" s="2"/>
      <c r="AU22" s="2"/>
      <c r="BB22" s="2"/>
      <c r="BE22" s="20"/>
      <c r="BG22" s="20"/>
      <c r="BK22" s="2"/>
      <c r="BN22" s="20"/>
      <c r="BO22" s="20"/>
      <c r="BP22" s="20"/>
      <c r="BQ22" s="20"/>
      <c r="BR22" s="20"/>
      <c r="BS22" s="20"/>
      <c r="BT22" s="20"/>
      <c r="BW22" s="20"/>
      <c r="BX22" s="20"/>
      <c r="BY22" s="20"/>
      <c r="BZ22" s="20"/>
    </row>
    <row r="23" spans="1:82" ht="45" customHeight="1">
      <c r="G23" s="847" t="s">
        <v>2115</v>
      </c>
      <c r="H23" s="848"/>
      <c r="I23" s="848"/>
      <c r="J23" s="848"/>
      <c r="K23" s="848"/>
      <c r="L23" s="848"/>
      <c r="M23" s="848"/>
      <c r="N23" s="848"/>
      <c r="O23" s="848"/>
      <c r="P23" s="848"/>
      <c r="Q23" s="848"/>
      <c r="AD23" s="2"/>
      <c r="AE23" s="2"/>
      <c r="AF23" s="2"/>
      <c r="AG23" s="2"/>
      <c r="AI23" s="2"/>
      <c r="AJ23" s="2"/>
      <c r="AK23" s="2"/>
      <c r="AL23" s="2"/>
      <c r="AM23" s="2"/>
      <c r="AN23" s="2"/>
      <c r="AO23" s="2"/>
      <c r="AU23" s="2"/>
      <c r="BB23" s="2"/>
      <c r="BE23" s="20"/>
      <c r="BG23" s="20"/>
      <c r="BK23" s="2"/>
      <c r="BN23" s="20"/>
      <c r="BO23" s="20"/>
      <c r="BP23" s="20"/>
      <c r="BQ23" s="20"/>
      <c r="BR23" s="20"/>
      <c r="BS23" s="20"/>
      <c r="BT23" s="20"/>
      <c r="BW23" s="20"/>
      <c r="BX23" s="20"/>
      <c r="BY23" s="20"/>
      <c r="BZ23" s="20"/>
    </row>
    <row r="25" spans="1:82" s="20" customFormat="1" ht="24" customHeight="1">
      <c r="A25" s="22"/>
      <c r="D25"/>
      <c r="F25" s="810" t="s">
        <v>15014</v>
      </c>
      <c r="G25" s="810"/>
      <c r="H25" s="810"/>
      <c r="I25" s="810"/>
      <c r="J25" s="810"/>
      <c r="K25" s="810"/>
      <c r="AN25" s="22"/>
      <c r="AO25" s="22"/>
      <c r="AU25" s="22"/>
      <c r="BB25" s="22"/>
    </row>
    <row r="26" spans="1:82" ht="11.25" customHeight="1"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</row>
  </sheetData>
  <sheetProtection algorithmName="SHA-512" hashValue="GqFyINcm/goMhX5Hj4IXdWIo3CskkXqTijX9OwBvZix6qeBe1qAug25IpQFLq4GuGJ5Lavb2JsOlsITttUH4QQ==" saltValue="teaChN38d46Wl/Xu4eB29g==" spinCount="100000" sheet="1" objects="1" scenarios="1" formatColumns="0" formatRows="0"/>
  <mergeCells count="97">
    <mergeCell ref="G22:Q22"/>
    <mergeCell ref="G23:Q23"/>
    <mergeCell ref="BR12:BR14"/>
    <mergeCell ref="BS12:BS14"/>
    <mergeCell ref="AH12:AN12"/>
    <mergeCell ref="AE12:AG12"/>
    <mergeCell ref="AE13:AE14"/>
    <mergeCell ref="AF13:AF14"/>
    <mergeCell ref="AG13:AG14"/>
    <mergeCell ref="AP12:AP14"/>
    <mergeCell ref="AK13:AK14"/>
    <mergeCell ref="AW13:AW14"/>
    <mergeCell ref="AY13:AY14"/>
    <mergeCell ref="AU12:BB12"/>
    <mergeCell ref="BB13:BB14"/>
    <mergeCell ref="AL13:AL14"/>
    <mergeCell ref="I5:J5"/>
    <mergeCell ref="AH13:AH14"/>
    <mergeCell ref="AI13:AI14"/>
    <mergeCell ref="J12:J14"/>
    <mergeCell ref="K12:K14"/>
    <mergeCell ref="L12:L14"/>
    <mergeCell ref="M12:M14"/>
    <mergeCell ref="Q12:Q14"/>
    <mergeCell ref="AC12:AC14"/>
    <mergeCell ref="R12:R14"/>
    <mergeCell ref="AD12:AD14"/>
    <mergeCell ref="N12:N14"/>
    <mergeCell ref="O12:O14"/>
    <mergeCell ref="P12:P14"/>
    <mergeCell ref="AA12:AA14"/>
    <mergeCell ref="AB12:AB14"/>
    <mergeCell ref="BP12:BP14"/>
    <mergeCell ref="BV12:BV14"/>
    <mergeCell ref="AR12:AR14"/>
    <mergeCell ref="BO12:BO14"/>
    <mergeCell ref="BN12:BN14"/>
    <mergeCell ref="BC12:BC14"/>
    <mergeCell ref="BD12:BD14"/>
    <mergeCell ref="AT12:AT14"/>
    <mergeCell ref="AX13:AX14"/>
    <mergeCell ref="BF12:BF14"/>
    <mergeCell ref="BG12:BG14"/>
    <mergeCell ref="BA13:BA14"/>
    <mergeCell ref="AU13:AU14"/>
    <mergeCell ref="BQ12:BQ14"/>
    <mergeCell ref="BH12:BI12"/>
    <mergeCell ref="CD12:CD14"/>
    <mergeCell ref="BZ12:BZ14"/>
    <mergeCell ref="CC12:CC14"/>
    <mergeCell ref="BT12:BT14"/>
    <mergeCell ref="BU12:BU14"/>
    <mergeCell ref="BX12:BX14"/>
    <mergeCell ref="CA12:CA14"/>
    <mergeCell ref="BW12:BW14"/>
    <mergeCell ref="CB12:CB14"/>
    <mergeCell ref="BY12:BY14"/>
    <mergeCell ref="G4:N4"/>
    <mergeCell ref="F25:K25"/>
    <mergeCell ref="AZ13:AZ14"/>
    <mergeCell ref="Y12:Y14"/>
    <mergeCell ref="Z12:Z14"/>
    <mergeCell ref="S12:T13"/>
    <mergeCell ref="U12:V13"/>
    <mergeCell ref="F12:F14"/>
    <mergeCell ref="G12:G14"/>
    <mergeCell ref="H12:H14"/>
    <mergeCell ref="I12:I14"/>
    <mergeCell ref="W12:X13"/>
    <mergeCell ref="AO12:AO14"/>
    <mergeCell ref="AV13:AV14"/>
    <mergeCell ref="AJ13:AJ14"/>
    <mergeCell ref="AM13:AM14"/>
    <mergeCell ref="AN13:AN14"/>
    <mergeCell ref="BM13:BM14"/>
    <mergeCell ref="BL12:BM12"/>
    <mergeCell ref="BJ13:BJ14"/>
    <mergeCell ref="BK13:BK14"/>
    <mergeCell ref="BL13:BL14"/>
    <mergeCell ref="BJ12:BK12"/>
    <mergeCell ref="BH13:BH14"/>
    <mergeCell ref="BI13:BI14"/>
    <mergeCell ref="AQ12:AQ14"/>
    <mergeCell ref="BE12:BE14"/>
    <mergeCell ref="AS12:AS14"/>
    <mergeCell ref="F16:F18"/>
    <mergeCell ref="G16:G18"/>
    <mergeCell ref="H16:H18"/>
    <mergeCell ref="I16:I18"/>
    <mergeCell ref="J16:J18"/>
    <mergeCell ref="P16:P18"/>
    <mergeCell ref="Q16:Q18"/>
    <mergeCell ref="K16:K18"/>
    <mergeCell ref="L16:L18"/>
    <mergeCell ref="M16:M18"/>
    <mergeCell ref="N16:N18"/>
    <mergeCell ref="O16:O18"/>
  </mergeCells>
  <hyperlinks>
    <hyperlink ref="AC18" location="'TECH_HORISONTAL'!A1" tooltip="Добавить объект" display="Добавить объект"/>
    <hyperlink ref="AA17" location="'TECH_HORISONTAL'!A1" tooltip="Удалить" display="О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 codeName="LIST_CNCSN">
    <tabColor indexed="11"/>
  </sheetPr>
  <dimension ref="A1:EE26"/>
  <sheetViews>
    <sheetView showGridLines="0" topLeftCell="E3" zoomScale="80" zoomScaleNormal="80" workbookViewId="0">
      <pane xSplit="9" ySplit="12" topLeftCell="N15" activePane="bottomRight" state="frozen"/>
      <selection activeCell="E3" sqref="E3"/>
      <selection pane="topRight" activeCell="N3" sqref="N3"/>
      <selection pane="bottomLeft" activeCell="E15" sqref="E15"/>
      <selection pane="bottomRight" activeCell="E18" sqref="E18"/>
    </sheetView>
  </sheetViews>
  <sheetFormatPr defaultColWidth="9.125" defaultRowHeight="11.4"/>
  <cols>
    <col min="1" max="1" width="8.75" style="22" hidden="1" customWidth="1"/>
    <col min="2" max="2" width="8.75" style="20" hidden="1" customWidth="1"/>
    <col min="3" max="3" width="3.75" style="20" hidden="1" customWidth="1"/>
    <col min="4" max="4" width="9.75" hidden="1" customWidth="1"/>
    <col min="5" max="5" width="3.75" style="20" customWidth="1"/>
    <col min="6" max="6" width="6.75" style="20" customWidth="1"/>
    <col min="7" max="8" width="27.75" style="20" customWidth="1"/>
    <col min="9" max="9" width="17.75" style="21" customWidth="1"/>
    <col min="10" max="10" width="1.75" style="20" hidden="1" customWidth="1"/>
    <col min="11" max="11" width="1.75" style="21" hidden="1" customWidth="1"/>
    <col min="12" max="13" width="1.75" style="20" hidden="1" customWidth="1"/>
    <col min="14" max="14" width="24.75" style="20" customWidth="1"/>
    <col min="15" max="16" width="1.75" style="20" hidden="1" customWidth="1"/>
    <col min="17" max="17" width="12.625" style="20" customWidth="1"/>
    <col min="18" max="18" width="8.75" style="20" hidden="1" customWidth="1"/>
    <col min="19" max="26" width="2.75" style="20" hidden="1" customWidth="1"/>
    <col min="27" max="27" width="3.75" style="20" customWidth="1"/>
    <col min="28" max="28" width="6.75" style="20" customWidth="1"/>
    <col min="29" max="29" width="8.75" style="20" customWidth="1"/>
    <col min="30" max="30" width="62.75" style="20" customWidth="1"/>
    <col min="31" max="31" width="12.75" style="20" customWidth="1"/>
    <col min="32" max="32" width="15.75" style="20" customWidth="1"/>
    <col min="33" max="33" width="2.75" style="2" hidden="1" customWidth="1"/>
    <col min="34" max="34" width="18.75" style="20" customWidth="1"/>
    <col min="35" max="36" width="14.75" style="20" customWidth="1"/>
    <col min="37" max="37" width="2.75" style="2" hidden="1" customWidth="1"/>
    <col min="38" max="38" width="18.75" style="20" customWidth="1"/>
    <col min="39" max="39" width="2.75" style="2" hidden="1" customWidth="1"/>
    <col min="40" max="40" width="17.875" style="20" customWidth="1"/>
    <col min="41" max="41" width="14.875" style="20" customWidth="1"/>
    <col min="42" max="43" width="13.75" style="20" customWidth="1"/>
    <col min="44" max="44" width="18.75" style="2" customWidth="1"/>
    <col min="45" max="46" width="2.75" style="2" hidden="1" customWidth="1"/>
    <col min="47" max="50" width="22.75" style="20" customWidth="1"/>
    <col min="51" max="52" width="2.75" style="2" hidden="1" customWidth="1"/>
    <col min="53" max="56" width="22.75" style="20" customWidth="1"/>
    <col min="57" max="58" width="2.75" style="2" hidden="1" customWidth="1"/>
    <col min="59" max="62" width="22.75" style="20" customWidth="1"/>
    <col min="63" max="64" width="2.75" style="2" hidden="1" customWidth="1"/>
    <col min="65" max="70" width="22.75" style="2" customWidth="1"/>
    <col min="71" max="73" width="15.625" style="2" customWidth="1"/>
    <col min="74" max="74" width="24.75" style="2" customWidth="1"/>
    <col min="75" max="83" width="15.625" style="2" customWidth="1"/>
    <col min="84" max="85" width="35.75" style="2" hidden="1" customWidth="1"/>
    <col min="86" max="88" width="2.75" style="2" hidden="1" customWidth="1"/>
    <col min="89" max="94" width="22.75" style="2" customWidth="1"/>
    <col min="95" max="97" width="15.625" style="2" customWidth="1"/>
    <col min="98" max="98" width="24.75" style="2" customWidth="1"/>
    <col min="99" max="107" width="15.625" style="2" customWidth="1"/>
    <col min="108" max="109" width="35.75" style="2" hidden="1" customWidth="1"/>
    <col min="110" max="111" width="2.75" style="2" hidden="1" customWidth="1"/>
    <col min="112" max="112" width="3.75" style="20" customWidth="1"/>
    <col min="113" max="113" width="6.75" style="20" customWidth="1"/>
    <col min="114" max="114" width="62.75" style="20" customWidth="1"/>
    <col min="115" max="116" width="2.75" style="2" hidden="1" customWidth="1"/>
    <col min="117" max="118" width="17.875" style="2" customWidth="1"/>
    <col min="119" max="119" width="2.75" style="2" hidden="1" customWidth="1"/>
    <col min="120" max="120" width="17.875" style="2" customWidth="1"/>
    <col min="121" max="122" width="2.75" style="2" hidden="1" customWidth="1"/>
    <col min="123" max="132" width="12.75" style="2" hidden="1" customWidth="1"/>
    <col min="133" max="134" width="2.75" style="2" hidden="1" customWidth="1"/>
    <col min="135" max="135" width="22.75" style="2" customWidth="1"/>
    <col min="136" max="16384" width="9.125" style="2"/>
  </cols>
  <sheetData>
    <row r="1" spans="1:135" s="20" customFormat="1" ht="12" hidden="1" customHeight="1">
      <c r="A1" s="19"/>
      <c r="D1"/>
      <c r="AJ1" s="20" t="s">
        <v>2169</v>
      </c>
    </row>
    <row r="2" spans="1:135" s="20" customFormat="1" ht="12" hidden="1" customHeight="1">
      <c r="A2" s="19"/>
      <c r="D2"/>
      <c r="E2"/>
      <c r="F2" s="48"/>
      <c r="G2" s="48"/>
      <c r="H2" s="48"/>
      <c r="I2" s="48"/>
      <c r="K2" s="48"/>
      <c r="L2" s="48"/>
      <c r="AC2" s="23"/>
      <c r="AD2" s="23"/>
      <c r="AG2" s="23"/>
      <c r="AI2" s="23"/>
      <c r="AJ2" s="23"/>
      <c r="AK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CH2" s="23"/>
      <c r="CI2" s="23"/>
      <c r="CJ2" s="23"/>
      <c r="CK2" s="23"/>
      <c r="CL2" s="23"/>
      <c r="CM2" s="23"/>
      <c r="CN2" s="23"/>
      <c r="CO2" s="23"/>
      <c r="CP2" s="23"/>
      <c r="DJ2" s="23"/>
    </row>
    <row r="3" spans="1:135" s="20" customFormat="1" ht="9.75" customHeight="1">
      <c r="A3" s="19"/>
      <c r="D3"/>
      <c r="E3" s="23"/>
      <c r="F3" s="23"/>
      <c r="G3" s="23"/>
      <c r="H3" s="23"/>
      <c r="I3" s="23"/>
      <c r="K3" s="23"/>
      <c r="L3" s="23"/>
      <c r="AC3" s="23"/>
      <c r="AD3" s="23"/>
      <c r="AG3" s="23"/>
      <c r="AI3" s="23"/>
      <c r="AJ3" s="23"/>
      <c r="AK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CH3" s="23"/>
      <c r="CI3" s="23"/>
      <c r="CJ3" s="23"/>
      <c r="CK3" s="23"/>
      <c r="CL3" s="23"/>
      <c r="CM3" s="23"/>
      <c r="CN3" s="23"/>
      <c r="CO3" s="23"/>
      <c r="CP3" s="23"/>
      <c r="DJ3" s="23"/>
    </row>
    <row r="4" spans="1:135" s="20" customFormat="1" ht="15" customHeight="1">
      <c r="A4" s="19"/>
      <c r="C4" s="52"/>
      <c r="D4"/>
      <c r="E4" s="52"/>
      <c r="G4" s="642" t="str">
        <f>"Перечень заключённых концессионных соглашений, действующих в течение " &amp; god &amp; " года, для организаций, оказывающих услуги " &amp; TEMPLATE_SPHERE</f>
        <v>Перечень заключённых концессионных соглашений, действующих в течение 2024 года, для организаций, оказывающих услуги теплоснабжения</v>
      </c>
      <c r="H4" s="641"/>
      <c r="I4" s="641"/>
      <c r="J4" s="641"/>
      <c r="K4" s="641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23"/>
      <c r="AH4" s="50"/>
      <c r="AI4" s="50"/>
      <c r="AJ4" s="50"/>
      <c r="AK4" s="23"/>
      <c r="AL4" s="50"/>
      <c r="AM4" s="23"/>
      <c r="AN4" s="50"/>
      <c r="AO4" s="50"/>
      <c r="AP4" s="50"/>
      <c r="AQ4" s="50"/>
      <c r="AR4" s="23"/>
      <c r="AS4" s="23"/>
      <c r="AT4" s="23"/>
      <c r="AU4" s="50"/>
      <c r="AV4" s="50"/>
      <c r="AW4" s="50"/>
      <c r="AX4" s="50"/>
      <c r="AY4" s="23"/>
      <c r="AZ4" s="23"/>
      <c r="BA4" s="50"/>
      <c r="BB4" s="50"/>
      <c r="BC4" s="50"/>
      <c r="BD4" s="50"/>
      <c r="BE4" s="23"/>
      <c r="BF4" s="23"/>
      <c r="BG4" s="50"/>
      <c r="BH4" s="50"/>
      <c r="BI4" s="50"/>
      <c r="BJ4" s="50"/>
      <c r="BK4" s="23"/>
      <c r="BL4" s="23"/>
      <c r="BM4" s="23"/>
      <c r="BN4" s="23"/>
      <c r="BO4" s="23"/>
      <c r="BP4" s="23"/>
      <c r="BQ4" s="23"/>
      <c r="BR4" s="23"/>
      <c r="CH4" s="23"/>
      <c r="CI4" s="23"/>
      <c r="CJ4" s="23"/>
      <c r="CK4" s="23"/>
      <c r="CL4" s="23"/>
      <c r="CM4" s="23"/>
      <c r="CN4" s="23"/>
      <c r="CO4" s="23"/>
      <c r="CP4" s="23"/>
      <c r="DH4" s="50"/>
      <c r="DI4" s="50"/>
      <c r="DJ4" s="50"/>
    </row>
    <row r="5" spans="1:135" s="20" customFormat="1" ht="9" customHeight="1">
      <c r="A5" s="19"/>
      <c r="D5"/>
      <c r="E5" s="51"/>
      <c r="F5" s="51"/>
      <c r="G5" s="51"/>
      <c r="H5" s="51"/>
      <c r="I5" s="822"/>
      <c r="J5" s="822"/>
      <c r="K5" s="636"/>
      <c r="L5" s="51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23"/>
      <c r="AH5" s="50"/>
      <c r="AI5" s="50"/>
      <c r="AJ5" s="50"/>
      <c r="AK5" s="23"/>
      <c r="AL5" s="50"/>
      <c r="AM5" s="23"/>
      <c r="AN5" s="50"/>
      <c r="AO5" s="50"/>
      <c r="AP5" s="50"/>
      <c r="AQ5" s="50"/>
      <c r="AR5" s="23"/>
      <c r="AS5" s="23"/>
      <c r="AT5" s="23"/>
      <c r="AU5" s="50"/>
      <c r="AV5" s="50"/>
      <c r="AW5" s="50"/>
      <c r="AX5" s="50"/>
      <c r="AY5" s="23"/>
      <c r="AZ5" s="23"/>
      <c r="BA5" s="50"/>
      <c r="BB5" s="50"/>
      <c r="BC5" s="50"/>
      <c r="BD5" s="50"/>
      <c r="BE5" s="23"/>
      <c r="BF5" s="23"/>
      <c r="BG5" s="50"/>
      <c r="BH5" s="50"/>
      <c r="BI5" s="50"/>
      <c r="BJ5" s="50"/>
      <c r="BK5" s="23"/>
      <c r="BL5" s="23"/>
      <c r="BM5" s="23"/>
      <c r="BN5" s="23"/>
      <c r="BO5" s="23"/>
      <c r="BP5" s="23"/>
      <c r="BQ5" s="23"/>
      <c r="BR5" s="23"/>
      <c r="CH5" s="23"/>
      <c r="CI5" s="23"/>
      <c r="CJ5" s="23"/>
      <c r="CK5" s="23"/>
      <c r="CL5" s="23"/>
      <c r="CM5" s="23"/>
      <c r="CN5" s="23"/>
      <c r="CO5" s="23"/>
      <c r="CP5" s="23"/>
      <c r="DH5" s="50"/>
      <c r="DI5" s="50"/>
      <c r="DJ5" s="50"/>
    </row>
    <row r="6" spans="1:135" s="20" customFormat="1" ht="11.25" hidden="1" customHeight="1">
      <c r="A6" s="19"/>
      <c r="D6"/>
      <c r="E6" s="51"/>
      <c r="F6" s="51"/>
      <c r="G6" s="5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H6" s="21"/>
      <c r="AI6" s="21"/>
      <c r="AJ6" s="21"/>
      <c r="AL6" s="21"/>
      <c r="AN6" s="21"/>
      <c r="AO6" s="21"/>
      <c r="AP6" s="21"/>
      <c r="AQ6" s="21"/>
      <c r="AR6" s="21"/>
      <c r="AU6" s="21"/>
      <c r="AV6" s="21"/>
      <c r="AW6" s="21"/>
      <c r="AX6" s="21"/>
      <c r="BA6" s="21"/>
      <c r="BB6" s="21"/>
      <c r="BC6" s="21"/>
      <c r="BD6" s="21"/>
      <c r="BG6" s="21"/>
      <c r="BH6" s="21"/>
      <c r="BI6" s="21"/>
      <c r="BJ6" s="21"/>
      <c r="BS6" s="21"/>
      <c r="BY6" s="23"/>
      <c r="BZ6" s="23"/>
      <c r="CA6" s="23"/>
      <c r="CB6" s="23"/>
      <c r="CC6" s="23"/>
      <c r="CD6" s="23"/>
      <c r="CE6" s="23"/>
      <c r="CF6" s="23"/>
      <c r="CG6" s="23"/>
      <c r="CQ6" s="21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1"/>
      <c r="DI6" s="21"/>
      <c r="DJ6" s="21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</row>
    <row r="7" spans="1:135" s="20" customFormat="1" ht="11.25" hidden="1" customHeight="1">
      <c r="A7" s="19"/>
      <c r="D7"/>
      <c r="E7" s="51"/>
      <c r="F7" s="51"/>
      <c r="G7" s="5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H7" s="21"/>
      <c r="AI7" s="21"/>
      <c r="AJ7" s="21"/>
      <c r="AL7" s="21"/>
      <c r="AN7" s="21"/>
      <c r="AO7" s="21"/>
      <c r="AP7" s="21"/>
      <c r="AQ7" s="21"/>
      <c r="AR7" s="21"/>
      <c r="AU7" s="21"/>
      <c r="AV7" s="21"/>
      <c r="AW7" s="21"/>
      <c r="AX7" s="21"/>
      <c r="BA7" s="21"/>
      <c r="BB7" s="21"/>
      <c r="BC7" s="21"/>
      <c r="BD7" s="21"/>
      <c r="BG7" s="21"/>
      <c r="BH7" s="21"/>
      <c r="BI7" s="21"/>
      <c r="BJ7" s="21"/>
      <c r="BS7" s="21"/>
      <c r="BY7" s="23"/>
      <c r="BZ7" s="23"/>
      <c r="CA7" s="23"/>
      <c r="CB7" s="23"/>
      <c r="CC7" s="23"/>
      <c r="CD7" s="23"/>
      <c r="CE7" s="23"/>
      <c r="CF7" s="23"/>
      <c r="CG7" s="23"/>
      <c r="CQ7" s="21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1"/>
      <c r="DI7" s="21"/>
      <c r="DJ7" s="21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</row>
    <row r="8" spans="1:135" s="20" customFormat="1" ht="11.25" hidden="1" customHeight="1">
      <c r="A8" s="19"/>
      <c r="D8"/>
      <c r="E8" s="51"/>
      <c r="F8" s="51"/>
      <c r="G8" s="5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H8" s="21"/>
      <c r="AI8" s="21"/>
      <c r="AJ8" s="21"/>
      <c r="AL8" s="21"/>
      <c r="AN8" s="21"/>
      <c r="AO8" s="21"/>
      <c r="AP8" s="21"/>
      <c r="AQ8" s="21"/>
      <c r="AR8" s="21"/>
      <c r="AU8" s="21"/>
      <c r="AV8" s="21"/>
      <c r="AW8" s="21"/>
      <c r="AX8" s="21"/>
      <c r="BA8" s="21"/>
      <c r="BB8" s="21"/>
      <c r="BC8" s="21"/>
      <c r="BD8" s="21"/>
      <c r="BG8" s="21"/>
      <c r="BH8" s="21"/>
      <c r="BI8" s="21"/>
      <c r="BJ8" s="21"/>
      <c r="BS8" s="21"/>
      <c r="BY8" s="23"/>
      <c r="BZ8" s="23"/>
      <c r="CA8" s="23"/>
      <c r="CB8" s="23"/>
      <c r="CC8" s="23"/>
      <c r="CD8" s="23"/>
      <c r="CE8" s="23"/>
      <c r="CF8" s="23"/>
      <c r="CG8" s="23"/>
      <c r="CQ8" s="21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1"/>
      <c r="DI8" s="21"/>
      <c r="DJ8" s="21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</row>
    <row r="9" spans="1:135" s="20" customFormat="1" ht="11.25" hidden="1" customHeight="1">
      <c r="A9" s="19"/>
      <c r="D9"/>
      <c r="E9" s="51"/>
      <c r="F9" s="51"/>
      <c r="G9" s="5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H9" s="21"/>
      <c r="AI9" s="21"/>
      <c r="AJ9" s="21"/>
      <c r="AL9" s="21"/>
      <c r="AN9" s="21"/>
      <c r="AO9" s="21"/>
      <c r="AP9" s="21"/>
      <c r="AQ9" s="21"/>
      <c r="AR9" s="21"/>
      <c r="AU9" s="21"/>
      <c r="AV9" s="21"/>
      <c r="AW9" s="21"/>
      <c r="AX9" s="21"/>
      <c r="BA9" s="21"/>
      <c r="BB9" s="21"/>
      <c r="BC9" s="21"/>
      <c r="BD9" s="21"/>
      <c r="BG9" s="21"/>
      <c r="BH9" s="21"/>
      <c r="BI9" s="21"/>
      <c r="BJ9" s="21"/>
      <c r="BS9" s="21"/>
      <c r="BY9" s="23"/>
      <c r="BZ9" s="23"/>
      <c r="CA9" s="23"/>
      <c r="CB9" s="23"/>
      <c r="CC9" s="23"/>
      <c r="CD9" s="23"/>
      <c r="CE9" s="23"/>
      <c r="CF9" s="23"/>
      <c r="CG9" s="23"/>
      <c r="CQ9" s="21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1"/>
      <c r="DI9" s="21"/>
      <c r="DJ9" s="21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</row>
    <row r="10" spans="1:135" s="20" customFormat="1" ht="11.25" hidden="1" customHeight="1">
      <c r="A10" s="19"/>
      <c r="D10"/>
      <c r="E10" s="51"/>
      <c r="F10" s="51"/>
      <c r="G10" s="5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H10" s="21"/>
      <c r="AI10" s="21"/>
      <c r="AJ10" s="21"/>
      <c r="AL10" s="21"/>
      <c r="AN10" s="21"/>
      <c r="AO10" s="21"/>
      <c r="AP10" s="21"/>
      <c r="AQ10" s="21"/>
      <c r="AR10" s="21"/>
      <c r="AU10" s="21"/>
      <c r="AV10" s="21"/>
      <c r="AW10" s="21"/>
      <c r="AX10" s="21"/>
      <c r="BA10" s="21"/>
      <c r="BB10" s="21"/>
      <c r="BC10" s="21"/>
      <c r="BD10" s="21"/>
      <c r="BG10" s="21"/>
      <c r="BH10" s="21"/>
      <c r="BI10" s="21"/>
      <c r="BJ10" s="21"/>
      <c r="BS10" s="21"/>
      <c r="BY10" s="23"/>
      <c r="BZ10" s="23"/>
      <c r="CA10" s="23"/>
      <c r="CB10" s="23"/>
      <c r="CC10" s="23"/>
      <c r="CD10" s="23"/>
      <c r="CE10" s="23"/>
      <c r="CF10" s="23"/>
      <c r="CG10" s="23"/>
      <c r="CQ10" s="21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1"/>
      <c r="DI10" s="21"/>
      <c r="DJ10" s="21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</row>
    <row r="11" spans="1:135" s="20" customFormat="1" ht="11.25" hidden="1" customHeight="1">
      <c r="A11" s="19"/>
      <c r="D11"/>
      <c r="E11" s="51"/>
      <c r="F11" s="51"/>
      <c r="G11" s="51"/>
      <c r="H11" s="51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23"/>
      <c r="AT11" s="23"/>
      <c r="AU11" s="49"/>
      <c r="AV11" s="49"/>
      <c r="AW11" s="49"/>
      <c r="AX11" s="49"/>
      <c r="AY11" s="23"/>
      <c r="AZ11" s="23"/>
      <c r="BA11" s="49"/>
      <c r="BB11" s="49"/>
      <c r="BC11" s="49"/>
      <c r="BD11" s="49"/>
      <c r="BE11" s="23"/>
      <c r="BF11" s="23"/>
      <c r="BG11" s="49"/>
      <c r="BH11" s="49"/>
      <c r="BI11" s="49"/>
      <c r="BJ11" s="49"/>
      <c r="BK11" s="23"/>
      <c r="BL11" s="23"/>
      <c r="BM11" s="23"/>
      <c r="BN11" s="23"/>
      <c r="BO11" s="23"/>
      <c r="BP11" s="23"/>
      <c r="BQ11" s="23"/>
      <c r="BR11" s="23"/>
      <c r="BS11" s="49"/>
      <c r="BT11" s="49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49"/>
      <c r="CR11" s="49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49"/>
      <c r="DI11" s="49"/>
      <c r="DJ11" s="49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</row>
    <row r="12" spans="1:135" ht="24" customHeight="1">
      <c r="E12" s="51"/>
      <c r="F12" s="814" t="s">
        <v>104</v>
      </c>
      <c r="G12" s="813" t="s">
        <v>121</v>
      </c>
      <c r="H12" s="813" t="s">
        <v>122</v>
      </c>
      <c r="I12" s="813" t="s">
        <v>106</v>
      </c>
      <c r="J12" s="824"/>
      <c r="K12" s="824"/>
      <c r="L12" s="824"/>
      <c r="M12" s="824"/>
      <c r="N12" s="815" t="s">
        <v>2179</v>
      </c>
      <c r="O12" s="824"/>
      <c r="P12" s="824"/>
      <c r="Q12" s="813" t="s">
        <v>2371</v>
      </c>
      <c r="R12" s="824" t="s">
        <v>1069</v>
      </c>
      <c r="S12" s="814"/>
      <c r="T12" s="814"/>
      <c r="U12" s="814"/>
      <c r="V12" s="814"/>
      <c r="W12" s="814"/>
      <c r="X12" s="814"/>
      <c r="Y12" s="814"/>
      <c r="Z12" s="814"/>
      <c r="AA12" s="814"/>
      <c r="AB12" s="846" t="s">
        <v>104</v>
      </c>
      <c r="AC12" s="813" t="s">
        <v>2161</v>
      </c>
      <c r="AD12" s="813" t="s">
        <v>2362</v>
      </c>
      <c r="AE12" s="813" t="s">
        <v>2370</v>
      </c>
      <c r="AF12" s="813" t="s">
        <v>2369</v>
      </c>
      <c r="AG12" s="814"/>
      <c r="AH12" s="813" t="str">
        <f>"Выбор КС по данным мониторинга принятых тарифных решений на " &amp; god &amp; " год"</f>
        <v>Выбор КС по данным мониторинга принятых тарифных решений на 2024 год</v>
      </c>
      <c r="AI12" s="813" t="s">
        <v>2368</v>
      </c>
      <c r="AJ12" s="813"/>
      <c r="AK12" s="814"/>
      <c r="AL12" s="854" t="s">
        <v>2367</v>
      </c>
      <c r="AM12" s="814"/>
      <c r="AN12" s="861" t="s">
        <v>2366</v>
      </c>
      <c r="AO12" s="862"/>
      <c r="AP12" s="862"/>
      <c r="AQ12" s="862"/>
      <c r="AR12" s="863"/>
      <c r="AS12" s="814"/>
      <c r="AT12" s="844"/>
      <c r="AU12" s="813" t="str">
        <f>"Запланировано инвестиций на весь период действия (с момента заключения до окончания действия КС, план на весь период действия), в том числе по КС, срок действия по которым истек в " &amp; god-1 &amp; " году, тыс.руб."</f>
        <v>Запланировано инвестиций на весь период действия (с момента заключения до окончания действия КС, план на весь период действия), в том числе по КС, срок действия по которым истек в 2023 году, тыс.руб.</v>
      </c>
      <c r="AV12" s="813"/>
      <c r="AW12" s="813"/>
      <c r="AX12" s="813"/>
      <c r="AY12" s="842"/>
      <c r="AZ12" s="844"/>
      <c r="BA12" s="813" t="str">
        <f>"Запланировано инвестиций с момента заключения КС по 31.12." &amp; god-1 &amp; ", тыс.руб."</f>
        <v>Запланировано инвестиций с момента заключения КС по 31.12.2023, тыс.руб.</v>
      </c>
      <c r="BB12" s="813"/>
      <c r="BC12" s="813"/>
      <c r="BD12" s="813"/>
      <c r="BE12" s="842"/>
      <c r="BF12" s="844"/>
      <c r="BG12" s="813" t="str">
        <f>"Фактически исполнено инвестиций с момента заключения КС по 31.12." &amp; god-1 &amp; ", тыс.руб."</f>
        <v>Фактически исполнено инвестиций с момента заключения КС по 31.12.2023, тыс.руб.</v>
      </c>
      <c r="BH12" s="813"/>
      <c r="BI12" s="813"/>
      <c r="BJ12" s="813"/>
      <c r="BK12" s="842"/>
      <c r="BL12" s="844"/>
      <c r="BM12" s="814" t="str">
        <f>"Запланировано инвестиций на " &amp; god &amp; " год, тыс.руб."</f>
        <v>Запланировано инвестиций на 2024 год, тыс.руб.</v>
      </c>
      <c r="BN12" s="814"/>
      <c r="BO12" s="814"/>
      <c r="BP12" s="814"/>
      <c r="BQ12" s="814"/>
      <c r="BR12" s="814"/>
      <c r="BS12" s="814"/>
      <c r="BT12" s="814"/>
      <c r="BU12" s="814"/>
      <c r="BV12" s="814"/>
      <c r="BW12" s="814"/>
      <c r="BX12" s="814"/>
      <c r="BY12" s="814"/>
      <c r="BZ12" s="814"/>
      <c r="CA12" s="814"/>
      <c r="CB12" s="814"/>
      <c r="CC12" s="814"/>
      <c r="CD12" s="814"/>
      <c r="CE12" s="814"/>
      <c r="CF12" s="814"/>
      <c r="CG12" s="814"/>
      <c r="CH12" s="682"/>
      <c r="CI12" s="842"/>
      <c r="CJ12" s="844"/>
      <c r="CK12" s="814" t="str">
        <f>"Фактически исполнено инвестиций за " &amp; god &amp; " год, тыс.руб."</f>
        <v>Фактически исполнено инвестиций за 2024 год, тыс.руб.</v>
      </c>
      <c r="CL12" s="814"/>
      <c r="CM12" s="814"/>
      <c r="CN12" s="814"/>
      <c r="CO12" s="814"/>
      <c r="CP12" s="814"/>
      <c r="CQ12" s="814"/>
      <c r="CR12" s="814"/>
      <c r="CS12" s="814"/>
      <c r="CT12" s="814"/>
      <c r="CU12" s="814"/>
      <c r="CV12" s="814"/>
      <c r="CW12" s="814"/>
      <c r="CX12" s="814"/>
      <c r="CY12" s="814"/>
      <c r="CZ12" s="814"/>
      <c r="DA12" s="814"/>
      <c r="DB12" s="814"/>
      <c r="DC12" s="814"/>
      <c r="DD12" s="814"/>
      <c r="DE12" s="814"/>
      <c r="DF12" s="683"/>
      <c r="DG12" s="864"/>
      <c r="DH12" s="866" t="s">
        <v>2365</v>
      </c>
      <c r="DI12" s="867"/>
      <c r="DJ12" s="867"/>
      <c r="DK12" s="867"/>
      <c r="DL12" s="867"/>
      <c r="DM12" s="867"/>
      <c r="DN12" s="867"/>
      <c r="DO12" s="867"/>
      <c r="DP12" s="867"/>
      <c r="DQ12" s="867"/>
      <c r="DR12" s="867"/>
      <c r="DS12" s="867"/>
      <c r="DT12" s="867"/>
      <c r="DU12" s="867"/>
      <c r="DV12" s="867"/>
      <c r="DW12" s="867"/>
      <c r="DX12" s="867"/>
      <c r="DY12" s="867"/>
      <c r="DZ12" s="867"/>
      <c r="EA12" s="867"/>
      <c r="EB12" s="867"/>
      <c r="EC12" s="867"/>
      <c r="ED12" s="867"/>
      <c r="EE12" s="867"/>
    </row>
    <row r="13" spans="1:135" ht="12" customHeight="1">
      <c r="E13" s="54"/>
      <c r="F13" s="814"/>
      <c r="G13" s="814"/>
      <c r="H13" s="814"/>
      <c r="I13" s="814"/>
      <c r="J13" s="824"/>
      <c r="K13" s="824"/>
      <c r="L13" s="824"/>
      <c r="M13" s="824"/>
      <c r="N13" s="816"/>
      <c r="O13" s="824"/>
      <c r="P13" s="824"/>
      <c r="Q13" s="814"/>
      <c r="R13" s="824"/>
      <c r="S13" s="814"/>
      <c r="T13" s="814"/>
      <c r="U13" s="814"/>
      <c r="V13" s="814"/>
      <c r="W13" s="814"/>
      <c r="X13" s="814"/>
      <c r="Y13" s="814"/>
      <c r="Z13" s="814"/>
      <c r="AA13" s="814"/>
      <c r="AB13" s="846"/>
      <c r="AC13" s="814"/>
      <c r="AD13" s="814"/>
      <c r="AE13" s="814"/>
      <c r="AF13" s="814"/>
      <c r="AG13" s="814"/>
      <c r="AH13" s="814"/>
      <c r="AI13" s="830" t="s">
        <v>2364</v>
      </c>
      <c r="AJ13" s="830" t="s">
        <v>2363</v>
      </c>
      <c r="AK13" s="814"/>
      <c r="AL13" s="814"/>
      <c r="AM13" s="814"/>
      <c r="AN13" s="859" t="s">
        <v>2362</v>
      </c>
      <c r="AO13" s="859" t="s">
        <v>2361</v>
      </c>
      <c r="AP13" s="859" t="s">
        <v>2360</v>
      </c>
      <c r="AQ13" s="859" t="s">
        <v>2359</v>
      </c>
      <c r="AR13" s="859" t="s">
        <v>2358</v>
      </c>
      <c r="AS13" s="814"/>
      <c r="AT13" s="844"/>
      <c r="AU13" s="813"/>
      <c r="AV13" s="813"/>
      <c r="AW13" s="813"/>
      <c r="AX13" s="813"/>
      <c r="AY13" s="842"/>
      <c r="AZ13" s="844"/>
      <c r="BA13" s="813"/>
      <c r="BB13" s="813"/>
      <c r="BC13" s="813"/>
      <c r="BD13" s="813"/>
      <c r="BE13" s="842"/>
      <c r="BF13" s="844"/>
      <c r="BG13" s="813"/>
      <c r="BH13" s="813"/>
      <c r="BI13" s="813"/>
      <c r="BJ13" s="813"/>
      <c r="BK13" s="842"/>
      <c r="BL13" s="844"/>
      <c r="BM13" s="815" t="s">
        <v>160</v>
      </c>
      <c r="BN13" s="854" t="s">
        <v>2357</v>
      </c>
      <c r="BO13" s="855"/>
      <c r="BP13" s="855"/>
      <c r="BQ13" s="855"/>
      <c r="BR13" s="856"/>
      <c r="BS13" s="854" t="s">
        <v>2356</v>
      </c>
      <c r="BT13" s="855"/>
      <c r="BU13" s="855"/>
      <c r="BV13" s="855"/>
      <c r="BW13" s="855"/>
      <c r="BX13" s="856"/>
      <c r="BY13" s="854" t="s">
        <v>2355</v>
      </c>
      <c r="BZ13" s="855"/>
      <c r="CA13" s="855"/>
      <c r="CB13" s="856"/>
      <c r="CC13" s="854" t="s">
        <v>2354</v>
      </c>
      <c r="CD13" s="855"/>
      <c r="CE13" s="855"/>
      <c r="CF13" s="855"/>
      <c r="CG13" s="856"/>
      <c r="CH13" s="857"/>
      <c r="CI13" s="842"/>
      <c r="CJ13" s="844"/>
      <c r="CK13" s="815" t="s">
        <v>160</v>
      </c>
      <c r="CL13" s="854" t="s">
        <v>2357</v>
      </c>
      <c r="CM13" s="855"/>
      <c r="CN13" s="855"/>
      <c r="CO13" s="855"/>
      <c r="CP13" s="856"/>
      <c r="CQ13" s="854" t="s">
        <v>2356</v>
      </c>
      <c r="CR13" s="855"/>
      <c r="CS13" s="855"/>
      <c r="CT13" s="855"/>
      <c r="CU13" s="855"/>
      <c r="CV13" s="856"/>
      <c r="CW13" s="854" t="s">
        <v>2355</v>
      </c>
      <c r="CX13" s="855"/>
      <c r="CY13" s="855"/>
      <c r="CZ13" s="856"/>
      <c r="DA13" s="854" t="s">
        <v>2354</v>
      </c>
      <c r="DB13" s="855"/>
      <c r="DC13" s="855"/>
      <c r="DD13" s="855"/>
      <c r="DE13" s="856"/>
      <c r="DF13" s="857"/>
      <c r="DG13" s="864"/>
      <c r="DH13" s="813"/>
      <c r="DI13" s="846" t="s">
        <v>104</v>
      </c>
      <c r="DJ13" s="813" t="s">
        <v>2353</v>
      </c>
      <c r="DK13" s="813"/>
      <c r="DL13" s="813"/>
      <c r="DM13" s="814" t="str">
        <f>"Запланировано инвестиций на " &amp; god &amp; " год, тыс.руб."</f>
        <v>Запланировано инвестиций на 2024 год, тыс.руб.</v>
      </c>
      <c r="DN13" s="814" t="str">
        <f>"Фактически исполнено инвестиций за " &amp; god &amp; " год, тыс.руб."</f>
        <v>Фактически исполнено инвестиций за 2024 год, тыс.руб.</v>
      </c>
      <c r="DO13" s="813"/>
      <c r="DP13" s="813" t="s">
        <v>2352</v>
      </c>
      <c r="DQ13" s="813"/>
      <c r="DR13" s="813"/>
      <c r="DS13" s="813" t="s">
        <v>2469</v>
      </c>
      <c r="DT13" s="813" t="s">
        <v>2470</v>
      </c>
      <c r="DU13" s="813" t="s">
        <v>2467</v>
      </c>
      <c r="DV13" s="813" t="s">
        <v>2468</v>
      </c>
      <c r="DW13" s="813" t="s">
        <v>2351</v>
      </c>
      <c r="DX13" s="813" t="s">
        <v>2471</v>
      </c>
      <c r="DY13" s="813" t="s">
        <v>2472</v>
      </c>
      <c r="DZ13" s="813" t="s">
        <v>2350</v>
      </c>
      <c r="EA13" s="813" t="s">
        <v>2349</v>
      </c>
      <c r="EB13" s="813" t="s">
        <v>2348</v>
      </c>
      <c r="EC13" s="813"/>
      <c r="ED13" s="813"/>
      <c r="EE13" s="813" t="s">
        <v>829</v>
      </c>
    </row>
    <row r="14" spans="1:135" s="20" customFormat="1" ht="36" customHeight="1">
      <c r="A14" s="22"/>
      <c r="D14"/>
      <c r="E14" s="54"/>
      <c r="F14" s="814"/>
      <c r="G14" s="814"/>
      <c r="H14" s="814"/>
      <c r="I14" s="814"/>
      <c r="J14" s="824"/>
      <c r="K14" s="824"/>
      <c r="L14" s="824"/>
      <c r="M14" s="824"/>
      <c r="N14" s="812"/>
      <c r="O14" s="824"/>
      <c r="P14" s="824"/>
      <c r="Q14" s="834"/>
      <c r="R14" s="824"/>
      <c r="S14" s="834"/>
      <c r="T14" s="834"/>
      <c r="U14" s="834"/>
      <c r="V14" s="834"/>
      <c r="W14" s="834"/>
      <c r="X14" s="834"/>
      <c r="Y14" s="834"/>
      <c r="Z14" s="834"/>
      <c r="AA14" s="834"/>
      <c r="AB14" s="811"/>
      <c r="AC14" s="814"/>
      <c r="AD14" s="814"/>
      <c r="AE14" s="834"/>
      <c r="AF14" s="834"/>
      <c r="AG14" s="834"/>
      <c r="AH14" s="834"/>
      <c r="AI14" s="830"/>
      <c r="AJ14" s="830"/>
      <c r="AK14" s="834"/>
      <c r="AL14" s="834"/>
      <c r="AM14" s="834"/>
      <c r="AN14" s="860"/>
      <c r="AO14" s="860"/>
      <c r="AP14" s="860"/>
      <c r="AQ14" s="860"/>
      <c r="AR14" s="860"/>
      <c r="AS14" s="834"/>
      <c r="AT14" s="845"/>
      <c r="AU14" s="637" t="s">
        <v>160</v>
      </c>
      <c r="AV14" s="637" t="s">
        <v>2347</v>
      </c>
      <c r="AW14" s="637" t="s">
        <v>2346</v>
      </c>
      <c r="AX14" s="637" t="s">
        <v>2345</v>
      </c>
      <c r="AY14" s="843"/>
      <c r="AZ14" s="845"/>
      <c r="BA14" s="637" t="s">
        <v>160</v>
      </c>
      <c r="BB14" s="637" t="s">
        <v>2347</v>
      </c>
      <c r="BC14" s="637" t="s">
        <v>2346</v>
      </c>
      <c r="BD14" s="637" t="s">
        <v>2345</v>
      </c>
      <c r="BE14" s="843"/>
      <c r="BF14" s="845"/>
      <c r="BG14" s="637" t="s">
        <v>160</v>
      </c>
      <c r="BH14" s="637" t="s">
        <v>2347</v>
      </c>
      <c r="BI14" s="637" t="s">
        <v>2346</v>
      </c>
      <c r="BJ14" s="637" t="s">
        <v>2345</v>
      </c>
      <c r="BK14" s="843"/>
      <c r="BL14" s="845"/>
      <c r="BM14" s="821"/>
      <c r="BN14" s="635" t="s">
        <v>160</v>
      </c>
      <c r="BO14" s="635" t="s">
        <v>2344</v>
      </c>
      <c r="BP14" s="635" t="s">
        <v>2343</v>
      </c>
      <c r="BQ14" s="635" t="s">
        <v>2342</v>
      </c>
      <c r="BR14" s="635" t="s">
        <v>2341</v>
      </c>
      <c r="BS14" s="635" t="s">
        <v>160</v>
      </c>
      <c r="BT14" s="635" t="s">
        <v>2340</v>
      </c>
      <c r="BU14" s="635" t="s">
        <v>2608</v>
      </c>
      <c r="BV14" s="635" t="s">
        <v>2609</v>
      </c>
      <c r="BW14" s="635" t="s">
        <v>2610</v>
      </c>
      <c r="BX14" s="635" t="s">
        <v>2338</v>
      </c>
      <c r="BY14" s="635" t="s">
        <v>160</v>
      </c>
      <c r="BZ14" s="635" t="s">
        <v>2337</v>
      </c>
      <c r="CA14" s="635" t="s">
        <v>2336</v>
      </c>
      <c r="CB14" s="635" t="s">
        <v>2335</v>
      </c>
      <c r="CC14" s="635" t="s">
        <v>160</v>
      </c>
      <c r="CD14" s="635" t="s">
        <v>2334</v>
      </c>
      <c r="CE14" s="635" t="s">
        <v>169</v>
      </c>
      <c r="CF14" s="635" t="str">
        <f>IF(TEMPLATE_SPHERE_CODE="VOTV","Доход от взимания платы за нарушение нормативов по объему и (или) составу сточных вод","")</f>
        <v/>
      </c>
      <c r="CG14" s="635" t="str">
        <f>IF(TEMPLATE_SPHERE_CODE="VOTV","Доход от взимания платы за негативное воздействие на работу централизованной системы водоотведения","")</f>
        <v/>
      </c>
      <c r="CH14" s="858"/>
      <c r="CI14" s="843"/>
      <c r="CJ14" s="845"/>
      <c r="CK14" s="821"/>
      <c r="CL14" s="635" t="s">
        <v>160</v>
      </c>
      <c r="CM14" s="635" t="s">
        <v>2344</v>
      </c>
      <c r="CN14" s="635" t="s">
        <v>2343</v>
      </c>
      <c r="CO14" s="635" t="s">
        <v>2342</v>
      </c>
      <c r="CP14" s="635" t="s">
        <v>2341</v>
      </c>
      <c r="CQ14" s="635" t="s">
        <v>160</v>
      </c>
      <c r="CR14" s="635" t="s">
        <v>2340</v>
      </c>
      <c r="CS14" s="635" t="s">
        <v>2608</v>
      </c>
      <c r="CT14" s="635" t="s">
        <v>2609</v>
      </c>
      <c r="CU14" s="635" t="s">
        <v>2610</v>
      </c>
      <c r="CV14" s="635" t="s">
        <v>2338</v>
      </c>
      <c r="CW14" s="635" t="s">
        <v>160</v>
      </c>
      <c r="CX14" s="635" t="s">
        <v>2337</v>
      </c>
      <c r="CY14" s="635" t="s">
        <v>2336</v>
      </c>
      <c r="CZ14" s="635" t="s">
        <v>2335</v>
      </c>
      <c r="DA14" s="635" t="s">
        <v>160</v>
      </c>
      <c r="DB14" s="635" t="s">
        <v>2334</v>
      </c>
      <c r="DC14" s="635" t="s">
        <v>169</v>
      </c>
      <c r="DD14" s="635" t="str">
        <f>IF(TEMPLATE_SPHERE_CODE="VOTV","Доход от взимания платы за нарушение нормативов по объему и (или) составу сточных вод","")</f>
        <v/>
      </c>
      <c r="DE14" s="635" t="str">
        <f>IF(TEMPLATE_SPHERE_CODE="VOTV","Доход от взимания платы за негативное воздействие на работу централизованной системы водоотведения","")</f>
        <v/>
      </c>
      <c r="DF14" s="858"/>
      <c r="DG14" s="865"/>
      <c r="DH14" s="813"/>
      <c r="DI14" s="846"/>
      <c r="DJ14" s="813"/>
      <c r="DK14" s="813"/>
      <c r="DL14" s="813"/>
      <c r="DM14" s="814"/>
      <c r="DN14" s="814"/>
      <c r="DO14" s="813"/>
      <c r="DP14" s="814"/>
      <c r="DQ14" s="813"/>
      <c r="DR14" s="813"/>
      <c r="DS14" s="813"/>
      <c r="DT14" s="813"/>
      <c r="DU14" s="813"/>
      <c r="DV14" s="813"/>
      <c r="DW14" s="813"/>
      <c r="DX14" s="813"/>
      <c r="DY14" s="813"/>
      <c r="DZ14" s="813"/>
      <c r="EA14" s="813"/>
      <c r="EB14" s="813"/>
      <c r="EC14" s="813"/>
      <c r="ED14" s="813"/>
      <c r="EE14" s="813"/>
    </row>
    <row r="15" spans="1:135" ht="0.75" customHeight="1">
      <c r="E15" s="54"/>
      <c r="F15" s="427">
        <v>0</v>
      </c>
      <c r="G15" s="428"/>
      <c r="H15" s="428"/>
      <c r="I15" s="428"/>
      <c r="J15" s="429"/>
      <c r="K15" s="429"/>
      <c r="L15" s="429"/>
      <c r="M15" s="429"/>
      <c r="N15" s="428"/>
      <c r="O15" s="429"/>
      <c r="P15" s="429"/>
      <c r="Q15" s="428"/>
      <c r="R15" s="429"/>
      <c r="S15" s="429"/>
      <c r="T15" s="429"/>
      <c r="U15" s="429"/>
      <c r="V15" s="429"/>
      <c r="W15" s="429"/>
      <c r="X15" s="429"/>
      <c r="Y15" s="429"/>
      <c r="Z15" s="429"/>
      <c r="AA15" s="428"/>
      <c r="AB15" s="428"/>
      <c r="AC15" s="428"/>
      <c r="AD15" s="428"/>
      <c r="AE15" s="428"/>
      <c r="AF15" s="428"/>
      <c r="AG15" s="429"/>
      <c r="AH15" s="428"/>
      <c r="AI15" s="428"/>
      <c r="AJ15" s="428"/>
      <c r="AK15" s="429"/>
      <c r="AL15" s="428"/>
      <c r="AM15" s="429"/>
      <c r="AN15" s="428"/>
      <c r="AO15" s="428"/>
      <c r="AP15" s="428"/>
      <c r="AQ15" s="428"/>
      <c r="AR15" s="428"/>
      <c r="AS15" s="429"/>
      <c r="AT15" s="429"/>
      <c r="AU15" s="428"/>
      <c r="AV15" s="428"/>
      <c r="AW15" s="428"/>
      <c r="AX15" s="428"/>
      <c r="AY15" s="429"/>
      <c r="AZ15" s="429"/>
      <c r="BA15" s="428"/>
      <c r="BB15" s="428"/>
      <c r="BC15" s="428"/>
      <c r="BD15" s="428"/>
      <c r="BE15" s="429"/>
      <c r="BF15" s="429"/>
      <c r="BG15" s="428"/>
      <c r="BH15" s="428"/>
      <c r="BI15" s="428"/>
      <c r="BJ15" s="428"/>
      <c r="BK15" s="429"/>
      <c r="BL15" s="429"/>
      <c r="BM15" s="428"/>
      <c r="BN15" s="428"/>
      <c r="BO15" s="428"/>
      <c r="BP15" s="428"/>
      <c r="BQ15" s="428"/>
      <c r="BR15" s="428"/>
      <c r="BS15" s="428"/>
      <c r="BT15" s="428"/>
      <c r="BU15" s="428"/>
      <c r="BV15" s="428"/>
      <c r="BW15" s="428"/>
      <c r="BX15" s="428"/>
      <c r="BY15" s="428"/>
      <c r="BZ15" s="428"/>
      <c r="CA15" s="428"/>
      <c r="CB15" s="428"/>
      <c r="CC15" s="428"/>
      <c r="CD15" s="428"/>
      <c r="CE15" s="428"/>
      <c r="CF15" s="428"/>
      <c r="CG15" s="428"/>
      <c r="CH15" s="429"/>
      <c r="CI15" s="429"/>
      <c r="CJ15" s="429"/>
      <c r="CK15" s="428"/>
      <c r="CL15" s="428"/>
      <c r="CM15" s="428"/>
      <c r="CN15" s="428"/>
      <c r="CO15" s="428"/>
      <c r="CP15" s="428"/>
      <c r="CQ15" s="428"/>
      <c r="CR15" s="428"/>
      <c r="CS15" s="428"/>
      <c r="CT15" s="428"/>
      <c r="CU15" s="428"/>
      <c r="CV15" s="428"/>
      <c r="CW15" s="428"/>
      <c r="CX15" s="428"/>
      <c r="CY15" s="428"/>
      <c r="CZ15" s="428"/>
      <c r="DA15" s="428"/>
      <c r="DB15" s="428"/>
      <c r="DC15" s="428"/>
      <c r="DD15" s="428"/>
      <c r="DE15" s="428"/>
      <c r="DF15" s="429"/>
      <c r="DG15" s="429"/>
      <c r="DH15" s="428"/>
      <c r="DI15" s="428"/>
      <c r="DJ15" s="428"/>
      <c r="DK15" s="429"/>
      <c r="DL15" s="429"/>
      <c r="DM15" s="428"/>
      <c r="DN15" s="428"/>
      <c r="DO15" s="429"/>
      <c r="DP15" s="428"/>
      <c r="DQ15" s="429"/>
      <c r="DR15" s="429"/>
      <c r="DS15" s="429"/>
      <c r="DT15" s="429"/>
      <c r="DU15" s="429"/>
      <c r="DV15" s="429"/>
      <c r="DW15" s="429"/>
      <c r="DX15" s="429"/>
      <c r="DY15" s="429"/>
      <c r="DZ15" s="429"/>
      <c r="EA15" s="429"/>
      <c r="EB15" s="429"/>
      <c r="EC15" s="429"/>
      <c r="ED15" s="429"/>
      <c r="EE15" s="430"/>
    </row>
    <row r="16" spans="1:135" ht="12" customHeight="1">
      <c r="E16" s="759" t="s">
        <v>134</v>
      </c>
      <c r="F16" s="827" t="str">
        <f>IF('Список территорий'!$F$16="","",'Список территорий'!$F$16)</f>
        <v>1</v>
      </c>
      <c r="G16" s="828" t="str">
        <f>IF('Список территорий'!$G$16="","",'Список территорий'!$G$16)</f>
        <v>город Нижний Новгород</v>
      </c>
      <c r="H16" s="828" t="str">
        <f>IF('Список территорий'!$H$16="","",'Список территорий'!$H$16)</f>
        <v>город Нижний Новгород</v>
      </c>
      <c r="I16" s="828" t="str">
        <f>IF('Список территорий'!$I$16="","",'Список территорий'!$I$16)</f>
        <v>22701000</v>
      </c>
      <c r="J16" s="825"/>
      <c r="K16" s="825"/>
      <c r="L16" s="825"/>
      <c r="M16" s="825"/>
      <c r="N16" s="852" t="str">
        <f>IF('Список территорий'!$N$16="","",'Список территорий'!$N$16)</f>
        <v/>
      </c>
      <c r="O16" s="825"/>
      <c r="P16" s="643"/>
      <c r="Q16" s="853">
        <f>COUNTIF(AA16:AA17,"О")</f>
        <v>0</v>
      </c>
      <c r="R16" s="440" t="str">
        <f>F16 &amp; ".0"</f>
        <v>1.0</v>
      </c>
      <c r="S16" s="402"/>
      <c r="T16" s="402"/>
      <c r="U16" s="402"/>
      <c r="V16" s="402"/>
      <c r="W16" s="402"/>
      <c r="X16" s="402"/>
      <c r="Y16" s="402"/>
      <c r="Z16" s="402"/>
      <c r="AA16" s="411"/>
      <c r="AB16" s="640" t="s">
        <v>831</v>
      </c>
      <c r="AC16" s="425"/>
      <c r="AD16" s="425"/>
      <c r="AE16" s="425"/>
      <c r="AF16" s="425"/>
      <c r="AG16" s="425"/>
      <c r="AH16" s="425"/>
      <c r="AI16" s="425"/>
      <c r="AJ16" s="425"/>
      <c r="AK16" s="425"/>
      <c r="AL16" s="425"/>
      <c r="AM16" s="425"/>
      <c r="AN16" s="425"/>
      <c r="AO16" s="425"/>
      <c r="AP16" s="425"/>
      <c r="AQ16" s="425"/>
      <c r="AR16" s="425"/>
      <c r="AS16" s="425"/>
      <c r="AT16" s="425"/>
      <c r="AU16" s="425"/>
      <c r="AV16" s="425"/>
      <c r="AW16" s="425"/>
      <c r="AX16" s="425"/>
      <c r="AY16" s="425"/>
      <c r="AZ16" s="425"/>
      <c r="BA16" s="425"/>
      <c r="BB16" s="425"/>
      <c r="BC16" s="425"/>
      <c r="BD16" s="425"/>
      <c r="BE16" s="425"/>
      <c r="BF16" s="425"/>
      <c r="BG16" s="425"/>
      <c r="BH16" s="425"/>
      <c r="BI16" s="425"/>
      <c r="BJ16" s="425"/>
      <c r="BK16" s="425"/>
      <c r="BL16" s="425"/>
      <c r="BM16" s="425"/>
      <c r="BN16" s="425"/>
      <c r="BO16" s="425"/>
      <c r="BP16" s="425"/>
      <c r="BQ16" s="425"/>
      <c r="BR16" s="425"/>
      <c r="BS16" s="425"/>
      <c r="BT16" s="425"/>
      <c r="BU16" s="425"/>
      <c r="BV16" s="425"/>
      <c r="BW16" s="425"/>
      <c r="BX16" s="425"/>
      <c r="BY16" s="425"/>
      <c r="BZ16" s="425"/>
      <c r="CA16" s="425"/>
      <c r="CB16" s="425"/>
      <c r="CC16" s="425"/>
      <c r="CD16" s="425"/>
      <c r="CE16" s="425"/>
      <c r="CF16" s="425"/>
      <c r="CG16" s="425"/>
      <c r="CH16" s="425"/>
      <c r="CI16" s="425"/>
      <c r="CJ16" s="425"/>
      <c r="CK16" s="425"/>
      <c r="CL16" s="425"/>
      <c r="CM16" s="425"/>
      <c r="CN16" s="425"/>
      <c r="CO16" s="425"/>
      <c r="CP16" s="425"/>
      <c r="CQ16" s="425"/>
      <c r="CR16" s="425"/>
      <c r="CS16" s="425"/>
      <c r="CT16" s="425"/>
      <c r="CU16" s="425"/>
      <c r="CV16" s="425"/>
      <c r="CW16" s="425"/>
      <c r="CX16" s="425"/>
      <c r="CY16" s="425"/>
      <c r="CZ16" s="425"/>
      <c r="DA16" s="425"/>
      <c r="DB16" s="425"/>
      <c r="DC16" s="425"/>
      <c r="DD16" s="425"/>
      <c r="DE16" s="425"/>
      <c r="DF16" s="425"/>
      <c r="DG16" s="425"/>
      <c r="DH16" s="425"/>
      <c r="DI16" s="425"/>
      <c r="DJ16" s="425"/>
      <c r="DK16" s="425"/>
      <c r="DL16" s="425"/>
      <c r="DM16" s="425"/>
      <c r="DN16" s="425"/>
      <c r="DO16" s="425"/>
      <c r="DP16" s="425"/>
      <c r="DQ16" s="425"/>
      <c r="DR16" s="425"/>
      <c r="DS16" s="425"/>
      <c r="DT16" s="425"/>
      <c r="DU16" s="425"/>
      <c r="DV16" s="425"/>
      <c r="DW16" s="425"/>
      <c r="DX16" s="425"/>
      <c r="DY16" s="425"/>
      <c r="DZ16" s="425"/>
      <c r="EA16" s="425"/>
      <c r="EB16" s="425"/>
      <c r="EC16" s="425"/>
      <c r="ED16" s="425"/>
      <c r="EE16" s="426"/>
    </row>
    <row r="17" spans="1:135" ht="11.25" customHeight="1">
      <c r="E17" s="54"/>
      <c r="F17" s="827"/>
      <c r="G17" s="828"/>
      <c r="H17" s="828"/>
      <c r="I17" s="828"/>
      <c r="J17" s="825"/>
      <c r="K17" s="825"/>
      <c r="L17" s="825"/>
      <c r="M17" s="825"/>
      <c r="N17" s="852"/>
      <c r="O17" s="825"/>
      <c r="P17" s="643"/>
      <c r="Q17" s="827"/>
      <c r="R17" s="402"/>
      <c r="S17" s="402"/>
      <c r="T17" s="402"/>
      <c r="U17" s="402"/>
      <c r="V17" s="402"/>
      <c r="W17" s="402"/>
      <c r="X17" s="402"/>
      <c r="Y17" s="402"/>
      <c r="Z17" s="402"/>
      <c r="AA17" s="411"/>
      <c r="AB17" s="425"/>
      <c r="AC17" s="644" t="s">
        <v>135</v>
      </c>
      <c r="AD17" s="425"/>
      <c r="AE17" s="425"/>
      <c r="AF17" s="425"/>
      <c r="AG17" s="425"/>
      <c r="AH17" s="425"/>
      <c r="AI17" s="425"/>
      <c r="AJ17" s="425"/>
      <c r="AK17" s="425"/>
      <c r="AL17" s="425"/>
      <c r="AM17" s="425"/>
      <c r="AN17" s="425"/>
      <c r="AO17" s="425"/>
      <c r="AP17" s="425"/>
      <c r="AQ17" s="425"/>
      <c r="AR17" s="425"/>
      <c r="AS17" s="425"/>
      <c r="AT17" s="425"/>
      <c r="AU17" s="425"/>
      <c r="AV17" s="425"/>
      <c r="AW17" s="425"/>
      <c r="AX17" s="425"/>
      <c r="AY17" s="425"/>
      <c r="AZ17" s="425"/>
      <c r="BA17" s="425"/>
      <c r="BB17" s="425"/>
      <c r="BC17" s="425"/>
      <c r="BD17" s="425"/>
      <c r="BE17" s="425"/>
      <c r="BF17" s="425"/>
      <c r="BG17" s="425"/>
      <c r="BH17" s="425"/>
      <c r="BI17" s="425"/>
      <c r="BJ17" s="425"/>
      <c r="BK17" s="425"/>
      <c r="BL17" s="425"/>
      <c r="BM17" s="425"/>
      <c r="BN17" s="425"/>
      <c r="BO17" s="425"/>
      <c r="BP17" s="425"/>
      <c r="BQ17" s="425"/>
      <c r="BR17" s="425"/>
      <c r="BS17" s="425"/>
      <c r="BT17" s="425"/>
      <c r="BU17" s="425"/>
      <c r="BV17" s="425"/>
      <c r="BW17" s="425"/>
      <c r="BX17" s="425"/>
      <c r="BY17" s="425"/>
      <c r="BZ17" s="425"/>
      <c r="CA17" s="425"/>
      <c r="CB17" s="425"/>
      <c r="CC17" s="425"/>
      <c r="CD17" s="425"/>
      <c r="CE17" s="425"/>
      <c r="CF17" s="425"/>
      <c r="CG17" s="425"/>
      <c r="CH17" s="425"/>
      <c r="CI17" s="425"/>
      <c r="CJ17" s="425"/>
      <c r="CK17" s="425"/>
      <c r="CL17" s="425"/>
      <c r="CM17" s="425"/>
      <c r="CN17" s="425"/>
      <c r="CO17" s="425"/>
      <c r="CP17" s="425"/>
      <c r="CQ17" s="425"/>
      <c r="CR17" s="425"/>
      <c r="CS17" s="425"/>
      <c r="CT17" s="425"/>
      <c r="CU17" s="425"/>
      <c r="CV17" s="425"/>
      <c r="CW17" s="425"/>
      <c r="CX17" s="425"/>
      <c r="CY17" s="425"/>
      <c r="CZ17" s="425"/>
      <c r="DA17" s="425"/>
      <c r="DB17" s="425"/>
      <c r="DC17" s="425"/>
      <c r="DD17" s="425"/>
      <c r="DE17" s="425"/>
      <c r="DF17" s="425"/>
      <c r="DG17" s="425"/>
      <c r="DH17" s="425"/>
      <c r="DI17" s="425"/>
      <c r="DJ17" s="425"/>
      <c r="DK17" s="425"/>
      <c r="DL17" s="425"/>
      <c r="DM17" s="425"/>
      <c r="DN17" s="425"/>
      <c r="DO17" s="425"/>
      <c r="DP17" s="425"/>
      <c r="DQ17" s="425"/>
      <c r="DR17" s="425"/>
      <c r="DS17" s="425"/>
      <c r="DT17" s="425"/>
      <c r="DU17" s="425"/>
      <c r="DV17" s="425"/>
      <c r="DW17" s="425"/>
      <c r="DX17" s="425"/>
      <c r="DY17" s="425"/>
      <c r="DZ17" s="425"/>
      <c r="EA17" s="425"/>
      <c r="EB17" s="425"/>
      <c r="EC17" s="425"/>
      <c r="ED17" s="425"/>
      <c r="EE17" s="426"/>
    </row>
    <row r="18" spans="1:135" ht="0.75" customHeight="1">
      <c r="C18" s="20" t="s">
        <v>605</v>
      </c>
      <c r="E18" s="236" t="s">
        <v>605</v>
      </c>
      <c r="F18" s="411"/>
      <c r="G18" s="640" t="s">
        <v>2333</v>
      </c>
      <c r="H18" s="425"/>
      <c r="I18" s="425"/>
      <c r="J18" s="425"/>
      <c r="K18" s="425"/>
      <c r="L18" s="425"/>
      <c r="M18" s="425"/>
      <c r="N18" s="425"/>
      <c r="O18" s="425"/>
      <c r="P18" s="425"/>
      <c r="Q18" s="425"/>
      <c r="R18" s="425"/>
      <c r="S18" s="425"/>
      <c r="T18" s="425"/>
      <c r="U18" s="425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5"/>
      <c r="AO18" s="425"/>
      <c r="AP18" s="425"/>
      <c r="AQ18" s="425"/>
      <c r="AR18" s="425"/>
      <c r="AS18" s="425"/>
      <c r="AT18" s="425"/>
      <c r="AU18" s="425"/>
      <c r="AV18" s="425"/>
      <c r="AW18" s="425"/>
      <c r="AX18" s="425"/>
      <c r="AY18" s="425"/>
      <c r="AZ18" s="425"/>
      <c r="BA18" s="425"/>
      <c r="BB18" s="425"/>
      <c r="BC18" s="425"/>
      <c r="BD18" s="425"/>
      <c r="BE18" s="425"/>
      <c r="BF18" s="425"/>
      <c r="BG18" s="425"/>
      <c r="BH18" s="425"/>
      <c r="BI18" s="425"/>
      <c r="BJ18" s="425"/>
      <c r="BK18" s="425"/>
      <c r="BL18" s="425"/>
      <c r="BM18" s="425"/>
      <c r="BN18" s="425"/>
      <c r="BO18" s="425"/>
      <c r="BP18" s="425"/>
      <c r="BQ18" s="425"/>
      <c r="BR18" s="425"/>
      <c r="BS18" s="425"/>
      <c r="BT18" s="425"/>
      <c r="BU18" s="425"/>
      <c r="BV18" s="425"/>
      <c r="BW18" s="425"/>
      <c r="BX18" s="425"/>
      <c r="BY18" s="425"/>
      <c r="BZ18" s="425"/>
      <c r="CA18" s="425"/>
      <c r="CB18" s="425"/>
      <c r="CC18" s="425"/>
      <c r="CD18" s="425"/>
      <c r="CE18" s="425"/>
      <c r="CF18" s="425"/>
      <c r="CG18" s="425"/>
      <c r="CH18" s="425"/>
      <c r="CI18" s="425"/>
      <c r="CJ18" s="425"/>
      <c r="CK18" s="425"/>
      <c r="CL18" s="425"/>
      <c r="CM18" s="425"/>
      <c r="CN18" s="425"/>
      <c r="CO18" s="425"/>
      <c r="CP18" s="425"/>
      <c r="CQ18" s="425"/>
      <c r="CR18" s="425"/>
      <c r="CS18" s="425"/>
      <c r="CT18" s="425"/>
      <c r="CU18" s="425"/>
      <c r="CV18" s="425"/>
      <c r="CW18" s="425"/>
      <c r="CX18" s="425"/>
      <c r="CY18" s="425"/>
      <c r="CZ18" s="425"/>
      <c r="DA18" s="425"/>
      <c r="DB18" s="425"/>
      <c r="DC18" s="425"/>
      <c r="DD18" s="425"/>
      <c r="DE18" s="425"/>
      <c r="DF18" s="425"/>
      <c r="DG18" s="425"/>
      <c r="DH18" s="425"/>
      <c r="DI18" s="425"/>
      <c r="DJ18" s="425"/>
      <c r="DK18" s="425"/>
      <c r="DL18" s="425"/>
      <c r="DM18" s="425"/>
      <c r="DN18" s="425"/>
      <c r="DO18" s="425"/>
      <c r="DP18" s="425"/>
      <c r="DQ18" s="425"/>
      <c r="DR18" s="425"/>
      <c r="DS18" s="425"/>
      <c r="DT18" s="425"/>
      <c r="DU18" s="425"/>
      <c r="DV18" s="425"/>
      <c r="DW18" s="425"/>
      <c r="DX18" s="425"/>
      <c r="DY18" s="425"/>
      <c r="DZ18" s="425"/>
      <c r="EA18" s="425"/>
      <c r="EB18" s="425"/>
      <c r="EC18" s="425"/>
      <c r="ED18" s="425"/>
      <c r="EE18" s="426"/>
    </row>
    <row r="19" spans="1:135" s="20" customFormat="1">
      <c r="D19"/>
      <c r="E19" s="23" t="s">
        <v>605</v>
      </c>
      <c r="F19" s="135"/>
      <c r="G19" s="135"/>
      <c r="H19" s="135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5"/>
      <c r="AT19" s="135"/>
      <c r="AU19" s="136"/>
      <c r="AV19" s="136"/>
      <c r="AW19" s="136"/>
      <c r="AX19" s="136"/>
      <c r="AY19" s="135"/>
      <c r="AZ19" s="135"/>
      <c r="BA19" s="136"/>
      <c r="BB19" s="136"/>
      <c r="BC19" s="136"/>
      <c r="BD19" s="136"/>
      <c r="BE19" s="135"/>
      <c r="BF19" s="135"/>
      <c r="BG19" s="136"/>
      <c r="BH19" s="136"/>
      <c r="BI19" s="136"/>
      <c r="BJ19" s="136"/>
      <c r="BK19" s="135"/>
      <c r="BL19" s="135"/>
      <c r="BM19" s="135"/>
      <c r="BN19" s="135"/>
      <c r="BO19" s="135"/>
      <c r="BP19" s="135"/>
      <c r="BQ19" s="135"/>
      <c r="BR19" s="135"/>
      <c r="BS19" s="136"/>
      <c r="BT19" s="136"/>
      <c r="BU19" s="135"/>
      <c r="BV19" s="135"/>
      <c r="BW19" s="135"/>
      <c r="BX19" s="135"/>
      <c r="BY19" s="135"/>
      <c r="BZ19" s="135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135"/>
      <c r="CQ19" s="136"/>
      <c r="CR19" s="136"/>
      <c r="CS19" s="135"/>
      <c r="CT19" s="135"/>
      <c r="CU19" s="135"/>
      <c r="CV19" s="135"/>
      <c r="CW19" s="135"/>
      <c r="CX19" s="135"/>
      <c r="CY19" s="135"/>
      <c r="CZ19" s="135"/>
      <c r="DA19" s="135"/>
      <c r="DB19" s="135"/>
      <c r="DC19" s="135"/>
      <c r="DD19" s="135"/>
      <c r="DE19" s="135"/>
      <c r="DF19" s="135"/>
      <c r="DG19" s="135"/>
      <c r="DH19" s="136"/>
      <c r="DI19" s="136"/>
      <c r="DJ19" s="136"/>
      <c r="DK19" s="135"/>
      <c r="DL19" s="135"/>
      <c r="DM19" s="135"/>
      <c r="DN19" s="135"/>
      <c r="DO19" s="135"/>
      <c r="DP19" s="135"/>
      <c r="DQ19" s="135"/>
      <c r="DR19" s="135"/>
      <c r="DS19" s="135"/>
      <c r="DT19" s="135"/>
      <c r="DU19" s="135"/>
      <c r="DV19" s="135"/>
      <c r="DW19" s="135"/>
      <c r="DX19" s="135"/>
      <c r="DY19" s="135"/>
      <c r="DZ19" s="135"/>
      <c r="EA19" s="135"/>
      <c r="EB19" s="135"/>
      <c r="EC19" s="135"/>
      <c r="ED19" s="135"/>
      <c r="EE19" s="135"/>
    </row>
    <row r="20" spans="1:135" s="20" customFormat="1">
      <c r="D20"/>
      <c r="E20" s="23"/>
      <c r="F20" s="23"/>
      <c r="G20" s="569" t="s">
        <v>2378</v>
      </c>
      <c r="H20" s="23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23"/>
      <c r="AE20" s="23"/>
      <c r="AF20" s="23"/>
      <c r="AG20" s="49"/>
      <c r="AH20" s="23"/>
      <c r="AI20" s="49"/>
      <c r="AJ20" s="49"/>
      <c r="AK20" s="49"/>
      <c r="AL20" s="23"/>
      <c r="AM20" s="49"/>
      <c r="AN20" s="23"/>
      <c r="AO20" s="23"/>
      <c r="AP20" s="49"/>
      <c r="AQ20" s="49"/>
      <c r="AR20" s="23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23"/>
      <c r="DK20" s="23"/>
      <c r="DL20" s="23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23"/>
      <c r="DX20" s="23"/>
      <c r="DY20" s="23"/>
      <c r="DZ20" s="23"/>
      <c r="EA20" s="23"/>
      <c r="EB20" s="23"/>
      <c r="EC20" s="23"/>
      <c r="ED20" s="23"/>
      <c r="EE20" s="23"/>
    </row>
    <row r="21" spans="1:135" ht="30" customHeight="1">
      <c r="A21" s="2"/>
      <c r="B21" s="2"/>
      <c r="C21" s="2"/>
      <c r="G21" s="847" t="s">
        <v>2377</v>
      </c>
      <c r="H21" s="848"/>
      <c r="I21" s="848"/>
      <c r="J21" s="848"/>
      <c r="K21" s="848"/>
      <c r="L21" s="848"/>
      <c r="M21" s="848"/>
      <c r="N21" s="848"/>
      <c r="O21" s="848"/>
      <c r="P21" s="848"/>
      <c r="Q21" s="848"/>
      <c r="AE21" s="2"/>
      <c r="AF21" s="2"/>
      <c r="AH21" s="2"/>
      <c r="AJ21" s="2"/>
      <c r="AL21" s="2"/>
      <c r="AN21" s="2"/>
      <c r="AO21" s="2"/>
      <c r="AP21" s="2"/>
      <c r="AQ21" s="2"/>
      <c r="AX21" s="2"/>
      <c r="BD21" s="2"/>
      <c r="BJ21" s="2"/>
      <c r="BT21" s="20"/>
      <c r="BV21" s="20"/>
      <c r="BW21" s="20"/>
      <c r="BX21" s="20"/>
      <c r="BY21" s="20"/>
      <c r="BZ21" s="20"/>
      <c r="CA21" s="20"/>
      <c r="CC21" s="20"/>
      <c r="CD21" s="20"/>
      <c r="CE21" s="20"/>
      <c r="CF21" s="20"/>
      <c r="CG21" s="20"/>
      <c r="CR21" s="20"/>
      <c r="CT21" s="20"/>
      <c r="CU21" s="20"/>
      <c r="CV21" s="20"/>
      <c r="CW21" s="20"/>
      <c r="CX21" s="20"/>
      <c r="CY21" s="20"/>
      <c r="DA21" s="20"/>
      <c r="DB21" s="20"/>
      <c r="DC21" s="20"/>
      <c r="DD21" s="20"/>
      <c r="DE21" s="20"/>
      <c r="DM21" s="20"/>
      <c r="DN21" s="20"/>
      <c r="DO21" s="20"/>
      <c r="DP21" s="20"/>
      <c r="DQ21" s="20"/>
      <c r="DR21" s="20"/>
    </row>
    <row r="22" spans="1:135">
      <c r="A22" s="2"/>
      <c r="B22" s="2"/>
      <c r="C22" s="2"/>
      <c r="AG22" s="20"/>
      <c r="AK22" s="20"/>
      <c r="AM22" s="20"/>
      <c r="AR22" s="20"/>
      <c r="AS22" s="20"/>
      <c r="AT22" s="20"/>
      <c r="AY22" s="20"/>
      <c r="AZ22" s="20"/>
      <c r="BE22" s="20"/>
      <c r="BF22" s="20"/>
      <c r="BK22" s="20"/>
      <c r="BL22" s="20"/>
      <c r="BM22" s="20"/>
      <c r="BN22" s="20"/>
      <c r="BO22" s="20"/>
      <c r="BP22" s="20"/>
      <c r="BQ22" s="20"/>
      <c r="BR22" s="20"/>
      <c r="CH22" s="20"/>
      <c r="CI22" s="20"/>
      <c r="CJ22" s="20"/>
      <c r="CK22" s="20"/>
      <c r="CL22" s="20"/>
      <c r="CM22" s="20"/>
      <c r="CN22" s="20"/>
      <c r="CO22" s="20"/>
      <c r="CP22" s="20"/>
    </row>
    <row r="23" spans="1:135">
      <c r="A23" s="2"/>
      <c r="B23" s="2"/>
      <c r="C23" s="2"/>
      <c r="AG23" s="20"/>
      <c r="AK23" s="20"/>
      <c r="AM23" s="20"/>
      <c r="AR23" s="20"/>
      <c r="AS23" s="20"/>
      <c r="AT23" s="20"/>
      <c r="AY23" s="20"/>
      <c r="AZ23" s="20"/>
      <c r="BE23" s="20"/>
      <c r="BF23" s="20"/>
      <c r="BK23" s="20"/>
      <c r="BL23" s="20"/>
      <c r="BM23" s="20"/>
      <c r="BN23" s="20"/>
      <c r="BO23" s="20"/>
      <c r="BP23" s="20"/>
      <c r="BQ23" s="20"/>
      <c r="BR23" s="20"/>
      <c r="CH23" s="20"/>
      <c r="CI23" s="20"/>
      <c r="CJ23" s="20"/>
      <c r="CK23" s="20"/>
      <c r="CL23" s="20"/>
      <c r="CM23" s="20"/>
      <c r="CN23" s="20"/>
      <c r="CO23" s="20"/>
      <c r="CP23" s="20"/>
    </row>
    <row r="24" spans="1:135" s="20" customFormat="1" ht="24" customHeight="1">
      <c r="A24" s="22"/>
      <c r="D24"/>
      <c r="F24" s="810" t="s">
        <v>2475</v>
      </c>
      <c r="G24" s="810"/>
      <c r="H24" s="810"/>
      <c r="I24" s="810"/>
      <c r="J24" s="810"/>
      <c r="K24" s="810"/>
      <c r="AN24" s="22"/>
      <c r="AO24" s="22"/>
      <c r="AU24" s="22"/>
      <c r="BB24" s="22"/>
    </row>
    <row r="25" spans="1:135" ht="24" customHeight="1">
      <c r="A25" s="2"/>
      <c r="B25" s="2"/>
      <c r="C25" s="2"/>
      <c r="F25" s="810" t="s">
        <v>15000</v>
      </c>
      <c r="G25" s="810"/>
      <c r="H25" s="810"/>
      <c r="I25" s="810"/>
      <c r="J25" s="810"/>
      <c r="K25" s="810"/>
      <c r="AG25" s="20"/>
      <c r="AK25" s="20"/>
      <c r="AM25" s="20"/>
      <c r="AR25" s="20"/>
      <c r="AS25" s="20"/>
      <c r="AT25" s="20"/>
      <c r="AY25" s="20"/>
      <c r="AZ25" s="20"/>
      <c r="BE25" s="20"/>
      <c r="BF25" s="20"/>
      <c r="BK25" s="20"/>
      <c r="BL25" s="20"/>
      <c r="BM25" s="20"/>
      <c r="BN25" s="20"/>
      <c r="BO25" s="20"/>
      <c r="BP25" s="20"/>
      <c r="BQ25" s="20"/>
      <c r="BR25" s="20"/>
      <c r="CH25" s="20"/>
      <c r="CI25" s="20"/>
      <c r="CJ25" s="20"/>
      <c r="CK25" s="20"/>
      <c r="CL25" s="20"/>
      <c r="CM25" s="20"/>
      <c r="CN25" s="20"/>
      <c r="CO25" s="20"/>
      <c r="CP25" s="20"/>
    </row>
    <row r="26" spans="1:135">
      <c r="A26" s="2"/>
      <c r="B26" s="2"/>
      <c r="C26" s="2"/>
      <c r="AG26" s="22"/>
      <c r="AK26" s="22"/>
      <c r="AM26" s="22"/>
      <c r="AR26" s="22"/>
      <c r="AS26" s="22"/>
      <c r="AT26" s="22"/>
      <c r="AY26" s="22"/>
      <c r="AZ26" s="22"/>
      <c r="BE26" s="22"/>
      <c r="BF26" s="22"/>
      <c r="BK26" s="22"/>
      <c r="BL26" s="22"/>
      <c r="BM26" s="22"/>
      <c r="BN26" s="22"/>
      <c r="BO26" s="22"/>
      <c r="BP26" s="22"/>
      <c r="BQ26" s="22"/>
      <c r="BR26" s="22"/>
      <c r="CH26" s="22"/>
      <c r="CI26" s="22"/>
      <c r="CJ26" s="22"/>
      <c r="CK26" s="22"/>
      <c r="CL26" s="22"/>
      <c r="CM26" s="22"/>
      <c r="CN26" s="22"/>
      <c r="CO26" s="22"/>
      <c r="CP26" s="22"/>
    </row>
  </sheetData>
  <sheetProtection algorithmName="SHA-512" hashValue="aHa8wLcg7J3FrzLRO/NbG7iF+UXBiNhQLeKKV4TkCZy+O/IaYq2PfhKHSFutqJrEHhJBcuRRx0NlSDu6rxIrJw==" saltValue="kpX3O44SIHwmFEIdpCU40g==" spinCount="100000" sheet="1" objects="1" scenarios="1" formatColumns="0" formatRows="0"/>
  <mergeCells count="109">
    <mergeCell ref="F24:K24"/>
    <mergeCell ref="ED13:ED14"/>
    <mergeCell ref="EC13:EC14"/>
    <mergeCell ref="DV13:DV14"/>
    <mergeCell ref="DT13:DT14"/>
    <mergeCell ref="CK13:CK14"/>
    <mergeCell ref="DZ13:DZ14"/>
    <mergeCell ref="DW13:DW14"/>
    <mergeCell ref="DY13:DY14"/>
    <mergeCell ref="DQ13:DQ14"/>
    <mergeCell ref="CJ12:CJ14"/>
    <mergeCell ref="DU13:DU14"/>
    <mergeCell ref="DS13:DS14"/>
    <mergeCell ref="DI13:DI14"/>
    <mergeCell ref="BK12:BK14"/>
    <mergeCell ref="DL13:DL14"/>
    <mergeCell ref="EB13:EB14"/>
    <mergeCell ref="DA13:DE13"/>
    <mergeCell ref="CH13:CH14"/>
    <mergeCell ref="DX13:DX14"/>
    <mergeCell ref="DR13:DR14"/>
    <mergeCell ref="DJ13:DJ14"/>
    <mergeCell ref="DG12:DG14"/>
    <mergeCell ref="DH12:EE12"/>
    <mergeCell ref="CQ13:CV13"/>
    <mergeCell ref="EA13:EA14"/>
    <mergeCell ref="EE13:EE14"/>
    <mergeCell ref="BM13:BM14"/>
    <mergeCell ref="BN13:BR13"/>
    <mergeCell ref="CK12:DE12"/>
    <mergeCell ref="AM12:AM14"/>
    <mergeCell ref="BM12:CG12"/>
    <mergeCell ref="AZ12:AZ14"/>
    <mergeCell ref="BL12:BL14"/>
    <mergeCell ref="AU12:AX13"/>
    <mergeCell ref="BA12:BD13"/>
    <mergeCell ref="AS12:AS14"/>
    <mergeCell ref="AQ13:AQ14"/>
    <mergeCell ref="AN12:AR12"/>
    <mergeCell ref="AO13:AO14"/>
    <mergeCell ref="BG12:BJ13"/>
    <mergeCell ref="BS13:BX13"/>
    <mergeCell ref="CI12:CI14"/>
    <mergeCell ref="AT12:AT14"/>
    <mergeCell ref="AL12:AL14"/>
    <mergeCell ref="W12:W14"/>
    <mergeCell ref="X12:X14"/>
    <mergeCell ref="K16:K17"/>
    <mergeCell ref="L16:L17"/>
    <mergeCell ref="I5:J5"/>
    <mergeCell ref="O12:O14"/>
    <mergeCell ref="P12:P14"/>
    <mergeCell ref="T12:T14"/>
    <mergeCell ref="R12:R14"/>
    <mergeCell ref="I12:I14"/>
    <mergeCell ref="Q12:Q14"/>
    <mergeCell ref="G21:Q21"/>
    <mergeCell ref="L12:L14"/>
    <mergeCell ref="AE12:AE14"/>
    <mergeCell ref="AG12:AG14"/>
    <mergeCell ref="U12:U14"/>
    <mergeCell ref="AB12:AB14"/>
    <mergeCell ref="V12:V14"/>
    <mergeCell ref="AC12:AC14"/>
    <mergeCell ref="AD12:AD14"/>
    <mergeCell ref="BF12:BF14"/>
    <mergeCell ref="F25:K25"/>
    <mergeCell ref="AH12:AH14"/>
    <mergeCell ref="AI13:AI14"/>
    <mergeCell ref="AJ13:AJ14"/>
    <mergeCell ref="AY12:AY14"/>
    <mergeCell ref="AI12:AJ12"/>
    <mergeCell ref="AN13:AN14"/>
    <mergeCell ref="AK12:AK14"/>
    <mergeCell ref="S12:S14"/>
    <mergeCell ref="Y12:Y14"/>
    <mergeCell ref="Z12:Z14"/>
    <mergeCell ref="AA12:AA14"/>
    <mergeCell ref="AP13:AP14"/>
    <mergeCell ref="AR13:AR14"/>
    <mergeCell ref="AF12:AF14"/>
    <mergeCell ref="F12:F14"/>
    <mergeCell ref="H12:H14"/>
    <mergeCell ref="M12:M14"/>
    <mergeCell ref="N12:N14"/>
    <mergeCell ref="K12:K14"/>
    <mergeCell ref="G12:G14"/>
    <mergeCell ref="J12:J14"/>
    <mergeCell ref="BE12:BE14"/>
    <mergeCell ref="BY13:CB13"/>
    <mergeCell ref="DM13:DM14"/>
    <mergeCell ref="DH13:DH14"/>
    <mergeCell ref="DO13:DO14"/>
    <mergeCell ref="DP13:DP14"/>
    <mergeCell ref="CW13:CZ13"/>
    <mergeCell ref="DK13:DK14"/>
    <mergeCell ref="CL13:CP13"/>
    <mergeCell ref="DN13:DN14"/>
    <mergeCell ref="DF13:DF14"/>
    <mergeCell ref="CC13:CG13"/>
    <mergeCell ref="M16:M17"/>
    <mergeCell ref="N16:N17"/>
    <mergeCell ref="O16:O17"/>
    <mergeCell ref="Q16:Q17"/>
    <mergeCell ref="F16:F17"/>
    <mergeCell ref="G16:G17"/>
    <mergeCell ref="H16:H17"/>
    <mergeCell ref="I16:I17"/>
    <mergeCell ref="J16:J17"/>
  </mergeCells>
  <hyperlinks>
    <hyperlink ref="AC17" location="'TECH_HORISONTAL'!A1" tooltip="Добавить" display="Добавить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 codeName="LIST_PPL_TM">
    <tabColor rgb="FF7030A0"/>
  </sheetPr>
  <dimension ref="A1:CI20"/>
  <sheetViews>
    <sheetView showGridLines="0" topLeftCell="E3" zoomScale="90" zoomScaleNormal="90" workbookViewId="0">
      <pane xSplit="9" ySplit="12" topLeftCell="N15" activePane="bottomRight" state="frozen"/>
      <selection activeCell="E3" sqref="E3"/>
      <selection pane="topRight" activeCell="N3" sqref="N3"/>
      <selection pane="bottomLeft" activeCell="E15" sqref="E15"/>
      <selection pane="bottomRight" activeCell="E18" sqref="E18"/>
    </sheetView>
  </sheetViews>
  <sheetFormatPr defaultColWidth="9.125" defaultRowHeight="11.4"/>
  <cols>
    <col min="1" max="1" width="8.75" style="22" hidden="1" customWidth="1"/>
    <col min="2" max="2" width="8.75" style="20" hidden="1" customWidth="1"/>
    <col min="3" max="3" width="3.75" style="20" hidden="1" customWidth="1"/>
    <col min="4" max="4" width="9.75" hidden="1" customWidth="1"/>
    <col min="5" max="5" width="3.75" style="20" customWidth="1"/>
    <col min="6" max="6" width="6.75" style="20" customWidth="1"/>
    <col min="7" max="8" width="27.75" style="20" customWidth="1"/>
    <col min="9" max="9" width="17.75" style="21" customWidth="1"/>
    <col min="10" max="10" width="1.75" style="20" hidden="1" customWidth="1"/>
    <col min="11" max="11" width="1.75" style="21" hidden="1" customWidth="1"/>
    <col min="12" max="13" width="1.75" style="20" hidden="1" customWidth="1"/>
    <col min="14" max="14" width="24.75" style="20" customWidth="1"/>
    <col min="15" max="16" width="1.75" style="20" hidden="1" customWidth="1"/>
    <col min="17" max="17" width="12.625" style="20" customWidth="1"/>
    <col min="18" max="18" width="8.75" style="20" hidden="1" customWidth="1"/>
    <col min="19" max="26" width="2.75" style="20" hidden="1" customWidth="1"/>
    <col min="27" max="27" width="3.75" style="20" customWidth="1"/>
    <col min="28" max="28" width="6.75" style="20" customWidth="1"/>
    <col min="29" max="29" width="62.75" style="20" customWidth="1"/>
    <col min="30" max="30" width="2.75" style="2" hidden="1" customWidth="1"/>
    <col min="31" max="32" width="14.75" style="20" customWidth="1"/>
    <col min="33" max="33" width="2.75" style="2" hidden="1" customWidth="1"/>
    <col min="34" max="34" width="24.75" style="20" customWidth="1"/>
    <col min="35" max="35" width="24.75" style="2" customWidth="1"/>
    <col min="36" max="36" width="12.625" style="2" customWidth="1"/>
    <col min="37" max="37" width="17.75" style="2" customWidth="1"/>
    <col min="38" max="40" width="2.75" style="2" hidden="1" customWidth="1"/>
    <col min="41" max="41" width="22.625" style="2" customWidth="1"/>
    <col min="42" max="42" width="2.75" style="2" hidden="1" customWidth="1"/>
    <col min="43" max="43" width="14.75" style="2" customWidth="1"/>
    <col min="44" max="55" width="12.75" style="2" customWidth="1"/>
    <col min="56" max="58" width="2.75" style="2" hidden="1" customWidth="1"/>
    <col min="59" max="60" width="22.75" style="20" customWidth="1"/>
    <col min="61" max="74" width="2.75" style="2" hidden="1" customWidth="1"/>
    <col min="75" max="75" width="2.75" style="20" hidden="1" customWidth="1"/>
    <col min="76" max="76" width="2.625" style="20" hidden="1" customWidth="1"/>
    <col min="77" max="78" width="13.75" style="20" customWidth="1"/>
    <col min="79" max="79" width="27.75" style="2" customWidth="1"/>
    <col min="80" max="86" width="2.75" style="2" hidden="1" customWidth="1"/>
    <col min="87" max="87" width="22.75" style="2" customWidth="1"/>
    <col min="88" max="16384" width="9.125" style="2"/>
  </cols>
  <sheetData>
    <row r="1" spans="1:87" s="20" customFormat="1" ht="12" hidden="1" customHeight="1">
      <c r="A1" s="19"/>
      <c r="D1"/>
    </row>
    <row r="2" spans="1:87" s="20" customFormat="1" ht="12" hidden="1" customHeight="1">
      <c r="A2" s="19"/>
      <c r="D2"/>
      <c r="E2"/>
      <c r="F2" s="48"/>
      <c r="G2" s="48"/>
      <c r="H2" s="48"/>
      <c r="I2" s="48"/>
      <c r="J2" s="48"/>
      <c r="K2" s="48"/>
      <c r="L2" s="48"/>
      <c r="M2" s="48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BB2" s="23"/>
      <c r="BC2" s="23"/>
      <c r="BF2" s="23"/>
      <c r="BG2" s="23"/>
      <c r="BH2" s="23"/>
      <c r="BW2" s="23"/>
      <c r="BX2" s="23"/>
      <c r="BY2" s="23"/>
      <c r="BZ2" s="23"/>
      <c r="CA2" s="23"/>
    </row>
    <row r="3" spans="1:87" s="20" customFormat="1" ht="9.75" customHeight="1">
      <c r="A3" s="19"/>
      <c r="D3"/>
      <c r="E3" s="23"/>
      <c r="F3" s="23"/>
      <c r="G3" s="23"/>
      <c r="H3" s="23"/>
      <c r="I3" s="23"/>
      <c r="J3" s="23"/>
      <c r="K3" s="23"/>
      <c r="L3" s="23"/>
      <c r="M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BB3" s="23"/>
      <c r="BC3" s="23"/>
      <c r="BF3" s="23"/>
      <c r="BG3" s="23"/>
      <c r="BH3" s="23"/>
      <c r="BW3" s="23"/>
      <c r="BX3" s="23"/>
      <c r="BY3" s="23"/>
      <c r="BZ3" s="23"/>
      <c r="CA3" s="23"/>
    </row>
    <row r="4" spans="1:87" s="20" customFormat="1" ht="15" customHeight="1">
      <c r="A4" s="19"/>
      <c r="C4" s="52"/>
      <c r="D4"/>
      <c r="E4" s="52"/>
      <c r="G4" s="642" t="str">
        <f>"Перечень тарифов, действовавших в течение " &amp; god &amp; " года и применявшихся при оказании услуги " &amp; TEMPLATE_SPHERE &amp; " населению"</f>
        <v>Перечень тарифов, действовавших в течение 2024 года и применявшихся при оказании услуги теплоснабжения населению</v>
      </c>
      <c r="H4" s="641"/>
      <c r="I4" s="641"/>
      <c r="J4" s="641"/>
      <c r="K4" s="641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23"/>
      <c r="AE4" s="55"/>
      <c r="AF4" s="55"/>
      <c r="AG4" s="23"/>
      <c r="AH4" s="50"/>
      <c r="AI4" s="23"/>
      <c r="AJ4" s="23"/>
      <c r="AK4" s="23"/>
      <c r="AL4" s="23"/>
      <c r="AM4" s="23"/>
      <c r="AN4" s="23"/>
      <c r="AO4" s="23"/>
      <c r="AP4" s="23"/>
      <c r="AQ4" s="678">
        <f>SUM(AQ15:AQ18)</f>
        <v>0</v>
      </c>
      <c r="AR4" s="23"/>
      <c r="AS4" s="23"/>
      <c r="AT4" s="23"/>
      <c r="AU4" s="23"/>
      <c r="AV4" s="23"/>
      <c r="BB4" s="23"/>
      <c r="BC4" s="23"/>
      <c r="BF4" s="23"/>
      <c r="BG4" s="55"/>
      <c r="BH4" s="55"/>
      <c r="BW4" s="50"/>
      <c r="BX4" s="50"/>
      <c r="BY4" s="50"/>
      <c r="BZ4" s="50"/>
      <c r="CA4" s="23"/>
      <c r="CI4" s="662" t="str">
        <f>IF(TEMPLATE_SPHERE_CODE="HEAT","Гкал",IF(TEMPLATE_SPHERE_CODE="COLDVSNA","куб.м",IF(TEMPLATE_SPHERE_CODE="VOTV","куб.м","ед.изм.")))</f>
        <v>Гкал</v>
      </c>
    </row>
    <row r="5" spans="1:87" s="20" customFormat="1" ht="9" customHeight="1">
      <c r="A5" s="19"/>
      <c r="D5"/>
      <c r="E5" s="51"/>
      <c r="F5" s="51"/>
      <c r="G5" s="51"/>
      <c r="H5" s="51"/>
      <c r="I5" s="822"/>
      <c r="J5" s="822"/>
      <c r="K5" s="636"/>
      <c r="L5" s="51"/>
      <c r="M5" s="51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23"/>
      <c r="AE5" s="50"/>
      <c r="AF5" s="50"/>
      <c r="AG5" s="23"/>
      <c r="AH5" s="50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BB5" s="23"/>
      <c r="BC5" s="23"/>
      <c r="BF5" s="23"/>
      <c r="BG5" s="50"/>
      <c r="BH5" s="50"/>
      <c r="BW5" s="50"/>
      <c r="BX5" s="50"/>
      <c r="BY5" s="50"/>
      <c r="BZ5" s="50"/>
      <c r="CA5" s="23"/>
    </row>
    <row r="6" spans="1:87" s="20" customFormat="1" ht="11.25" hidden="1" customHeight="1">
      <c r="A6" s="19"/>
      <c r="D6"/>
      <c r="E6" s="51"/>
      <c r="F6" s="51"/>
      <c r="G6" s="5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21"/>
      <c r="AF6" s="21"/>
      <c r="AH6" s="21"/>
      <c r="AT6" s="23"/>
      <c r="BD6" s="21"/>
      <c r="BE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3"/>
      <c r="BR6" s="23"/>
      <c r="BS6" s="23"/>
      <c r="BT6" s="23"/>
      <c r="BU6" s="23"/>
      <c r="BV6" s="23"/>
      <c r="BW6" s="21"/>
      <c r="BX6" s="21"/>
      <c r="BY6" s="21"/>
      <c r="BZ6" s="21"/>
      <c r="CA6" s="21"/>
      <c r="CB6" s="23"/>
      <c r="CC6" s="23"/>
      <c r="CD6" s="23"/>
      <c r="CE6" s="23"/>
      <c r="CF6" s="23"/>
      <c r="CG6" s="23"/>
      <c r="CH6" s="23"/>
    </row>
    <row r="7" spans="1:87" s="20" customFormat="1" ht="11.25" hidden="1" customHeight="1">
      <c r="A7" s="19"/>
      <c r="D7"/>
      <c r="E7" s="51"/>
      <c r="F7" s="51"/>
      <c r="G7" s="5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21"/>
      <c r="AF7" s="21"/>
      <c r="AH7" s="21"/>
      <c r="AT7" s="23"/>
      <c r="BD7" s="21"/>
      <c r="BE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3"/>
      <c r="BR7" s="23"/>
      <c r="BS7" s="23"/>
      <c r="BT7" s="23"/>
      <c r="BU7" s="23"/>
      <c r="BV7" s="23"/>
      <c r="BW7" s="21"/>
      <c r="BX7" s="21"/>
      <c r="BY7" s="21"/>
      <c r="BZ7" s="21"/>
      <c r="CA7" s="21"/>
      <c r="CB7" s="23"/>
      <c r="CC7" s="23"/>
      <c r="CD7" s="23"/>
      <c r="CE7" s="23"/>
      <c r="CF7" s="23"/>
      <c r="CG7" s="23"/>
      <c r="CH7" s="23"/>
    </row>
    <row r="8" spans="1:87" s="20" customFormat="1" ht="11.25" hidden="1" customHeight="1">
      <c r="A8" s="19"/>
      <c r="D8"/>
      <c r="E8" s="51"/>
      <c r="F8" s="51"/>
      <c r="G8" s="5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21"/>
      <c r="AF8" s="21"/>
      <c r="AH8" s="21"/>
      <c r="AT8" s="23"/>
      <c r="BD8" s="21"/>
      <c r="BE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3"/>
      <c r="BR8" s="23"/>
      <c r="BS8" s="23"/>
      <c r="BT8" s="23"/>
      <c r="BU8" s="23"/>
      <c r="BV8" s="23"/>
      <c r="BW8" s="21"/>
      <c r="BX8" s="21"/>
      <c r="BY8" s="21"/>
      <c r="BZ8" s="21"/>
      <c r="CA8" s="21"/>
      <c r="CB8" s="23"/>
      <c r="CC8" s="23"/>
      <c r="CD8" s="23"/>
      <c r="CE8" s="23"/>
      <c r="CF8" s="23"/>
      <c r="CG8" s="23"/>
      <c r="CH8" s="23"/>
    </row>
    <row r="9" spans="1:87" s="20" customFormat="1" ht="11.25" hidden="1" customHeight="1">
      <c r="A9" s="19"/>
      <c r="D9"/>
      <c r="E9" s="51"/>
      <c r="F9" s="51"/>
      <c r="G9" s="5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E9" s="21"/>
      <c r="AF9" s="21"/>
      <c r="AH9" s="21"/>
      <c r="AT9" s="23"/>
      <c r="BD9" s="21"/>
      <c r="BE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3"/>
      <c r="BR9" s="23"/>
      <c r="BS9" s="23"/>
      <c r="BT9" s="23"/>
      <c r="BU9" s="23"/>
      <c r="BV9" s="23"/>
      <c r="BW9" s="21"/>
      <c r="BX9" s="21"/>
      <c r="BY9" s="21"/>
      <c r="BZ9" s="21"/>
      <c r="CA9" s="21"/>
      <c r="CB9" s="23"/>
      <c r="CC9" s="23"/>
      <c r="CD9" s="23"/>
      <c r="CE9" s="23"/>
      <c r="CF9" s="23"/>
      <c r="CG9" s="23"/>
      <c r="CH9" s="23"/>
    </row>
    <row r="10" spans="1:87" s="20" customFormat="1" ht="11.25" hidden="1" customHeight="1">
      <c r="A10" s="19"/>
      <c r="D10"/>
      <c r="E10" s="51"/>
      <c r="F10" s="51"/>
      <c r="G10" s="5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E10" s="21"/>
      <c r="AF10" s="21"/>
      <c r="AH10" s="21"/>
      <c r="AT10" s="23"/>
      <c r="BD10" s="21"/>
      <c r="BE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3"/>
      <c r="BR10" s="23"/>
      <c r="BS10" s="23"/>
      <c r="BT10" s="23"/>
      <c r="BU10" s="23"/>
      <c r="BV10" s="23"/>
      <c r="BW10" s="21"/>
      <c r="BX10" s="21"/>
      <c r="BY10" s="21"/>
      <c r="BZ10" s="21"/>
      <c r="CA10" s="21"/>
      <c r="CB10" s="23"/>
      <c r="CC10" s="23"/>
      <c r="CD10" s="23"/>
      <c r="CE10" s="23"/>
      <c r="CF10" s="23"/>
      <c r="CG10" s="23"/>
      <c r="CH10" s="23"/>
    </row>
    <row r="11" spans="1:87" s="20" customFormat="1" ht="11.25" hidden="1" customHeight="1">
      <c r="A11" s="19"/>
      <c r="D11"/>
      <c r="E11" s="51"/>
      <c r="F11" s="51"/>
      <c r="G11" s="51"/>
      <c r="H11" s="51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23"/>
      <c r="AE11" s="49"/>
      <c r="AF11" s="49"/>
      <c r="AG11" s="23"/>
      <c r="AH11" s="49"/>
      <c r="AI11" s="49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23"/>
      <c r="BR11" s="23"/>
      <c r="BS11" s="23"/>
      <c r="BT11" s="23"/>
      <c r="BU11" s="23"/>
      <c r="BV11" s="23"/>
      <c r="BW11" s="49"/>
      <c r="BX11" s="49"/>
      <c r="BY11" s="49"/>
      <c r="BZ11" s="49"/>
      <c r="CA11" s="49"/>
      <c r="CB11" s="23"/>
      <c r="CC11" s="23"/>
      <c r="CD11" s="23"/>
      <c r="CE11" s="23"/>
      <c r="CF11" s="23"/>
      <c r="CG11" s="23"/>
      <c r="CH11" s="23"/>
      <c r="CI11" s="23"/>
    </row>
    <row r="12" spans="1:87" ht="12" customHeight="1">
      <c r="E12" s="51"/>
      <c r="F12" s="814" t="s">
        <v>104</v>
      </c>
      <c r="G12" s="813" t="s">
        <v>121</v>
      </c>
      <c r="H12" s="813" t="s">
        <v>122</v>
      </c>
      <c r="I12" s="813" t="s">
        <v>106</v>
      </c>
      <c r="J12" s="824"/>
      <c r="K12" s="824"/>
      <c r="L12" s="824"/>
      <c r="M12" s="824"/>
      <c r="N12" s="815" t="s">
        <v>2179</v>
      </c>
      <c r="O12" s="824"/>
      <c r="P12" s="824"/>
      <c r="Q12" s="813" t="s">
        <v>2371</v>
      </c>
      <c r="R12" s="824" t="s">
        <v>1069</v>
      </c>
      <c r="S12" s="814"/>
      <c r="T12" s="814"/>
      <c r="U12" s="814"/>
      <c r="V12" s="814"/>
      <c r="W12" s="814"/>
      <c r="X12" s="814"/>
      <c r="Y12" s="814"/>
      <c r="Z12" s="814"/>
      <c r="AA12" s="814"/>
      <c r="AB12" s="846" t="s">
        <v>104</v>
      </c>
      <c r="AC12" s="815" t="s">
        <v>2179</v>
      </c>
      <c r="AD12" s="814"/>
      <c r="AE12" s="869" t="str">
        <f>"ЭОТ, с НДС, руб./" &amp; $CI$4</f>
        <v>ЭОТ, с НДС, руб./Гкал</v>
      </c>
      <c r="AF12" s="869" t="str">
        <f>"ТФН, с НДС, руб./" &amp; $CI$4</f>
        <v>ТФН, с НДС, руб./Гкал</v>
      </c>
      <c r="AG12" s="814"/>
      <c r="AH12" s="813" t="s">
        <v>121</v>
      </c>
      <c r="AI12" s="813" t="s">
        <v>122</v>
      </c>
      <c r="AJ12" s="813" t="s">
        <v>106</v>
      </c>
      <c r="AK12" s="813" t="s">
        <v>260</v>
      </c>
      <c r="AL12" s="814"/>
      <c r="AM12" s="814"/>
      <c r="AN12" s="814"/>
      <c r="AO12" s="813" t="s">
        <v>2556</v>
      </c>
      <c r="AP12" s="814"/>
      <c r="AQ12" s="813" t="str">
        <f>"Объём отпуска услуги населению, " &amp; $CI$4</f>
        <v>Объём отпуска услуги населению, Гкал</v>
      </c>
      <c r="AR12" s="814"/>
      <c r="AS12" s="814"/>
      <c r="AT12" s="814"/>
      <c r="AU12" s="814"/>
      <c r="AV12" s="814"/>
      <c r="AW12" s="814"/>
      <c r="AX12" s="814"/>
      <c r="AY12" s="814"/>
      <c r="AZ12" s="814"/>
      <c r="BA12" s="814"/>
      <c r="BB12" s="814"/>
      <c r="BC12" s="814"/>
      <c r="BD12" s="814"/>
      <c r="BE12" s="814"/>
      <c r="BF12" s="844"/>
      <c r="BG12" s="869" t="s">
        <v>2541</v>
      </c>
      <c r="BH12" s="870"/>
      <c r="BI12" s="814"/>
      <c r="BJ12" s="814"/>
      <c r="BK12" s="814"/>
      <c r="BL12" s="814"/>
      <c r="BM12" s="814"/>
      <c r="BN12" s="814"/>
      <c r="BO12" s="814"/>
      <c r="BP12" s="814"/>
      <c r="BQ12" s="842"/>
      <c r="BR12" s="814"/>
      <c r="BS12" s="814"/>
      <c r="BT12" s="814"/>
      <c r="BU12" s="814"/>
      <c r="BV12" s="814"/>
      <c r="BW12" s="861" t="s">
        <v>2366</v>
      </c>
      <c r="BX12" s="862"/>
      <c r="BY12" s="862"/>
      <c r="BZ12" s="862"/>
      <c r="CA12" s="863"/>
      <c r="CB12" s="845"/>
      <c r="CC12" s="845"/>
      <c r="CD12" s="845"/>
      <c r="CE12" s="845"/>
      <c r="CF12" s="845"/>
      <c r="CG12" s="845"/>
      <c r="CH12" s="845"/>
      <c r="CI12" s="815" t="s">
        <v>829</v>
      </c>
    </row>
    <row r="13" spans="1:87" ht="12" customHeight="1">
      <c r="E13" s="54"/>
      <c r="F13" s="814"/>
      <c r="G13" s="814"/>
      <c r="H13" s="814"/>
      <c r="I13" s="814"/>
      <c r="J13" s="824"/>
      <c r="K13" s="824"/>
      <c r="L13" s="824"/>
      <c r="M13" s="824"/>
      <c r="N13" s="816"/>
      <c r="O13" s="824"/>
      <c r="P13" s="824"/>
      <c r="Q13" s="814"/>
      <c r="R13" s="824"/>
      <c r="S13" s="814"/>
      <c r="T13" s="814"/>
      <c r="U13" s="814"/>
      <c r="V13" s="814"/>
      <c r="W13" s="814"/>
      <c r="X13" s="814"/>
      <c r="Y13" s="814"/>
      <c r="Z13" s="814"/>
      <c r="AA13" s="814"/>
      <c r="AB13" s="846"/>
      <c r="AC13" s="873"/>
      <c r="AD13" s="814"/>
      <c r="AE13" s="871"/>
      <c r="AF13" s="871"/>
      <c r="AG13" s="814"/>
      <c r="AH13" s="814"/>
      <c r="AI13" s="814"/>
      <c r="AJ13" s="814"/>
      <c r="AK13" s="814"/>
      <c r="AL13" s="814"/>
      <c r="AM13" s="814"/>
      <c r="AN13" s="814"/>
      <c r="AO13" s="814"/>
      <c r="AP13" s="814"/>
      <c r="AQ13" s="815" t="s">
        <v>160</v>
      </c>
      <c r="AR13" s="811" t="s">
        <v>687</v>
      </c>
      <c r="AS13" s="811" t="s">
        <v>261</v>
      </c>
      <c r="AT13" s="811" t="s">
        <v>262</v>
      </c>
      <c r="AU13" s="811" t="s">
        <v>263</v>
      </c>
      <c r="AV13" s="811" t="s">
        <v>264</v>
      </c>
      <c r="AW13" s="811" t="s">
        <v>265</v>
      </c>
      <c r="AX13" s="811" t="s">
        <v>266</v>
      </c>
      <c r="AY13" s="811" t="s">
        <v>267</v>
      </c>
      <c r="AZ13" s="811" t="s">
        <v>268</v>
      </c>
      <c r="BA13" s="811" t="s">
        <v>269</v>
      </c>
      <c r="BB13" s="811" t="s">
        <v>270</v>
      </c>
      <c r="BC13" s="811" t="s">
        <v>271</v>
      </c>
      <c r="BD13" s="814"/>
      <c r="BE13" s="814"/>
      <c r="BF13" s="844"/>
      <c r="BG13" s="815" t="s">
        <v>2542</v>
      </c>
      <c r="BH13" s="815" t="s">
        <v>2607</v>
      </c>
      <c r="BI13" s="814"/>
      <c r="BJ13" s="814"/>
      <c r="BK13" s="814"/>
      <c r="BL13" s="814"/>
      <c r="BM13" s="814"/>
      <c r="BN13" s="814"/>
      <c r="BO13" s="814"/>
      <c r="BP13" s="814"/>
      <c r="BQ13" s="814"/>
      <c r="BR13" s="814"/>
      <c r="BS13" s="814"/>
      <c r="BT13" s="814"/>
      <c r="BU13" s="814"/>
      <c r="BV13" s="814"/>
      <c r="BW13" s="859"/>
      <c r="BX13" s="859"/>
      <c r="BY13" s="859" t="s">
        <v>2360</v>
      </c>
      <c r="BZ13" s="859" t="s">
        <v>2359</v>
      </c>
      <c r="CA13" s="859" t="s">
        <v>2358</v>
      </c>
      <c r="CB13" s="868"/>
      <c r="CC13" s="868"/>
      <c r="CD13" s="868"/>
      <c r="CE13" s="868"/>
      <c r="CF13" s="868"/>
      <c r="CG13" s="868"/>
      <c r="CH13" s="868"/>
      <c r="CI13" s="841"/>
    </row>
    <row r="14" spans="1:87" s="20" customFormat="1" ht="12" customHeight="1">
      <c r="A14" s="22"/>
      <c r="D14"/>
      <c r="E14" s="54"/>
      <c r="F14" s="814"/>
      <c r="G14" s="814"/>
      <c r="H14" s="814"/>
      <c r="I14" s="814"/>
      <c r="J14" s="824"/>
      <c r="K14" s="824"/>
      <c r="L14" s="824"/>
      <c r="M14" s="824"/>
      <c r="N14" s="812"/>
      <c r="O14" s="824"/>
      <c r="P14" s="824"/>
      <c r="Q14" s="834"/>
      <c r="R14" s="824"/>
      <c r="S14" s="834"/>
      <c r="T14" s="834"/>
      <c r="U14" s="834"/>
      <c r="V14" s="834"/>
      <c r="W14" s="834"/>
      <c r="X14" s="834"/>
      <c r="Y14" s="834"/>
      <c r="Z14" s="834"/>
      <c r="AA14" s="834"/>
      <c r="AB14" s="811"/>
      <c r="AC14" s="874"/>
      <c r="AD14" s="834"/>
      <c r="AE14" s="872"/>
      <c r="AF14" s="872"/>
      <c r="AG14" s="834"/>
      <c r="AH14" s="814"/>
      <c r="AI14" s="834"/>
      <c r="AJ14" s="834"/>
      <c r="AK14" s="834"/>
      <c r="AL14" s="834"/>
      <c r="AM14" s="834"/>
      <c r="AN14" s="834"/>
      <c r="AO14" s="834"/>
      <c r="AP14" s="834"/>
      <c r="AQ14" s="812"/>
      <c r="AR14" s="812"/>
      <c r="AS14" s="812"/>
      <c r="AT14" s="812"/>
      <c r="AU14" s="812"/>
      <c r="AV14" s="812"/>
      <c r="AW14" s="812"/>
      <c r="AX14" s="812"/>
      <c r="AY14" s="812"/>
      <c r="AZ14" s="812"/>
      <c r="BA14" s="812"/>
      <c r="BB14" s="812"/>
      <c r="BC14" s="812"/>
      <c r="BD14" s="834"/>
      <c r="BE14" s="834"/>
      <c r="BF14" s="845"/>
      <c r="BG14" s="812"/>
      <c r="BH14" s="812"/>
      <c r="BI14" s="834"/>
      <c r="BJ14" s="834"/>
      <c r="BK14" s="834"/>
      <c r="BL14" s="834"/>
      <c r="BM14" s="834"/>
      <c r="BN14" s="834"/>
      <c r="BO14" s="834"/>
      <c r="BP14" s="834"/>
      <c r="BQ14" s="834"/>
      <c r="BR14" s="834"/>
      <c r="BS14" s="834"/>
      <c r="BT14" s="834"/>
      <c r="BU14" s="834"/>
      <c r="BV14" s="834"/>
      <c r="BW14" s="860"/>
      <c r="BX14" s="860"/>
      <c r="BY14" s="860"/>
      <c r="BZ14" s="860"/>
      <c r="CA14" s="860"/>
      <c r="CB14" s="868"/>
      <c r="CC14" s="868"/>
      <c r="CD14" s="868"/>
      <c r="CE14" s="868"/>
      <c r="CF14" s="868"/>
      <c r="CG14" s="868"/>
      <c r="CH14" s="868"/>
      <c r="CI14" s="841"/>
    </row>
    <row r="15" spans="1:87" ht="0.75" customHeight="1">
      <c r="E15" s="54"/>
      <c r="F15" s="141">
        <v>0</v>
      </c>
      <c r="G15" s="60"/>
      <c r="H15" s="60"/>
      <c r="I15" s="60"/>
      <c r="J15" s="402"/>
      <c r="K15" s="402"/>
      <c r="L15" s="402"/>
      <c r="M15" s="402"/>
      <c r="N15" s="60"/>
      <c r="O15" s="402"/>
      <c r="P15" s="402"/>
      <c r="Q15" s="428"/>
      <c r="R15" s="429"/>
      <c r="S15" s="429"/>
      <c r="T15" s="429"/>
      <c r="U15" s="429"/>
      <c r="V15" s="429"/>
      <c r="W15" s="429"/>
      <c r="X15" s="429"/>
      <c r="Y15" s="429"/>
      <c r="Z15" s="429"/>
      <c r="AA15" s="428"/>
      <c r="AB15" s="428"/>
      <c r="AC15" s="428"/>
      <c r="AD15" s="429"/>
      <c r="AE15" s="663"/>
      <c r="AF15" s="663"/>
      <c r="AG15" s="429"/>
      <c r="AH15" s="428"/>
      <c r="AI15" s="428"/>
      <c r="AJ15" s="428"/>
      <c r="AK15" s="428"/>
      <c r="AL15" s="429"/>
      <c r="AM15" s="429"/>
      <c r="AN15" s="429"/>
      <c r="AO15" s="428"/>
      <c r="AP15" s="429"/>
      <c r="AQ15" s="428"/>
      <c r="AR15" s="428"/>
      <c r="AS15" s="428"/>
      <c r="AT15" s="428"/>
      <c r="AU15" s="428"/>
      <c r="AV15" s="428"/>
      <c r="AW15" s="428"/>
      <c r="AX15" s="428"/>
      <c r="AY15" s="428"/>
      <c r="AZ15" s="428"/>
      <c r="BA15" s="428"/>
      <c r="BB15" s="428"/>
      <c r="BC15" s="428"/>
      <c r="BD15" s="429"/>
      <c r="BE15" s="429"/>
      <c r="BF15" s="429"/>
      <c r="BG15" s="663"/>
      <c r="BH15" s="663"/>
      <c r="BI15" s="429"/>
      <c r="BJ15" s="429"/>
      <c r="BK15" s="429"/>
      <c r="BL15" s="429"/>
      <c r="BM15" s="429"/>
      <c r="BN15" s="429"/>
      <c r="BO15" s="429"/>
      <c r="BP15" s="429"/>
      <c r="BQ15" s="429"/>
      <c r="BR15" s="429"/>
      <c r="BS15" s="429"/>
      <c r="BT15" s="429"/>
      <c r="BU15" s="429"/>
      <c r="BV15" s="429"/>
      <c r="BW15" s="429"/>
      <c r="BX15" s="429"/>
      <c r="BY15" s="428"/>
      <c r="BZ15" s="428"/>
      <c r="CA15" s="428"/>
      <c r="CB15" s="429"/>
      <c r="CC15" s="429"/>
      <c r="CD15" s="429"/>
      <c r="CE15" s="429"/>
      <c r="CF15" s="429"/>
      <c r="CG15" s="429"/>
      <c r="CH15" s="429"/>
      <c r="CI15" s="430"/>
    </row>
    <row r="16" spans="1:87" ht="12" customHeight="1">
      <c r="E16" s="759" t="s">
        <v>134</v>
      </c>
      <c r="F16" s="827" t="str">
        <f>IF('Список территорий'!$F$16="","",'Список территорий'!$F$16)</f>
        <v>1</v>
      </c>
      <c r="G16" s="828" t="str">
        <f>IF('Список территорий'!$G$16="","",'Список территорий'!$G$16)</f>
        <v>город Нижний Новгород</v>
      </c>
      <c r="H16" s="828" t="str">
        <f>IF('Список территорий'!$H$16="","",'Список территорий'!$H$16)</f>
        <v>город Нижний Новгород</v>
      </c>
      <c r="I16" s="828" t="str">
        <f>IF('Список территорий'!$I$16="","",'Список территорий'!$I$16)</f>
        <v>22701000</v>
      </c>
      <c r="J16" s="825"/>
      <c r="K16" s="825"/>
      <c r="L16" s="825"/>
      <c r="M16" s="825"/>
      <c r="N16" s="852" t="str">
        <f>IF('Список территорий'!$N$16="","",'Список территорий'!$N$16)</f>
        <v/>
      </c>
      <c r="O16" s="825"/>
      <c r="P16" s="643"/>
      <c r="Q16" s="826">
        <f>ROW(P17)-ROW(P16)-1</f>
        <v>0</v>
      </c>
      <c r="R16" s="440" t="str">
        <f>F16 &amp; ".0"</f>
        <v>1.0</v>
      </c>
      <c r="S16" s="402"/>
      <c r="T16" s="402"/>
      <c r="U16" s="402"/>
      <c r="V16" s="402"/>
      <c r="W16" s="402"/>
      <c r="X16" s="440" t="str">
        <f>F16</f>
        <v>1</v>
      </c>
      <c r="Y16" s="402"/>
      <c r="Z16" s="402"/>
      <c r="AA16" s="411"/>
      <c r="AB16" s="640" t="s">
        <v>831</v>
      </c>
      <c r="AC16" s="425"/>
      <c r="AD16" s="425"/>
      <c r="AE16" s="425"/>
      <c r="AF16" s="425"/>
      <c r="AG16" s="425"/>
      <c r="AH16" s="425"/>
      <c r="AI16" s="425"/>
      <c r="AJ16" s="425"/>
      <c r="AK16" s="425"/>
      <c r="AL16" s="425"/>
      <c r="AM16" s="425"/>
      <c r="AN16" s="425"/>
      <c r="AO16" s="425"/>
      <c r="AP16" s="425"/>
      <c r="AQ16" s="665">
        <f>SUMIF(БПр!$C$131:$C$160,$R16,БПр!$S$131:$S$160)+SUMIF(БПр!$C$131:$C$160,$R16,БПр!$AW$131:$AW$160)+SUMIF(БТр!$C$131:$C$160,$R16,БТр!$S$131:$S$160)</f>
        <v>0</v>
      </c>
      <c r="AR16" s="425"/>
      <c r="AS16" s="425"/>
      <c r="AT16" s="425"/>
      <c r="AU16" s="425"/>
      <c r="AV16" s="425"/>
      <c r="AW16" s="425"/>
      <c r="AX16" s="425"/>
      <c r="AY16" s="425"/>
      <c r="AZ16" s="425"/>
      <c r="BA16" s="425"/>
      <c r="BB16" s="425"/>
      <c r="BC16" s="425"/>
      <c r="BD16" s="425"/>
      <c r="BE16" s="425"/>
      <c r="BF16" s="425"/>
      <c r="BG16" s="425"/>
      <c r="BH16" s="425"/>
      <c r="BI16" s="425"/>
      <c r="BJ16" s="425"/>
      <c r="BK16" s="425"/>
      <c r="BL16" s="425"/>
      <c r="BM16" s="425"/>
      <c r="BN16" s="425"/>
      <c r="BO16" s="425"/>
      <c r="BP16" s="425"/>
      <c r="BQ16" s="425"/>
      <c r="BR16" s="425"/>
      <c r="BS16" s="425"/>
      <c r="BT16" s="425"/>
      <c r="BU16" s="425"/>
      <c r="BV16" s="425"/>
      <c r="BW16" s="425"/>
      <c r="BX16" s="425"/>
      <c r="BY16" s="425"/>
      <c r="BZ16" s="425"/>
      <c r="CA16" s="425"/>
      <c r="CB16" s="425"/>
      <c r="CC16" s="425"/>
      <c r="CD16" s="425"/>
      <c r="CE16" s="425"/>
      <c r="CF16" s="425"/>
      <c r="CG16" s="425"/>
      <c r="CH16" s="425"/>
      <c r="CI16" s="426"/>
    </row>
    <row r="17" spans="3:87" ht="11.25" customHeight="1">
      <c r="E17" s="54"/>
      <c r="F17" s="827"/>
      <c r="G17" s="828"/>
      <c r="H17" s="828"/>
      <c r="I17" s="828"/>
      <c r="J17" s="825"/>
      <c r="K17" s="825"/>
      <c r="L17" s="825"/>
      <c r="M17" s="825"/>
      <c r="N17" s="852"/>
      <c r="O17" s="825"/>
      <c r="P17" s="643"/>
      <c r="Q17" s="827"/>
      <c r="R17" s="402"/>
      <c r="S17" s="402"/>
      <c r="T17" s="402"/>
      <c r="U17" s="402"/>
      <c r="V17" s="402"/>
      <c r="W17" s="402"/>
      <c r="X17" s="402"/>
      <c r="Y17" s="402"/>
      <c r="Z17" s="402"/>
      <c r="AA17" s="411"/>
      <c r="AB17" s="425"/>
      <c r="AC17" s="664" t="s">
        <v>135</v>
      </c>
      <c r="AD17" s="425"/>
      <c r="AE17" s="425"/>
      <c r="AF17" s="425"/>
      <c r="AG17" s="425"/>
      <c r="AH17" s="425"/>
      <c r="AI17" s="425"/>
      <c r="AJ17" s="425"/>
      <c r="AK17" s="425"/>
      <c r="AL17" s="425"/>
      <c r="AM17" s="425"/>
      <c r="AN17" s="425"/>
      <c r="AO17" s="425"/>
      <c r="AP17" s="425"/>
      <c r="AQ17" s="425"/>
      <c r="AR17" s="425"/>
      <c r="AS17" s="425"/>
      <c r="AT17" s="425"/>
      <c r="AU17" s="425"/>
      <c r="AV17" s="425"/>
      <c r="AW17" s="425"/>
      <c r="AX17" s="425"/>
      <c r="AY17" s="425"/>
      <c r="AZ17" s="425"/>
      <c r="BA17" s="425"/>
      <c r="BB17" s="425"/>
      <c r="BC17" s="425"/>
      <c r="BD17" s="425"/>
      <c r="BE17" s="425"/>
      <c r="BF17" s="425"/>
      <c r="BG17" s="425"/>
      <c r="BH17" s="425"/>
      <c r="BI17" s="425"/>
      <c r="BJ17" s="425"/>
      <c r="BK17" s="425"/>
      <c r="BL17" s="425"/>
      <c r="BM17" s="425"/>
      <c r="BN17" s="425"/>
      <c r="BO17" s="425"/>
      <c r="BP17" s="425"/>
      <c r="BQ17" s="425"/>
      <c r="BR17" s="425"/>
      <c r="BS17" s="425"/>
      <c r="BT17" s="425"/>
      <c r="BU17" s="425"/>
      <c r="BV17" s="425"/>
      <c r="BW17" s="425"/>
      <c r="BX17" s="425"/>
      <c r="BY17" s="425"/>
      <c r="BZ17" s="425"/>
      <c r="CA17" s="425"/>
      <c r="CB17" s="425"/>
      <c r="CC17" s="425"/>
      <c r="CD17" s="425"/>
      <c r="CE17" s="425"/>
      <c r="CF17" s="425"/>
      <c r="CG17" s="425"/>
      <c r="CH17" s="425"/>
      <c r="CI17" s="426"/>
    </row>
    <row r="18" spans="3:87" ht="0.75" customHeight="1">
      <c r="C18" s="20" t="s">
        <v>605</v>
      </c>
      <c r="E18" s="236" t="s">
        <v>605</v>
      </c>
      <c r="F18" s="411"/>
      <c r="G18" s="640" t="s">
        <v>2333</v>
      </c>
      <c r="H18" s="425"/>
      <c r="I18" s="425"/>
      <c r="J18" s="425"/>
      <c r="K18" s="425"/>
      <c r="L18" s="425"/>
      <c r="M18" s="425"/>
      <c r="N18" s="138"/>
      <c r="O18" s="425"/>
      <c r="P18" s="425"/>
      <c r="Q18" s="425"/>
      <c r="R18" s="425"/>
      <c r="S18" s="425"/>
      <c r="T18" s="425"/>
      <c r="U18" s="425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5"/>
      <c r="AO18" s="425"/>
      <c r="AP18" s="425"/>
      <c r="AQ18" s="425"/>
      <c r="AR18" s="425"/>
      <c r="AS18" s="425"/>
      <c r="AT18" s="425"/>
      <c r="AU18" s="425"/>
      <c r="AV18" s="425"/>
      <c r="AW18" s="425"/>
      <c r="AX18" s="425"/>
      <c r="AY18" s="425"/>
      <c r="AZ18" s="425"/>
      <c r="BA18" s="425"/>
      <c r="BB18" s="425"/>
      <c r="BC18" s="425"/>
      <c r="BD18" s="425"/>
      <c r="BE18" s="425"/>
      <c r="BF18" s="425"/>
      <c r="BG18" s="425"/>
      <c r="BH18" s="425"/>
      <c r="BI18" s="425"/>
      <c r="BJ18" s="425"/>
      <c r="BK18" s="425"/>
      <c r="BL18" s="425"/>
      <c r="BM18" s="425"/>
      <c r="BN18" s="425"/>
      <c r="BO18" s="425"/>
      <c r="BP18" s="425"/>
      <c r="BQ18" s="425"/>
      <c r="BR18" s="425"/>
      <c r="BS18" s="425"/>
      <c r="BT18" s="425"/>
      <c r="BU18" s="425"/>
      <c r="BV18" s="425"/>
      <c r="BW18" s="425"/>
      <c r="BX18" s="425"/>
      <c r="BY18" s="425"/>
      <c r="BZ18" s="425"/>
      <c r="CA18" s="425"/>
      <c r="CB18" s="425"/>
      <c r="CC18" s="425"/>
      <c r="CD18" s="425"/>
      <c r="CE18" s="425"/>
      <c r="CF18" s="425"/>
      <c r="CG18" s="425"/>
      <c r="CH18" s="425"/>
      <c r="CI18" s="426"/>
    </row>
    <row r="19" spans="3:87" s="20" customFormat="1">
      <c r="D19"/>
      <c r="E19" s="23" t="s">
        <v>734</v>
      </c>
      <c r="F19" s="135"/>
      <c r="G19" s="135"/>
      <c r="H19" s="135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5"/>
      <c r="AE19" s="136"/>
      <c r="AF19" s="136"/>
      <c r="AG19" s="135"/>
      <c r="AH19" s="136"/>
      <c r="AI19" s="136"/>
      <c r="AJ19" s="136"/>
      <c r="AK19" s="136"/>
      <c r="AL19" s="135"/>
      <c r="AM19" s="135"/>
      <c r="AN19" s="135"/>
      <c r="AO19" s="136"/>
      <c r="AP19" s="135"/>
      <c r="AQ19" s="136"/>
      <c r="AR19" s="136"/>
      <c r="AS19" s="136"/>
      <c r="AT19" s="136"/>
      <c r="AU19" s="136"/>
      <c r="AV19" s="136"/>
      <c r="AW19" s="136"/>
      <c r="AX19" s="136"/>
      <c r="AY19" s="136"/>
      <c r="AZ19" s="136"/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6"/>
      <c r="BQ19" s="135"/>
      <c r="BR19" s="135"/>
      <c r="BS19" s="135"/>
      <c r="BT19" s="135"/>
      <c r="BU19" s="135"/>
      <c r="BV19" s="135"/>
      <c r="BW19" s="136"/>
      <c r="BX19" s="136"/>
      <c r="BY19" s="136"/>
      <c r="BZ19" s="136"/>
      <c r="CA19" s="136"/>
      <c r="CB19" s="135"/>
      <c r="CC19" s="135"/>
      <c r="CD19" s="135"/>
      <c r="CE19" s="135"/>
      <c r="CF19" s="135"/>
      <c r="CG19" s="135"/>
      <c r="CH19" s="135"/>
      <c r="CI19" s="135"/>
    </row>
    <row r="20" spans="3:87" ht="24" customHeight="1">
      <c r="G20" s="848" t="s">
        <v>2552</v>
      </c>
      <c r="H20" s="848"/>
      <c r="I20" s="848"/>
      <c r="J20" s="848"/>
      <c r="K20" s="848"/>
      <c r="L20" s="848"/>
      <c r="M20" s="848"/>
      <c r="N20" s="848"/>
      <c r="O20" s="848"/>
      <c r="P20" s="848"/>
      <c r="Q20" s="848"/>
    </row>
  </sheetData>
  <sheetProtection algorithmName="SHA-512" hashValue="gWpY2d73ssv3W0QScoAyG93iJV8vOrZoiBD9/ZBlX34XWgK+Ru895eANhaIeSJ7rqgGdmFdRVNvjpyt9xvieZw==" saltValue="BQGipoIfEC+9ytAbML1/ig==" spinCount="100000" sheet="1" objects="1" scenarios="1" formatColumns="0" formatRows="0"/>
  <mergeCells count="98">
    <mergeCell ref="K12:K14"/>
    <mergeCell ref="I5:J5"/>
    <mergeCell ref="F12:F14"/>
    <mergeCell ref="G12:G14"/>
    <mergeCell ref="H12:H14"/>
    <mergeCell ref="I12:I14"/>
    <mergeCell ref="J12:J14"/>
    <mergeCell ref="L12:L14"/>
    <mergeCell ref="M12:M14"/>
    <mergeCell ref="N12:N14"/>
    <mergeCell ref="O12:O14"/>
    <mergeCell ref="P12:P14"/>
    <mergeCell ref="Q12:Q14"/>
    <mergeCell ref="R12:R14"/>
    <mergeCell ref="S12:S14"/>
    <mergeCell ref="T12:T14"/>
    <mergeCell ref="U12:U14"/>
    <mergeCell ref="V12:V14"/>
    <mergeCell ref="W12:W14"/>
    <mergeCell ref="X12:X14"/>
    <mergeCell ref="Y12:Y14"/>
    <mergeCell ref="Z12:Z14"/>
    <mergeCell ref="AA12:AA14"/>
    <mergeCell ref="AB12:AB14"/>
    <mergeCell ref="AC12:AC14"/>
    <mergeCell ref="AD12:AD14"/>
    <mergeCell ref="AE12:AE14"/>
    <mergeCell ref="AF12:AF14"/>
    <mergeCell ref="AG12:AG14"/>
    <mergeCell ref="AH12:AH14"/>
    <mergeCell ref="AI12:AI14"/>
    <mergeCell ref="AJ12:AJ14"/>
    <mergeCell ref="AK12:AK14"/>
    <mergeCell ref="AL12:AL14"/>
    <mergeCell ref="AM12:AM14"/>
    <mergeCell ref="AN12:AN14"/>
    <mergeCell ref="AO12:AO14"/>
    <mergeCell ref="AP12:AP14"/>
    <mergeCell ref="AQ12:BC12"/>
    <mergeCell ref="BD12:BD14"/>
    <mergeCell ref="BE12:BE14"/>
    <mergeCell ref="BF12:BF14"/>
    <mergeCell ref="AX13:AX14"/>
    <mergeCell ref="AY13:AY14"/>
    <mergeCell ref="AZ13:AZ14"/>
    <mergeCell ref="BA13:BA14"/>
    <mergeCell ref="BB13:BB14"/>
    <mergeCell ref="BC13:BC14"/>
    <mergeCell ref="BU12:BU14"/>
    <mergeCell ref="CB12:CB14"/>
    <mergeCell ref="CC12:CC14"/>
    <mergeCell ref="BW13:BW14"/>
    <mergeCell ref="BX13:BX14"/>
    <mergeCell ref="BY13:BY14"/>
    <mergeCell ref="BZ13:BZ14"/>
    <mergeCell ref="CH12:CH14"/>
    <mergeCell ref="CI12:CI14"/>
    <mergeCell ref="AQ13:AQ14"/>
    <mergeCell ref="AR13:AR14"/>
    <mergeCell ref="AS13:AS14"/>
    <mergeCell ref="AT13:AT14"/>
    <mergeCell ref="AU13:AU14"/>
    <mergeCell ref="CA13:CA14"/>
    <mergeCell ref="AV13:AV14"/>
    <mergeCell ref="AW13:AW14"/>
    <mergeCell ref="BG12:BH12"/>
    <mergeCell ref="BG13:BG14"/>
    <mergeCell ref="BT12:BT14"/>
    <mergeCell ref="BH13:BH14"/>
    <mergeCell ref="BL12:BL14"/>
    <mergeCell ref="BM12:BM14"/>
    <mergeCell ref="G20:Q20"/>
    <mergeCell ref="CG12:CG14"/>
    <mergeCell ref="BI12:BI14"/>
    <mergeCell ref="BJ12:BJ14"/>
    <mergeCell ref="BK12:BK14"/>
    <mergeCell ref="CD12:CD14"/>
    <mergeCell ref="CE12:CE14"/>
    <mergeCell ref="CF12:CF14"/>
    <mergeCell ref="BV12:BV14"/>
    <mergeCell ref="BW12:CA12"/>
    <mergeCell ref="BN12:BN14"/>
    <mergeCell ref="BO12:BO14"/>
    <mergeCell ref="BP12:BP14"/>
    <mergeCell ref="BQ12:BQ14"/>
    <mergeCell ref="BR12:BR14"/>
    <mergeCell ref="BS12:BS14"/>
    <mergeCell ref="F16:F17"/>
    <mergeCell ref="G16:G17"/>
    <mergeCell ref="H16:H17"/>
    <mergeCell ref="I16:I17"/>
    <mergeCell ref="J16:J17"/>
    <mergeCell ref="Q16:Q17"/>
    <mergeCell ref="K16:K17"/>
    <mergeCell ref="L16:L17"/>
    <mergeCell ref="M16:M17"/>
    <mergeCell ref="N16:N17"/>
    <mergeCell ref="O16:O17"/>
  </mergeCells>
  <hyperlinks>
    <hyperlink ref="AC17" location="'TECH_HORISONTAL'!A1" tooltip="Добавить" display="Добавить"/>
  </hyperlinks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Sheet">
    <tabColor indexed="47"/>
  </sheetPr>
  <dimension ref="A1:AG284"/>
  <sheetViews>
    <sheetView showGridLines="0" zoomScale="80" zoomScaleNormal="80" workbookViewId="0"/>
  </sheetViews>
  <sheetFormatPr defaultColWidth="9.125" defaultRowHeight="11.25" customHeight="1"/>
  <cols>
    <col min="1" max="1" width="42.75" style="200" customWidth="1"/>
    <col min="2" max="2" width="6.75" style="200" customWidth="1"/>
    <col min="3" max="3" width="40.75" style="200" customWidth="1"/>
    <col min="4" max="4" width="3.75" style="200" customWidth="1"/>
    <col min="5" max="5" width="55.75" style="200" customWidth="1"/>
    <col min="6" max="6" width="3.75" style="200" customWidth="1"/>
    <col min="7" max="7" width="55.75" style="200" customWidth="1"/>
    <col min="8" max="8" width="3.75" style="200" customWidth="1"/>
    <col min="9" max="9" width="59.75" style="200" customWidth="1"/>
    <col min="10" max="10" width="3.75" style="200" customWidth="1"/>
    <col min="11" max="11" width="45.75" style="200" customWidth="1"/>
    <col min="12" max="12" width="4.75" style="200" customWidth="1"/>
    <col min="13" max="13" width="45.75" style="200" customWidth="1"/>
    <col min="14" max="14" width="4.75" style="200" customWidth="1"/>
    <col min="15" max="15" width="45.75" style="200" customWidth="1"/>
    <col min="16" max="16" width="4.75" style="200" customWidth="1"/>
    <col min="17" max="17" width="45.875" style="200" customWidth="1"/>
    <col min="18" max="18" width="4.75" style="200" customWidth="1"/>
    <col min="19" max="19" width="45.75" style="200" customWidth="1"/>
    <col min="20" max="20" width="14.625" style="200" customWidth="1"/>
    <col min="21" max="21" width="4.75" style="200" customWidth="1"/>
    <col min="22" max="22" width="45.75" style="200" customWidth="1"/>
    <col min="23" max="23" width="4.75" style="200" customWidth="1"/>
    <col min="24" max="24" width="34.375" style="200" bestFit="1" customWidth="1"/>
    <col min="25" max="25" width="24.75" style="200" customWidth="1"/>
    <col min="26" max="26" width="23.75" style="200" customWidth="1"/>
    <col min="27" max="28" width="12.625" style="200" customWidth="1"/>
    <col min="29" max="32" width="9.125" style="200"/>
    <col min="33" max="33" width="42.625" style="200" customWidth="1"/>
    <col min="34" max="16384" width="9.125" style="200"/>
  </cols>
  <sheetData>
    <row r="1" spans="1:33" ht="11.25" customHeight="1">
      <c r="A1" s="2" t="s">
        <v>1</v>
      </c>
      <c r="B1" s="199" t="s">
        <v>413</v>
      </c>
      <c r="C1" s="2" t="s">
        <v>1</v>
      </c>
      <c r="E1" s="407" t="s">
        <v>789</v>
      </c>
      <c r="G1" s="201" t="s">
        <v>99</v>
      </c>
      <c r="I1" s="201" t="s">
        <v>520</v>
      </c>
      <c r="K1" s="201" t="s">
        <v>100</v>
      </c>
      <c r="M1" s="234" t="s">
        <v>630</v>
      </c>
      <c r="O1" s="234" t="s">
        <v>639</v>
      </c>
      <c r="P1" s="202"/>
      <c r="Q1" s="201" t="s">
        <v>768</v>
      </c>
      <c r="S1" s="201" t="s">
        <v>93</v>
      </c>
      <c r="T1" s="201" t="s">
        <v>2232</v>
      </c>
      <c r="W1" s="202"/>
      <c r="X1" s="437" t="s">
        <v>3032</v>
      </c>
      <c r="Y1" s="201" t="s">
        <v>2</v>
      </c>
      <c r="AA1" s="201" t="s">
        <v>632</v>
      </c>
      <c r="AB1" s="201" t="s">
        <v>272</v>
      </c>
      <c r="AG1" s="201" t="s">
        <v>2285</v>
      </c>
    </row>
    <row r="2" spans="1:33" ht="11.25" customHeight="1">
      <c r="A2" s="2" t="s">
        <v>3</v>
      </c>
      <c r="B2" s="199" t="s">
        <v>414</v>
      </c>
      <c r="C2" s="2" t="s">
        <v>3</v>
      </c>
      <c r="E2" s="408" t="s">
        <v>790</v>
      </c>
      <c r="G2" s="203" t="s">
        <v>97</v>
      </c>
      <c r="I2" s="203" t="s">
        <v>511</v>
      </c>
      <c r="K2" s="203" t="s">
        <v>131</v>
      </c>
      <c r="M2" s="235" t="s">
        <v>640</v>
      </c>
      <c r="O2" s="235" t="s">
        <v>638</v>
      </c>
      <c r="Q2" s="405" t="str">
        <f>USE_DNS_SERVICE</f>
        <v>https://eias.ru</v>
      </c>
      <c r="S2" s="681" t="s">
        <v>2564</v>
      </c>
      <c r="T2" s="681">
        <v>2386758239</v>
      </c>
      <c r="X2" s="437" t="s">
        <v>2169</v>
      </c>
      <c r="Y2" s="201" t="s">
        <v>4</v>
      </c>
      <c r="AA2" s="203">
        <v>2012</v>
      </c>
      <c r="AB2" s="203" t="s">
        <v>687</v>
      </c>
      <c r="AG2" s="205" t="s">
        <v>2286</v>
      </c>
    </row>
    <row r="3" spans="1:33" ht="11.25" customHeight="1">
      <c r="A3" s="2" t="s">
        <v>5</v>
      </c>
      <c r="B3" s="199" t="s">
        <v>415</v>
      </c>
      <c r="C3" s="2" t="s">
        <v>5</v>
      </c>
      <c r="E3" s="408" t="s">
        <v>791</v>
      </c>
      <c r="G3" s="205" t="s">
        <v>97</v>
      </c>
      <c r="I3" s="203" t="s">
        <v>559</v>
      </c>
      <c r="K3" s="203" t="s">
        <v>129</v>
      </c>
      <c r="O3" s="235" t="s">
        <v>638</v>
      </c>
      <c r="S3" s="681" t="s">
        <v>2565</v>
      </c>
      <c r="T3" s="681">
        <v>3389587965</v>
      </c>
      <c r="X3" s="235" t="s">
        <v>1125</v>
      </c>
      <c r="Y3" s="201" t="s">
        <v>1124</v>
      </c>
      <c r="AA3" s="203">
        <v>2013</v>
      </c>
      <c r="AB3" s="203" t="s">
        <v>261</v>
      </c>
      <c r="AG3" s="205" t="s">
        <v>2287</v>
      </c>
    </row>
    <row r="4" spans="1:33" ht="11.25" customHeight="1">
      <c r="A4" s="2" t="s">
        <v>6</v>
      </c>
      <c r="B4" s="199" t="s">
        <v>416</v>
      </c>
      <c r="C4" s="2" t="s">
        <v>6</v>
      </c>
      <c r="E4" s="408" t="s">
        <v>792</v>
      </c>
      <c r="G4" s="205" t="s">
        <v>1302</v>
      </c>
      <c r="N4" s="204"/>
      <c r="O4" s="235" t="s">
        <v>638</v>
      </c>
      <c r="Q4" s="201" t="s">
        <v>626</v>
      </c>
      <c r="S4" s="681" t="s">
        <v>2566</v>
      </c>
      <c r="T4" s="681">
        <v>3389595657</v>
      </c>
      <c r="X4" s="235" t="s">
        <v>638</v>
      </c>
      <c r="Y4" s="201" t="s">
        <v>1126</v>
      </c>
      <c r="AA4" s="203">
        <v>2014</v>
      </c>
      <c r="AB4" s="203" t="s">
        <v>262</v>
      </c>
      <c r="AG4" s="205" t="s">
        <v>2288</v>
      </c>
    </row>
    <row r="5" spans="1:33" ht="11.25" customHeight="1">
      <c r="A5" s="2" t="s">
        <v>7</v>
      </c>
      <c r="B5" s="199" t="s">
        <v>417</v>
      </c>
      <c r="C5" s="2" t="s">
        <v>7</v>
      </c>
      <c r="G5" s="205" t="s">
        <v>98</v>
      </c>
      <c r="I5" s="201" t="s">
        <v>2186</v>
      </c>
      <c r="M5" s="451" t="s">
        <v>1205</v>
      </c>
      <c r="O5" s="235" t="s">
        <v>640</v>
      </c>
      <c r="Q5" s="405">
        <v>1.2</v>
      </c>
      <c r="S5" s="681" t="s">
        <v>2567</v>
      </c>
      <c r="T5" s="681">
        <v>3390051601</v>
      </c>
      <c r="X5" s="437"/>
      <c r="Y5" s="201" t="s">
        <v>2258</v>
      </c>
      <c r="AA5" s="203">
        <v>2015</v>
      </c>
      <c r="AB5" s="203" t="s">
        <v>263</v>
      </c>
    </row>
    <row r="6" spans="1:33" ht="11.25" customHeight="1">
      <c r="A6" s="2" t="s">
        <v>8</v>
      </c>
      <c r="B6" s="199" t="s">
        <v>418</v>
      </c>
      <c r="C6" s="2" t="s">
        <v>8</v>
      </c>
      <c r="E6" s="201" t="s">
        <v>786</v>
      </c>
      <c r="I6" s="203" t="s">
        <v>513</v>
      </c>
      <c r="M6" s="452" t="s">
        <v>2561</v>
      </c>
      <c r="S6" s="681" t="s">
        <v>2568</v>
      </c>
      <c r="T6" s="681">
        <v>2386758236</v>
      </c>
      <c r="X6" s="615" t="s">
        <v>2562</v>
      </c>
      <c r="Y6" s="201" t="s">
        <v>2259</v>
      </c>
      <c r="AA6" s="203">
        <v>2016</v>
      </c>
      <c r="AB6" s="203" t="s">
        <v>264</v>
      </c>
      <c r="AG6" s="201" t="s">
        <v>2557</v>
      </c>
    </row>
    <row r="7" spans="1:33" ht="11.25" customHeight="1">
      <c r="A7" s="2" t="s">
        <v>46</v>
      </c>
      <c r="B7" s="199" t="s">
        <v>419</v>
      </c>
      <c r="C7" s="2" t="s">
        <v>46</v>
      </c>
      <c r="E7" s="203" t="s">
        <v>787</v>
      </c>
      <c r="G7" s="201" t="s">
        <v>291</v>
      </c>
      <c r="Q7" s="201" t="s">
        <v>1101</v>
      </c>
      <c r="S7" s="681" t="s">
        <v>2569</v>
      </c>
      <c r="T7" s="681">
        <v>3389587923</v>
      </c>
      <c r="AA7" s="203">
        <v>2017</v>
      </c>
      <c r="AB7" s="203" t="s">
        <v>265</v>
      </c>
      <c r="AG7" s="205" t="s">
        <v>2558</v>
      </c>
    </row>
    <row r="8" spans="1:33" ht="11.25" customHeight="1">
      <c r="A8" s="2" t="s">
        <v>47</v>
      </c>
      <c r="B8" s="199" t="s">
        <v>420</v>
      </c>
      <c r="C8" s="2" t="s">
        <v>47</v>
      </c>
      <c r="E8" s="203" t="s">
        <v>130</v>
      </c>
      <c r="G8" s="203" t="s">
        <v>3031</v>
      </c>
      <c r="I8" s="201" t="s">
        <v>512</v>
      </c>
      <c r="Q8" s="405" t="str">
        <f>god</f>
        <v>2024</v>
      </c>
      <c r="S8" s="681" t="s">
        <v>2570</v>
      </c>
      <c r="T8" s="681">
        <v>3389551038</v>
      </c>
      <c r="AA8" s="203">
        <v>2018</v>
      </c>
      <c r="AB8" s="203" t="s">
        <v>266</v>
      </c>
      <c r="AG8" s="205" t="s">
        <v>2559</v>
      </c>
    </row>
    <row r="9" spans="1:33" ht="11.25" customHeight="1">
      <c r="A9" s="2" t="s">
        <v>48</v>
      </c>
      <c r="B9" s="206" t="s">
        <v>421</v>
      </c>
      <c r="C9" s="2" t="s">
        <v>48</v>
      </c>
      <c r="E9" s="203" t="s">
        <v>788</v>
      </c>
      <c r="G9" s="205" t="s">
        <v>777</v>
      </c>
      <c r="I9" s="203" t="s">
        <v>513</v>
      </c>
      <c r="M9" s="451" t="s">
        <v>2474</v>
      </c>
      <c r="S9" s="681" t="s">
        <v>2571</v>
      </c>
      <c r="T9" s="681">
        <v>3417554921</v>
      </c>
      <c r="X9" s="201" t="s">
        <v>84</v>
      </c>
      <c r="AA9" s="203">
        <v>2019</v>
      </c>
      <c r="AB9" s="203" t="s">
        <v>267</v>
      </c>
      <c r="AG9" s="205" t="s">
        <v>2560</v>
      </c>
    </row>
    <row r="10" spans="1:33" ht="11.25" customHeight="1">
      <c r="A10" s="2" t="s">
        <v>49</v>
      </c>
      <c r="B10" s="206" t="s">
        <v>422</v>
      </c>
      <c r="C10" s="2" t="s">
        <v>49</v>
      </c>
      <c r="G10" s="205" t="s">
        <v>778</v>
      </c>
      <c r="M10" s="452" t="s">
        <v>2538</v>
      </c>
      <c r="Q10" s="201" t="s">
        <v>1030</v>
      </c>
      <c r="S10" s="681" t="s">
        <v>2572</v>
      </c>
      <c r="T10" s="681">
        <v>2386758240</v>
      </c>
      <c r="X10" s="203" t="s">
        <v>1093</v>
      </c>
      <c r="AA10" s="203">
        <v>2020</v>
      </c>
      <c r="AB10" s="203" t="s">
        <v>268</v>
      </c>
    </row>
    <row r="11" spans="1:33" ht="11.25" customHeight="1">
      <c r="A11" s="207" t="s">
        <v>50</v>
      </c>
      <c r="B11" s="199" t="s">
        <v>423</v>
      </c>
      <c r="C11" s="208" t="s">
        <v>424</v>
      </c>
      <c r="E11" s="201" t="s">
        <v>2187</v>
      </c>
      <c r="G11" s="205" t="s">
        <v>774</v>
      </c>
      <c r="I11" s="201" t="s">
        <v>2188</v>
      </c>
      <c r="Q11" s="405" t="str">
        <f>"01.01." &amp; PERIOD</f>
        <v>01.01.2024</v>
      </c>
      <c r="S11" s="681" t="s">
        <v>2573</v>
      </c>
      <c r="T11" s="681">
        <v>2392814112</v>
      </c>
      <c r="X11" s="203" t="s">
        <v>86</v>
      </c>
      <c r="AA11" s="203">
        <v>2021</v>
      </c>
      <c r="AB11" s="203" t="s">
        <v>269</v>
      </c>
    </row>
    <row r="12" spans="1:33" ht="11.25" customHeight="1">
      <c r="A12" s="207" t="s">
        <v>95</v>
      </c>
      <c r="B12" s="199" t="s">
        <v>425</v>
      </c>
      <c r="C12" s="209"/>
      <c r="E12" s="203" t="s">
        <v>781</v>
      </c>
      <c r="I12" s="203" t="s">
        <v>240</v>
      </c>
      <c r="Q12" s="405" t="str">
        <f>"31.12." &amp; PERIOD</f>
        <v>31.12.2024</v>
      </c>
      <c r="S12" s="681" t="s">
        <v>2574</v>
      </c>
      <c r="T12" s="681">
        <v>2386758237</v>
      </c>
      <c r="X12" s="203" t="s">
        <v>1094</v>
      </c>
      <c r="AA12" s="203">
        <v>2022</v>
      </c>
      <c r="AB12" s="203" t="s">
        <v>270</v>
      </c>
    </row>
    <row r="13" spans="1:33" ht="11.25" customHeight="1">
      <c r="A13" s="207" t="s">
        <v>96</v>
      </c>
      <c r="B13" s="199" t="s">
        <v>426</v>
      </c>
      <c r="C13" s="208" t="s">
        <v>427</v>
      </c>
      <c r="E13" s="203" t="s">
        <v>782</v>
      </c>
      <c r="G13" s="201" t="s">
        <v>685</v>
      </c>
      <c r="I13" s="203" t="s">
        <v>241</v>
      </c>
      <c r="S13" s="681" t="s">
        <v>2575</v>
      </c>
      <c r="T13" s="681">
        <v>2386758238</v>
      </c>
      <c r="X13" s="203" t="s">
        <v>88</v>
      </c>
      <c r="AA13" s="203">
        <v>2023</v>
      </c>
      <c r="AB13" s="203" t="s">
        <v>271</v>
      </c>
    </row>
    <row r="14" spans="1:33" ht="11.25" customHeight="1">
      <c r="A14" s="228" t="s">
        <v>254</v>
      </c>
      <c r="B14" s="230" t="s">
        <v>258</v>
      </c>
      <c r="C14" s="232" t="s">
        <v>256</v>
      </c>
      <c r="E14" s="203" t="s">
        <v>290</v>
      </c>
      <c r="G14" s="203"/>
      <c r="Q14" s="201" t="s">
        <v>838</v>
      </c>
      <c r="S14" s="681" t="s">
        <v>2576</v>
      </c>
      <c r="T14" s="681">
        <v>3234983993</v>
      </c>
      <c r="X14" s="203" t="s">
        <v>89</v>
      </c>
      <c r="AA14" s="203">
        <v>2024</v>
      </c>
    </row>
    <row r="15" spans="1:33" ht="11.25" customHeight="1">
      <c r="A15" s="2" t="s">
        <v>51</v>
      </c>
      <c r="B15" s="199" t="s">
        <v>428</v>
      </c>
      <c r="C15" s="2" t="s">
        <v>51</v>
      </c>
      <c r="E15" s="203" t="s">
        <v>783</v>
      </c>
      <c r="G15" s="205"/>
      <c r="I15" s="201" t="s">
        <v>799</v>
      </c>
      <c r="Q15" s="405" t="str">
        <f>"01.01." &amp; PERIOD</f>
        <v>01.01.2024</v>
      </c>
      <c r="S15" s="681" t="s">
        <v>2577</v>
      </c>
      <c r="T15" s="681">
        <v>2936022869</v>
      </c>
      <c r="X15" s="438" t="s">
        <v>292</v>
      </c>
      <c r="AA15" s="203">
        <v>2025</v>
      </c>
    </row>
    <row r="16" spans="1:33" ht="11.25" customHeight="1">
      <c r="A16" s="2" t="s">
        <v>52</v>
      </c>
      <c r="B16" s="199" t="s">
        <v>429</v>
      </c>
      <c r="C16" s="2" t="s">
        <v>52</v>
      </c>
      <c r="E16" s="203" t="s">
        <v>776</v>
      </c>
      <c r="G16" s="205" t="s">
        <v>686</v>
      </c>
      <c r="I16" s="203" t="s">
        <v>793</v>
      </c>
      <c r="Q16" s="405" t="str">
        <f>"31.12." &amp; PERIOD</f>
        <v>31.12.2024</v>
      </c>
      <c r="S16" s="681" t="s">
        <v>2578</v>
      </c>
      <c r="T16" s="681">
        <v>2400828797</v>
      </c>
      <c r="X16" s="203" t="s">
        <v>90</v>
      </c>
      <c r="AA16" s="203">
        <v>2026</v>
      </c>
    </row>
    <row r="17" spans="1:27" ht="11.25" customHeight="1">
      <c r="A17" s="2" t="s">
        <v>54</v>
      </c>
      <c r="B17" s="206" t="s">
        <v>430</v>
      </c>
      <c r="C17" s="2" t="s">
        <v>54</v>
      </c>
      <c r="G17" s="205" t="s">
        <v>775</v>
      </c>
      <c r="I17" s="203" t="s">
        <v>794</v>
      </c>
      <c r="J17" s="409" t="s">
        <v>800</v>
      </c>
      <c r="S17" s="681" t="s">
        <v>2579</v>
      </c>
      <c r="T17" s="681">
        <v>2913158454</v>
      </c>
      <c r="X17" s="203" t="s">
        <v>91</v>
      </c>
      <c r="AA17" s="203">
        <v>2027</v>
      </c>
    </row>
    <row r="18" spans="1:27" ht="11.25" customHeight="1">
      <c r="A18" s="2" t="s">
        <v>55</v>
      </c>
      <c r="B18" s="206" t="s">
        <v>431</v>
      </c>
      <c r="C18" s="2" t="s">
        <v>55</v>
      </c>
      <c r="E18" s="201" t="s">
        <v>785</v>
      </c>
      <c r="I18" s="203" t="s">
        <v>795</v>
      </c>
      <c r="J18" s="409" t="s">
        <v>801</v>
      </c>
      <c r="Q18" s="201" t="s">
        <v>2278</v>
      </c>
      <c r="S18" s="681" t="s">
        <v>2580</v>
      </c>
      <c r="T18" s="681">
        <v>2396016426</v>
      </c>
      <c r="X18" s="203" t="s">
        <v>92</v>
      </c>
      <c r="AA18" s="203">
        <v>2028</v>
      </c>
    </row>
    <row r="19" spans="1:27" ht="11.25" customHeight="1">
      <c r="A19" s="2" t="s">
        <v>56</v>
      </c>
      <c r="B19" s="199" t="s">
        <v>432</v>
      </c>
      <c r="C19" s="209" t="s">
        <v>433</v>
      </c>
      <c r="E19" s="406" t="s">
        <v>784</v>
      </c>
      <c r="G19" s="201" t="s">
        <v>510</v>
      </c>
      <c r="I19" s="203" t="s">
        <v>796</v>
      </c>
      <c r="J19" s="409" t="s">
        <v>802</v>
      </c>
      <c r="O19" s="629" t="s">
        <v>2279</v>
      </c>
      <c r="Q19" s="405" t="str">
        <f>"01.01." &amp; PERIOD</f>
        <v>01.01.2024</v>
      </c>
      <c r="S19" s="681" t="s">
        <v>130</v>
      </c>
      <c r="T19" s="681">
        <v>5379004</v>
      </c>
      <c r="X19" s="203" t="s">
        <v>93</v>
      </c>
      <c r="AA19" s="203">
        <v>2029</v>
      </c>
    </row>
    <row r="20" spans="1:27" ht="11.25" customHeight="1">
      <c r="A20" s="2" t="s">
        <v>57</v>
      </c>
      <c r="B20" s="206" t="s">
        <v>434</v>
      </c>
      <c r="C20" s="2" t="s">
        <v>57</v>
      </c>
      <c r="E20" s="406" t="s">
        <v>779</v>
      </c>
      <c r="G20" s="203" t="s">
        <v>508</v>
      </c>
      <c r="I20" s="203" t="s">
        <v>797</v>
      </c>
      <c r="J20" s="409" t="s">
        <v>803</v>
      </c>
      <c r="M20" s="629" t="s">
        <v>2281</v>
      </c>
      <c r="O20" s="629" t="s">
        <v>2280</v>
      </c>
      <c r="Q20" s="405" t="str">
        <f>"31.12." &amp; PERIOD</f>
        <v>31.12.2024</v>
      </c>
      <c r="S20" s="681" t="s">
        <v>2581</v>
      </c>
      <c r="T20" s="681">
        <v>2386758235</v>
      </c>
      <c r="X20" s="203" t="s">
        <v>1095</v>
      </c>
      <c r="AA20" s="203">
        <v>2030</v>
      </c>
    </row>
    <row r="21" spans="1:27" ht="11.25" customHeight="1">
      <c r="A21" s="2" t="s">
        <v>58</v>
      </c>
      <c r="B21" s="206" t="s">
        <v>435</v>
      </c>
      <c r="C21" s="2" t="s">
        <v>58</v>
      </c>
      <c r="E21" s="406" t="s">
        <v>780</v>
      </c>
      <c r="G21" s="205" t="s">
        <v>508</v>
      </c>
      <c r="I21" s="203" t="s">
        <v>798</v>
      </c>
      <c r="J21" s="409" t="s">
        <v>804</v>
      </c>
      <c r="M21" s="630" t="s">
        <v>831</v>
      </c>
      <c r="O21" s="630" t="s">
        <v>831</v>
      </c>
      <c r="S21" s="681" t="s">
        <v>776</v>
      </c>
      <c r="T21" s="681">
        <v>2393647394</v>
      </c>
      <c r="X21" s="203" t="s">
        <v>1096</v>
      </c>
    </row>
    <row r="22" spans="1:27" ht="11.25" customHeight="1">
      <c r="A22" s="2" t="s">
        <v>59</v>
      </c>
      <c r="B22" s="206" t="s">
        <v>436</v>
      </c>
      <c r="C22" s="2" t="s">
        <v>59</v>
      </c>
      <c r="G22" s="205" t="s">
        <v>1303</v>
      </c>
      <c r="M22" s="631" t="s">
        <v>105</v>
      </c>
      <c r="O22" s="631" t="s">
        <v>105</v>
      </c>
      <c r="S22" s="681" t="s">
        <v>784</v>
      </c>
      <c r="T22" s="681">
        <v>2392789430</v>
      </c>
      <c r="X22" s="203" t="s">
        <v>1097</v>
      </c>
    </row>
    <row r="23" spans="1:27" ht="11.25" customHeight="1">
      <c r="A23" s="2" t="s">
        <v>60</v>
      </c>
      <c r="B23" s="199" t="s">
        <v>437</v>
      </c>
      <c r="C23" s="209" t="s">
        <v>438</v>
      </c>
      <c r="E23" s="201" t="s">
        <v>2237</v>
      </c>
      <c r="G23" s="205" t="s">
        <v>509</v>
      </c>
      <c r="M23" s="631" t="s">
        <v>164</v>
      </c>
      <c r="O23" s="631" t="s">
        <v>164</v>
      </c>
      <c r="S23" s="681" t="s">
        <v>2582</v>
      </c>
      <c r="T23" s="681">
        <v>2385677281</v>
      </c>
      <c r="X23" s="203" t="s">
        <v>1098</v>
      </c>
    </row>
    <row r="24" spans="1:27" ht="11.25" customHeight="1">
      <c r="A24" s="2" t="s">
        <v>61</v>
      </c>
      <c r="B24" s="206" t="s">
        <v>439</v>
      </c>
      <c r="C24" s="2" t="s">
        <v>61</v>
      </c>
      <c r="E24" s="201" t="s">
        <v>2257</v>
      </c>
      <c r="M24" s="631" t="s">
        <v>165</v>
      </c>
      <c r="O24" s="631" t="s">
        <v>165</v>
      </c>
      <c r="S24" s="681" t="s">
        <v>2583</v>
      </c>
      <c r="T24" s="681">
        <v>2385677278</v>
      </c>
      <c r="X24" s="203" t="s">
        <v>1099</v>
      </c>
    </row>
    <row r="25" spans="1:27" ht="11.25" customHeight="1">
      <c r="A25" s="2" t="s">
        <v>62</v>
      </c>
      <c r="B25" s="206" t="s">
        <v>440</v>
      </c>
      <c r="C25" s="2" t="s">
        <v>62</v>
      </c>
      <c r="E25" s="203" t="s">
        <v>2238</v>
      </c>
      <c r="G25" s="201" t="s">
        <v>601</v>
      </c>
      <c r="S25" s="681" t="s">
        <v>2584</v>
      </c>
      <c r="T25" s="681">
        <v>2385677280</v>
      </c>
      <c r="X25" s="203" t="s">
        <v>1100</v>
      </c>
    </row>
    <row r="26" spans="1:27" ht="11.25" customHeight="1">
      <c r="A26" s="2" t="s">
        <v>63</v>
      </c>
      <c r="B26" s="206" t="s">
        <v>441</v>
      </c>
      <c r="C26" s="2" t="s">
        <v>63</v>
      </c>
      <c r="E26" s="203" t="s">
        <v>2241</v>
      </c>
      <c r="G26" s="210" t="s">
        <v>2136</v>
      </c>
      <c r="S26" s="681" t="s">
        <v>781</v>
      </c>
      <c r="T26" s="681">
        <v>2385683014</v>
      </c>
    </row>
    <row r="27" spans="1:27" ht="11.25" customHeight="1">
      <c r="A27" s="2" t="s">
        <v>64</v>
      </c>
      <c r="B27" s="199" t="s">
        <v>442</v>
      </c>
      <c r="C27" s="2" t="s">
        <v>64</v>
      </c>
      <c r="E27" s="203" t="s">
        <v>2239</v>
      </c>
      <c r="G27" s="13"/>
      <c r="S27" s="681" t="s">
        <v>2585</v>
      </c>
      <c r="T27" s="681">
        <v>2385683011</v>
      </c>
    </row>
    <row r="28" spans="1:27" ht="11.25" customHeight="1">
      <c r="A28" s="2" t="s">
        <v>123</v>
      </c>
      <c r="B28" s="199" t="s">
        <v>443</v>
      </c>
      <c r="C28" s="2" t="s">
        <v>123</v>
      </c>
      <c r="E28" s="203" t="s">
        <v>2240</v>
      </c>
      <c r="G28" s="13"/>
      <c r="S28" s="681" t="s">
        <v>2586</v>
      </c>
      <c r="T28" s="681">
        <v>2394012222</v>
      </c>
      <c r="X28" s="201" t="s">
        <v>94</v>
      </c>
    </row>
    <row r="29" spans="1:27" ht="11.25" customHeight="1">
      <c r="A29" s="2" t="s">
        <v>65</v>
      </c>
      <c r="B29" s="206" t="s">
        <v>444</v>
      </c>
      <c r="C29" s="2" t="s">
        <v>65</v>
      </c>
      <c r="G29" s="201" t="s">
        <v>519</v>
      </c>
      <c r="S29" s="681" t="s">
        <v>2587</v>
      </c>
      <c r="T29" s="681">
        <v>2386235944</v>
      </c>
      <c r="X29" s="203" t="s">
        <v>85</v>
      </c>
    </row>
    <row r="30" spans="1:27" ht="11.25" customHeight="1">
      <c r="A30" s="2" t="s">
        <v>66</v>
      </c>
      <c r="B30" s="206" t="s">
        <v>445</v>
      </c>
      <c r="C30" s="2" t="s">
        <v>66</v>
      </c>
      <c r="E30" s="201" t="s">
        <v>2251</v>
      </c>
      <c r="G30" s="210" t="s">
        <v>164</v>
      </c>
      <c r="S30" s="681" t="s">
        <v>2588</v>
      </c>
      <c r="T30" s="681">
        <v>2394508974</v>
      </c>
      <c r="X30" s="203" t="s">
        <v>86</v>
      </c>
    </row>
    <row r="31" spans="1:27" ht="11.25" customHeight="1">
      <c r="A31" s="2" t="s">
        <v>67</v>
      </c>
      <c r="B31" s="206" t="s">
        <v>446</v>
      </c>
      <c r="C31" s="2" t="s">
        <v>67</v>
      </c>
      <c r="E31" s="201" t="s">
        <v>2256</v>
      </c>
      <c r="G31" s="13"/>
      <c r="S31" s="681" t="s">
        <v>2589</v>
      </c>
      <c r="T31" s="681">
        <v>2386235940</v>
      </c>
      <c r="X31" s="203" t="s">
        <v>87</v>
      </c>
    </row>
    <row r="32" spans="1:27" ht="11.25" customHeight="1">
      <c r="A32" s="2" t="s">
        <v>68</v>
      </c>
      <c r="B32" s="206" t="s">
        <v>447</v>
      </c>
      <c r="C32" s="2" t="s">
        <v>68</v>
      </c>
      <c r="E32" s="203" t="s">
        <v>2252</v>
      </c>
      <c r="G32" s="201" t="s">
        <v>516</v>
      </c>
      <c r="S32" s="681" t="s">
        <v>2590</v>
      </c>
      <c r="T32" s="681">
        <v>2393592718</v>
      </c>
      <c r="X32" s="203" t="s">
        <v>88</v>
      </c>
    </row>
    <row r="33" spans="1:24" ht="11.25" customHeight="1">
      <c r="A33" s="2" t="s">
        <v>69</v>
      </c>
      <c r="B33" s="206" t="s">
        <v>448</v>
      </c>
      <c r="C33" s="2" t="s">
        <v>69</v>
      </c>
      <c r="E33" s="203" t="s">
        <v>2255</v>
      </c>
      <c r="G33" s="203" t="s">
        <v>517</v>
      </c>
      <c r="S33" s="681" t="s">
        <v>2591</v>
      </c>
      <c r="T33" s="681">
        <v>2385683016</v>
      </c>
      <c r="X33" s="203" t="s">
        <v>89</v>
      </c>
    </row>
    <row r="34" spans="1:24" ht="11.25" customHeight="1">
      <c r="A34" s="2" t="s">
        <v>70</v>
      </c>
      <c r="B34" s="206" t="s">
        <v>449</v>
      </c>
      <c r="C34" s="2" t="s">
        <v>70</v>
      </c>
      <c r="E34" s="203" t="s">
        <v>2253</v>
      </c>
      <c r="G34" s="205" t="s">
        <v>517</v>
      </c>
      <c r="S34" s="681" t="s">
        <v>2592</v>
      </c>
      <c r="T34" s="681">
        <v>2385683019</v>
      </c>
      <c r="X34" s="203" t="s">
        <v>9</v>
      </c>
    </row>
    <row r="35" spans="1:24" ht="11.25" customHeight="1">
      <c r="A35" s="2" t="s">
        <v>71</v>
      </c>
      <c r="B35" s="206" t="s">
        <v>450</v>
      </c>
      <c r="C35" s="2" t="s">
        <v>71</v>
      </c>
      <c r="E35" s="203" t="s">
        <v>2254</v>
      </c>
      <c r="G35" s="205" t="s">
        <v>2189</v>
      </c>
      <c r="S35" s="681" t="s">
        <v>2593</v>
      </c>
      <c r="T35" s="681">
        <v>2385683021</v>
      </c>
      <c r="X35" s="203" t="s">
        <v>2211</v>
      </c>
    </row>
    <row r="36" spans="1:24" ht="11.25" customHeight="1">
      <c r="A36" s="2" t="s">
        <v>72</v>
      </c>
      <c r="B36" s="199" t="s">
        <v>451</v>
      </c>
      <c r="C36" s="2" t="s">
        <v>72</v>
      </c>
      <c r="G36" s="205" t="s">
        <v>518</v>
      </c>
      <c r="S36" s="681" t="s">
        <v>2594</v>
      </c>
      <c r="T36" s="681">
        <v>2385683015</v>
      </c>
    </row>
    <row r="37" spans="1:24" ht="11.25" customHeight="1">
      <c r="A37" s="2" t="s">
        <v>73</v>
      </c>
      <c r="B37" s="206" t="s">
        <v>452</v>
      </c>
      <c r="C37" s="2" t="s">
        <v>73</v>
      </c>
      <c r="S37" s="681" t="s">
        <v>2595</v>
      </c>
      <c r="T37" s="681">
        <v>2394012221</v>
      </c>
      <c r="X37" s="13"/>
    </row>
    <row r="38" spans="1:24" ht="11.25" customHeight="1">
      <c r="A38" s="2" t="s">
        <v>74</v>
      </c>
      <c r="B38" s="206" t="s">
        <v>453</v>
      </c>
      <c r="C38" s="2" t="s">
        <v>74</v>
      </c>
      <c r="G38" s="201" t="s">
        <v>2204</v>
      </c>
      <c r="S38" s="681" t="s">
        <v>2596</v>
      </c>
      <c r="T38" s="681">
        <v>2385683013</v>
      </c>
      <c r="X38" s="201" t="s">
        <v>53</v>
      </c>
    </row>
    <row r="39" spans="1:24" ht="11.25" customHeight="1">
      <c r="A39" s="2" t="s">
        <v>75</v>
      </c>
      <c r="B39" s="206" t="s">
        <v>454</v>
      </c>
      <c r="C39" s="2" t="s">
        <v>75</v>
      </c>
      <c r="G39" s="203" t="s">
        <v>2205</v>
      </c>
      <c r="S39" s="681" t="s">
        <v>2597</v>
      </c>
      <c r="T39" s="681">
        <v>2394508973</v>
      </c>
      <c r="X39" s="211" t="s">
        <v>627</v>
      </c>
    </row>
    <row r="40" spans="1:24" ht="11.25" customHeight="1">
      <c r="A40" s="2" t="s">
        <v>76</v>
      </c>
      <c r="B40" s="206" t="s">
        <v>455</v>
      </c>
      <c r="C40" s="2" t="s">
        <v>76</v>
      </c>
      <c r="G40" s="205" t="s">
        <v>2205</v>
      </c>
      <c r="S40" s="681" t="s">
        <v>2598</v>
      </c>
      <c r="T40" s="681">
        <v>2385683009</v>
      </c>
      <c r="X40" s="211" t="s">
        <v>2302</v>
      </c>
    </row>
    <row r="41" spans="1:24" ht="11.25" customHeight="1">
      <c r="A41" s="2" t="s">
        <v>77</v>
      </c>
      <c r="B41" s="206" t="s">
        <v>456</v>
      </c>
      <c r="C41" s="2" t="s">
        <v>77</v>
      </c>
      <c r="G41" s="205" t="s">
        <v>2206</v>
      </c>
      <c r="S41" s="681" t="s">
        <v>2599</v>
      </c>
      <c r="T41" s="681">
        <v>2390535009</v>
      </c>
    </row>
    <row r="42" spans="1:24" ht="11.25" customHeight="1">
      <c r="A42" s="2" t="s">
        <v>78</v>
      </c>
      <c r="B42" s="199" t="s">
        <v>457</v>
      </c>
      <c r="C42" s="2" t="s">
        <v>78</v>
      </c>
      <c r="G42" s="205" t="s">
        <v>2206</v>
      </c>
      <c r="S42" s="681" t="s">
        <v>2600</v>
      </c>
      <c r="T42" s="681">
        <v>3240996576</v>
      </c>
    </row>
    <row r="43" spans="1:24" ht="11.25" customHeight="1">
      <c r="A43" s="2" t="s">
        <v>79</v>
      </c>
      <c r="B43" s="206" t="s">
        <v>458</v>
      </c>
      <c r="C43" s="2" t="s">
        <v>79</v>
      </c>
      <c r="J43"/>
      <c r="S43" s="681" t="s">
        <v>290</v>
      </c>
      <c r="T43" s="681">
        <v>5277702</v>
      </c>
      <c r="X43" s="448" t="s">
        <v>1200</v>
      </c>
    </row>
    <row r="44" spans="1:24" ht="11.25" customHeight="1">
      <c r="A44" s="2" t="s">
        <v>80</v>
      </c>
      <c r="B44" s="206" t="s">
        <v>459</v>
      </c>
      <c r="C44" s="2" t="s">
        <v>80</v>
      </c>
      <c r="G44" s="201" t="s">
        <v>2207</v>
      </c>
      <c r="S44" s="681" t="s">
        <v>2601</v>
      </c>
      <c r="T44" s="681">
        <v>2386235943</v>
      </c>
      <c r="X44" s="449" t="s">
        <v>1201</v>
      </c>
    </row>
    <row r="45" spans="1:24" ht="11.25" customHeight="1">
      <c r="A45" s="2" t="s">
        <v>81</v>
      </c>
      <c r="B45" s="199" t="s">
        <v>460</v>
      </c>
      <c r="C45" s="2" t="s">
        <v>81</v>
      </c>
      <c r="G45" s="203" t="s">
        <v>2208</v>
      </c>
      <c r="S45" s="681" t="s">
        <v>2602</v>
      </c>
      <c r="T45" s="681">
        <v>2430590773</v>
      </c>
      <c r="X45" s="449" t="s">
        <v>818</v>
      </c>
    </row>
    <row r="46" spans="1:24" ht="11.25" customHeight="1">
      <c r="A46" s="2" t="s">
        <v>82</v>
      </c>
      <c r="B46" s="206" t="s">
        <v>461</v>
      </c>
      <c r="C46" s="2" t="s">
        <v>82</v>
      </c>
      <c r="G46" s="205" t="s">
        <v>2208</v>
      </c>
      <c r="S46" s="681" t="s">
        <v>780</v>
      </c>
      <c r="T46" s="681">
        <v>2386228668</v>
      </c>
      <c r="X46" s="450"/>
    </row>
    <row r="47" spans="1:24" ht="11.25" customHeight="1">
      <c r="A47" s="2" t="s">
        <v>83</v>
      </c>
      <c r="B47" s="199" t="s">
        <v>462</v>
      </c>
      <c r="C47" s="2" t="s">
        <v>83</v>
      </c>
      <c r="G47" s="205" t="s">
        <v>2209</v>
      </c>
    </row>
    <row r="48" spans="1:24" ht="11.25" customHeight="1">
      <c r="A48" s="2" t="s">
        <v>202</v>
      </c>
      <c r="B48" s="199" t="s">
        <v>463</v>
      </c>
      <c r="C48" s="2" t="s">
        <v>202</v>
      </c>
      <c r="G48" s="205" t="s">
        <v>2209</v>
      </c>
      <c r="O48" s="13"/>
      <c r="X48" s="448" t="s">
        <v>1202</v>
      </c>
    </row>
    <row r="49" spans="1:24" ht="11.25" customHeight="1">
      <c r="A49" s="2" t="s">
        <v>203</v>
      </c>
      <c r="B49" s="199" t="s">
        <v>464</v>
      </c>
      <c r="C49" s="2" t="s">
        <v>203</v>
      </c>
      <c r="O49" s="13"/>
      <c r="X49" s="449" t="s">
        <v>1203</v>
      </c>
    </row>
    <row r="50" spans="1:24" ht="11.25" customHeight="1">
      <c r="A50" s="2" t="s">
        <v>204</v>
      </c>
      <c r="B50" s="199" t="s">
        <v>465</v>
      </c>
      <c r="C50" s="2" t="s">
        <v>204</v>
      </c>
      <c r="O50" s="13"/>
      <c r="X50" s="449" t="s">
        <v>1204</v>
      </c>
    </row>
    <row r="51" spans="1:24" ht="11.25" customHeight="1">
      <c r="A51" s="2" t="s">
        <v>205</v>
      </c>
      <c r="B51" s="199" t="s">
        <v>466</v>
      </c>
      <c r="C51" s="2" t="s">
        <v>205</v>
      </c>
      <c r="O51" s="13"/>
    </row>
    <row r="52" spans="1:24" ht="11.25" customHeight="1">
      <c r="A52" s="2" t="s">
        <v>206</v>
      </c>
      <c r="B52" s="199" t="s">
        <v>467</v>
      </c>
      <c r="C52" s="2" t="s">
        <v>206</v>
      </c>
    </row>
    <row r="53" spans="1:24" ht="11.25" customHeight="1">
      <c r="A53" s="2" t="s">
        <v>207</v>
      </c>
      <c r="B53" s="199" t="s">
        <v>468</v>
      </c>
      <c r="C53" s="2" t="s">
        <v>207</v>
      </c>
      <c r="X53" s="201" t="s">
        <v>1127</v>
      </c>
    </row>
    <row r="54" spans="1:24" ht="11.25" customHeight="1">
      <c r="A54" s="2" t="s">
        <v>208</v>
      </c>
      <c r="B54" s="199" t="s">
        <v>469</v>
      </c>
      <c r="C54" s="2" t="s">
        <v>208</v>
      </c>
      <c r="X54" s="449" t="s">
        <v>1203</v>
      </c>
    </row>
    <row r="55" spans="1:24" ht="11.25" customHeight="1">
      <c r="A55" s="2" t="s">
        <v>209</v>
      </c>
      <c r="B55" s="199" t="s">
        <v>470</v>
      </c>
      <c r="C55" s="2" t="s">
        <v>209</v>
      </c>
      <c r="X55" s="449" t="s">
        <v>1204</v>
      </c>
    </row>
    <row r="56" spans="1:24" ht="11.25" customHeight="1">
      <c r="A56" s="229" t="s">
        <v>255</v>
      </c>
      <c r="B56" s="230" t="s">
        <v>259</v>
      </c>
      <c r="C56" s="231" t="s">
        <v>257</v>
      </c>
    </row>
    <row r="57" spans="1:24" ht="11.25" customHeight="1">
      <c r="A57" s="2" t="s">
        <v>210</v>
      </c>
      <c r="B57" s="199" t="s">
        <v>471</v>
      </c>
      <c r="C57" s="2" t="s">
        <v>210</v>
      </c>
    </row>
    <row r="58" spans="1:24" ht="11.25" customHeight="1">
      <c r="A58" s="2" t="s">
        <v>211</v>
      </c>
      <c r="B58" s="199" t="s">
        <v>472</v>
      </c>
      <c r="C58" s="2" t="s">
        <v>211</v>
      </c>
      <c r="X58" s="201" t="s">
        <v>2210</v>
      </c>
    </row>
    <row r="59" spans="1:24" ht="11.25" customHeight="1">
      <c r="A59" s="2" t="s">
        <v>212</v>
      </c>
      <c r="B59" s="199" t="s">
        <v>473</v>
      </c>
      <c r="C59" s="2" t="s">
        <v>212</v>
      </c>
      <c r="K59" s="201" t="s">
        <v>823</v>
      </c>
      <c r="M59" s="201" t="s">
        <v>2190</v>
      </c>
      <c r="O59" s="201" t="s">
        <v>824</v>
      </c>
      <c r="X59" s="449" t="s">
        <v>1203</v>
      </c>
    </row>
    <row r="60" spans="1:24" ht="11.25" customHeight="1">
      <c r="A60" s="2" t="s">
        <v>213</v>
      </c>
      <c r="B60" s="199" t="s">
        <v>474</v>
      </c>
      <c r="C60" s="209" t="s">
        <v>475</v>
      </c>
      <c r="K60" s="203" t="s">
        <v>0</v>
      </c>
      <c r="M60" s="203" t="s">
        <v>0</v>
      </c>
      <c r="O60" s="203" t="s">
        <v>0</v>
      </c>
      <c r="X60" s="449" t="s">
        <v>1204</v>
      </c>
    </row>
    <row r="61" spans="1:24" ht="11.25" customHeight="1">
      <c r="A61" s="2" t="s">
        <v>214</v>
      </c>
      <c r="B61" s="206" t="s">
        <v>476</v>
      </c>
      <c r="C61" s="2" t="s">
        <v>214</v>
      </c>
      <c r="K61" s="203" t="s">
        <v>805</v>
      </c>
      <c r="M61" s="203" t="s">
        <v>805</v>
      </c>
      <c r="O61" s="203" t="s">
        <v>805</v>
      </c>
    </row>
    <row r="62" spans="1:24" ht="11.25" customHeight="1">
      <c r="A62" s="2" t="s">
        <v>215</v>
      </c>
      <c r="B62" s="199" t="s">
        <v>477</v>
      </c>
      <c r="C62" s="209" t="s">
        <v>478</v>
      </c>
      <c r="K62" s="203" t="s">
        <v>820</v>
      </c>
      <c r="M62" s="203" t="s">
        <v>820</v>
      </c>
      <c r="O62" s="203" t="s">
        <v>820</v>
      </c>
    </row>
    <row r="63" spans="1:24" ht="11.25" customHeight="1">
      <c r="A63" s="2" t="s">
        <v>216</v>
      </c>
      <c r="B63" s="199" t="s">
        <v>479</v>
      </c>
      <c r="C63" s="2" t="s">
        <v>216</v>
      </c>
      <c r="K63" s="203" t="s">
        <v>822</v>
      </c>
      <c r="M63" s="203" t="s">
        <v>821</v>
      </c>
      <c r="O63" s="203" t="s">
        <v>821</v>
      </c>
      <c r="X63" s="448" t="s">
        <v>2379</v>
      </c>
    </row>
    <row r="64" spans="1:24" ht="11.25" customHeight="1">
      <c r="A64" s="2" t="s">
        <v>217</v>
      </c>
      <c r="B64" s="199" t="s">
        <v>480</v>
      </c>
      <c r="C64" s="2" t="s">
        <v>217</v>
      </c>
      <c r="K64" s="203" t="s">
        <v>825</v>
      </c>
      <c r="M64" s="203" t="s">
        <v>822</v>
      </c>
      <c r="O64" s="203" t="s">
        <v>822</v>
      </c>
      <c r="X64" s="449" t="s">
        <v>1203</v>
      </c>
    </row>
    <row r="65" spans="1:24" ht="11.25" customHeight="1">
      <c r="A65" s="2" t="s">
        <v>218</v>
      </c>
      <c r="B65" s="199" t="s">
        <v>481</v>
      </c>
      <c r="C65" s="2" t="s">
        <v>218</v>
      </c>
      <c r="K65" s="203" t="s">
        <v>90</v>
      </c>
      <c r="M65" s="203" t="s">
        <v>90</v>
      </c>
      <c r="O65" s="203" t="s">
        <v>90</v>
      </c>
      <c r="X65" s="449" t="s">
        <v>2380</v>
      </c>
    </row>
    <row r="66" spans="1:24" ht="11.25" customHeight="1">
      <c r="A66" s="2" t="s">
        <v>219</v>
      </c>
      <c r="B66" s="199" t="s">
        <v>482</v>
      </c>
      <c r="C66" s="2" t="s">
        <v>219</v>
      </c>
      <c r="K66" s="203" t="s">
        <v>91</v>
      </c>
      <c r="M66" s="203" t="s">
        <v>91</v>
      </c>
      <c r="O66" s="203" t="s">
        <v>91</v>
      </c>
      <c r="X66" s="449" t="s">
        <v>2381</v>
      </c>
    </row>
    <row r="67" spans="1:24" ht="11.25" customHeight="1">
      <c r="A67" s="2" t="s">
        <v>220</v>
      </c>
      <c r="B67" s="199" t="s">
        <v>483</v>
      </c>
      <c r="C67" s="2" t="s">
        <v>220</v>
      </c>
      <c r="K67" s="203" t="s">
        <v>92</v>
      </c>
      <c r="M67" s="203" t="s">
        <v>92</v>
      </c>
      <c r="O67" s="203" t="s">
        <v>92</v>
      </c>
      <c r="X67" s="449" t="s">
        <v>2382</v>
      </c>
    </row>
    <row r="68" spans="1:24" ht="11.25" customHeight="1">
      <c r="A68" s="2" t="s">
        <v>221</v>
      </c>
      <c r="B68" s="199" t="s">
        <v>484</v>
      </c>
      <c r="C68" s="2" t="s">
        <v>221</v>
      </c>
      <c r="K68" s="203" t="s">
        <v>806</v>
      </c>
      <c r="M68" s="203" t="s">
        <v>806</v>
      </c>
      <c r="O68" s="203" t="s">
        <v>806</v>
      </c>
      <c r="X68" s="449" t="s">
        <v>2383</v>
      </c>
    </row>
    <row r="69" spans="1:24" ht="11.25" customHeight="1">
      <c r="A69" s="2" t="s">
        <v>222</v>
      </c>
      <c r="B69" s="199" t="s">
        <v>485</v>
      </c>
      <c r="C69" s="2" t="s">
        <v>222</v>
      </c>
      <c r="K69" s="203" t="s">
        <v>807</v>
      </c>
      <c r="M69" s="203" t="s">
        <v>807</v>
      </c>
      <c r="O69" s="203" t="s">
        <v>807</v>
      </c>
      <c r="X69" s="449" t="s">
        <v>2384</v>
      </c>
    </row>
    <row r="70" spans="1:24" ht="11.25" customHeight="1">
      <c r="A70" s="2" t="s">
        <v>223</v>
      </c>
      <c r="B70" s="199" t="s">
        <v>486</v>
      </c>
      <c r="C70" s="2" t="s">
        <v>223</v>
      </c>
      <c r="K70" s="203" t="s">
        <v>808</v>
      </c>
      <c r="M70" s="203" t="s">
        <v>808</v>
      </c>
      <c r="O70" s="203" t="s">
        <v>808</v>
      </c>
      <c r="X70" s="449" t="s">
        <v>2385</v>
      </c>
    </row>
    <row r="71" spans="1:24" ht="11.25" customHeight="1">
      <c r="A71" s="2" t="s">
        <v>224</v>
      </c>
      <c r="B71" s="199" t="s">
        <v>487</v>
      </c>
      <c r="C71" s="2" t="s">
        <v>224</v>
      </c>
      <c r="K71" s="203" t="s">
        <v>809</v>
      </c>
      <c r="M71" s="203" t="s">
        <v>809</v>
      </c>
      <c r="O71" s="203" t="s">
        <v>809</v>
      </c>
    </row>
    <row r="72" spans="1:24" ht="11.25" customHeight="1">
      <c r="A72" s="2" t="s">
        <v>225</v>
      </c>
      <c r="B72" s="199" t="s">
        <v>488</v>
      </c>
      <c r="C72" s="2" t="s">
        <v>225</v>
      </c>
      <c r="K72" s="203" t="s">
        <v>810</v>
      </c>
      <c r="M72" s="203" t="s">
        <v>810</v>
      </c>
      <c r="O72" s="203" t="s">
        <v>810</v>
      </c>
    </row>
    <row r="73" spans="1:24" ht="11.25" customHeight="1">
      <c r="A73" s="2" t="s">
        <v>226</v>
      </c>
      <c r="B73" s="199" t="s">
        <v>489</v>
      </c>
      <c r="C73" s="2" t="s">
        <v>226</v>
      </c>
      <c r="K73" s="203" t="s">
        <v>811</v>
      </c>
      <c r="M73" s="203" t="s">
        <v>811</v>
      </c>
      <c r="O73" s="203" t="s">
        <v>811</v>
      </c>
      <c r="X73" s="201" t="s">
        <v>2297</v>
      </c>
    </row>
    <row r="74" spans="1:24" ht="11.25" customHeight="1">
      <c r="A74" s="2" t="s">
        <v>227</v>
      </c>
      <c r="B74" s="199" t="s">
        <v>490</v>
      </c>
      <c r="C74" s="2" t="s">
        <v>227</v>
      </c>
      <c r="K74" s="203" t="s">
        <v>812</v>
      </c>
      <c r="M74" s="203" t="s">
        <v>812</v>
      </c>
      <c r="O74" s="203" t="s">
        <v>812</v>
      </c>
      <c r="X74" s="449" t="s">
        <v>2284</v>
      </c>
    </row>
    <row r="75" spans="1:24" ht="11.25" customHeight="1">
      <c r="A75" s="2" t="s">
        <v>228</v>
      </c>
      <c r="B75" s="199" t="s">
        <v>491</v>
      </c>
      <c r="C75" s="2" t="s">
        <v>228</v>
      </c>
      <c r="K75" s="203" t="s">
        <v>813</v>
      </c>
      <c r="M75" s="203" t="s">
        <v>813</v>
      </c>
      <c r="O75" s="203" t="s">
        <v>813</v>
      </c>
      <c r="X75" s="449" t="s">
        <v>2298</v>
      </c>
    </row>
    <row r="76" spans="1:24" ht="11.25" customHeight="1">
      <c r="A76" s="2" t="s">
        <v>229</v>
      </c>
      <c r="B76" s="199" t="s">
        <v>492</v>
      </c>
      <c r="C76" s="2" t="s">
        <v>229</v>
      </c>
      <c r="K76" s="203" t="s">
        <v>814</v>
      </c>
      <c r="M76" s="203" t="s">
        <v>814</v>
      </c>
      <c r="O76" s="203" t="s">
        <v>814</v>
      </c>
      <c r="X76" s="449" t="s">
        <v>2299</v>
      </c>
    </row>
    <row r="77" spans="1:24" ht="11.25" customHeight="1">
      <c r="A77" s="2" t="s">
        <v>230</v>
      </c>
      <c r="B77" s="199" t="s">
        <v>493</v>
      </c>
      <c r="C77" s="209" t="s">
        <v>494</v>
      </c>
      <c r="K77" s="203" t="s">
        <v>815</v>
      </c>
      <c r="M77" s="203" t="s">
        <v>815</v>
      </c>
      <c r="O77" s="203" t="s">
        <v>815</v>
      </c>
      <c r="X77" s="449" t="s">
        <v>2300</v>
      </c>
    </row>
    <row r="78" spans="1:24" ht="11.25" customHeight="1">
      <c r="A78" s="2" t="s">
        <v>231</v>
      </c>
      <c r="B78" s="199" t="s">
        <v>495</v>
      </c>
      <c r="C78" s="2" t="s">
        <v>231</v>
      </c>
      <c r="K78" s="203" t="s">
        <v>816</v>
      </c>
      <c r="M78" s="203" t="s">
        <v>816</v>
      </c>
      <c r="O78" s="203" t="s">
        <v>816</v>
      </c>
      <c r="X78" s="449" t="s">
        <v>2301</v>
      </c>
    </row>
    <row r="79" spans="1:24" ht="11.25" customHeight="1">
      <c r="A79" s="2" t="s">
        <v>232</v>
      </c>
      <c r="B79" s="199" t="s">
        <v>496</v>
      </c>
      <c r="C79" s="2" t="s">
        <v>232</v>
      </c>
      <c r="K79" s="203" t="s">
        <v>817</v>
      </c>
      <c r="M79" s="203" t="s">
        <v>817</v>
      </c>
      <c r="O79" s="203" t="s">
        <v>817</v>
      </c>
    </row>
    <row r="80" spans="1:24" ht="11.25" customHeight="1">
      <c r="A80" s="2" t="s">
        <v>233</v>
      </c>
      <c r="B80" s="199" t="s">
        <v>497</v>
      </c>
      <c r="C80" s="2" t="s">
        <v>233</v>
      </c>
      <c r="K80" s="203" t="s">
        <v>86</v>
      </c>
      <c r="M80" s="203" t="s">
        <v>86</v>
      </c>
      <c r="O80" s="203" t="s">
        <v>86</v>
      </c>
    </row>
    <row r="81" spans="1:24" ht="11.25" customHeight="1">
      <c r="A81" s="2" t="s">
        <v>234</v>
      </c>
      <c r="B81" s="199" t="s">
        <v>498</v>
      </c>
      <c r="C81" s="2" t="s">
        <v>234</v>
      </c>
      <c r="K81" s="203" t="s">
        <v>88</v>
      </c>
      <c r="M81" s="203" t="s">
        <v>88</v>
      </c>
      <c r="O81" s="203" t="s">
        <v>88</v>
      </c>
      <c r="X81" s="201" t="s">
        <v>2282</v>
      </c>
    </row>
    <row r="82" spans="1:24" ht="11.25" customHeight="1">
      <c r="A82" s="2" t="s">
        <v>235</v>
      </c>
      <c r="B82" s="199" t="s">
        <v>499</v>
      </c>
      <c r="C82" s="209" t="s">
        <v>500</v>
      </c>
      <c r="K82" s="203" t="s">
        <v>89</v>
      </c>
      <c r="M82" s="203" t="s">
        <v>89</v>
      </c>
      <c r="O82" s="203" t="s">
        <v>89</v>
      </c>
      <c r="X82" s="449" t="s">
        <v>2283</v>
      </c>
    </row>
    <row r="83" spans="1:24" ht="11.25" customHeight="1">
      <c r="A83" s="2" t="s">
        <v>236</v>
      </c>
      <c r="B83" s="199" t="s">
        <v>501</v>
      </c>
      <c r="C83" s="209" t="s">
        <v>502</v>
      </c>
      <c r="K83" s="203" t="s">
        <v>818</v>
      </c>
      <c r="M83" s="203" t="s">
        <v>818</v>
      </c>
      <c r="O83" s="203" t="s">
        <v>818</v>
      </c>
      <c r="X83" s="449" t="s">
        <v>2284</v>
      </c>
    </row>
    <row r="84" spans="1:24" ht="11.25" customHeight="1">
      <c r="A84" s="2" t="s">
        <v>237</v>
      </c>
      <c r="B84" s="199" t="s">
        <v>503</v>
      </c>
      <c r="C84" s="2" t="s">
        <v>237</v>
      </c>
      <c r="K84" s="203" t="s">
        <v>819</v>
      </c>
      <c r="M84" s="203" t="s">
        <v>819</v>
      </c>
      <c r="O84" s="203" t="s">
        <v>819</v>
      </c>
    </row>
    <row r="85" spans="1:24" ht="11.25" customHeight="1">
      <c r="A85" s="2" t="s">
        <v>539</v>
      </c>
      <c r="B85" s="206" t="s">
        <v>504</v>
      </c>
      <c r="C85" s="2" t="s">
        <v>539</v>
      </c>
      <c r="K85" s="203" t="s">
        <v>1060</v>
      </c>
      <c r="M85" s="203" t="s">
        <v>1060</v>
      </c>
      <c r="O85" s="203" t="s">
        <v>1060</v>
      </c>
    </row>
    <row r="86" spans="1:24" ht="11.25" customHeight="1">
      <c r="A86" s="2" t="s">
        <v>540</v>
      </c>
      <c r="B86" s="199" t="s">
        <v>505</v>
      </c>
      <c r="C86" s="2" t="s">
        <v>540</v>
      </c>
      <c r="K86" s="203" t="s">
        <v>1061</v>
      </c>
      <c r="M86" s="203" t="s">
        <v>1061</v>
      </c>
      <c r="O86" s="203" t="s">
        <v>1061</v>
      </c>
    </row>
    <row r="87" spans="1:24" ht="11.25" customHeight="1">
      <c r="A87" s="114"/>
      <c r="B87" s="212"/>
      <c r="C87" s="213"/>
      <c r="K87" s="203" t="s">
        <v>1062</v>
      </c>
      <c r="M87" s="203" t="s">
        <v>1066</v>
      </c>
      <c r="O87" s="203" t="s">
        <v>1066</v>
      </c>
    </row>
    <row r="88" spans="1:24" ht="11.25" customHeight="1">
      <c r="K88" s="203" t="s">
        <v>1063</v>
      </c>
      <c r="M88" s="203" t="s">
        <v>1067</v>
      </c>
      <c r="O88" s="203" t="s">
        <v>1067</v>
      </c>
    </row>
    <row r="89" spans="1:24" ht="11.25" customHeight="1">
      <c r="K89" s="203" t="s">
        <v>1064</v>
      </c>
      <c r="M89" s="203" t="s">
        <v>1062</v>
      </c>
      <c r="O89" s="203" t="s">
        <v>1062</v>
      </c>
    </row>
    <row r="90" spans="1:24" ht="11.25" customHeight="1">
      <c r="K90" s="203" t="s">
        <v>1065</v>
      </c>
      <c r="M90" s="203" t="s">
        <v>1063</v>
      </c>
      <c r="O90" s="203" t="s">
        <v>1063</v>
      </c>
    </row>
    <row r="91" spans="1:24" ht="11.25" customHeight="1">
      <c r="K91" s="661" t="s">
        <v>2539</v>
      </c>
    </row>
    <row r="93" spans="1:24" ht="11.25" customHeight="1">
      <c r="K93" s="201" t="s">
        <v>407</v>
      </c>
      <c r="M93" s="201" t="s">
        <v>2191</v>
      </c>
      <c r="O93" s="201" t="s">
        <v>688</v>
      </c>
    </row>
    <row r="94" spans="1:24" ht="11.25" customHeight="1">
      <c r="K94" s="203" t="s">
        <v>0</v>
      </c>
      <c r="M94" s="203" t="s">
        <v>0</v>
      </c>
      <c r="O94" s="203" t="s">
        <v>0</v>
      </c>
    </row>
    <row r="95" spans="1:24" ht="11.25" customHeight="1">
      <c r="K95" s="203" t="s">
        <v>2155</v>
      </c>
      <c r="M95" s="203" t="s">
        <v>2155</v>
      </c>
      <c r="O95" s="203" t="s">
        <v>2155</v>
      </c>
    </row>
    <row r="96" spans="1:24" ht="11.25" customHeight="1">
      <c r="K96" s="203" t="s">
        <v>292</v>
      </c>
      <c r="M96" s="203" t="s">
        <v>292</v>
      </c>
      <c r="O96" s="203" t="s">
        <v>292</v>
      </c>
    </row>
    <row r="97" spans="11:15" ht="11.25" customHeight="1">
      <c r="K97" s="203" t="s">
        <v>623</v>
      </c>
      <c r="M97" s="203" t="s">
        <v>623</v>
      </c>
      <c r="O97" s="203" t="s">
        <v>623</v>
      </c>
    </row>
    <row r="98" spans="11:15" ht="11.25" customHeight="1">
      <c r="K98" s="203" t="s">
        <v>621</v>
      </c>
      <c r="M98" s="203" t="s">
        <v>621</v>
      </c>
      <c r="O98" s="203" t="s">
        <v>621</v>
      </c>
    </row>
    <row r="99" spans="11:15" ht="11.25" customHeight="1">
      <c r="K99" s="203" t="s">
        <v>622</v>
      </c>
      <c r="M99" s="203" t="s">
        <v>622</v>
      </c>
      <c r="O99" s="203" t="s">
        <v>622</v>
      </c>
    </row>
    <row r="100" spans="11:15" ht="11.25" customHeight="1">
      <c r="K100" s="203" t="s">
        <v>624</v>
      </c>
      <c r="M100" s="203" t="s">
        <v>624</v>
      </c>
      <c r="O100" s="203" t="s">
        <v>624</v>
      </c>
    </row>
    <row r="101" spans="11:15" ht="11.25" customHeight="1">
      <c r="K101" s="203" t="s">
        <v>625</v>
      </c>
      <c r="M101" s="203" t="s">
        <v>625</v>
      </c>
      <c r="O101" s="203" t="s">
        <v>625</v>
      </c>
    </row>
    <row r="102" spans="11:15" ht="11.25" customHeight="1">
      <c r="K102" s="203" t="s">
        <v>2229</v>
      </c>
      <c r="M102" s="203" t="s">
        <v>2229</v>
      </c>
      <c r="O102" s="203" t="s">
        <v>2229</v>
      </c>
    </row>
    <row r="103" spans="11:15" ht="11.25" customHeight="1">
      <c r="K103" s="203" t="s">
        <v>2230</v>
      </c>
      <c r="M103" s="203" t="s">
        <v>2230</v>
      </c>
      <c r="O103" s="203" t="s">
        <v>2230</v>
      </c>
    </row>
    <row r="104" spans="11:15" ht="11.25" customHeight="1">
      <c r="K104" s="203" t="s">
        <v>2231</v>
      </c>
      <c r="M104" s="203" t="s">
        <v>2231</v>
      </c>
      <c r="O104" s="203" t="s">
        <v>2231</v>
      </c>
    </row>
    <row r="105" spans="11:15" ht="11.25" customHeight="1">
      <c r="K105" s="203" t="s">
        <v>2232</v>
      </c>
      <c r="M105" s="203" t="s">
        <v>2232</v>
      </c>
      <c r="O105" s="203" t="s">
        <v>2232</v>
      </c>
    </row>
    <row r="106" spans="11:15" ht="11.25" customHeight="1">
      <c r="K106" s="203" t="s">
        <v>2099</v>
      </c>
      <c r="M106" s="203" t="s">
        <v>2099</v>
      </c>
      <c r="O106" s="203" t="s">
        <v>2099</v>
      </c>
    </row>
    <row r="107" spans="11:15" ht="11.25" customHeight="1">
      <c r="K107" s="203" t="s">
        <v>2233</v>
      </c>
      <c r="M107" s="203" t="s">
        <v>2233</v>
      </c>
      <c r="O107" s="203" t="s">
        <v>2233</v>
      </c>
    </row>
    <row r="108" spans="11:15" ht="11.25" customHeight="1">
      <c r="K108" s="203" t="s">
        <v>2234</v>
      </c>
      <c r="M108" s="203" t="s">
        <v>2234</v>
      </c>
      <c r="O108" s="203" t="s">
        <v>2234</v>
      </c>
    </row>
    <row r="109" spans="11:15" ht="11.25" customHeight="1">
      <c r="K109" s="203" t="s">
        <v>2289</v>
      </c>
      <c r="M109" s="203" t="s">
        <v>2289</v>
      </c>
      <c r="O109" s="203" t="s">
        <v>2289</v>
      </c>
    </row>
    <row r="110" spans="11:15" ht="11.25" customHeight="1">
      <c r="K110" s="203" t="s">
        <v>2290</v>
      </c>
      <c r="M110" s="203" t="s">
        <v>2290</v>
      </c>
      <c r="O110" s="203" t="s">
        <v>2290</v>
      </c>
    </row>
    <row r="111" spans="11:15" ht="11.25" customHeight="1">
      <c r="K111" s="203" t="s">
        <v>2216</v>
      </c>
      <c r="M111" s="203" t="s">
        <v>2216</v>
      </c>
      <c r="O111" s="203" t="s">
        <v>2216</v>
      </c>
    </row>
    <row r="112" spans="11:15" ht="11.25" customHeight="1">
      <c r="K112" s="203" t="s">
        <v>2291</v>
      </c>
      <c r="M112" s="203" t="s">
        <v>2291</v>
      </c>
      <c r="O112" s="203" t="s">
        <v>2291</v>
      </c>
    </row>
    <row r="113" spans="11:15" ht="11.25" customHeight="1">
      <c r="K113" s="203" t="s">
        <v>2292</v>
      </c>
      <c r="M113" s="203" t="s">
        <v>2292</v>
      </c>
      <c r="O113" s="203" t="s">
        <v>2292</v>
      </c>
    </row>
    <row r="114" spans="11:15" ht="11.25" customHeight="1">
      <c r="K114" s="203" t="s">
        <v>2228</v>
      </c>
      <c r="M114" s="203" t="s">
        <v>2228</v>
      </c>
      <c r="O114" s="203" t="s">
        <v>2228</v>
      </c>
    </row>
    <row r="115" spans="11:15" ht="11.25" customHeight="1">
      <c r="K115" s="203" t="s">
        <v>2227</v>
      </c>
      <c r="M115" s="203" t="s">
        <v>2227</v>
      </c>
      <c r="O115" s="203" t="s">
        <v>2227</v>
      </c>
    </row>
    <row r="116" spans="11:15" ht="11.25" customHeight="1">
      <c r="K116" s="203" t="s">
        <v>2235</v>
      </c>
      <c r="M116" s="203" t="s">
        <v>2235</v>
      </c>
      <c r="O116" s="203" t="s">
        <v>2235</v>
      </c>
    </row>
    <row r="117" spans="11:15" ht="11.25" customHeight="1">
      <c r="K117" s="203" t="s">
        <v>2236</v>
      </c>
      <c r="M117" s="203" t="s">
        <v>2236</v>
      </c>
      <c r="O117" s="203" t="s">
        <v>2236</v>
      </c>
    </row>
    <row r="118" spans="11:15" ht="11.25" customHeight="1">
      <c r="K118" s="203" t="s">
        <v>2293</v>
      </c>
      <c r="M118" s="203" t="s">
        <v>2293</v>
      </c>
      <c r="O118" s="203" t="s">
        <v>2293</v>
      </c>
    </row>
    <row r="120" spans="11:15" ht="11.25" customHeight="1">
      <c r="K120" s="201" t="s">
        <v>2218</v>
      </c>
      <c r="M120" s="201" t="s">
        <v>2219</v>
      </c>
      <c r="O120" s="201" t="s">
        <v>2220</v>
      </c>
    </row>
    <row r="121" spans="11:15" ht="11.25" customHeight="1">
      <c r="K121" s="203" t="s">
        <v>620</v>
      </c>
      <c r="M121" s="203" t="s">
        <v>620</v>
      </c>
      <c r="O121" s="203" t="s">
        <v>620</v>
      </c>
    </row>
    <row r="122" spans="11:15" ht="11.25" customHeight="1">
      <c r="K122" s="203" t="s">
        <v>623</v>
      </c>
      <c r="M122" s="203" t="s">
        <v>623</v>
      </c>
      <c r="O122" s="203" t="s">
        <v>623</v>
      </c>
    </row>
    <row r="123" spans="11:15" ht="11.25" customHeight="1">
      <c r="K123" s="203" t="s">
        <v>621</v>
      </c>
      <c r="M123" s="203" t="s">
        <v>621</v>
      </c>
      <c r="O123" s="203" t="s">
        <v>621</v>
      </c>
    </row>
    <row r="124" spans="11:15" ht="11.25" customHeight="1">
      <c r="K124" s="203" t="s">
        <v>622</v>
      </c>
      <c r="M124" s="203" t="s">
        <v>622</v>
      </c>
      <c r="O124" s="203" t="s">
        <v>622</v>
      </c>
    </row>
    <row r="125" spans="11:15" ht="11.25" customHeight="1">
      <c r="K125" s="203" t="s">
        <v>624</v>
      </c>
      <c r="M125" s="203" t="s">
        <v>624</v>
      </c>
      <c r="O125" s="203" t="s">
        <v>624</v>
      </c>
    </row>
    <row r="126" spans="11:15" ht="11.25" customHeight="1">
      <c r="K126" s="203" t="s">
        <v>625</v>
      </c>
      <c r="M126" s="203" t="s">
        <v>625</v>
      </c>
      <c r="O126" s="203" t="s">
        <v>625</v>
      </c>
    </row>
    <row r="127" spans="11:15" ht="11.25" customHeight="1">
      <c r="K127" s="203" t="s">
        <v>2143</v>
      </c>
      <c r="M127" s="203" t="s">
        <v>2143</v>
      </c>
      <c r="O127" s="203" t="s">
        <v>2143</v>
      </c>
    </row>
    <row r="128" spans="11:15" ht="11.25" customHeight="1">
      <c r="K128" s="203" t="s">
        <v>2144</v>
      </c>
      <c r="M128" s="203" t="s">
        <v>2144</v>
      </c>
      <c r="O128" s="203" t="s">
        <v>2144</v>
      </c>
    </row>
    <row r="129" spans="11:15" ht="11.25" customHeight="1">
      <c r="K129" s="203" t="s">
        <v>2145</v>
      </c>
      <c r="M129" s="203" t="s">
        <v>2145</v>
      </c>
      <c r="O129" s="203" t="s">
        <v>2145</v>
      </c>
    </row>
    <row r="130" spans="11:15" ht="11.25" customHeight="1">
      <c r="K130" s="227" t="s">
        <v>2146</v>
      </c>
      <c r="M130" s="227" t="s">
        <v>2146</v>
      </c>
      <c r="O130" s="227" t="s">
        <v>2146</v>
      </c>
    </row>
    <row r="131" spans="11:15" ht="11.25" customHeight="1">
      <c r="K131" s="203" t="s">
        <v>636</v>
      </c>
      <c r="M131" s="203" t="s">
        <v>636</v>
      </c>
      <c r="O131" s="203" t="s">
        <v>636</v>
      </c>
    </row>
    <row r="132" spans="11:15" ht="11.25" customHeight="1">
      <c r="K132" s="227" t="s">
        <v>2147</v>
      </c>
      <c r="M132" s="227" t="s">
        <v>2147</v>
      </c>
      <c r="O132" s="227" t="s">
        <v>2147</v>
      </c>
    </row>
    <row r="133" spans="11:15" ht="11.25" customHeight="1">
      <c r="K133" s="227" t="s">
        <v>2148</v>
      </c>
      <c r="M133" s="227" t="s">
        <v>2148</v>
      </c>
      <c r="O133" s="227" t="s">
        <v>2148</v>
      </c>
    </row>
    <row r="134" spans="11:15" ht="11.25" customHeight="1">
      <c r="K134" s="227" t="s">
        <v>2149</v>
      </c>
      <c r="M134" s="227" t="s">
        <v>2149</v>
      </c>
      <c r="O134" s="227" t="s">
        <v>2149</v>
      </c>
    </row>
    <row r="135" spans="11:15" ht="11.25" customHeight="1">
      <c r="K135" s="227" t="s">
        <v>2150</v>
      </c>
      <c r="M135" s="227" t="s">
        <v>2150</v>
      </c>
      <c r="O135" s="227" t="s">
        <v>2150</v>
      </c>
    </row>
    <row r="136" spans="11:15" ht="11.25" customHeight="1">
      <c r="K136" s="227" t="s">
        <v>2151</v>
      </c>
      <c r="M136" s="227" t="s">
        <v>2151</v>
      </c>
      <c r="O136" s="227" t="s">
        <v>2151</v>
      </c>
    </row>
    <row r="137" spans="11:15" ht="11.25" customHeight="1">
      <c r="K137" s="227" t="s">
        <v>2152</v>
      </c>
      <c r="M137" s="227" t="s">
        <v>2152</v>
      </c>
      <c r="O137" s="227" t="s">
        <v>2152</v>
      </c>
    </row>
    <row r="138" spans="11:15" ht="11.25" customHeight="1">
      <c r="K138" s="227" t="s">
        <v>2153</v>
      </c>
      <c r="M138" s="227" t="s">
        <v>2153</v>
      </c>
      <c r="O138" s="227" t="s">
        <v>2153</v>
      </c>
    </row>
    <row r="139" spans="11:15" ht="11.25" customHeight="1">
      <c r="K139" s="227" t="s">
        <v>2154</v>
      </c>
      <c r="M139" s="227" t="s">
        <v>2154</v>
      </c>
      <c r="O139" s="227" t="s">
        <v>2154</v>
      </c>
    </row>
    <row r="141" spans="11:15" ht="11.25" customHeight="1">
      <c r="K141" s="201" t="s">
        <v>2212</v>
      </c>
      <c r="M141" s="201" t="s">
        <v>2213</v>
      </c>
      <c r="O141" s="201" t="s">
        <v>2214</v>
      </c>
    </row>
    <row r="142" spans="11:15" ht="11.25" customHeight="1">
      <c r="K142" s="203" t="s">
        <v>2215</v>
      </c>
      <c r="M142" s="203" t="s">
        <v>2215</v>
      </c>
      <c r="O142" s="203" t="s">
        <v>2215</v>
      </c>
    </row>
    <row r="143" spans="11:15" ht="11.25" customHeight="1">
      <c r="K143" s="203" t="s">
        <v>2144</v>
      </c>
      <c r="M143" s="203" t="s">
        <v>2144</v>
      </c>
      <c r="O143" s="203" t="s">
        <v>2144</v>
      </c>
    </row>
    <row r="144" spans="11:15" ht="11.25" customHeight="1">
      <c r="K144" s="203" t="s">
        <v>2145</v>
      </c>
      <c r="M144" s="203" t="s">
        <v>2145</v>
      </c>
      <c r="O144" s="203" t="s">
        <v>2145</v>
      </c>
    </row>
    <row r="145" spans="11:15" ht="11.25" customHeight="1">
      <c r="K145" s="203" t="s">
        <v>2146</v>
      </c>
      <c r="M145" s="203" t="s">
        <v>2146</v>
      </c>
      <c r="O145" s="203" t="s">
        <v>2146</v>
      </c>
    </row>
    <row r="146" spans="11:15" ht="11.25" customHeight="1">
      <c r="K146" s="203" t="s">
        <v>2216</v>
      </c>
      <c r="M146" s="203" t="s">
        <v>2216</v>
      </c>
      <c r="O146" s="203" t="s">
        <v>2216</v>
      </c>
    </row>
    <row r="147" spans="11:15" ht="11.25" customHeight="1">
      <c r="K147" s="203" t="s">
        <v>2143</v>
      </c>
      <c r="M147" s="203" t="s">
        <v>2143</v>
      </c>
      <c r="O147" s="203" t="s">
        <v>2143</v>
      </c>
    </row>
    <row r="148" spans="11:15" ht="11.25" customHeight="1">
      <c r="K148" s="203" t="s">
        <v>2217</v>
      </c>
      <c r="M148" s="203" t="s">
        <v>2217</v>
      </c>
      <c r="O148" s="203" t="s">
        <v>2217</v>
      </c>
    </row>
    <row r="149" spans="11:15" ht="11.25" customHeight="1">
      <c r="K149" s="203" t="s">
        <v>2294</v>
      </c>
      <c r="M149" s="203" t="s">
        <v>2294</v>
      </c>
      <c r="O149" s="203" t="s">
        <v>2294</v>
      </c>
    </row>
    <row r="150" spans="11:15" ht="11.25" customHeight="1">
      <c r="K150" s="203" t="s">
        <v>0</v>
      </c>
      <c r="M150" s="203" t="s">
        <v>0</v>
      </c>
      <c r="O150" s="203" t="s">
        <v>0</v>
      </c>
    </row>
    <row r="152" spans="11:15" ht="11.25" customHeight="1">
      <c r="K152" s="201" t="s">
        <v>2386</v>
      </c>
      <c r="M152" s="201" t="s">
        <v>2464</v>
      </c>
      <c r="O152" s="201" t="s">
        <v>2463</v>
      </c>
    </row>
    <row r="153" spans="11:15" ht="11.25" customHeight="1">
      <c r="K153" s="203" t="s">
        <v>0</v>
      </c>
      <c r="M153" s="203" t="s">
        <v>0</v>
      </c>
      <c r="O153" s="203" t="s">
        <v>0</v>
      </c>
    </row>
    <row r="154" spans="11:15" ht="11.25" customHeight="1">
      <c r="K154" s="203" t="s">
        <v>2215</v>
      </c>
      <c r="M154" s="203" t="s">
        <v>2215</v>
      </c>
      <c r="O154" s="203" t="s">
        <v>2215</v>
      </c>
    </row>
    <row r="155" spans="11:15" ht="11.25" customHeight="1">
      <c r="K155" s="203" t="s">
        <v>623</v>
      </c>
      <c r="M155" s="203" t="s">
        <v>623</v>
      </c>
      <c r="O155" s="203" t="s">
        <v>623</v>
      </c>
    </row>
    <row r="156" spans="11:15" ht="11.25" customHeight="1">
      <c r="K156" s="203" t="s">
        <v>621</v>
      </c>
      <c r="M156" s="203" t="s">
        <v>621</v>
      </c>
      <c r="O156" s="203" t="s">
        <v>621</v>
      </c>
    </row>
    <row r="157" spans="11:15" ht="11.25" customHeight="1">
      <c r="K157" s="203" t="s">
        <v>622</v>
      </c>
      <c r="M157" s="203" t="s">
        <v>622</v>
      </c>
      <c r="O157" s="203" t="s">
        <v>622</v>
      </c>
    </row>
    <row r="158" spans="11:15" ht="11.25" customHeight="1">
      <c r="K158" s="203" t="s">
        <v>624</v>
      </c>
      <c r="M158" s="203" t="s">
        <v>624</v>
      </c>
      <c r="O158" s="203" t="s">
        <v>624</v>
      </c>
    </row>
    <row r="159" spans="11:15" ht="11.25" customHeight="1">
      <c r="K159" s="203" t="s">
        <v>625</v>
      </c>
      <c r="M159" s="203" t="s">
        <v>625</v>
      </c>
      <c r="O159" s="203" t="s">
        <v>625</v>
      </c>
    </row>
    <row r="160" spans="11:15" ht="11.25" customHeight="1">
      <c r="K160" s="203" t="s">
        <v>2233</v>
      </c>
      <c r="M160" s="203" t="s">
        <v>2233</v>
      </c>
      <c r="O160" s="203" t="s">
        <v>2233</v>
      </c>
    </row>
    <row r="161" spans="11:15" ht="11.25" customHeight="1">
      <c r="K161" s="203" t="s">
        <v>2144</v>
      </c>
      <c r="M161" s="203" t="s">
        <v>2144</v>
      </c>
      <c r="O161" s="203" t="s">
        <v>2144</v>
      </c>
    </row>
    <row r="162" spans="11:15" ht="11.25" customHeight="1">
      <c r="K162" s="203" t="s">
        <v>2145</v>
      </c>
      <c r="M162" s="203" t="s">
        <v>2145</v>
      </c>
      <c r="O162" s="203" t="s">
        <v>2145</v>
      </c>
    </row>
    <row r="163" spans="11:15" ht="11.25" customHeight="1">
      <c r="K163" s="203" t="s">
        <v>2146</v>
      </c>
      <c r="M163" s="203" t="s">
        <v>2146</v>
      </c>
      <c r="O163" s="203" t="s">
        <v>2146</v>
      </c>
    </row>
    <row r="164" spans="11:15" ht="11.25" customHeight="1">
      <c r="K164" s="203" t="s">
        <v>2216</v>
      </c>
      <c r="M164" s="203" t="s">
        <v>2216</v>
      </c>
      <c r="O164" s="203" t="s">
        <v>2216</v>
      </c>
    </row>
    <row r="165" spans="11:15" ht="11.25" customHeight="1">
      <c r="K165" s="203" t="s">
        <v>2143</v>
      </c>
      <c r="M165" s="203" t="s">
        <v>2143</v>
      </c>
      <c r="O165" s="203" t="s">
        <v>2143</v>
      </c>
    </row>
    <row r="166" spans="11:15" ht="11.25" customHeight="1">
      <c r="K166" s="203" t="s">
        <v>2217</v>
      </c>
      <c r="M166" s="203" t="s">
        <v>2217</v>
      </c>
      <c r="O166" s="203" t="s">
        <v>2217</v>
      </c>
    </row>
    <row r="167" spans="11:15" ht="11.25" customHeight="1">
      <c r="K167" s="203" t="s">
        <v>2380</v>
      </c>
      <c r="M167" s="203" t="s">
        <v>2380</v>
      </c>
      <c r="O167" s="203" t="s">
        <v>2380</v>
      </c>
    </row>
    <row r="168" spans="11:15" ht="11.25" customHeight="1">
      <c r="K168" s="203" t="s">
        <v>2381</v>
      </c>
      <c r="M168" s="203" t="s">
        <v>2381</v>
      </c>
      <c r="O168" s="203" t="s">
        <v>2381</v>
      </c>
    </row>
    <row r="169" spans="11:15" ht="11.25" customHeight="1">
      <c r="K169" s="203" t="s">
        <v>2382</v>
      </c>
      <c r="M169" s="203" t="s">
        <v>2382</v>
      </c>
      <c r="O169" s="203" t="s">
        <v>2382</v>
      </c>
    </row>
    <row r="170" spans="11:15" ht="11.25" customHeight="1">
      <c r="K170" s="203" t="s">
        <v>2383</v>
      </c>
      <c r="M170" s="203" t="s">
        <v>2383</v>
      </c>
      <c r="O170" s="203" t="s">
        <v>2383</v>
      </c>
    </row>
    <row r="171" spans="11:15" ht="11.25" customHeight="1">
      <c r="K171" s="203" t="s">
        <v>2384</v>
      </c>
      <c r="M171" s="203" t="s">
        <v>2384</v>
      </c>
      <c r="O171" s="203" t="s">
        <v>2384</v>
      </c>
    </row>
    <row r="172" spans="11:15" ht="11.25" customHeight="1">
      <c r="K172" s="203" t="s">
        <v>2385</v>
      </c>
      <c r="M172" s="203" t="s">
        <v>2385</v>
      </c>
      <c r="O172" s="203" t="s">
        <v>2385</v>
      </c>
    </row>
    <row r="173" spans="11:15" ht="11.25" customHeight="1">
      <c r="K173" s="203" t="s">
        <v>2387</v>
      </c>
      <c r="M173" s="203" t="s">
        <v>2387</v>
      </c>
      <c r="O173" s="203" t="s">
        <v>2387</v>
      </c>
    </row>
    <row r="174" spans="11:15" ht="11.25" customHeight="1">
      <c r="K174" s="203" t="s">
        <v>2388</v>
      </c>
      <c r="M174" s="203" t="s">
        <v>2388</v>
      </c>
      <c r="O174" s="203" t="s">
        <v>2388</v>
      </c>
    </row>
    <row r="175" spans="11:15" ht="11.25" customHeight="1">
      <c r="K175" s="203" t="s">
        <v>2389</v>
      </c>
      <c r="M175" s="203" t="s">
        <v>2389</v>
      </c>
      <c r="O175" s="203" t="s">
        <v>2389</v>
      </c>
    </row>
    <row r="176" spans="11:15" ht="11.25" customHeight="1">
      <c r="K176" s="203" t="s">
        <v>2390</v>
      </c>
      <c r="M176" s="203" t="s">
        <v>2390</v>
      </c>
      <c r="O176" s="203" t="s">
        <v>2390</v>
      </c>
    </row>
    <row r="177" spans="11:15" ht="11.25" customHeight="1">
      <c r="K177" s="203" t="s">
        <v>2391</v>
      </c>
      <c r="M177" s="203" t="s">
        <v>2391</v>
      </c>
      <c r="O177" s="203" t="s">
        <v>2391</v>
      </c>
    </row>
    <row r="178" spans="11:15" ht="11.25" customHeight="1">
      <c r="K178" s="203" t="s">
        <v>2392</v>
      </c>
      <c r="M178" s="203" t="s">
        <v>2392</v>
      </c>
      <c r="O178" s="203" t="s">
        <v>2392</v>
      </c>
    </row>
    <row r="179" spans="11:15" ht="11.25" customHeight="1">
      <c r="K179" s="203" t="s">
        <v>2393</v>
      </c>
      <c r="M179" s="203" t="s">
        <v>2393</v>
      </c>
      <c r="O179" s="203" t="s">
        <v>2393</v>
      </c>
    </row>
    <row r="180" spans="11:15" ht="11.25" customHeight="1">
      <c r="K180" s="203" t="s">
        <v>2394</v>
      </c>
      <c r="M180" s="203" t="s">
        <v>2394</v>
      </c>
      <c r="O180" s="203" t="s">
        <v>2394</v>
      </c>
    </row>
    <row r="181" spans="11:15" ht="11.25" customHeight="1">
      <c r="K181" s="203" t="s">
        <v>2395</v>
      </c>
      <c r="M181" s="203" t="s">
        <v>2395</v>
      </c>
      <c r="O181" s="203" t="s">
        <v>2395</v>
      </c>
    </row>
    <row r="182" spans="11:15" ht="11.25" customHeight="1">
      <c r="K182" s="203" t="s">
        <v>2396</v>
      </c>
      <c r="M182" s="203" t="s">
        <v>2396</v>
      </c>
      <c r="O182" s="203" t="s">
        <v>2396</v>
      </c>
    </row>
    <row r="183" spans="11:15" ht="11.25" customHeight="1">
      <c r="K183" s="203" t="s">
        <v>2397</v>
      </c>
      <c r="M183" s="203" t="s">
        <v>2397</v>
      </c>
      <c r="O183" s="203" t="s">
        <v>2397</v>
      </c>
    </row>
    <row r="184" spans="11:15" ht="11.25" customHeight="1">
      <c r="K184" s="203" t="s">
        <v>2398</v>
      </c>
      <c r="M184" s="203" t="s">
        <v>2398</v>
      </c>
      <c r="O184" s="203" t="s">
        <v>2398</v>
      </c>
    </row>
    <row r="185" spans="11:15" ht="11.25" customHeight="1">
      <c r="K185" s="203" t="s">
        <v>2399</v>
      </c>
      <c r="M185" s="203" t="s">
        <v>2399</v>
      </c>
      <c r="O185" s="203" t="s">
        <v>2399</v>
      </c>
    </row>
    <row r="186" spans="11:15" ht="11.25" customHeight="1">
      <c r="K186" s="203" t="s">
        <v>2400</v>
      </c>
      <c r="M186" s="203" t="s">
        <v>2400</v>
      </c>
      <c r="O186" s="203" t="s">
        <v>2400</v>
      </c>
    </row>
    <row r="187" spans="11:15" ht="11.25" customHeight="1">
      <c r="K187" s="203" t="s">
        <v>2401</v>
      </c>
      <c r="M187" s="203" t="s">
        <v>2401</v>
      </c>
      <c r="O187" s="203" t="s">
        <v>2401</v>
      </c>
    </row>
    <row r="188" spans="11:15" ht="11.25" customHeight="1">
      <c r="K188" s="203" t="s">
        <v>2402</v>
      </c>
      <c r="M188" s="203" t="s">
        <v>2402</v>
      </c>
      <c r="O188" s="203" t="s">
        <v>2402</v>
      </c>
    </row>
    <row r="189" spans="11:15" ht="11.25" customHeight="1">
      <c r="K189" s="203" t="s">
        <v>2403</v>
      </c>
      <c r="M189" s="203" t="s">
        <v>2403</v>
      </c>
      <c r="O189" s="203" t="s">
        <v>2403</v>
      </c>
    </row>
    <row r="190" spans="11:15" ht="11.25" customHeight="1">
      <c r="K190" s="203" t="s">
        <v>2404</v>
      </c>
      <c r="M190" s="203" t="s">
        <v>2404</v>
      </c>
      <c r="O190" s="203" t="s">
        <v>2404</v>
      </c>
    </row>
    <row r="191" spans="11:15" ht="11.25" customHeight="1">
      <c r="K191" s="203" t="s">
        <v>2405</v>
      </c>
      <c r="M191" s="203" t="s">
        <v>2405</v>
      </c>
      <c r="O191" s="203" t="s">
        <v>2405</v>
      </c>
    </row>
    <row r="192" spans="11:15" ht="11.25" customHeight="1">
      <c r="K192" s="203" t="s">
        <v>2406</v>
      </c>
      <c r="M192" s="203" t="s">
        <v>2406</v>
      </c>
      <c r="O192" s="203" t="s">
        <v>2406</v>
      </c>
    </row>
    <row r="193" spans="11:15" ht="11.25" customHeight="1">
      <c r="K193" s="203" t="s">
        <v>2407</v>
      </c>
      <c r="M193" s="203" t="s">
        <v>2407</v>
      </c>
      <c r="O193" s="203" t="s">
        <v>2407</v>
      </c>
    </row>
    <row r="194" spans="11:15" ht="11.25" customHeight="1">
      <c r="K194" s="203" t="s">
        <v>2408</v>
      </c>
      <c r="M194" s="203" t="s">
        <v>2408</v>
      </c>
      <c r="O194" s="203" t="s">
        <v>2408</v>
      </c>
    </row>
    <row r="195" spans="11:15" ht="11.25" customHeight="1">
      <c r="K195" s="203" t="s">
        <v>2409</v>
      </c>
      <c r="M195" s="203" t="s">
        <v>2409</v>
      </c>
      <c r="O195" s="203" t="s">
        <v>2409</v>
      </c>
    </row>
    <row r="196" spans="11:15" ht="11.25" customHeight="1">
      <c r="K196" s="203" t="s">
        <v>2410</v>
      </c>
      <c r="M196" s="203" t="s">
        <v>2410</v>
      </c>
      <c r="O196" s="203" t="s">
        <v>2410</v>
      </c>
    </row>
    <row r="197" spans="11:15" ht="11.25" customHeight="1">
      <c r="K197" s="203" t="s">
        <v>2411</v>
      </c>
      <c r="M197" s="203" t="s">
        <v>2411</v>
      </c>
      <c r="O197" s="203" t="s">
        <v>2411</v>
      </c>
    </row>
    <row r="198" spans="11:15" ht="11.25" customHeight="1">
      <c r="K198" s="203" t="s">
        <v>2412</v>
      </c>
      <c r="M198" s="203" t="s">
        <v>2412</v>
      </c>
      <c r="O198" s="203" t="s">
        <v>2412</v>
      </c>
    </row>
    <row r="199" spans="11:15" ht="11.25" customHeight="1">
      <c r="K199" s="203" t="s">
        <v>2413</v>
      </c>
      <c r="M199" s="203" t="s">
        <v>2413</v>
      </c>
      <c r="O199" s="203" t="s">
        <v>2413</v>
      </c>
    </row>
    <row r="200" spans="11:15" ht="11.25" customHeight="1">
      <c r="K200" s="203" t="s">
        <v>2603</v>
      </c>
      <c r="M200" s="203" t="s">
        <v>2603</v>
      </c>
      <c r="O200" s="203" t="s">
        <v>2603</v>
      </c>
    </row>
    <row r="201" spans="11:15" ht="11.25" customHeight="1">
      <c r="K201" s="203" t="s">
        <v>2604</v>
      </c>
      <c r="M201" s="203" t="s">
        <v>2604</v>
      </c>
      <c r="O201" s="203" t="s">
        <v>2604</v>
      </c>
    </row>
    <row r="202" spans="11:15" ht="11.25" customHeight="1">
      <c r="K202" s="203" t="s">
        <v>2414</v>
      </c>
      <c r="M202" s="203" t="s">
        <v>2414</v>
      </c>
      <c r="O202" s="203" t="s">
        <v>2414</v>
      </c>
    </row>
    <row r="203" spans="11:15" ht="11.25" customHeight="1">
      <c r="K203" s="203" t="s">
        <v>2415</v>
      </c>
      <c r="M203" s="203" t="s">
        <v>2415</v>
      </c>
      <c r="O203" s="203" t="s">
        <v>2415</v>
      </c>
    </row>
    <row r="204" spans="11:15" ht="11.25" customHeight="1">
      <c r="K204" s="203" t="s">
        <v>2416</v>
      </c>
      <c r="M204" s="203" t="s">
        <v>2416</v>
      </c>
      <c r="O204" s="203" t="s">
        <v>2416</v>
      </c>
    </row>
    <row r="205" spans="11:15" ht="11.25" customHeight="1">
      <c r="K205" s="203" t="s">
        <v>2417</v>
      </c>
      <c r="M205" s="203" t="s">
        <v>2417</v>
      </c>
      <c r="O205" s="203" t="s">
        <v>2417</v>
      </c>
    </row>
    <row r="206" spans="11:15" ht="11.25" customHeight="1">
      <c r="K206" s="203" t="s">
        <v>2418</v>
      </c>
      <c r="M206" s="203" t="s">
        <v>2418</v>
      </c>
      <c r="O206" s="203" t="s">
        <v>2418</v>
      </c>
    </row>
    <row r="207" spans="11:15" ht="11.25" customHeight="1">
      <c r="K207" s="203" t="s">
        <v>2419</v>
      </c>
      <c r="M207" s="203" t="s">
        <v>2419</v>
      </c>
      <c r="O207" s="203" t="s">
        <v>2419</v>
      </c>
    </row>
    <row r="208" spans="11:15" ht="11.25" customHeight="1">
      <c r="K208" s="203" t="s">
        <v>2420</v>
      </c>
      <c r="M208" s="203" t="s">
        <v>2420</v>
      </c>
      <c r="O208" s="203" t="s">
        <v>2420</v>
      </c>
    </row>
    <row r="209" spans="11:15" ht="11.25" customHeight="1">
      <c r="K209" s="203" t="s">
        <v>2421</v>
      </c>
      <c r="M209" s="203" t="s">
        <v>2421</v>
      </c>
      <c r="O209" s="203" t="s">
        <v>2421</v>
      </c>
    </row>
    <row r="210" spans="11:15" ht="11.25" customHeight="1">
      <c r="K210" s="203" t="s">
        <v>2605</v>
      </c>
      <c r="M210" s="203" t="s">
        <v>2605</v>
      </c>
      <c r="O210" s="203" t="s">
        <v>2605</v>
      </c>
    </row>
    <row r="211" spans="11:15" ht="11.25" customHeight="1">
      <c r="K211" s="203" t="s">
        <v>2606</v>
      </c>
      <c r="M211" s="203" t="s">
        <v>2606</v>
      </c>
      <c r="O211" s="203" t="s">
        <v>2606</v>
      </c>
    </row>
    <row r="212" spans="11:15" ht="11.25" customHeight="1">
      <c r="K212" s="203" t="s">
        <v>2423</v>
      </c>
      <c r="M212" s="203" t="s">
        <v>2423</v>
      </c>
      <c r="O212" s="203" t="s">
        <v>2423</v>
      </c>
    </row>
    <row r="213" spans="11:15" ht="11.25" customHeight="1">
      <c r="K213" s="203" t="s">
        <v>2424</v>
      </c>
      <c r="M213" s="203" t="s">
        <v>2424</v>
      </c>
      <c r="O213" s="203" t="s">
        <v>2424</v>
      </c>
    </row>
    <row r="214" spans="11:15" ht="11.25" customHeight="1">
      <c r="K214" s="203" t="s">
        <v>2425</v>
      </c>
      <c r="M214" s="203" t="s">
        <v>2425</v>
      </c>
      <c r="O214" s="203" t="s">
        <v>2425</v>
      </c>
    </row>
    <row r="215" spans="11:15" ht="11.25" customHeight="1">
      <c r="K215" s="203" t="s">
        <v>2426</v>
      </c>
      <c r="M215" s="203" t="s">
        <v>2426</v>
      </c>
      <c r="O215" s="203" t="s">
        <v>2426</v>
      </c>
    </row>
    <row r="216" spans="11:15" ht="11.25" customHeight="1">
      <c r="K216" s="203" t="s">
        <v>2427</v>
      </c>
      <c r="M216" s="203" t="s">
        <v>2427</v>
      </c>
      <c r="O216" s="203" t="s">
        <v>2427</v>
      </c>
    </row>
    <row r="217" spans="11:15" ht="11.25" customHeight="1">
      <c r="K217" s="203" t="s">
        <v>2428</v>
      </c>
      <c r="M217" s="203" t="s">
        <v>2428</v>
      </c>
      <c r="O217" s="203" t="s">
        <v>2428</v>
      </c>
    </row>
    <row r="218" spans="11:15" ht="11.25" customHeight="1">
      <c r="K218" s="203" t="s">
        <v>2429</v>
      </c>
      <c r="M218" s="203" t="s">
        <v>2429</v>
      </c>
      <c r="O218" s="203" t="s">
        <v>2429</v>
      </c>
    </row>
    <row r="219" spans="11:15" ht="11.25" customHeight="1">
      <c r="K219" s="203" t="s">
        <v>2430</v>
      </c>
      <c r="M219" s="203" t="s">
        <v>2430</v>
      </c>
      <c r="O219" s="203" t="s">
        <v>2430</v>
      </c>
    </row>
    <row r="220" spans="11:15" ht="11.25" customHeight="1">
      <c r="K220" s="203" t="s">
        <v>2431</v>
      </c>
      <c r="M220" s="203" t="s">
        <v>2431</v>
      </c>
      <c r="O220" s="203" t="s">
        <v>2431</v>
      </c>
    </row>
    <row r="221" spans="11:15" ht="11.25" customHeight="1">
      <c r="K221" s="203" t="s">
        <v>2432</v>
      </c>
      <c r="M221" s="203" t="s">
        <v>2432</v>
      </c>
      <c r="O221" s="203" t="s">
        <v>2432</v>
      </c>
    </row>
    <row r="222" spans="11:15" ht="11.25" customHeight="1">
      <c r="K222" s="203" t="s">
        <v>2433</v>
      </c>
      <c r="M222" s="203" t="s">
        <v>2433</v>
      </c>
      <c r="O222" s="203" t="s">
        <v>2433</v>
      </c>
    </row>
    <row r="223" spans="11:15" ht="11.25" customHeight="1">
      <c r="K223" s="203" t="s">
        <v>2434</v>
      </c>
      <c r="M223" s="203" t="s">
        <v>2434</v>
      </c>
      <c r="O223" s="203" t="s">
        <v>2434</v>
      </c>
    </row>
    <row r="224" spans="11:15" ht="11.25" customHeight="1">
      <c r="K224" s="203" t="s">
        <v>2435</v>
      </c>
      <c r="M224" s="203" t="s">
        <v>2435</v>
      </c>
      <c r="O224" s="203" t="s">
        <v>2435</v>
      </c>
    </row>
    <row r="225" spans="11:15" ht="11.25" customHeight="1">
      <c r="K225" s="203" t="s">
        <v>2436</v>
      </c>
      <c r="M225" s="203" t="s">
        <v>2436</v>
      </c>
      <c r="O225" s="203" t="s">
        <v>2436</v>
      </c>
    </row>
    <row r="226" spans="11:15" ht="11.25" customHeight="1">
      <c r="K226" s="203" t="s">
        <v>2437</v>
      </c>
      <c r="M226" s="203" t="s">
        <v>2437</v>
      </c>
      <c r="O226" s="203" t="s">
        <v>2437</v>
      </c>
    </row>
    <row r="227" spans="11:15" ht="11.25" customHeight="1">
      <c r="K227" s="203" t="s">
        <v>2438</v>
      </c>
      <c r="M227" s="203" t="s">
        <v>2438</v>
      </c>
      <c r="O227" s="203" t="s">
        <v>2438</v>
      </c>
    </row>
    <row r="228" spans="11:15" ht="11.25" customHeight="1">
      <c r="K228" s="203" t="s">
        <v>2439</v>
      </c>
      <c r="M228" s="203" t="s">
        <v>2439</v>
      </c>
      <c r="O228" s="203" t="s">
        <v>2439</v>
      </c>
    </row>
    <row r="229" spans="11:15" ht="11.25" customHeight="1">
      <c r="K229" s="203" t="s">
        <v>2440</v>
      </c>
      <c r="M229" s="203" t="s">
        <v>2440</v>
      </c>
      <c r="O229" s="203" t="s">
        <v>2440</v>
      </c>
    </row>
    <row r="230" spans="11:15" ht="11.25" customHeight="1">
      <c r="K230" s="203" t="s">
        <v>2441</v>
      </c>
      <c r="M230" s="203" t="s">
        <v>2441</v>
      </c>
      <c r="O230" s="203" t="s">
        <v>2441</v>
      </c>
    </row>
    <row r="231" spans="11:15" ht="11.25" customHeight="1">
      <c r="K231" s="203" t="s">
        <v>2442</v>
      </c>
      <c r="M231" s="203" t="s">
        <v>2442</v>
      </c>
      <c r="O231" s="203" t="s">
        <v>2442</v>
      </c>
    </row>
    <row r="232" spans="11:15" ht="11.25" customHeight="1">
      <c r="K232" s="203" t="s">
        <v>2443</v>
      </c>
      <c r="M232" s="203" t="s">
        <v>2443</v>
      </c>
      <c r="O232" s="203" t="s">
        <v>2443</v>
      </c>
    </row>
    <row r="233" spans="11:15" ht="11.25" customHeight="1">
      <c r="K233" s="203" t="s">
        <v>2444</v>
      </c>
      <c r="M233" s="203" t="s">
        <v>2444</v>
      </c>
      <c r="O233" s="203" t="s">
        <v>2444</v>
      </c>
    </row>
    <row r="234" spans="11:15" ht="11.25" customHeight="1">
      <c r="K234" s="203" t="s">
        <v>2445</v>
      </c>
      <c r="M234" s="203" t="s">
        <v>2445</v>
      </c>
      <c r="O234" s="203" t="s">
        <v>2445</v>
      </c>
    </row>
    <row r="235" spans="11:15" ht="11.25" customHeight="1">
      <c r="K235" s="203" t="s">
        <v>2446</v>
      </c>
      <c r="M235" s="203" t="s">
        <v>2446</v>
      </c>
      <c r="O235" s="203" t="s">
        <v>2446</v>
      </c>
    </row>
    <row r="236" spans="11:15" ht="11.25" customHeight="1">
      <c r="K236" s="203" t="s">
        <v>2447</v>
      </c>
      <c r="M236" s="203" t="s">
        <v>2447</v>
      </c>
      <c r="O236" s="203" t="s">
        <v>2447</v>
      </c>
    </row>
    <row r="237" spans="11:15" ht="11.25" customHeight="1">
      <c r="K237" s="203" t="s">
        <v>2448</v>
      </c>
      <c r="M237" s="203" t="s">
        <v>2448</v>
      </c>
      <c r="O237" s="203" t="s">
        <v>2448</v>
      </c>
    </row>
    <row r="238" spans="11:15" ht="11.25" customHeight="1">
      <c r="K238" s="203" t="s">
        <v>2449</v>
      </c>
      <c r="M238" s="203" t="s">
        <v>2449</v>
      </c>
      <c r="O238" s="203" t="s">
        <v>2449</v>
      </c>
    </row>
    <row r="239" spans="11:15" ht="11.25" customHeight="1">
      <c r="K239" s="203" t="s">
        <v>2450</v>
      </c>
      <c r="M239" s="203" t="s">
        <v>2450</v>
      </c>
      <c r="O239" s="203" t="s">
        <v>2450</v>
      </c>
    </row>
    <row r="240" spans="11:15" ht="11.25" customHeight="1">
      <c r="K240" s="203" t="s">
        <v>2451</v>
      </c>
      <c r="M240" s="203" t="s">
        <v>2451</v>
      </c>
      <c r="O240" s="203" t="s">
        <v>2451</v>
      </c>
    </row>
    <row r="241" spans="11:15" ht="11.25" customHeight="1">
      <c r="K241" s="203" t="s">
        <v>2452</v>
      </c>
      <c r="M241" s="203" t="s">
        <v>2452</v>
      </c>
      <c r="O241" s="203" t="s">
        <v>2452</v>
      </c>
    </row>
    <row r="242" spans="11:15" ht="11.25" customHeight="1">
      <c r="K242" s="203" t="s">
        <v>2453</v>
      </c>
      <c r="M242" s="203" t="s">
        <v>2453</v>
      </c>
      <c r="O242" s="203" t="s">
        <v>2453</v>
      </c>
    </row>
    <row r="243" spans="11:15" ht="11.25" customHeight="1">
      <c r="K243" s="203" t="s">
        <v>2454</v>
      </c>
      <c r="M243" s="203" t="s">
        <v>2454</v>
      </c>
      <c r="O243" s="203" t="s">
        <v>2454</v>
      </c>
    </row>
    <row r="244" spans="11:15" ht="11.25" customHeight="1">
      <c r="K244" s="203" t="s">
        <v>2455</v>
      </c>
      <c r="M244" s="203" t="s">
        <v>2455</v>
      </c>
      <c r="O244" s="203" t="s">
        <v>2455</v>
      </c>
    </row>
    <row r="245" spans="11:15" ht="11.25" customHeight="1">
      <c r="K245" s="203" t="s">
        <v>2456</v>
      </c>
      <c r="M245" s="203" t="s">
        <v>2456</v>
      </c>
      <c r="O245" s="203" t="s">
        <v>2456</v>
      </c>
    </row>
    <row r="246" spans="11:15" ht="11.25" customHeight="1">
      <c r="K246" s="203" t="s">
        <v>2457</v>
      </c>
      <c r="M246" s="203" t="s">
        <v>2457</v>
      </c>
      <c r="O246" s="203" t="s">
        <v>2457</v>
      </c>
    </row>
    <row r="247" spans="11:15" ht="11.25" customHeight="1">
      <c r="K247" s="203" t="s">
        <v>2458</v>
      </c>
      <c r="M247" s="203" t="s">
        <v>2458</v>
      </c>
      <c r="O247" s="203" t="s">
        <v>2458</v>
      </c>
    </row>
    <row r="248" spans="11:15" ht="11.25" customHeight="1">
      <c r="K248" s="203" t="s">
        <v>2459</v>
      </c>
      <c r="M248" s="203" t="s">
        <v>2459</v>
      </c>
      <c r="O248" s="203" t="s">
        <v>2459</v>
      </c>
    </row>
    <row r="249" spans="11:15" ht="11.25" customHeight="1">
      <c r="K249" s="203" t="s">
        <v>2460</v>
      </c>
      <c r="M249" s="203" t="s">
        <v>2460</v>
      </c>
      <c r="O249" s="203" t="s">
        <v>2460</v>
      </c>
    </row>
    <row r="250" spans="11:15" ht="11.25" customHeight="1">
      <c r="K250" s="203" t="s">
        <v>2461</v>
      </c>
      <c r="M250" s="203" t="s">
        <v>2461</v>
      </c>
      <c r="O250" s="203" t="s">
        <v>2461</v>
      </c>
    </row>
    <row r="251" spans="11:15" ht="11.25" customHeight="1">
      <c r="K251" s="203" t="s">
        <v>2462</v>
      </c>
      <c r="M251" s="203" t="s">
        <v>2462</v>
      </c>
      <c r="O251" s="203" t="s">
        <v>2462</v>
      </c>
    </row>
    <row r="253" spans="11:15" ht="11.25" customHeight="1">
      <c r="K253" s="201" t="s">
        <v>2528</v>
      </c>
      <c r="M253" s="201" t="s">
        <v>2533</v>
      </c>
      <c r="O253" s="201" t="s">
        <v>2534</v>
      </c>
    </row>
    <row r="254" spans="11:15" ht="11.25" customHeight="1">
      <c r="K254" s="203" t="s">
        <v>0</v>
      </c>
      <c r="M254" s="203" t="s">
        <v>0</v>
      </c>
      <c r="O254" s="203" t="s">
        <v>0</v>
      </c>
    </row>
    <row r="255" spans="11:15" ht="11.25" customHeight="1">
      <c r="K255" s="203" t="s">
        <v>2215</v>
      </c>
      <c r="M255" s="203" t="s">
        <v>2215</v>
      </c>
      <c r="O255" s="203" t="s">
        <v>2215</v>
      </c>
    </row>
    <row r="256" spans="11:15" ht="11.25" customHeight="1">
      <c r="K256" s="449" t="s">
        <v>623</v>
      </c>
      <c r="M256" s="449" t="s">
        <v>623</v>
      </c>
      <c r="O256" s="449" t="s">
        <v>623</v>
      </c>
    </row>
    <row r="257" spans="11:15" ht="11.25" customHeight="1">
      <c r="K257" s="449" t="s">
        <v>621</v>
      </c>
      <c r="M257" s="449" t="s">
        <v>621</v>
      </c>
      <c r="O257" s="449" t="s">
        <v>621</v>
      </c>
    </row>
    <row r="258" spans="11:15" ht="11.25" customHeight="1">
      <c r="K258" s="449" t="s">
        <v>622</v>
      </c>
      <c r="M258" s="449" t="s">
        <v>622</v>
      </c>
      <c r="O258" s="449" t="s">
        <v>622</v>
      </c>
    </row>
    <row r="259" spans="11:15" ht="11.25" customHeight="1">
      <c r="K259" s="449" t="s">
        <v>2531</v>
      </c>
      <c r="M259" s="449" t="s">
        <v>2531</v>
      </c>
      <c r="O259" s="449" t="s">
        <v>2531</v>
      </c>
    </row>
    <row r="260" spans="11:15" ht="11.25" customHeight="1">
      <c r="K260" s="449" t="s">
        <v>2532</v>
      </c>
      <c r="M260" s="449" t="s">
        <v>2532</v>
      </c>
      <c r="O260" s="449" t="s">
        <v>2532</v>
      </c>
    </row>
    <row r="261" spans="11:15" ht="11.25" customHeight="1">
      <c r="K261" s="449" t="s">
        <v>2529</v>
      </c>
      <c r="M261" s="449" t="s">
        <v>2529</v>
      </c>
      <c r="O261" s="449" t="s">
        <v>2529</v>
      </c>
    </row>
    <row r="262" spans="11:15" ht="11.25" customHeight="1">
      <c r="K262" s="449" t="s">
        <v>2530</v>
      </c>
      <c r="M262" s="449" t="s">
        <v>2530</v>
      </c>
      <c r="O262" s="449" t="s">
        <v>2530</v>
      </c>
    </row>
    <row r="263" spans="11:15" ht="11.25" customHeight="1">
      <c r="K263" s="449" t="s">
        <v>2384</v>
      </c>
      <c r="M263" s="449" t="s">
        <v>2384</v>
      </c>
      <c r="O263" s="449" t="s">
        <v>2384</v>
      </c>
    </row>
    <row r="264" spans="11:15" ht="11.25" customHeight="1">
      <c r="K264" s="449" t="s">
        <v>2385</v>
      </c>
      <c r="M264" s="449" t="s">
        <v>2385</v>
      </c>
      <c r="O264" s="449" t="s">
        <v>2385</v>
      </c>
    </row>
    <row r="265" spans="11:15" ht="11.25" customHeight="1">
      <c r="K265" s="449" t="s">
        <v>624</v>
      </c>
      <c r="M265" s="449" t="s">
        <v>624</v>
      </c>
      <c r="O265" s="449" t="s">
        <v>624</v>
      </c>
    </row>
    <row r="266" spans="11:15" ht="11.25" customHeight="1">
      <c r="K266" s="449" t="s">
        <v>625</v>
      </c>
      <c r="M266" s="449" t="s">
        <v>625</v>
      </c>
      <c r="O266" s="449" t="s">
        <v>625</v>
      </c>
    </row>
    <row r="268" spans="11:15" ht="11.25" customHeight="1">
      <c r="K268" s="201" t="s">
        <v>2544</v>
      </c>
      <c r="M268" s="201" t="s">
        <v>2550</v>
      </c>
      <c r="O268" s="201" t="s">
        <v>2551</v>
      </c>
    </row>
    <row r="269" spans="11:15" ht="11.25" customHeight="1">
      <c r="K269" s="203" t="s">
        <v>2155</v>
      </c>
      <c r="M269" s="203" t="s">
        <v>2155</v>
      </c>
      <c r="O269" s="203" t="s">
        <v>2155</v>
      </c>
    </row>
    <row r="270" spans="11:15" ht="11.25" customHeight="1">
      <c r="K270" s="203" t="s">
        <v>623</v>
      </c>
      <c r="M270" s="203" t="s">
        <v>623</v>
      </c>
      <c r="O270" s="203" t="s">
        <v>623</v>
      </c>
    </row>
    <row r="271" spans="11:15" ht="11.25" customHeight="1">
      <c r="K271" s="203" t="s">
        <v>621</v>
      </c>
      <c r="M271" s="203" t="s">
        <v>621</v>
      </c>
      <c r="O271" s="203" t="s">
        <v>621</v>
      </c>
    </row>
    <row r="272" spans="11:15" ht="11.25" customHeight="1">
      <c r="K272" s="203" t="s">
        <v>622</v>
      </c>
      <c r="M272" s="203" t="s">
        <v>622</v>
      </c>
      <c r="O272" s="203" t="s">
        <v>622</v>
      </c>
    </row>
    <row r="273" spans="11:15" ht="11.25" customHeight="1">
      <c r="K273" s="203" t="s">
        <v>636</v>
      </c>
      <c r="M273" s="203" t="s">
        <v>636</v>
      </c>
      <c r="O273" s="203" t="s">
        <v>636</v>
      </c>
    </row>
    <row r="274" spans="11:15" ht="11.25" customHeight="1">
      <c r="K274" s="227" t="s">
        <v>2545</v>
      </c>
      <c r="M274" s="227" t="s">
        <v>2545</v>
      </c>
      <c r="O274" s="227" t="s">
        <v>2545</v>
      </c>
    </row>
    <row r="275" spans="11:15" ht="11.25" customHeight="1">
      <c r="K275" s="227" t="s">
        <v>2546</v>
      </c>
      <c r="M275" s="227" t="s">
        <v>2546</v>
      </c>
      <c r="O275" s="227" t="s">
        <v>2546</v>
      </c>
    </row>
    <row r="276" spans="11:15" ht="11.25" customHeight="1">
      <c r="K276" s="203" t="s">
        <v>2143</v>
      </c>
      <c r="M276" s="203" t="s">
        <v>2143</v>
      </c>
      <c r="O276" s="203" t="s">
        <v>2143</v>
      </c>
    </row>
    <row r="277" spans="11:15" ht="11.25" customHeight="1">
      <c r="K277" s="203" t="s">
        <v>624</v>
      </c>
      <c r="M277" s="203" t="s">
        <v>624</v>
      </c>
      <c r="O277" s="203" t="s">
        <v>624</v>
      </c>
    </row>
    <row r="278" spans="11:15" ht="11.25" customHeight="1">
      <c r="K278" s="203" t="s">
        <v>625</v>
      </c>
      <c r="M278" s="203" t="s">
        <v>625</v>
      </c>
      <c r="O278" s="203" t="s">
        <v>625</v>
      </c>
    </row>
    <row r="279" spans="11:15" ht="11.25" customHeight="1">
      <c r="K279" s="203" t="s">
        <v>2144</v>
      </c>
      <c r="M279" s="203" t="s">
        <v>2144</v>
      </c>
      <c r="O279" s="203" t="s">
        <v>2144</v>
      </c>
    </row>
    <row r="280" spans="11:15" ht="11.25" customHeight="1">
      <c r="K280" s="203" t="s">
        <v>2145</v>
      </c>
      <c r="M280" s="203" t="s">
        <v>2145</v>
      </c>
      <c r="O280" s="203" t="s">
        <v>2145</v>
      </c>
    </row>
    <row r="281" spans="11:15" ht="11.25" customHeight="1">
      <c r="K281" s="227" t="s">
        <v>2146</v>
      </c>
      <c r="M281" s="227" t="s">
        <v>2146</v>
      </c>
      <c r="O281" s="227" t="s">
        <v>2146</v>
      </c>
    </row>
    <row r="282" spans="11:15" ht="11.25" customHeight="1">
      <c r="K282" s="227" t="s">
        <v>2548</v>
      </c>
      <c r="M282" s="227" t="s">
        <v>2548</v>
      </c>
      <c r="O282" s="227" t="s">
        <v>2548</v>
      </c>
    </row>
    <row r="283" spans="11:15" ht="11.25" customHeight="1">
      <c r="K283" s="227" t="s">
        <v>2549</v>
      </c>
      <c r="M283" s="227" t="s">
        <v>2549</v>
      </c>
      <c r="O283" s="227" t="s">
        <v>2549</v>
      </c>
    </row>
    <row r="284" spans="11:15" ht="11.25" customHeight="1">
      <c r="K284" s="227" t="s">
        <v>2547</v>
      </c>
      <c r="M284" s="227" t="s">
        <v>2547</v>
      </c>
      <c r="O284" s="227" t="s">
        <v>2547</v>
      </c>
    </row>
  </sheetData>
  <sheetProtection formatColumns="0" formatRows="0"/>
  <phoneticPr fontId="3" type="noConversion"/>
  <dataValidations disablePrompts="1" count="1">
    <dataValidation type="list" allowBlank="1" showInputMessage="1" showErrorMessage="1" sqref="X3">
      <formula1>"MD5,OBFUSCATION"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HORISONTAL">
    <tabColor indexed="47"/>
  </sheetPr>
  <dimension ref="A1:EM50"/>
  <sheetViews>
    <sheetView zoomScale="80" zoomScaleNormal="80" workbookViewId="0">
      <pane xSplit="9" topLeftCell="J1" activePane="topRight" state="frozen"/>
      <selection pane="topRight"/>
    </sheetView>
  </sheetViews>
  <sheetFormatPr defaultColWidth="5.75" defaultRowHeight="11.4"/>
  <cols>
    <col min="1" max="2" width="18.875" style="29" customWidth="1"/>
    <col min="3" max="3" width="5.75" style="29" customWidth="1"/>
    <col min="4" max="4" width="5.75" customWidth="1"/>
    <col min="5" max="5" width="8.875" customWidth="1"/>
    <col min="6" max="7" width="8.875" style="29" customWidth="1"/>
    <col min="8" max="9" width="17.75" style="29" customWidth="1"/>
    <col min="10" max="13" width="8.75" style="29" customWidth="1"/>
    <col min="14" max="14" width="7.75" style="29" customWidth="1"/>
    <col min="15" max="17" width="8.75" style="29" customWidth="1"/>
    <col min="18" max="18" width="5.75" style="29" customWidth="1"/>
    <col min="19" max="19" width="7.75" style="29" customWidth="1"/>
    <col min="20" max="22" width="8.75" style="29" customWidth="1"/>
    <col min="23" max="24" width="5.75" style="29" customWidth="1"/>
    <col min="25" max="25" width="8.75" style="29" customWidth="1"/>
    <col min="26" max="26" width="9.625" style="29" customWidth="1"/>
    <col min="27" max="27" width="8.75" style="29" customWidth="1"/>
    <col min="28" max="44" width="5.75" style="29" customWidth="1"/>
    <col min="45" max="46" width="5.75" style="29"/>
    <col min="47" max="174" width="5.75" style="29" customWidth="1"/>
    <col min="175" max="16384" width="5.75" style="29"/>
  </cols>
  <sheetData>
    <row r="1" spans="1:143" s="45" customFormat="1">
      <c r="D1"/>
      <c r="E1"/>
    </row>
    <row r="2" spans="1:143" s="45" customFormat="1" ht="12" customHeight="1">
      <c r="D2"/>
      <c r="E2"/>
    </row>
    <row r="3" spans="1:143" s="45" customFormat="1" ht="12" customHeight="1">
      <c r="A3" s="885" t="s">
        <v>2221</v>
      </c>
      <c r="B3" s="885"/>
      <c r="D3"/>
      <c r="E3"/>
      <c r="L3" s="124"/>
    </row>
    <row r="4" spans="1:143" s="2" customFormat="1" ht="36" customHeight="1">
      <c r="A4" s="22"/>
      <c r="B4" s="20"/>
      <c r="C4" s="20"/>
      <c r="D4" s="216"/>
      <c r="E4" s="217" t="s">
        <v>592</v>
      </c>
      <c r="F4" s="116"/>
      <c r="G4" s="568"/>
      <c r="H4" s="585"/>
      <c r="I4" s="453"/>
      <c r="J4" s="586" t="str">
        <f>IF(LEN(I4)=0,"",VLOOKUP(I4,OKTMO_VS_TYPE_LIST,2,FALSE))</f>
        <v/>
      </c>
      <c r="K4" s="430"/>
      <c r="L4" s="430"/>
      <c r="M4" s="613" t="str">
        <f>IF(TAX="","",TAX)</f>
        <v>да</v>
      </c>
      <c r="N4" s="597"/>
      <c r="O4" s="430"/>
      <c r="P4" s="617"/>
      <c r="Q4" s="614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597"/>
      <c r="AD4" s="430"/>
      <c r="AE4" s="430"/>
      <c r="AF4" s="430"/>
      <c r="AG4" s="430"/>
      <c r="AH4" s="430"/>
      <c r="AI4" s="430"/>
      <c r="AJ4" s="598"/>
      <c r="AK4" s="430"/>
      <c r="AL4" s="430"/>
      <c r="AM4" s="430"/>
      <c r="AN4" s="430"/>
      <c r="AO4" s="430"/>
      <c r="AP4" s="430"/>
      <c r="AQ4" s="598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C4" s="430"/>
      <c r="BD4" s="430"/>
      <c r="BE4" s="430"/>
      <c r="BF4" s="430"/>
      <c r="BG4" s="430"/>
      <c r="BH4" s="430"/>
      <c r="BI4" s="430"/>
      <c r="BJ4" s="430"/>
      <c r="BK4" s="430"/>
      <c r="BL4" s="430"/>
      <c r="BM4" s="430"/>
      <c r="BN4" s="430"/>
      <c r="BO4" s="430"/>
      <c r="BP4" s="430"/>
      <c r="BQ4" s="430"/>
      <c r="BR4" s="430"/>
      <c r="BS4" s="430"/>
      <c r="BT4" s="430"/>
      <c r="BU4" s="430"/>
      <c r="BV4" s="618"/>
      <c r="BW4" s="430"/>
      <c r="BX4" s="430"/>
      <c r="BY4" s="430"/>
      <c r="BZ4" s="430"/>
      <c r="CA4" s="430"/>
      <c r="CB4" s="430"/>
      <c r="CC4" s="430"/>
      <c r="CD4" s="430"/>
      <c r="CE4" s="430"/>
      <c r="CF4" s="430"/>
      <c r="CG4" s="430"/>
      <c r="CH4" s="430"/>
      <c r="CI4" s="454"/>
      <c r="CJ4" s="455" t="s">
        <v>1300</v>
      </c>
      <c r="CK4" s="455" t="s">
        <v>1300</v>
      </c>
      <c r="CL4" s="455" t="s">
        <v>1300</v>
      </c>
      <c r="CM4" s="455" t="s">
        <v>1300</v>
      </c>
      <c r="CN4" s="455" t="s">
        <v>1300</v>
      </c>
      <c r="CO4" s="455" t="s">
        <v>1300</v>
      </c>
      <c r="CP4" s="455" t="s">
        <v>1300</v>
      </c>
      <c r="CQ4" s="455" t="s">
        <v>1300</v>
      </c>
      <c r="CR4" s="455" t="s">
        <v>1300</v>
      </c>
      <c r="CS4" s="455" t="s">
        <v>1300</v>
      </c>
      <c r="CT4" s="455" t="s">
        <v>1300</v>
      </c>
      <c r="CU4" s="455" t="s">
        <v>1300</v>
      </c>
      <c r="CV4" s="430"/>
      <c r="CW4" s="430"/>
      <c r="CX4" s="430"/>
      <c r="CY4" s="430"/>
      <c r="CZ4" s="430"/>
      <c r="DA4" s="430"/>
      <c r="DB4" s="430"/>
      <c r="DC4" s="430"/>
      <c r="DD4" s="430"/>
      <c r="DE4" s="430"/>
      <c r="DF4" s="430"/>
      <c r="DG4" s="430"/>
      <c r="DH4" s="430"/>
      <c r="DI4" s="430"/>
      <c r="DJ4" s="430"/>
      <c r="DK4" s="430"/>
      <c r="DL4" s="430"/>
      <c r="DM4" s="430"/>
      <c r="DN4" s="430"/>
      <c r="DO4" s="430"/>
      <c r="DP4" s="430"/>
      <c r="DQ4" s="430"/>
      <c r="DR4" s="430"/>
      <c r="DS4" s="430"/>
      <c r="DT4" s="430"/>
      <c r="DU4" s="430"/>
      <c r="DV4" s="430"/>
      <c r="DW4" s="430"/>
      <c r="DX4" s="430"/>
      <c r="DY4" s="430"/>
      <c r="DZ4" s="430"/>
      <c r="EA4" s="430"/>
      <c r="EB4" s="430"/>
      <c r="EC4" s="430"/>
      <c r="ED4" s="430"/>
      <c r="EE4" s="430"/>
      <c r="EF4" s="430"/>
      <c r="EG4" s="430"/>
      <c r="EH4" s="430"/>
      <c r="EI4" s="430"/>
      <c r="EJ4" s="430"/>
      <c r="EK4" s="430"/>
      <c r="EL4" s="430"/>
      <c r="EM4" s="430"/>
    </row>
    <row r="5" spans="1:143" customFormat="1"/>
    <row r="6" spans="1:143" s="45" customFormat="1" ht="12" customHeight="1">
      <c r="A6" s="885" t="s">
        <v>2222</v>
      </c>
      <c r="B6" s="885"/>
      <c r="D6"/>
      <c r="E6"/>
      <c r="L6" s="124"/>
    </row>
    <row r="7" spans="1:143" s="2" customFormat="1" ht="36" customHeight="1">
      <c r="A7" s="22"/>
      <c r="B7" s="20"/>
      <c r="C7" s="20"/>
      <c r="D7" s="216"/>
      <c r="E7" s="217" t="s">
        <v>592</v>
      </c>
      <c r="F7" s="116"/>
      <c r="G7" s="568"/>
      <c r="H7" s="585"/>
      <c r="I7" s="453"/>
      <c r="J7" s="586" t="str">
        <f>IF(LEN(I7)=0,"",VLOOKUP(I7,OKTMO_VS_TYPE_LIST,2,FALSE))</f>
        <v/>
      </c>
      <c r="K7" s="430"/>
      <c r="L7" s="430"/>
      <c r="M7" s="613" t="str">
        <f>IF(TAX="","",TAX)</f>
        <v>да</v>
      </c>
      <c r="N7" s="597"/>
      <c r="O7" s="430"/>
      <c r="P7" s="617"/>
      <c r="Q7" s="614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598"/>
      <c r="AD7" s="430"/>
      <c r="AE7" s="430"/>
      <c r="AF7" s="430"/>
      <c r="AG7" s="430"/>
      <c r="AH7" s="430"/>
      <c r="AI7" s="430"/>
      <c r="AJ7" s="568"/>
      <c r="AK7" s="430"/>
      <c r="AL7" s="430"/>
      <c r="AM7" s="430"/>
      <c r="AN7" s="430"/>
      <c r="AO7" s="430"/>
      <c r="AP7" s="430"/>
      <c r="AQ7" s="598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430"/>
      <c r="BE7" s="430"/>
      <c r="BF7" s="430"/>
      <c r="BG7" s="430"/>
      <c r="BH7" s="430"/>
      <c r="BI7" s="430"/>
      <c r="BJ7" s="430"/>
      <c r="BK7" s="430"/>
      <c r="BL7" s="430"/>
      <c r="BM7" s="430"/>
      <c r="BN7" s="430"/>
      <c r="BO7" s="430"/>
      <c r="BP7" s="430"/>
      <c r="BQ7" s="430"/>
      <c r="BR7" s="430"/>
      <c r="BS7" s="430"/>
      <c r="BT7" s="430"/>
      <c r="BU7" s="430"/>
      <c r="BV7" s="619"/>
      <c r="BW7" s="430"/>
      <c r="BX7" s="430"/>
      <c r="BY7" s="430"/>
      <c r="BZ7" s="430"/>
      <c r="CA7" s="430"/>
      <c r="CB7" s="430"/>
      <c r="CC7" s="430"/>
      <c r="CD7" s="430"/>
      <c r="CE7" s="430"/>
      <c r="CF7" s="430"/>
      <c r="CG7" s="430"/>
      <c r="CH7" s="430"/>
      <c r="CI7" s="454"/>
      <c r="CJ7" s="455" t="s">
        <v>1300</v>
      </c>
      <c r="CK7" s="455" t="s">
        <v>1300</v>
      </c>
      <c r="CL7" s="455" t="s">
        <v>1300</v>
      </c>
      <c r="CM7" s="455" t="s">
        <v>1300</v>
      </c>
      <c r="CN7" s="455" t="s">
        <v>1300</v>
      </c>
      <c r="CO7" s="455" t="s">
        <v>1300</v>
      </c>
      <c r="CP7" s="455" t="s">
        <v>1300</v>
      </c>
      <c r="CQ7" s="455" t="s">
        <v>1300</v>
      </c>
      <c r="CR7" s="455" t="s">
        <v>1300</v>
      </c>
      <c r="CS7" s="455" t="s">
        <v>1300</v>
      </c>
      <c r="CT7" s="455" t="s">
        <v>1300</v>
      </c>
      <c r="CU7" s="455" t="s">
        <v>1300</v>
      </c>
      <c r="CV7" s="430"/>
      <c r="CW7" s="430"/>
      <c r="CX7" s="430"/>
      <c r="CY7" s="430"/>
      <c r="CZ7" s="430"/>
      <c r="DA7" s="430"/>
      <c r="DB7" s="430"/>
      <c r="DC7" s="430"/>
      <c r="DD7" s="430"/>
      <c r="DE7" s="430"/>
      <c r="DF7" s="430"/>
      <c r="DG7" s="430"/>
      <c r="DH7" s="430"/>
      <c r="DI7" s="430"/>
      <c r="DJ7" s="430"/>
      <c r="DK7" s="430"/>
      <c r="DL7" s="430"/>
      <c r="DM7" s="430"/>
      <c r="DN7" s="430"/>
      <c r="DO7" s="430"/>
      <c r="DP7" s="430"/>
      <c r="DQ7" s="430"/>
      <c r="DR7" s="430"/>
      <c r="DS7" s="430"/>
      <c r="DT7" s="430"/>
      <c r="DU7" s="430"/>
      <c r="DV7" s="430"/>
      <c r="DW7" s="430"/>
      <c r="DX7" s="430"/>
      <c r="DY7" s="430"/>
      <c r="DZ7" s="430"/>
      <c r="EA7" s="430"/>
      <c r="EB7" s="430"/>
      <c r="EC7" s="430"/>
      <c r="ED7" s="430"/>
      <c r="EE7" s="430"/>
      <c r="EF7" s="430"/>
      <c r="EG7" s="430"/>
      <c r="EH7" s="430"/>
      <c r="EI7" s="430"/>
      <c r="EJ7" s="430"/>
      <c r="EK7" s="430"/>
      <c r="EL7" s="430"/>
      <c r="EM7" s="430"/>
    </row>
    <row r="8" spans="1:143" customFormat="1"/>
    <row r="9" spans="1:143" s="45" customFormat="1" ht="12" customHeight="1">
      <c r="A9" s="885" t="s">
        <v>2223</v>
      </c>
      <c r="B9" s="885"/>
      <c r="D9"/>
      <c r="E9"/>
      <c r="L9" s="124"/>
    </row>
    <row r="10" spans="1:143" s="2" customFormat="1" ht="36" customHeight="1">
      <c r="A10" s="22"/>
      <c r="B10" s="20"/>
      <c r="C10" s="20"/>
      <c r="D10" s="216"/>
      <c r="E10" s="217" t="s">
        <v>592</v>
      </c>
      <c r="F10" s="116"/>
      <c r="G10" s="568"/>
      <c r="H10" s="585"/>
      <c r="I10" s="453"/>
      <c r="J10" s="586" t="str">
        <f>IF(LEN(I10)=0,"",VLOOKUP(I10,OKTMO_VS_TYPE_LIST,2,FALSE))</f>
        <v/>
      </c>
      <c r="K10" s="430"/>
      <c r="L10" s="430"/>
      <c r="M10" s="613" t="str">
        <f>IF(TAX="","",TAX)</f>
        <v>да</v>
      </c>
      <c r="N10" s="597"/>
      <c r="O10" s="430"/>
      <c r="P10" s="617"/>
      <c r="Q10" s="614"/>
      <c r="R10" s="430"/>
      <c r="S10" s="430"/>
      <c r="T10" s="430"/>
      <c r="U10" s="430"/>
      <c r="V10" s="430"/>
      <c r="W10" s="430"/>
      <c r="X10" s="430"/>
      <c r="Y10" s="430"/>
      <c r="Z10" s="430"/>
      <c r="AA10" s="430"/>
      <c r="AB10" s="430"/>
      <c r="AC10" s="598"/>
      <c r="AD10" s="430"/>
      <c r="AE10" s="430"/>
      <c r="AF10" s="430"/>
      <c r="AG10" s="430"/>
      <c r="AH10" s="430"/>
      <c r="AI10" s="430"/>
      <c r="AJ10" s="598"/>
      <c r="AK10" s="430"/>
      <c r="AL10" s="430"/>
      <c r="AM10" s="430"/>
      <c r="AN10" s="430"/>
      <c r="AO10" s="430"/>
      <c r="AP10" s="430"/>
      <c r="AQ10" s="568"/>
      <c r="AR10" s="430"/>
      <c r="AS10" s="430"/>
      <c r="AT10" s="430"/>
      <c r="AU10" s="430"/>
      <c r="AV10" s="430"/>
      <c r="AW10" s="430"/>
      <c r="AX10" s="430"/>
      <c r="AY10" s="430"/>
      <c r="AZ10" s="430"/>
      <c r="BA10" s="430"/>
      <c r="BB10" s="430"/>
      <c r="BC10" s="430"/>
      <c r="BD10" s="430"/>
      <c r="BE10" s="430"/>
      <c r="BF10" s="430"/>
      <c r="BG10" s="430"/>
      <c r="BH10" s="430"/>
      <c r="BI10" s="430"/>
      <c r="BJ10" s="430"/>
      <c r="BK10" s="430"/>
      <c r="BL10" s="430"/>
      <c r="BM10" s="430"/>
      <c r="BN10" s="430"/>
      <c r="BO10" s="430"/>
      <c r="BP10" s="430"/>
      <c r="BQ10" s="430"/>
      <c r="BR10" s="430"/>
      <c r="BS10" s="430"/>
      <c r="BT10" s="430"/>
      <c r="BU10" s="430"/>
      <c r="BV10" s="619"/>
      <c r="BW10" s="430"/>
      <c r="BX10" s="430"/>
      <c r="BY10" s="430"/>
      <c r="BZ10" s="430"/>
      <c r="CA10" s="430"/>
      <c r="CB10" s="430"/>
      <c r="CC10" s="430"/>
      <c r="CD10" s="430"/>
      <c r="CE10" s="430"/>
      <c r="CF10" s="430"/>
      <c r="CG10" s="430"/>
      <c r="CH10" s="430"/>
      <c r="CI10" s="454"/>
      <c r="CJ10" s="455" t="s">
        <v>1300</v>
      </c>
      <c r="CK10" s="455" t="s">
        <v>1300</v>
      </c>
      <c r="CL10" s="455" t="s">
        <v>1300</v>
      </c>
      <c r="CM10" s="455" t="s">
        <v>1300</v>
      </c>
      <c r="CN10" s="455" t="s">
        <v>1300</v>
      </c>
      <c r="CO10" s="455" t="s">
        <v>1300</v>
      </c>
      <c r="CP10" s="455" t="s">
        <v>1300</v>
      </c>
      <c r="CQ10" s="455" t="s">
        <v>1300</v>
      </c>
      <c r="CR10" s="455" t="s">
        <v>1300</v>
      </c>
      <c r="CS10" s="455" t="s">
        <v>1300</v>
      </c>
      <c r="CT10" s="455" t="s">
        <v>1300</v>
      </c>
      <c r="CU10" s="455" t="s">
        <v>1300</v>
      </c>
      <c r="CV10" s="430"/>
      <c r="CW10" s="430"/>
      <c r="CX10" s="430"/>
      <c r="CY10" s="430"/>
      <c r="CZ10" s="430"/>
      <c r="DA10" s="430"/>
      <c r="DB10" s="430"/>
      <c r="DC10" s="430"/>
      <c r="DD10" s="430"/>
      <c r="DE10" s="430"/>
      <c r="DF10" s="430"/>
      <c r="DG10" s="430"/>
      <c r="DH10" s="430"/>
      <c r="DI10" s="430"/>
      <c r="DJ10" s="430"/>
      <c r="DK10" s="430"/>
      <c r="DL10" s="430"/>
      <c r="DM10" s="430"/>
      <c r="DN10" s="430"/>
      <c r="DO10" s="430"/>
      <c r="DP10" s="430"/>
      <c r="DQ10" s="430"/>
      <c r="DR10" s="430"/>
      <c r="DS10" s="430"/>
      <c r="DT10" s="430"/>
      <c r="DU10" s="430"/>
      <c r="DV10" s="430"/>
      <c r="DW10" s="430"/>
      <c r="DX10" s="430"/>
      <c r="DY10" s="430"/>
      <c r="DZ10" s="430"/>
      <c r="EA10" s="430"/>
      <c r="EB10" s="430"/>
      <c r="EC10" s="430"/>
      <c r="ED10" s="430"/>
      <c r="EE10" s="430"/>
      <c r="EF10" s="430"/>
      <c r="EG10" s="430"/>
      <c r="EH10" s="430"/>
      <c r="EI10" s="430"/>
      <c r="EJ10" s="430"/>
      <c r="EK10" s="430"/>
      <c r="EL10" s="430"/>
      <c r="EM10" s="430"/>
    </row>
    <row r="11" spans="1:143" customFormat="1"/>
    <row r="12" spans="1:143" customFormat="1"/>
    <row r="13" spans="1:143" s="45" customFormat="1">
      <c r="A13" s="885" t="s">
        <v>1089</v>
      </c>
      <c r="B13" s="885"/>
      <c r="D13"/>
      <c r="E13"/>
      <c r="L13" s="124"/>
    </row>
    <row r="14" spans="1:143" s="2" customFormat="1" ht="12" customHeight="1">
      <c r="A14" s="22"/>
      <c r="B14" s="20"/>
      <c r="C14" s="20"/>
      <c r="D14"/>
      <c r="E14" s="217" t="s">
        <v>592</v>
      </c>
      <c r="F14" s="827"/>
      <c r="G14" s="828"/>
      <c r="H14" s="828"/>
      <c r="I14" s="828"/>
      <c r="J14" s="825"/>
      <c r="K14" s="825"/>
      <c r="L14" s="825"/>
      <c r="M14" s="825"/>
      <c r="N14" s="825"/>
      <c r="O14" s="825"/>
      <c r="P14" s="825"/>
      <c r="Q14" s="826">
        <f>ROW(P15)-ROW(P14)-1</f>
        <v>0</v>
      </c>
      <c r="R14" s="440" t="str">
        <f>F14 &amp; ".0"</f>
        <v>.0</v>
      </c>
      <c r="S14" s="423">
        <f t="shared" ref="S14:X14" si="0">SUM(BH14:BH15)</f>
        <v>0</v>
      </c>
      <c r="T14" s="435">
        <f t="shared" si="0"/>
        <v>0</v>
      </c>
      <c r="U14" s="435">
        <f t="shared" si="0"/>
        <v>0</v>
      </c>
      <c r="V14" s="435">
        <f t="shared" si="0"/>
        <v>0</v>
      </c>
      <c r="W14" s="435">
        <f t="shared" si="0"/>
        <v>0</v>
      </c>
      <c r="X14" s="435">
        <f t="shared" si="0"/>
        <v>0</v>
      </c>
      <c r="Y14" s="402"/>
      <c r="Z14" s="402"/>
      <c r="AA14" s="411"/>
      <c r="AB14" s="412" t="s">
        <v>831</v>
      </c>
      <c r="AC14" s="425"/>
      <c r="AD14" s="425"/>
      <c r="AE14" s="425"/>
      <c r="AF14" s="425"/>
      <c r="AG14" s="425"/>
      <c r="AH14" s="425"/>
      <c r="AI14" s="425"/>
      <c r="AJ14" s="425"/>
      <c r="AK14" s="425"/>
      <c r="AL14" s="425"/>
      <c r="AM14" s="425"/>
      <c r="AN14" s="425"/>
      <c r="AO14" s="425"/>
      <c r="AP14" s="425"/>
      <c r="AQ14" s="425"/>
      <c r="AR14" s="425"/>
      <c r="AS14" s="425"/>
      <c r="AT14" s="425"/>
      <c r="AU14" s="425"/>
      <c r="AV14" s="425"/>
      <c r="AW14" s="425"/>
      <c r="AX14" s="425"/>
      <c r="AY14" s="425"/>
      <c r="AZ14" s="425"/>
      <c r="BA14" s="425"/>
      <c r="BB14" s="425"/>
      <c r="BC14" s="425"/>
      <c r="BD14" s="425"/>
      <c r="BE14" s="425"/>
      <c r="BF14" s="425"/>
      <c r="BG14" s="425"/>
      <c r="BH14" s="425"/>
      <c r="BI14" s="425"/>
      <c r="BJ14" s="425"/>
      <c r="BK14" s="425"/>
      <c r="BL14" s="425"/>
      <c r="BM14" s="425"/>
      <c r="BN14" s="425"/>
      <c r="BO14" s="425"/>
      <c r="BP14" s="425"/>
      <c r="BQ14" s="425"/>
      <c r="BR14" s="425"/>
      <c r="BS14" s="425"/>
      <c r="BT14" s="425"/>
      <c r="BU14" s="425"/>
      <c r="BV14" s="425"/>
      <c r="BW14" s="425"/>
      <c r="BX14" s="425"/>
      <c r="BY14" s="425"/>
      <c r="BZ14" s="425"/>
      <c r="CA14" s="425"/>
      <c r="CB14" s="425"/>
      <c r="CC14" s="425"/>
      <c r="CD14" s="426"/>
    </row>
    <row r="15" spans="1:143" s="2" customFormat="1" ht="11.25" customHeight="1">
      <c r="A15" s="22"/>
      <c r="B15" s="20"/>
      <c r="C15" s="20"/>
      <c r="D15"/>
      <c r="E15" s="54"/>
      <c r="F15" s="827"/>
      <c r="G15" s="828"/>
      <c r="H15" s="828"/>
      <c r="I15" s="828"/>
      <c r="J15" s="825"/>
      <c r="K15" s="825"/>
      <c r="L15" s="825"/>
      <c r="M15" s="825"/>
      <c r="N15" s="825"/>
      <c r="O15" s="825"/>
      <c r="P15" s="825"/>
      <c r="Q15" s="827"/>
      <c r="R15" s="402"/>
      <c r="S15" s="402"/>
      <c r="T15" s="402"/>
      <c r="U15" s="402"/>
      <c r="V15" s="402"/>
      <c r="W15" s="402"/>
      <c r="X15" s="402"/>
      <c r="Y15" s="402"/>
      <c r="Z15" s="402"/>
      <c r="AA15" s="411"/>
      <c r="AB15" s="425"/>
      <c r="AC15" s="425" t="s">
        <v>830</v>
      </c>
      <c r="AD15" s="425"/>
      <c r="AE15" s="425"/>
      <c r="AF15" s="425"/>
      <c r="AG15" s="425"/>
      <c r="AH15" s="425"/>
      <c r="AI15" s="425"/>
      <c r="AJ15" s="425"/>
      <c r="AK15" s="425"/>
      <c r="AL15" s="425"/>
      <c r="AM15" s="425"/>
      <c r="AN15" s="425"/>
      <c r="AO15" s="425"/>
      <c r="AP15" s="425"/>
      <c r="AQ15" s="425"/>
      <c r="AR15" s="425"/>
      <c r="AS15" s="425"/>
      <c r="AT15" s="425"/>
      <c r="AU15" s="425"/>
      <c r="AV15" s="425"/>
      <c r="AW15" s="425"/>
      <c r="AX15" s="425"/>
      <c r="AY15" s="425"/>
      <c r="AZ15" s="425"/>
      <c r="BA15" s="425"/>
      <c r="BB15" s="425"/>
      <c r="BC15" s="425"/>
      <c r="BD15" s="425"/>
      <c r="BE15" s="425"/>
      <c r="BF15" s="425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5"/>
      <c r="BZ15" s="425"/>
      <c r="CA15" s="425"/>
      <c r="CB15" s="425"/>
      <c r="CC15" s="425"/>
      <c r="CD15" s="426"/>
    </row>
    <row r="16" spans="1:143" customFormat="1"/>
    <row r="17" spans="1:135" customFormat="1"/>
    <row r="18" spans="1:135" customFormat="1">
      <c r="A18" s="885" t="s">
        <v>1090</v>
      </c>
      <c r="B18" s="885"/>
    </row>
    <row r="19" spans="1:135" s="2" customFormat="1" ht="24" customHeight="1">
      <c r="A19" s="22"/>
      <c r="B19" s="20"/>
      <c r="C19" s="20"/>
      <c r="D19"/>
      <c r="E19" s="54"/>
      <c r="F19"/>
      <c r="G19"/>
      <c r="H19"/>
      <c r="I19"/>
      <c r="J19"/>
      <c r="K19"/>
      <c r="L19"/>
      <c r="M19"/>
      <c r="N19"/>
      <c r="O19"/>
      <c r="P19" s="116"/>
      <c r="Q19" s="402"/>
      <c r="R19" s="402"/>
      <c r="S19" s="402"/>
      <c r="T19" s="402"/>
      <c r="U19" s="402"/>
      <c r="V19" s="402"/>
      <c r="W19" s="402"/>
      <c r="X19" s="402"/>
      <c r="Y19" s="434"/>
      <c r="Z19" s="431" t="s">
        <v>128</v>
      </c>
      <c r="AA19" s="432" t="s">
        <v>592</v>
      </c>
      <c r="AB19" s="117"/>
      <c r="AC19" s="746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402"/>
      <c r="AP19" s="402"/>
      <c r="AQ19" s="402"/>
      <c r="AR19" s="402"/>
      <c r="AS19" s="402"/>
      <c r="AT19" s="402"/>
      <c r="AU19" s="117"/>
      <c r="AV19" s="117"/>
      <c r="AW19" s="117"/>
      <c r="AX19" s="117"/>
      <c r="AY19" s="117"/>
      <c r="AZ19" s="402"/>
      <c r="BA19" s="402"/>
      <c r="BB19" s="402"/>
      <c r="BC19" s="402"/>
      <c r="BD19" s="402"/>
      <c r="BE19" s="402"/>
      <c r="BF19" s="402"/>
      <c r="BG19" s="402"/>
      <c r="BH19" s="433"/>
      <c r="BI19" s="433"/>
      <c r="BJ19" s="433"/>
      <c r="BK19" s="433"/>
      <c r="BL19" s="433"/>
      <c r="BM19" s="433"/>
      <c r="BN19" s="402"/>
      <c r="BO19" s="402"/>
      <c r="BP19" s="660"/>
      <c r="BQ19" s="402"/>
      <c r="BR19" s="402"/>
      <c r="BS19" s="402"/>
      <c r="BT19" s="402"/>
      <c r="BU19" s="402"/>
      <c r="BV19" s="402"/>
      <c r="BW19" s="402"/>
      <c r="BX19" s="402"/>
      <c r="BY19" s="402"/>
      <c r="BZ19" s="402"/>
      <c r="CA19" s="402"/>
      <c r="CB19" s="402"/>
      <c r="CC19" s="402"/>
      <c r="CD19" s="410"/>
    </row>
    <row r="20" spans="1:135" customFormat="1"/>
    <row r="21" spans="1:135" customFormat="1"/>
    <row r="22" spans="1:135" customFormat="1">
      <c r="A22" s="885" t="s">
        <v>2372</v>
      </c>
      <c r="B22" s="885"/>
    </row>
    <row r="23" spans="1:135" s="2" customFormat="1" ht="12" customHeight="1">
      <c r="A23" s="22"/>
      <c r="B23" s="20"/>
      <c r="C23" s="20"/>
      <c r="D23"/>
      <c r="E23" s="217" t="s">
        <v>592</v>
      </c>
      <c r="F23" s="827"/>
      <c r="G23" s="828"/>
      <c r="H23" s="828"/>
      <c r="I23" s="828"/>
      <c r="J23" s="825"/>
      <c r="K23" s="825"/>
      <c r="L23" s="825"/>
      <c r="M23" s="825"/>
      <c r="N23" s="852"/>
      <c r="O23" s="825"/>
      <c r="P23" s="643"/>
      <c r="Q23" s="853">
        <f>COUNTIF(AA23:AA24,"О")</f>
        <v>0</v>
      </c>
      <c r="R23" s="440" t="str">
        <f>F23 &amp; ".0"</f>
        <v>.0</v>
      </c>
      <c r="S23" s="402"/>
      <c r="T23" s="402"/>
      <c r="U23" s="402"/>
      <c r="V23" s="402"/>
      <c r="W23" s="402"/>
      <c r="X23" s="402"/>
      <c r="Y23" s="402"/>
      <c r="Z23" s="402"/>
      <c r="AA23" s="411"/>
      <c r="AB23" s="640" t="s">
        <v>831</v>
      </c>
      <c r="AC23" s="425"/>
      <c r="AD23" s="425"/>
      <c r="AE23" s="425"/>
      <c r="AF23" s="425"/>
      <c r="AG23" s="425"/>
      <c r="AH23" s="425"/>
      <c r="AI23" s="425"/>
      <c r="AJ23" s="425"/>
      <c r="AK23" s="425"/>
      <c r="AL23" s="425"/>
      <c r="AM23" s="425"/>
      <c r="AN23" s="425"/>
      <c r="AO23" s="425"/>
      <c r="AP23" s="425"/>
      <c r="AQ23" s="425"/>
      <c r="AR23" s="425"/>
      <c r="AS23" s="425"/>
      <c r="AT23" s="425"/>
      <c r="AU23" s="425"/>
      <c r="AV23" s="425"/>
      <c r="AW23" s="425"/>
      <c r="AX23" s="425"/>
      <c r="AY23" s="425"/>
      <c r="AZ23" s="425"/>
      <c r="BA23" s="425"/>
      <c r="BB23" s="425"/>
      <c r="BC23" s="425"/>
      <c r="BD23" s="425"/>
      <c r="BE23" s="425"/>
      <c r="BF23" s="425"/>
      <c r="BG23" s="425"/>
      <c r="BH23" s="425"/>
      <c r="BI23" s="425"/>
      <c r="BJ23" s="425"/>
      <c r="BK23" s="425"/>
      <c r="BL23" s="425"/>
      <c r="BM23" s="425"/>
      <c r="BN23" s="425"/>
      <c r="BO23" s="425"/>
      <c r="BP23" s="425"/>
      <c r="BQ23" s="425"/>
      <c r="BR23" s="425"/>
      <c r="BS23" s="425"/>
      <c r="BT23" s="425"/>
      <c r="BU23" s="425"/>
      <c r="BV23" s="425"/>
      <c r="BW23" s="425"/>
      <c r="BX23" s="425"/>
      <c r="BY23" s="425"/>
      <c r="BZ23" s="425"/>
      <c r="CA23" s="425"/>
      <c r="CB23" s="425"/>
      <c r="CC23" s="425"/>
      <c r="CD23" s="425"/>
      <c r="CE23" s="425"/>
      <c r="CF23" s="425"/>
      <c r="CG23" s="425"/>
      <c r="CH23" s="425"/>
      <c r="CI23" s="425"/>
      <c r="CJ23" s="425"/>
      <c r="CK23" s="425"/>
      <c r="CL23" s="425"/>
      <c r="CM23" s="425"/>
      <c r="CN23" s="425"/>
      <c r="CO23" s="425"/>
      <c r="CP23" s="425"/>
      <c r="CQ23" s="425"/>
      <c r="CR23" s="425"/>
      <c r="CS23" s="425"/>
      <c r="CT23" s="425"/>
      <c r="CU23" s="425"/>
      <c r="CV23" s="425"/>
      <c r="CW23" s="425"/>
      <c r="CX23" s="425"/>
      <c r="CY23" s="425"/>
      <c r="CZ23" s="425"/>
      <c r="DA23" s="425"/>
      <c r="DB23" s="425"/>
      <c r="DC23" s="425"/>
      <c r="DD23" s="425"/>
      <c r="DE23" s="425"/>
      <c r="DF23" s="425"/>
      <c r="DG23" s="425"/>
      <c r="DH23" s="425"/>
      <c r="DI23" s="425"/>
      <c r="DJ23" s="425"/>
      <c r="DK23" s="425"/>
      <c r="DL23" s="425"/>
      <c r="DM23" s="425"/>
      <c r="DN23" s="425"/>
      <c r="DO23" s="425"/>
      <c r="DP23" s="425"/>
      <c r="DQ23" s="425"/>
      <c r="DR23" s="425"/>
      <c r="DS23" s="425"/>
      <c r="DT23" s="425"/>
      <c r="DU23" s="425"/>
      <c r="DV23" s="425"/>
      <c r="DW23" s="425"/>
      <c r="DX23" s="425"/>
      <c r="DY23" s="425"/>
      <c r="DZ23" s="425"/>
      <c r="EA23" s="425"/>
      <c r="EB23" s="425"/>
      <c r="EC23" s="425"/>
      <c r="ED23" s="425"/>
      <c r="EE23" s="426"/>
    </row>
    <row r="24" spans="1:135" s="2" customFormat="1" ht="11.25" customHeight="1">
      <c r="A24" s="22"/>
      <c r="B24" s="20"/>
      <c r="C24" s="20"/>
      <c r="D24"/>
      <c r="E24" s="54"/>
      <c r="F24" s="827"/>
      <c r="G24" s="828"/>
      <c r="H24" s="828"/>
      <c r="I24" s="828"/>
      <c r="J24" s="825"/>
      <c r="K24" s="825"/>
      <c r="L24" s="825"/>
      <c r="M24" s="825"/>
      <c r="N24" s="852"/>
      <c r="O24" s="825"/>
      <c r="P24" s="643"/>
      <c r="Q24" s="827"/>
      <c r="R24" s="402"/>
      <c r="S24" s="402"/>
      <c r="T24" s="402"/>
      <c r="U24" s="402"/>
      <c r="V24" s="402"/>
      <c r="W24" s="402"/>
      <c r="X24" s="402"/>
      <c r="Y24" s="402"/>
      <c r="Z24" s="402"/>
      <c r="AA24" s="411"/>
      <c r="AB24" s="425"/>
      <c r="AC24" s="644" t="s">
        <v>135</v>
      </c>
      <c r="AD24" s="425"/>
      <c r="AE24" s="425"/>
      <c r="AF24" s="425"/>
      <c r="AG24" s="425"/>
      <c r="AH24" s="425"/>
      <c r="AI24" s="425"/>
      <c r="AJ24" s="425"/>
      <c r="AK24" s="425"/>
      <c r="AL24" s="425"/>
      <c r="AM24" s="425"/>
      <c r="AN24" s="425"/>
      <c r="AO24" s="425"/>
      <c r="AP24" s="425"/>
      <c r="AQ24" s="425"/>
      <c r="AR24" s="425"/>
      <c r="AS24" s="425"/>
      <c r="AT24" s="425"/>
      <c r="AU24" s="425"/>
      <c r="AV24" s="425"/>
      <c r="AW24" s="425"/>
      <c r="AX24" s="425"/>
      <c r="AY24" s="425"/>
      <c r="AZ24" s="425"/>
      <c r="BA24" s="425"/>
      <c r="BB24" s="425"/>
      <c r="BC24" s="425"/>
      <c r="BD24" s="425"/>
      <c r="BE24" s="425"/>
      <c r="BF24" s="425"/>
      <c r="BG24" s="425"/>
      <c r="BH24" s="425"/>
      <c r="BI24" s="425"/>
      <c r="BJ24" s="425"/>
      <c r="BK24" s="425"/>
      <c r="BL24" s="425"/>
      <c r="BM24" s="425"/>
      <c r="BN24" s="425"/>
      <c r="BO24" s="425"/>
      <c r="BP24" s="425"/>
      <c r="BQ24" s="425"/>
      <c r="BR24" s="425"/>
      <c r="BS24" s="425"/>
      <c r="BT24" s="425"/>
      <c r="BU24" s="425"/>
      <c r="BV24" s="425"/>
      <c r="BW24" s="425"/>
      <c r="BX24" s="425"/>
      <c r="BY24" s="425"/>
      <c r="BZ24" s="425"/>
      <c r="CA24" s="425"/>
      <c r="CB24" s="425"/>
      <c r="CC24" s="425"/>
      <c r="CD24" s="425"/>
      <c r="CE24" s="425"/>
      <c r="CF24" s="425"/>
      <c r="CG24" s="425"/>
      <c r="CH24" s="425"/>
      <c r="CI24" s="425"/>
      <c r="CJ24" s="425"/>
      <c r="CK24" s="425"/>
      <c r="CL24" s="425"/>
      <c r="CM24" s="425"/>
      <c r="CN24" s="425"/>
      <c r="CO24" s="425"/>
      <c r="CP24" s="425"/>
      <c r="CQ24" s="425"/>
      <c r="CR24" s="425"/>
      <c r="CS24" s="425"/>
      <c r="CT24" s="425"/>
      <c r="CU24" s="425"/>
      <c r="CV24" s="425"/>
      <c r="CW24" s="425"/>
      <c r="CX24" s="425"/>
      <c r="CY24" s="425"/>
      <c r="CZ24" s="425"/>
      <c r="DA24" s="425"/>
      <c r="DB24" s="425"/>
      <c r="DC24" s="425"/>
      <c r="DD24" s="425"/>
      <c r="DE24" s="425"/>
      <c r="DF24" s="425"/>
      <c r="DG24" s="425"/>
      <c r="DH24" s="425"/>
      <c r="DI24" s="425"/>
      <c r="DJ24" s="425"/>
      <c r="DK24" s="425"/>
      <c r="DL24" s="425"/>
      <c r="DM24" s="425"/>
      <c r="DN24" s="425"/>
      <c r="DO24" s="425"/>
      <c r="DP24" s="425"/>
      <c r="DQ24" s="425"/>
      <c r="DR24" s="425"/>
      <c r="DS24" s="425"/>
      <c r="DT24" s="425"/>
      <c r="DU24" s="425"/>
      <c r="DV24" s="425"/>
      <c r="DW24" s="425"/>
      <c r="DX24" s="425"/>
      <c r="DY24" s="425"/>
      <c r="DZ24" s="425"/>
      <c r="EA24" s="425"/>
      <c r="EB24" s="425"/>
      <c r="EC24" s="425"/>
      <c r="ED24" s="425"/>
      <c r="EE24" s="426"/>
    </row>
    <row r="25" spans="1:135" customFormat="1"/>
    <row r="26" spans="1:135" customFormat="1">
      <c r="A26" s="885" t="s">
        <v>2373</v>
      </c>
      <c r="B26" s="885"/>
    </row>
    <row r="27" spans="1:135" s="2" customFormat="1" ht="11.25" customHeight="1">
      <c r="A27" s="22"/>
      <c r="B27" s="20"/>
      <c r="C27" s="20"/>
      <c r="D27"/>
      <c r="E27" s="54"/>
      <c r="F27"/>
      <c r="G27"/>
      <c r="H27"/>
      <c r="I27"/>
      <c r="J27"/>
      <c r="K27"/>
      <c r="L27"/>
      <c r="M27"/>
      <c r="N27"/>
      <c r="O27"/>
      <c r="P27" s="907"/>
      <c r="Q27"/>
      <c r="R27" s="890"/>
      <c r="S27" s="890"/>
      <c r="T27" s="890"/>
      <c r="U27" s="890"/>
      <c r="V27" s="890"/>
      <c r="W27" s="890"/>
      <c r="X27" s="890"/>
      <c r="Y27" s="890"/>
      <c r="Z27" s="906"/>
      <c r="AA27" s="895" t="s">
        <v>592</v>
      </c>
      <c r="AB27" s="897"/>
      <c r="AC27" s="899" t="s">
        <v>2374</v>
      </c>
      <c r="AD27" s="900"/>
      <c r="AE27" s="899"/>
      <c r="AF27" s="902"/>
      <c r="AG27" s="890"/>
      <c r="AH27" s="904" t="s">
        <v>2473</v>
      </c>
      <c r="AI27" s="888"/>
      <c r="AJ27" s="888"/>
      <c r="AK27" s="890"/>
      <c r="AL27" s="892"/>
      <c r="AM27" s="890"/>
      <c r="AN27" s="892"/>
      <c r="AO27" s="894"/>
      <c r="AP27" s="892"/>
      <c r="AQ27" s="892"/>
      <c r="AR27" s="892"/>
      <c r="AS27" s="402"/>
      <c r="AT27" s="402"/>
      <c r="AU27" s="879"/>
      <c r="AV27" s="879"/>
      <c r="AW27" s="879"/>
      <c r="AX27" s="879"/>
      <c r="AY27" s="402"/>
      <c r="AZ27" s="402"/>
      <c r="BA27" s="879"/>
      <c r="BB27" s="879"/>
      <c r="BC27" s="879"/>
      <c r="BD27" s="879"/>
      <c r="BE27" s="402"/>
      <c r="BF27" s="402"/>
      <c r="BG27" s="879"/>
      <c r="BH27" s="879"/>
      <c r="BI27" s="879"/>
      <c r="BJ27" s="879"/>
      <c r="BK27" s="402"/>
      <c r="BL27" s="402"/>
      <c r="BM27" s="879"/>
      <c r="BN27" s="879"/>
      <c r="BO27" s="879"/>
      <c r="BP27" s="879"/>
      <c r="BQ27" s="879"/>
      <c r="BR27" s="879"/>
      <c r="BS27" s="879"/>
      <c r="BT27" s="879"/>
      <c r="BU27" s="879"/>
      <c r="BV27" s="879"/>
      <c r="BW27" s="879"/>
      <c r="BX27" s="879"/>
      <c r="BY27" s="879"/>
      <c r="BZ27" s="879"/>
      <c r="CA27" s="879"/>
      <c r="CB27" s="886"/>
      <c r="CC27" s="879"/>
      <c r="CD27" s="879"/>
      <c r="CE27" s="879"/>
      <c r="CF27" s="879"/>
      <c r="CG27" s="879"/>
      <c r="CH27" s="402"/>
      <c r="CI27" s="402"/>
      <c r="CJ27" s="402"/>
      <c r="CK27" s="883">
        <f>SUM(CL27,CQ27,CW27,DA27,DE27)</f>
        <v>0</v>
      </c>
      <c r="CL27" s="883">
        <f>SUM(CM27:CP28)</f>
        <v>0</v>
      </c>
      <c r="CM27" s="875"/>
      <c r="CN27" s="875"/>
      <c r="CO27" s="875"/>
      <c r="CP27" s="875"/>
      <c r="CQ27" s="883">
        <f>SUM(CR27:CV28)</f>
        <v>0</v>
      </c>
      <c r="CR27" s="875"/>
      <c r="CS27" s="883">
        <f>SUM(CT27:CU28)</f>
        <v>0</v>
      </c>
      <c r="CT27" s="875"/>
      <c r="CU27" s="875"/>
      <c r="CV27" s="875"/>
      <c r="CW27" s="883">
        <f>SUM(CX27:CZ28)</f>
        <v>0</v>
      </c>
      <c r="CX27" s="875"/>
      <c r="CY27" s="875"/>
      <c r="CZ27" s="881"/>
      <c r="DA27" s="883">
        <f>SUM(DB27:DG28)</f>
        <v>0</v>
      </c>
      <c r="DB27" s="875"/>
      <c r="DC27" s="875"/>
      <c r="DD27" s="877"/>
      <c r="DE27" s="877"/>
      <c r="DF27" s="598"/>
      <c r="DG27" s="598"/>
      <c r="DH27" s="425"/>
      <c r="DI27" s="640" t="s">
        <v>831</v>
      </c>
      <c r="DJ27" s="425"/>
      <c r="DK27" s="425"/>
      <c r="DL27" s="425"/>
      <c r="DM27" s="425"/>
      <c r="DN27" s="425"/>
      <c r="DO27" s="425"/>
      <c r="DP27" s="425"/>
      <c r="DQ27" s="425"/>
      <c r="DR27" s="425"/>
      <c r="DS27" s="247">
        <f>SUM(DM27:DM28)</f>
        <v>0</v>
      </c>
      <c r="DT27" s="247">
        <f>SUM(DN27:DN28)</f>
        <v>0</v>
      </c>
      <c r="DU27" s="247" t="str">
        <f>IF(DS27=BM27,"OK","ALARM")</f>
        <v>OK</v>
      </c>
      <c r="DV27" s="247" t="str">
        <f>IF(DT27=CK27,"OK","ALARM")</f>
        <v>OK</v>
      </c>
      <c r="DW27" s="247" t="str">
        <f>IF(OR(AND(BG27&lt;=0,COMPARE_DATES(AI27,"01.01.2024","&lt;")),AND(BG27&gt;0,COMPARE_DATES(AI27,"01.01.2024","&gt;="))),"ALARM","OK")</f>
        <v>ALARM</v>
      </c>
      <c r="DX27" s="247" t="str">
        <f>IF(BM27&lt;=0,"ALARM","OK")</f>
        <v>ALARM</v>
      </c>
      <c r="DY27" s="247" t="str">
        <f>IF(CK27&lt;=0,"ALARM","OK")</f>
        <v>ALARM</v>
      </c>
      <c r="DZ27" s="247" t="str">
        <f>IF(AU27&lt;=0,"ALARM","OK")</f>
        <v>ALARM</v>
      </c>
      <c r="EA27" s="247" t="str">
        <f>IF(AU27&lt;(BG27+CK27),"ALARM","OK")</f>
        <v>OK</v>
      </c>
      <c r="EB27" s="247" t="str">
        <f>IF(AU27&lt;(BA27+BM27),"ALARM","OK")</f>
        <v>OK</v>
      </c>
      <c r="EC27" s="425"/>
      <c r="ED27" s="425"/>
      <c r="EE27" s="426"/>
    </row>
    <row r="28" spans="1:135" s="2" customFormat="1" ht="11.25" customHeight="1">
      <c r="A28" s="22"/>
      <c r="B28" s="20"/>
      <c r="C28" s="20"/>
      <c r="D28"/>
      <c r="E28" s="54"/>
      <c r="F28"/>
      <c r="G28"/>
      <c r="H28"/>
      <c r="I28"/>
      <c r="J28"/>
      <c r="K28"/>
      <c r="L28"/>
      <c r="M28"/>
      <c r="N28"/>
      <c r="O28"/>
      <c r="P28" s="907"/>
      <c r="Q28"/>
      <c r="R28" s="891"/>
      <c r="S28" s="891"/>
      <c r="T28" s="891"/>
      <c r="U28" s="891"/>
      <c r="V28" s="891"/>
      <c r="W28" s="891"/>
      <c r="X28" s="891"/>
      <c r="Y28" s="891"/>
      <c r="Z28" s="906"/>
      <c r="AA28" s="896"/>
      <c r="AB28" s="898"/>
      <c r="AC28" s="899"/>
      <c r="AD28" s="828"/>
      <c r="AE28" s="901"/>
      <c r="AF28" s="903"/>
      <c r="AG28" s="891"/>
      <c r="AH28" s="905"/>
      <c r="AI28" s="889"/>
      <c r="AJ28" s="889"/>
      <c r="AK28" s="891"/>
      <c r="AL28" s="893"/>
      <c r="AM28" s="891"/>
      <c r="AN28" s="893"/>
      <c r="AO28" s="894"/>
      <c r="AP28" s="893"/>
      <c r="AQ28" s="893"/>
      <c r="AR28" s="893"/>
      <c r="AS28" s="402"/>
      <c r="AT28" s="402"/>
      <c r="AU28" s="880"/>
      <c r="AV28" s="880"/>
      <c r="AW28" s="880"/>
      <c r="AX28" s="880"/>
      <c r="AY28" s="402"/>
      <c r="AZ28" s="402"/>
      <c r="BA28" s="880"/>
      <c r="BB28" s="880"/>
      <c r="BC28" s="880"/>
      <c r="BD28" s="880"/>
      <c r="BE28" s="402"/>
      <c r="BF28" s="402"/>
      <c r="BG28" s="880"/>
      <c r="BH28" s="880"/>
      <c r="BI28" s="880"/>
      <c r="BJ28" s="880"/>
      <c r="BK28" s="402"/>
      <c r="BL28" s="402"/>
      <c r="BM28" s="880"/>
      <c r="BN28" s="880"/>
      <c r="BO28" s="880"/>
      <c r="BP28" s="880"/>
      <c r="BQ28" s="880"/>
      <c r="BR28" s="880"/>
      <c r="BS28" s="880"/>
      <c r="BT28" s="880"/>
      <c r="BU28" s="880"/>
      <c r="BV28" s="880"/>
      <c r="BW28" s="880"/>
      <c r="BX28" s="880"/>
      <c r="BY28" s="880"/>
      <c r="BZ28" s="880"/>
      <c r="CA28" s="880"/>
      <c r="CB28" s="887"/>
      <c r="CC28" s="880"/>
      <c r="CD28" s="880"/>
      <c r="CE28" s="880"/>
      <c r="CF28" s="880"/>
      <c r="CG28" s="880"/>
      <c r="CH28" s="402"/>
      <c r="CI28" s="402"/>
      <c r="CJ28" s="402"/>
      <c r="CK28" s="884"/>
      <c r="CL28" s="884"/>
      <c r="CM28" s="876"/>
      <c r="CN28" s="876"/>
      <c r="CO28" s="876"/>
      <c r="CP28" s="876"/>
      <c r="CQ28" s="884"/>
      <c r="CR28" s="876"/>
      <c r="CS28" s="884"/>
      <c r="CT28" s="876"/>
      <c r="CU28" s="876"/>
      <c r="CV28" s="876"/>
      <c r="CW28" s="884"/>
      <c r="CX28" s="876"/>
      <c r="CY28" s="876"/>
      <c r="CZ28" s="882"/>
      <c r="DA28" s="884"/>
      <c r="DB28" s="876"/>
      <c r="DC28" s="876"/>
      <c r="DD28" s="878"/>
      <c r="DE28" s="878"/>
      <c r="DF28" s="598"/>
      <c r="DG28" s="598"/>
      <c r="DH28" s="425"/>
      <c r="DI28" s="645"/>
      <c r="DJ28" s="644" t="s">
        <v>2375</v>
      </c>
      <c r="DK28" s="425"/>
      <c r="DL28" s="425"/>
      <c r="DM28" s="425"/>
      <c r="DN28" s="425"/>
      <c r="DO28" s="425"/>
      <c r="DP28" s="425"/>
      <c r="DQ28" s="425"/>
      <c r="DR28" s="425"/>
      <c r="DS28" s="425"/>
      <c r="DT28" s="425"/>
      <c r="DU28" s="425"/>
      <c r="DV28" s="425"/>
      <c r="DW28" s="425"/>
      <c r="DX28" s="425"/>
      <c r="DY28" s="425"/>
      <c r="DZ28" s="425"/>
      <c r="EA28" s="425"/>
      <c r="EB28" s="425"/>
      <c r="EC28" s="425"/>
      <c r="ED28" s="425"/>
      <c r="EE28" s="426"/>
    </row>
    <row r="29" spans="1:135" customFormat="1"/>
    <row r="30" spans="1:135" customFormat="1">
      <c r="A30" s="885" t="s">
        <v>2376</v>
      </c>
      <c r="B30" s="885"/>
    </row>
    <row r="31" spans="1:135" s="2" customFormat="1" ht="24" customHeight="1">
      <c r="A31" s="22"/>
      <c r="B31" s="20"/>
      <c r="C31" s="20"/>
      <c r="D31"/>
      <c r="E31" s="54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 s="402"/>
      <c r="AT31" s="402"/>
      <c r="AU31"/>
      <c r="AV31"/>
      <c r="AW31"/>
      <c r="AX31"/>
      <c r="AY31" s="402"/>
      <c r="AZ31" s="402"/>
      <c r="BA31"/>
      <c r="BB31"/>
      <c r="BC31"/>
      <c r="BD31"/>
      <c r="BE31" s="402"/>
      <c r="BF31" s="402"/>
      <c r="BG31"/>
      <c r="BH31"/>
      <c r="BI31"/>
      <c r="BJ31"/>
      <c r="BK31" s="402"/>
      <c r="BL31" s="402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 s="402"/>
      <c r="CJ31" s="402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 s="598"/>
      <c r="DH31" s="646" t="s">
        <v>592</v>
      </c>
      <c r="DI31" s="647"/>
      <c r="DJ31" s="597"/>
      <c r="DK31" s="402"/>
      <c r="DL31" s="402"/>
      <c r="DM31" s="651"/>
      <c r="DN31" s="648"/>
      <c r="DO31" s="402"/>
      <c r="DP31" s="650"/>
      <c r="DQ31" s="402"/>
      <c r="DR31" s="402"/>
      <c r="DS31" s="402"/>
      <c r="DT31" s="402"/>
      <c r="DU31" s="402"/>
      <c r="DV31" s="402"/>
      <c r="DW31" s="402"/>
      <c r="DX31" s="402"/>
      <c r="DY31" s="402"/>
      <c r="DZ31" s="402"/>
      <c r="EA31" s="402"/>
      <c r="EB31" s="402"/>
      <c r="EC31" s="402"/>
      <c r="ED31" s="402"/>
      <c r="EE31" s="649"/>
    </row>
    <row r="33" spans="1:87" customFormat="1">
      <c r="A33" s="885" t="s">
        <v>2540</v>
      </c>
      <c r="B33" s="885"/>
    </row>
    <row r="34" spans="1:87" s="2" customFormat="1" ht="12" customHeight="1">
      <c r="A34" s="22"/>
      <c r="B34" s="20"/>
      <c r="C34" s="20"/>
      <c r="D34"/>
      <c r="E34" s="217" t="s">
        <v>592</v>
      </c>
      <c r="F34" s="827"/>
      <c r="G34" s="828"/>
      <c r="H34" s="828"/>
      <c r="I34" s="828"/>
      <c r="J34" s="825"/>
      <c r="K34" s="825"/>
      <c r="L34" s="825"/>
      <c r="M34" s="825"/>
      <c r="N34" s="852"/>
      <c r="O34" s="825"/>
      <c r="P34" s="643"/>
      <c r="Q34" s="826">
        <f>ROW(P35)-ROW(P34)-1</f>
        <v>0</v>
      </c>
      <c r="R34" s="440" t="str">
        <f>F34 &amp; ".0"</f>
        <v>.0</v>
      </c>
      <c r="S34" s="402"/>
      <c r="T34" s="402"/>
      <c r="U34" s="402"/>
      <c r="V34" s="402"/>
      <c r="W34" s="402"/>
      <c r="X34" s="440">
        <f>F34</f>
        <v>0</v>
      </c>
      <c r="Y34" s="402"/>
      <c r="Z34" s="402"/>
      <c r="AA34" s="411"/>
      <c r="AB34" s="640" t="s">
        <v>831</v>
      </c>
      <c r="AC34" s="425"/>
      <c r="AD34" s="425"/>
      <c r="AE34" s="425"/>
      <c r="AF34" s="425"/>
      <c r="AG34" s="425"/>
      <c r="AH34" s="425"/>
      <c r="AI34" s="425"/>
      <c r="AJ34" s="425"/>
      <c r="AK34" s="425"/>
      <c r="AL34" s="425"/>
      <c r="AM34" s="425"/>
      <c r="AN34" s="425"/>
      <c r="AO34" s="425"/>
      <c r="AP34" s="425"/>
      <c r="AQ34" s="425"/>
      <c r="AR34" s="425"/>
      <c r="AS34" s="425"/>
      <c r="AT34" s="425"/>
      <c r="AU34" s="425"/>
      <c r="AV34" s="425"/>
      <c r="AW34" s="425"/>
      <c r="AX34" s="425"/>
      <c r="AY34" s="425"/>
      <c r="AZ34" s="425"/>
      <c r="BA34" s="425"/>
      <c r="BB34" s="425"/>
      <c r="BC34" s="425"/>
      <c r="BD34" s="425"/>
      <c r="BE34" s="425"/>
      <c r="BF34" s="425"/>
      <c r="BG34" s="425"/>
      <c r="BH34" s="425"/>
      <c r="BI34" s="425"/>
      <c r="BJ34" s="425"/>
      <c r="BK34" s="425"/>
      <c r="BL34" s="425"/>
      <c r="BM34" s="425"/>
      <c r="BN34" s="425"/>
      <c r="BO34" s="425"/>
      <c r="BP34" s="425"/>
      <c r="BQ34" s="425"/>
      <c r="BR34" s="425"/>
      <c r="BS34" s="425"/>
      <c r="BT34" s="425"/>
      <c r="BU34" s="425"/>
      <c r="BV34" s="425"/>
      <c r="BW34" s="425"/>
      <c r="BX34" s="425"/>
      <c r="BY34" s="425"/>
      <c r="BZ34" s="425"/>
      <c r="CA34" s="425"/>
      <c r="CB34" s="425"/>
      <c r="CC34" s="425"/>
      <c r="CD34" s="425"/>
      <c r="CE34" s="425"/>
      <c r="CF34" s="425"/>
      <c r="CG34" s="425"/>
      <c r="CH34" s="425"/>
      <c r="CI34" s="426"/>
    </row>
    <row r="35" spans="1:87" s="2" customFormat="1" ht="11.25" customHeight="1">
      <c r="A35" s="22"/>
      <c r="B35" s="20"/>
      <c r="C35" s="20"/>
      <c r="D35"/>
      <c r="E35" s="54"/>
      <c r="F35" s="827"/>
      <c r="G35" s="828"/>
      <c r="H35" s="828"/>
      <c r="I35" s="828"/>
      <c r="J35" s="825"/>
      <c r="K35" s="825"/>
      <c r="L35" s="825"/>
      <c r="M35" s="825"/>
      <c r="N35" s="852"/>
      <c r="O35" s="825"/>
      <c r="P35" s="643"/>
      <c r="Q35" s="827"/>
      <c r="R35" s="402"/>
      <c r="S35" s="402"/>
      <c r="T35" s="402"/>
      <c r="U35" s="402"/>
      <c r="V35" s="402"/>
      <c r="W35" s="402"/>
      <c r="X35" s="402"/>
      <c r="Y35" s="402"/>
      <c r="Z35" s="402"/>
      <c r="AA35" s="411"/>
      <c r="AB35" s="425"/>
      <c r="AC35" s="664" t="s">
        <v>135</v>
      </c>
      <c r="AD35" s="425"/>
      <c r="AE35" s="425"/>
      <c r="AF35" s="425"/>
      <c r="AG35" s="425"/>
      <c r="AH35" s="425"/>
      <c r="AI35" s="425"/>
      <c r="AJ35" s="425"/>
      <c r="AK35" s="425"/>
      <c r="AL35" s="425"/>
      <c r="AM35" s="425"/>
      <c r="AN35" s="425"/>
      <c r="AO35" s="425"/>
      <c r="AP35" s="425"/>
      <c r="AQ35" s="425"/>
      <c r="AR35" s="425"/>
      <c r="AS35" s="425"/>
      <c r="AT35" s="425"/>
      <c r="AU35" s="425"/>
      <c r="AV35" s="425"/>
      <c r="AW35" s="425"/>
      <c r="AX35" s="425"/>
      <c r="AY35" s="425"/>
      <c r="AZ35" s="425"/>
      <c r="BA35" s="425"/>
      <c r="BB35" s="425"/>
      <c r="BC35" s="425"/>
      <c r="BD35" s="425"/>
      <c r="BE35" s="425"/>
      <c r="BF35" s="425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25"/>
      <c r="BZ35" s="425"/>
      <c r="CA35" s="425"/>
      <c r="CB35" s="425"/>
      <c r="CC35" s="425"/>
      <c r="CD35" s="425"/>
      <c r="CE35" s="425"/>
      <c r="CF35" s="425"/>
      <c r="CG35" s="425"/>
      <c r="CH35" s="425"/>
      <c r="CI35" s="426"/>
    </row>
    <row r="36" spans="1:87" customFormat="1"/>
    <row r="37" spans="1:87" customFormat="1">
      <c r="A37" s="885" t="s">
        <v>2553</v>
      </c>
      <c r="B37" s="885"/>
    </row>
    <row r="38" spans="1:87" s="2" customFormat="1" ht="12" customHeight="1">
      <c r="A38" s="22"/>
      <c r="B38" s="20"/>
      <c r="C38" s="20"/>
      <c r="D38"/>
      <c r="E38" s="217" t="s">
        <v>592</v>
      </c>
      <c r="F38" s="827"/>
      <c r="G38" s="828"/>
      <c r="H38" s="828"/>
      <c r="I38" s="828"/>
      <c r="J38" s="825"/>
      <c r="K38" s="825"/>
      <c r="L38" s="825"/>
      <c r="M38" s="825"/>
      <c r="N38" s="852"/>
      <c r="O38" s="825"/>
      <c r="P38" s="643"/>
      <c r="Q38" s="826">
        <f>ROW(P39)-ROW(P38)-1</f>
        <v>0</v>
      </c>
      <c r="R38" s="440" t="str">
        <f>F38 &amp; ".0"</f>
        <v>.0</v>
      </c>
      <c r="S38" s="402"/>
      <c r="T38" s="402"/>
      <c r="U38" s="402"/>
      <c r="V38" s="402"/>
      <c r="W38" s="402"/>
      <c r="X38" s="440">
        <f>F38</f>
        <v>0</v>
      </c>
      <c r="Y38" s="402"/>
      <c r="Z38" s="402"/>
      <c r="AA38" s="411"/>
      <c r="AB38" s="640" t="s">
        <v>831</v>
      </c>
      <c r="AC38" s="425"/>
      <c r="AD38" s="425"/>
      <c r="AE38" s="425"/>
      <c r="AF38" s="425"/>
      <c r="AG38" s="425"/>
      <c r="AH38" s="425"/>
      <c r="AI38" s="425"/>
      <c r="AJ38" s="425"/>
      <c r="AK38" s="425"/>
      <c r="AL38" s="425"/>
      <c r="AM38" s="425"/>
      <c r="AN38" s="425"/>
      <c r="AO38" s="425"/>
      <c r="AP38" s="425"/>
      <c r="AQ38" s="665">
        <f>SUMIF(БПр!$C$131:$C$160,$R38,БПр!$S$131:$S$160)+SUMIF(БПр!$C$131:$C$160,$R38,БПр!$AW$131:$AW$160)+SUMIF(БТр!$C$131:$C$160,$R38,БТр!$S$131:$S$160)</f>
        <v>0</v>
      </c>
      <c r="AR38" s="425"/>
      <c r="AS38" s="425"/>
      <c r="AT38" s="425"/>
      <c r="AU38" s="425"/>
      <c r="AV38" s="425"/>
      <c r="AW38" s="425"/>
      <c r="AX38" s="425"/>
      <c r="AY38" s="425"/>
      <c r="AZ38" s="425"/>
      <c r="BA38" s="425"/>
      <c r="BB38" s="425"/>
      <c r="BC38" s="425"/>
      <c r="BD38" s="425"/>
      <c r="BE38" s="425"/>
      <c r="BF38" s="425"/>
      <c r="BG38" s="425"/>
      <c r="BH38" s="425"/>
      <c r="BI38" s="425"/>
      <c r="BJ38" s="425"/>
      <c r="BK38" s="425"/>
      <c r="BL38" s="425"/>
      <c r="BM38" s="425"/>
      <c r="BN38" s="425"/>
      <c r="BO38" s="425"/>
      <c r="BP38" s="425"/>
      <c r="BQ38" s="425"/>
      <c r="BR38" s="425"/>
      <c r="BS38" s="425"/>
      <c r="BT38" s="425"/>
      <c r="BU38" s="425"/>
      <c r="BV38" s="425"/>
      <c r="BW38" s="425"/>
      <c r="BX38" s="425"/>
      <c r="BY38" s="425"/>
      <c r="BZ38" s="425"/>
      <c r="CA38" s="425"/>
      <c r="CB38" s="425"/>
      <c r="CC38" s="425"/>
      <c r="CD38" s="425"/>
      <c r="CE38" s="425"/>
      <c r="CF38" s="425"/>
      <c r="CG38" s="425"/>
      <c r="CH38" s="425"/>
      <c r="CI38" s="426"/>
    </row>
    <row r="39" spans="1:87" s="2" customFormat="1" ht="11.25" customHeight="1">
      <c r="A39" s="22"/>
      <c r="B39" s="20"/>
      <c r="C39" s="20"/>
      <c r="D39"/>
      <c r="E39" s="54"/>
      <c r="F39" s="827"/>
      <c r="G39" s="828"/>
      <c r="H39" s="828"/>
      <c r="I39" s="828"/>
      <c r="J39" s="825"/>
      <c r="K39" s="825"/>
      <c r="L39" s="825"/>
      <c r="M39" s="825"/>
      <c r="N39" s="852"/>
      <c r="O39" s="825"/>
      <c r="P39" s="643"/>
      <c r="Q39" s="827"/>
      <c r="R39" s="402"/>
      <c r="S39" s="402"/>
      <c r="T39" s="402"/>
      <c r="U39" s="402"/>
      <c r="V39" s="402"/>
      <c r="W39" s="402"/>
      <c r="X39" s="402"/>
      <c r="Y39" s="402"/>
      <c r="Z39" s="402"/>
      <c r="AA39" s="411"/>
      <c r="AB39" s="425"/>
      <c r="AC39" s="664" t="s">
        <v>135</v>
      </c>
      <c r="AD39" s="425"/>
      <c r="AE39" s="425"/>
      <c r="AF39" s="425"/>
      <c r="AG39" s="425"/>
      <c r="AH39" s="425"/>
      <c r="AI39" s="425"/>
      <c r="AJ39" s="425"/>
      <c r="AK39" s="425"/>
      <c r="AL39" s="425"/>
      <c r="AM39" s="425"/>
      <c r="AN39" s="425"/>
      <c r="AO39" s="425"/>
      <c r="AP39" s="425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5"/>
      <c r="BE39" s="425"/>
      <c r="BF39" s="425"/>
      <c r="BG39" s="425"/>
      <c r="BH39" s="425"/>
      <c r="BI39" s="425"/>
      <c r="BJ39" s="425"/>
      <c r="BK39" s="425"/>
      <c r="BL39" s="425"/>
      <c r="BM39" s="425"/>
      <c r="BN39" s="425"/>
      <c r="BO39" s="425"/>
      <c r="BP39" s="425"/>
      <c r="BQ39" s="425"/>
      <c r="BR39" s="425"/>
      <c r="BS39" s="425"/>
      <c r="BT39" s="425"/>
      <c r="BU39" s="425"/>
      <c r="BV39" s="425"/>
      <c r="BW39" s="425"/>
      <c r="BX39" s="425"/>
      <c r="BY39" s="425"/>
      <c r="BZ39" s="425"/>
      <c r="CA39" s="425"/>
      <c r="CB39" s="425"/>
      <c r="CC39" s="425"/>
      <c r="CD39" s="425"/>
      <c r="CE39" s="425"/>
      <c r="CF39" s="425"/>
      <c r="CG39" s="425"/>
      <c r="CH39" s="425"/>
      <c r="CI39" s="426"/>
    </row>
    <row r="40" spans="1:87" customFormat="1"/>
    <row r="41" spans="1:87" customFormat="1">
      <c r="A41" s="885" t="s">
        <v>2554</v>
      </c>
      <c r="B41" s="885"/>
    </row>
    <row r="42" spans="1:87" s="2" customFormat="1" ht="12" customHeight="1">
      <c r="A42" s="22"/>
      <c r="B42" s="20"/>
      <c r="C42" s="20"/>
      <c r="D42"/>
      <c r="E42" s="217" t="s">
        <v>592</v>
      </c>
      <c r="F42" s="827"/>
      <c r="G42" s="828"/>
      <c r="H42" s="828"/>
      <c r="I42" s="828"/>
      <c r="J42" s="825"/>
      <c r="K42" s="825"/>
      <c r="L42" s="825"/>
      <c r="M42" s="825"/>
      <c r="N42" s="852"/>
      <c r="O42" s="825"/>
      <c r="P42" s="643"/>
      <c r="Q42" s="826">
        <f>ROW(P43)-ROW(P42)-1</f>
        <v>0</v>
      </c>
      <c r="R42" s="440" t="str">
        <f>F42 &amp; ".0"</f>
        <v>.0</v>
      </c>
      <c r="S42" s="402"/>
      <c r="T42" s="402"/>
      <c r="U42" s="402"/>
      <c r="V42" s="402"/>
      <c r="W42" s="402"/>
      <c r="X42" s="440">
        <f>F42</f>
        <v>0</v>
      </c>
      <c r="Y42" s="402"/>
      <c r="Z42" s="402"/>
      <c r="AA42" s="411"/>
      <c r="AB42" s="640" t="s">
        <v>831</v>
      </c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25"/>
      <c r="AO42" s="425"/>
      <c r="AP42" s="425"/>
      <c r="AQ42" s="665">
        <f>SUMIF(ХВС.БПр!$C$131:$C$132,$R42,ХВС.БПр!$AJ$131:$AJ$132)+SUMIF(ХВС.БТр!$C$131:$C$132,$R42,ХВС.БТр!$X$131:$X$132)</f>
        <v>0</v>
      </c>
      <c r="AR42" s="425"/>
      <c r="AS42" s="425"/>
      <c r="AT42" s="425"/>
      <c r="AU42" s="425"/>
      <c r="AV42" s="425"/>
      <c r="AW42" s="425"/>
      <c r="AX42" s="425"/>
      <c r="AY42" s="425"/>
      <c r="AZ42" s="425"/>
      <c r="BA42" s="425"/>
      <c r="BB42" s="425"/>
      <c r="BC42" s="425"/>
      <c r="BD42" s="425"/>
      <c r="BE42" s="425"/>
      <c r="BF42" s="425"/>
      <c r="BG42" s="425"/>
      <c r="BH42" s="425"/>
      <c r="BI42" s="425"/>
      <c r="BJ42" s="425"/>
      <c r="BK42" s="425"/>
      <c r="BL42" s="425"/>
      <c r="BM42" s="425"/>
      <c r="BN42" s="425"/>
      <c r="BO42" s="425"/>
      <c r="BP42" s="425"/>
      <c r="BQ42" s="425"/>
      <c r="BR42" s="425"/>
      <c r="BS42" s="425"/>
      <c r="BT42" s="425"/>
      <c r="BU42" s="425"/>
      <c r="BV42" s="425"/>
      <c r="BW42" s="425"/>
      <c r="BX42" s="425"/>
      <c r="BY42" s="425"/>
      <c r="BZ42" s="425"/>
      <c r="CA42" s="425"/>
      <c r="CB42" s="425"/>
      <c r="CC42" s="425"/>
      <c r="CD42" s="425"/>
      <c r="CE42" s="425"/>
      <c r="CF42" s="425"/>
      <c r="CG42" s="425"/>
      <c r="CH42" s="425"/>
      <c r="CI42" s="426"/>
    </row>
    <row r="43" spans="1:87" s="2" customFormat="1" ht="11.25" customHeight="1">
      <c r="A43" s="22"/>
      <c r="B43" s="20"/>
      <c r="C43" s="20"/>
      <c r="D43"/>
      <c r="E43" s="54"/>
      <c r="F43" s="827"/>
      <c r="G43" s="828"/>
      <c r="H43" s="828"/>
      <c r="I43" s="828"/>
      <c r="J43" s="825"/>
      <c r="K43" s="825"/>
      <c r="L43" s="825"/>
      <c r="M43" s="825"/>
      <c r="N43" s="852"/>
      <c r="O43" s="825"/>
      <c r="P43" s="643"/>
      <c r="Q43" s="827"/>
      <c r="R43" s="402"/>
      <c r="S43" s="402"/>
      <c r="T43" s="402"/>
      <c r="U43" s="402"/>
      <c r="V43" s="402"/>
      <c r="W43" s="402"/>
      <c r="X43" s="402"/>
      <c r="Y43" s="402"/>
      <c r="Z43" s="402"/>
      <c r="AA43" s="411"/>
      <c r="AB43" s="425"/>
      <c r="AC43" s="664" t="s">
        <v>135</v>
      </c>
      <c r="AD43" s="425"/>
      <c r="AE43" s="425"/>
      <c r="AF43" s="425"/>
      <c r="AG43" s="425"/>
      <c r="AH43" s="425"/>
      <c r="AI43" s="425"/>
      <c r="AJ43" s="425"/>
      <c r="AK43" s="425"/>
      <c r="AL43" s="425"/>
      <c r="AM43" s="425"/>
      <c r="AN43" s="425"/>
      <c r="AO43" s="425"/>
      <c r="AP43" s="425"/>
      <c r="AQ43" s="425"/>
      <c r="AR43" s="425"/>
      <c r="AS43" s="425"/>
      <c r="AT43" s="425"/>
      <c r="AU43" s="425"/>
      <c r="AV43" s="425"/>
      <c r="AW43" s="425"/>
      <c r="AX43" s="425"/>
      <c r="AY43" s="425"/>
      <c r="AZ43" s="425"/>
      <c r="BA43" s="425"/>
      <c r="BB43" s="425"/>
      <c r="BC43" s="425"/>
      <c r="BD43" s="425"/>
      <c r="BE43" s="425"/>
      <c r="BF43" s="425"/>
      <c r="BG43" s="425"/>
      <c r="BH43" s="425"/>
      <c r="BI43" s="425"/>
      <c r="BJ43" s="425"/>
      <c r="BK43" s="425"/>
      <c r="BL43" s="425"/>
      <c r="BM43" s="425"/>
      <c r="BN43" s="425"/>
      <c r="BO43" s="425"/>
      <c r="BP43" s="425"/>
      <c r="BQ43" s="425"/>
      <c r="BR43" s="425"/>
      <c r="BS43" s="425"/>
      <c r="BT43" s="425"/>
      <c r="BU43" s="425"/>
      <c r="BV43" s="425"/>
      <c r="BW43" s="425"/>
      <c r="BX43" s="425"/>
      <c r="BY43" s="425"/>
      <c r="BZ43" s="425"/>
      <c r="CA43" s="425"/>
      <c r="CB43" s="425"/>
      <c r="CC43" s="425"/>
      <c r="CD43" s="425"/>
      <c r="CE43" s="425"/>
      <c r="CF43" s="425"/>
      <c r="CG43" s="425"/>
      <c r="CH43" s="425"/>
      <c r="CI43" s="426"/>
    </row>
    <row r="44" spans="1:87" customFormat="1"/>
    <row r="45" spans="1:87" customFormat="1">
      <c r="A45" s="885" t="s">
        <v>2555</v>
      </c>
      <c r="B45" s="885"/>
    </row>
    <row r="46" spans="1:87" s="2" customFormat="1" ht="12" customHeight="1">
      <c r="A46" s="22"/>
      <c r="B46" s="20"/>
      <c r="C46" s="20"/>
      <c r="D46"/>
      <c r="E46" s="217" t="s">
        <v>592</v>
      </c>
      <c r="F46" s="827"/>
      <c r="G46" s="828"/>
      <c r="H46" s="828"/>
      <c r="I46" s="828"/>
      <c r="J46" s="825"/>
      <c r="K46" s="825"/>
      <c r="L46" s="825"/>
      <c r="M46" s="825"/>
      <c r="N46" s="852"/>
      <c r="O46" s="825"/>
      <c r="P46" s="643"/>
      <c r="Q46" s="826">
        <f>ROW(P47)-ROW(P46)-1</f>
        <v>0</v>
      </c>
      <c r="R46" s="440" t="str">
        <f>F46 &amp; ".0"</f>
        <v>.0</v>
      </c>
      <c r="S46" s="402"/>
      <c r="T46" s="402"/>
      <c r="U46" s="402"/>
      <c r="V46" s="402"/>
      <c r="W46" s="402"/>
      <c r="X46" s="440">
        <f>F46</f>
        <v>0</v>
      </c>
      <c r="Y46" s="402"/>
      <c r="Z46" s="402"/>
      <c r="AA46" s="411"/>
      <c r="AB46" s="640" t="s">
        <v>831</v>
      </c>
      <c r="AC46" s="425"/>
      <c r="AD46" s="425"/>
      <c r="AE46" s="425"/>
      <c r="AF46" s="425"/>
      <c r="AG46" s="425"/>
      <c r="AH46" s="425"/>
      <c r="AI46" s="425"/>
      <c r="AJ46" s="425"/>
      <c r="AK46" s="425"/>
      <c r="AL46" s="425"/>
      <c r="AM46" s="425"/>
      <c r="AN46" s="425"/>
      <c r="AO46" s="425"/>
      <c r="AP46" s="425"/>
      <c r="AQ46" s="665">
        <f>SUMIF(ВО.БПр!$C$131:$C$132,$R46,ВО.БПр!$Q$131:$Q$132)+SUMIF(ВО.БТр!$C$131:$C$132,$R46,ВО.БТр!$W$131:$W$132)</f>
        <v>0</v>
      </c>
      <c r="AR46" s="425"/>
      <c r="AS46" s="425"/>
      <c r="AT46" s="425"/>
      <c r="AU46" s="425"/>
      <c r="AV46" s="425"/>
      <c r="AW46" s="425"/>
      <c r="AX46" s="425"/>
      <c r="AY46" s="425"/>
      <c r="AZ46" s="425"/>
      <c r="BA46" s="425"/>
      <c r="BB46" s="425"/>
      <c r="BC46" s="425"/>
      <c r="BD46" s="425"/>
      <c r="BE46" s="425"/>
      <c r="BF46" s="425"/>
      <c r="BG46" s="425"/>
      <c r="BH46" s="425"/>
      <c r="BI46" s="425"/>
      <c r="BJ46" s="425"/>
      <c r="BK46" s="425"/>
      <c r="BL46" s="425"/>
      <c r="BM46" s="425"/>
      <c r="BN46" s="425"/>
      <c r="BO46" s="425"/>
      <c r="BP46" s="425"/>
      <c r="BQ46" s="425"/>
      <c r="BR46" s="425"/>
      <c r="BS46" s="425"/>
      <c r="BT46" s="425"/>
      <c r="BU46" s="425"/>
      <c r="BV46" s="425"/>
      <c r="BW46" s="425"/>
      <c r="BX46" s="425"/>
      <c r="BY46" s="425"/>
      <c r="BZ46" s="425"/>
      <c r="CA46" s="425"/>
      <c r="CB46" s="425"/>
      <c r="CC46" s="425"/>
      <c r="CD46" s="425"/>
      <c r="CE46" s="425"/>
      <c r="CF46" s="425"/>
      <c r="CG46" s="425"/>
      <c r="CH46" s="425"/>
      <c r="CI46" s="426"/>
    </row>
    <row r="47" spans="1:87" s="2" customFormat="1" ht="11.25" customHeight="1">
      <c r="A47" s="22"/>
      <c r="B47" s="20"/>
      <c r="C47" s="20"/>
      <c r="D47"/>
      <c r="E47" s="54"/>
      <c r="F47" s="827"/>
      <c r="G47" s="828"/>
      <c r="H47" s="828"/>
      <c r="I47" s="828"/>
      <c r="J47" s="825"/>
      <c r="K47" s="825"/>
      <c r="L47" s="825"/>
      <c r="M47" s="825"/>
      <c r="N47" s="852"/>
      <c r="O47" s="825"/>
      <c r="P47" s="643"/>
      <c r="Q47" s="827"/>
      <c r="R47" s="402"/>
      <c r="S47" s="402"/>
      <c r="T47" s="402"/>
      <c r="U47" s="402"/>
      <c r="V47" s="402"/>
      <c r="W47" s="402"/>
      <c r="X47" s="402"/>
      <c r="Y47" s="402"/>
      <c r="Z47" s="402"/>
      <c r="AA47" s="411"/>
      <c r="AB47" s="425"/>
      <c r="AC47" s="664" t="s">
        <v>135</v>
      </c>
      <c r="AD47" s="425"/>
      <c r="AE47" s="425"/>
      <c r="AF47" s="425"/>
      <c r="AG47" s="425"/>
      <c r="AH47" s="425"/>
      <c r="AI47" s="425"/>
      <c r="AJ47" s="425"/>
      <c r="AK47" s="425"/>
      <c r="AL47" s="425"/>
      <c r="AM47" s="425"/>
      <c r="AN47" s="425"/>
      <c r="AO47" s="425"/>
      <c r="AP47" s="425"/>
      <c r="AQ47" s="425"/>
      <c r="AR47" s="425"/>
      <c r="AS47" s="425"/>
      <c r="AT47" s="425"/>
      <c r="AU47" s="425"/>
      <c r="AV47" s="425"/>
      <c r="AW47" s="425"/>
      <c r="AX47" s="425"/>
      <c r="AY47" s="425"/>
      <c r="AZ47" s="425"/>
      <c r="BA47" s="425"/>
      <c r="BB47" s="425"/>
      <c r="BC47" s="425"/>
      <c r="BD47" s="425"/>
      <c r="BE47" s="425"/>
      <c r="BF47" s="425"/>
      <c r="BG47" s="425"/>
      <c r="BH47" s="425"/>
      <c r="BI47" s="425"/>
      <c r="BJ47" s="425"/>
      <c r="BK47" s="425"/>
      <c r="BL47" s="425"/>
      <c r="BM47" s="425"/>
      <c r="BN47" s="425"/>
      <c r="BO47" s="425"/>
      <c r="BP47" s="425"/>
      <c r="BQ47" s="425"/>
      <c r="BR47" s="425"/>
      <c r="BS47" s="425"/>
      <c r="BT47" s="425"/>
      <c r="BU47" s="425"/>
      <c r="BV47" s="425"/>
      <c r="BW47" s="425"/>
      <c r="BX47" s="425"/>
      <c r="BY47" s="425"/>
      <c r="BZ47" s="425"/>
      <c r="CA47" s="425"/>
      <c r="CB47" s="425"/>
      <c r="CC47" s="425"/>
      <c r="CD47" s="425"/>
      <c r="CE47" s="425"/>
      <c r="CF47" s="425"/>
      <c r="CG47" s="425"/>
      <c r="CH47" s="425"/>
      <c r="CI47" s="426"/>
    </row>
    <row r="48" spans="1:87" customFormat="1"/>
    <row r="49" spans="1:87" s="2" customFormat="1">
      <c r="A49" s="885" t="s">
        <v>2543</v>
      </c>
      <c r="B49" s="885"/>
      <c r="C49" s="20"/>
      <c r="D49"/>
      <c r="E49" s="20"/>
      <c r="F49" s="20"/>
      <c r="G49" s="20"/>
      <c r="H49" s="20"/>
      <c r="I49" s="21"/>
      <c r="J49" s="20"/>
      <c r="K49" s="21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E49" s="20"/>
      <c r="AF49" s="20"/>
      <c r="AH49" s="20"/>
      <c r="BG49" s="20"/>
      <c r="BH49" s="20"/>
      <c r="BW49" s="20"/>
      <c r="BX49" s="20"/>
      <c r="BY49" s="20"/>
      <c r="BZ49" s="20"/>
    </row>
    <row r="50" spans="1:87" s="2" customFormat="1" ht="24" customHeight="1">
      <c r="A50" s="22"/>
      <c r="B50" s="20"/>
      <c r="C50" s="20"/>
      <c r="D50"/>
      <c r="E50" s="54"/>
      <c r="F50"/>
      <c r="G50"/>
      <c r="H50"/>
      <c r="I50"/>
      <c r="J50"/>
      <c r="K50"/>
      <c r="L50"/>
      <c r="M50"/>
      <c r="N50"/>
      <c r="O50"/>
      <c r="P50" s="116"/>
      <c r="Q50" s="402"/>
      <c r="R50" s="402"/>
      <c r="S50" s="402"/>
      <c r="T50" s="667" t="s">
        <v>2216</v>
      </c>
      <c r="U50" s="402"/>
      <c r="V50" s="402"/>
      <c r="W50" s="402"/>
      <c r="X50" s="667" t="s">
        <v>2155</v>
      </c>
      <c r="Y50" s="434"/>
      <c r="Z50" s="431" t="s">
        <v>128</v>
      </c>
      <c r="AA50" s="432" t="s">
        <v>592</v>
      </c>
      <c r="AB50" s="116"/>
      <c r="AC50" s="670"/>
      <c r="AD50" s="402"/>
      <c r="AE50" s="665"/>
      <c r="AF50" s="665"/>
      <c r="AG50" s="402"/>
      <c r="AH50" s="568"/>
      <c r="AI50" s="668"/>
      <c r="AJ50" s="669"/>
      <c r="AK50" s="670" t="str">
        <f>IF(LEN(AJ50)=0,"",VLOOKUP(AJ50,OKTMO_VS_TYPE_LIST,2,FALSE))</f>
        <v/>
      </c>
      <c r="AL50" s="402"/>
      <c r="AM50" s="402"/>
      <c r="AN50" s="402"/>
      <c r="AO50" s="679"/>
      <c r="AP50" s="402"/>
      <c r="AQ50" s="675">
        <f>SUM(AR50:BC50)</f>
        <v>0</v>
      </c>
      <c r="AR50" s="666"/>
      <c r="AS50" s="666"/>
      <c r="AT50" s="666"/>
      <c r="AU50" s="666"/>
      <c r="AV50" s="666"/>
      <c r="AW50" s="666"/>
      <c r="AX50" s="666"/>
      <c r="AY50" s="666"/>
      <c r="AZ50" s="666"/>
      <c r="BA50" s="666"/>
      <c r="BB50" s="666"/>
      <c r="BC50" s="666"/>
      <c r="BD50" s="402"/>
      <c r="BE50" s="402"/>
      <c r="BF50" s="440" t="str">
        <f>IF(LEN(BE50)=0,"",VLOOKUP(BE50,HEAT_TRA_NAMES_VS_TRA_CODES_LIST,2,FALSE))</f>
        <v/>
      </c>
      <c r="BG50" s="676">
        <f>(AE50-AF50)*AQ50/1000</f>
        <v>0</v>
      </c>
      <c r="BH50" s="677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671"/>
      <c r="BX50" s="671"/>
      <c r="BY50" s="674"/>
      <c r="BZ50" s="672"/>
      <c r="CA50" s="673"/>
      <c r="CB50" s="402"/>
      <c r="CC50" s="402"/>
      <c r="CD50" s="402"/>
      <c r="CE50" s="402"/>
      <c r="CF50" s="402"/>
      <c r="CG50" s="402"/>
      <c r="CH50" s="402"/>
      <c r="CI50" s="410"/>
    </row>
  </sheetData>
  <sheetProtection formatColumns="0" formatRows="0"/>
  <mergeCells count="162">
    <mergeCell ref="Q38:Q39"/>
    <mergeCell ref="M42:M43"/>
    <mergeCell ref="N42:N43"/>
    <mergeCell ref="O42:O43"/>
    <mergeCell ref="Q42:Q43"/>
    <mergeCell ref="Q46:Q47"/>
    <mergeCell ref="A41:B41"/>
    <mergeCell ref="F42:F43"/>
    <mergeCell ref="G42:G43"/>
    <mergeCell ref="H42:H43"/>
    <mergeCell ref="I42:I43"/>
    <mergeCell ref="J42:J43"/>
    <mergeCell ref="K42:K43"/>
    <mergeCell ref="L42:L43"/>
    <mergeCell ref="I46:I47"/>
    <mergeCell ref="J46:J47"/>
    <mergeCell ref="K46:K47"/>
    <mergeCell ref="L46:L47"/>
    <mergeCell ref="M46:M47"/>
    <mergeCell ref="N46:N47"/>
    <mergeCell ref="A3:B3"/>
    <mergeCell ref="K14:K15"/>
    <mergeCell ref="L14:L15"/>
    <mergeCell ref="M14:M15"/>
    <mergeCell ref="O14:O15"/>
    <mergeCell ref="A6:B6"/>
    <mergeCell ref="A9:B9"/>
    <mergeCell ref="A13:B13"/>
    <mergeCell ref="F14:F15"/>
    <mergeCell ref="G14:G15"/>
    <mergeCell ref="H14:H15"/>
    <mergeCell ref="I14:I15"/>
    <mergeCell ref="Q14:Q15"/>
    <mergeCell ref="P27:P28"/>
    <mergeCell ref="A26:B26"/>
    <mergeCell ref="A18:B18"/>
    <mergeCell ref="P14:P15"/>
    <mergeCell ref="J14:J15"/>
    <mergeCell ref="N14:N15"/>
    <mergeCell ref="A22:B22"/>
    <mergeCell ref="F23:F24"/>
    <mergeCell ref="G23:G24"/>
    <mergeCell ref="H23:H24"/>
    <mergeCell ref="I23:I24"/>
    <mergeCell ref="J23:J24"/>
    <mergeCell ref="K23:K24"/>
    <mergeCell ref="L23:L24"/>
    <mergeCell ref="M23:M24"/>
    <mergeCell ref="N23:N24"/>
    <mergeCell ref="O23:O24"/>
    <mergeCell ref="Q23:Q24"/>
    <mergeCell ref="R27:R28"/>
    <mergeCell ref="S27:S28"/>
    <mergeCell ref="T27:T28"/>
    <mergeCell ref="U27:U28"/>
    <mergeCell ref="V27:V28"/>
    <mergeCell ref="W27:W28"/>
    <mergeCell ref="X27:X28"/>
    <mergeCell ref="Y27:Y28"/>
    <mergeCell ref="Z27:Z28"/>
    <mergeCell ref="AA27:AA28"/>
    <mergeCell ref="AB27:AB28"/>
    <mergeCell ref="AC27:AC28"/>
    <mergeCell ref="AD27:AD28"/>
    <mergeCell ref="AE27:AE28"/>
    <mergeCell ref="AF27:AF28"/>
    <mergeCell ref="AG27:AG28"/>
    <mergeCell ref="AH27:AH28"/>
    <mergeCell ref="AI27:AI28"/>
    <mergeCell ref="AJ27:AJ28"/>
    <mergeCell ref="AK27:AK28"/>
    <mergeCell ref="AL27:AL28"/>
    <mergeCell ref="AM27:AM28"/>
    <mergeCell ref="AN27:AN28"/>
    <mergeCell ref="AO27:AO28"/>
    <mergeCell ref="AP27:AP28"/>
    <mergeCell ref="BG27:BG28"/>
    <mergeCell ref="BH27:BH28"/>
    <mergeCell ref="AQ27:AQ28"/>
    <mergeCell ref="AR27:AR28"/>
    <mergeCell ref="AU27:AU28"/>
    <mergeCell ref="AV27:AV28"/>
    <mergeCell ref="AW27:AW28"/>
    <mergeCell ref="AX27:AX28"/>
    <mergeCell ref="BI27:BI28"/>
    <mergeCell ref="BJ27:BJ28"/>
    <mergeCell ref="BM27:BM28"/>
    <mergeCell ref="BN27:BN28"/>
    <mergeCell ref="BO27:BO28"/>
    <mergeCell ref="BP27:BP28"/>
    <mergeCell ref="CA27:CA28"/>
    <mergeCell ref="BQ27:BQ28"/>
    <mergeCell ref="BR27:BR28"/>
    <mergeCell ref="BS27:BS28"/>
    <mergeCell ref="BT27:BT28"/>
    <mergeCell ref="BU27:BU28"/>
    <mergeCell ref="Q34:Q35"/>
    <mergeCell ref="A33:B33"/>
    <mergeCell ref="F34:F35"/>
    <mergeCell ref="G34:G35"/>
    <mergeCell ref="H34:H35"/>
    <mergeCell ref="I34:I35"/>
    <mergeCell ref="J34:J35"/>
    <mergeCell ref="CR27:CR28"/>
    <mergeCell ref="CG27:CG28"/>
    <mergeCell ref="CK27:CK28"/>
    <mergeCell ref="CL27:CL28"/>
    <mergeCell ref="CC27:CC28"/>
    <mergeCell ref="CD27:CD28"/>
    <mergeCell ref="A30:B30"/>
    <mergeCell ref="BV27:BV28"/>
    <mergeCell ref="BW27:BW28"/>
    <mergeCell ref="BX27:BX28"/>
    <mergeCell ref="BY27:BY28"/>
    <mergeCell ref="BZ27:BZ28"/>
    <mergeCell ref="BA27:BA28"/>
    <mergeCell ref="BB27:BB28"/>
    <mergeCell ref="BC27:BC28"/>
    <mergeCell ref="BD27:BD28"/>
    <mergeCell ref="CB27:CB28"/>
    <mergeCell ref="A49:B49"/>
    <mergeCell ref="K34:K35"/>
    <mergeCell ref="L34:L35"/>
    <mergeCell ref="M34:M35"/>
    <mergeCell ref="N34:N35"/>
    <mergeCell ref="O34:O35"/>
    <mergeCell ref="A45:B45"/>
    <mergeCell ref="F46:F47"/>
    <mergeCell ref="G46:G47"/>
    <mergeCell ref="H46:H47"/>
    <mergeCell ref="A37:B37"/>
    <mergeCell ref="F38:F39"/>
    <mergeCell ref="G38:G39"/>
    <mergeCell ref="H38:H39"/>
    <mergeCell ref="I38:I39"/>
    <mergeCell ref="J38:J39"/>
    <mergeCell ref="O46:O47"/>
    <mergeCell ref="K38:K39"/>
    <mergeCell ref="L38:L39"/>
    <mergeCell ref="M38:M39"/>
    <mergeCell ref="N38:N39"/>
    <mergeCell ref="O38:O39"/>
    <mergeCell ref="DC27:DC28"/>
    <mergeCell ref="DD27:DD28"/>
    <mergeCell ref="DE27:DE28"/>
    <mergeCell ref="CE27:CE28"/>
    <mergeCell ref="CF27:CF28"/>
    <mergeCell ref="CY27:CY28"/>
    <mergeCell ref="CZ27:CZ28"/>
    <mergeCell ref="DA27:DA28"/>
    <mergeCell ref="DB27:DB28"/>
    <mergeCell ref="CS27:CS28"/>
    <mergeCell ref="CW27:CW28"/>
    <mergeCell ref="CX27:CX28"/>
    <mergeCell ref="CM27:CM28"/>
    <mergeCell ref="CN27:CN28"/>
    <mergeCell ref="CO27:CO28"/>
    <mergeCell ref="CP27:CP28"/>
    <mergeCell ref="CQ27:CQ28"/>
    <mergeCell ref="CT27:CT28"/>
    <mergeCell ref="CU27:CU28"/>
    <mergeCell ref="CV27:CV28"/>
  </mergeCells>
  <phoneticPr fontId="0" type="noConversion"/>
  <dataValidations count="5">
    <dataValidation type="list" allowBlank="1" showInputMessage="1" showErrorMessage="1" sqref="AH50">
      <formula1>MR_LIST</formula1>
    </dataValidation>
    <dataValidation type="list" allowBlank="1" showInputMessage="1" showErrorMessage="1" errorTitle="Внимание" error="Пожалуйста, выберите МР из списка!" sqref="G4 G10 G7">
      <formula1>MR_LIST</formula1>
    </dataValidation>
    <dataValidation type="list" allowBlank="1" showInputMessage="1" showErrorMessage="1" errorTitle="Внимание" error="Пожалуйста, выберите значение из списка!" sqref="AJ7">
      <formula1>COLDVSNA_VTOV</formula1>
    </dataValidation>
    <dataValidation type="list" allowBlank="1" showInputMessage="1" showErrorMessage="1" errorTitle="Внимание" error="Пожалуйста, выберите значение из списка!" sqref="AQ10">
      <formula1>VOTV_VTOV</formula1>
    </dataValidation>
    <dataValidation type="list" showInputMessage="1" showErrorMessage="1" errorTitle="Внимание" error="Пожалуйста, выберите значение из списка" sqref="AO31 AO27:AO28">
      <formula1>DOCUMENT_TYPES</formula1>
    </dataValidation>
  </dataValidations>
  <hyperlinks>
    <hyperlink ref="AA19" location="'TECH_HORISONTAL'!A1" tooltip="Удалить" display="О"/>
    <hyperlink ref="AC15" location="'TECH_HORISONTAL'!A1" tooltip="Добавить объект" display="Добавить объект"/>
    <hyperlink ref="E4" location="'TECH_HORISONTAL'!A1" tooltip="Удалить" display="О"/>
    <hyperlink ref="E7" location="'TECH_HORISONTAL'!A1" tooltip="Удалить" display="О"/>
    <hyperlink ref="E10" location="'TECH_HORISONTAL'!A1" tooltip="Удалить" display="О"/>
    <hyperlink ref="DH31" location="'TECH_HORISONTAL'!A1" tooltip="Удалить" display="О"/>
    <hyperlink ref="AC24" location="'TECH_HORISONTAL'!A1" tooltip="Добавить" display="Добавить"/>
    <hyperlink ref="AA27" location="'TECH_HORISONTAL'!A1" tooltip="Удалить" display="О"/>
    <hyperlink ref="DJ28" location="'TECH_HORISONTAL'!A1" tooltip="Добавить ИП" display="Добавить ИП"/>
    <hyperlink ref="AA50" location="'TECH_HORISONTAL'!A1" tooltip="Удалить" display="О"/>
    <hyperlink ref="AC35" location="'TECH_HORISONTAL'!A1" tooltip="Добавить" display="Добавить"/>
    <hyperlink ref="AC47" location="'TECH_HORISONTAL'!A1" tooltip="Добавить" display="Добавить"/>
    <hyperlink ref="AC43" location="'TECH_HORISONTAL'!A1" tooltip="Добавить" display="Добавить"/>
    <hyperlink ref="AC39" location="'TECH_HORISONTAL'!A1" tooltip="Добавить" display="Добавить"/>
  </hyperlink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">
    <tabColor indexed="47"/>
  </sheetPr>
  <dimension ref="A1:CZ492"/>
  <sheetViews>
    <sheetView showGridLines="0" zoomScale="85" zoomScaleNormal="85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33" width="8.75" style="2" customWidth="1"/>
    <col min="34" max="90" width="2.75" style="2" customWidth="1"/>
    <col min="91" max="91" width="3.625" style="2" customWidth="1"/>
    <col min="92" max="92" width="5.75" style="2" customWidth="1"/>
    <col min="93" max="93" width="17.75" style="2" customWidth="1"/>
    <col min="94" max="95" width="5.75" style="2" customWidth="1"/>
    <col min="96" max="96" width="17.75" style="2" customWidth="1"/>
    <col min="97" max="98" width="9.125" style="2"/>
    <col min="99" max="99" width="17.75" style="2" customWidth="1"/>
    <col min="100" max="101" width="9.125" style="2"/>
    <col min="102" max="102" width="17.75" style="2" customWidth="1"/>
    <col min="103" max="16384" width="9.125" style="2"/>
  </cols>
  <sheetData>
    <row r="1" spans="1:90" s="6" customFormat="1" ht="11.25" customHeight="1">
      <c r="A1"/>
      <c r="B1"/>
      <c r="C1"/>
      <c r="D1"/>
      <c r="E1"/>
      <c r="F1"/>
      <c r="G1"/>
      <c r="H1"/>
      <c r="I1"/>
      <c r="J1"/>
      <c r="K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</row>
    <row r="2" spans="1:90" ht="11.25" customHeight="1">
      <c r="AB2" s="916" t="s">
        <v>395</v>
      </c>
      <c r="AC2" s="916"/>
      <c r="AD2" s="916"/>
      <c r="AE2" s="31"/>
      <c r="AF2" s="31"/>
      <c r="AG2" s="31"/>
    </row>
    <row r="3" spans="1:90" customFormat="1" ht="11.25" customHeight="1">
      <c r="AE3" s="31"/>
      <c r="AF3" s="31"/>
      <c r="AG3" s="31"/>
    </row>
    <row r="4" spans="1:90" customFormat="1" ht="11.25" customHeight="1">
      <c r="AE4" s="31"/>
      <c r="AF4" s="31"/>
      <c r="AG4" s="31"/>
    </row>
    <row r="5" spans="1:90" ht="11.25" customHeight="1">
      <c r="AB5" s="157"/>
      <c r="AC5" s="157"/>
      <c r="AD5" s="157"/>
      <c r="AE5" s="31"/>
      <c r="AF5" s="31"/>
      <c r="AG5" s="31"/>
    </row>
    <row r="6" spans="1:90" ht="11.25" customHeight="1">
      <c r="AB6" s="157">
        <v>12</v>
      </c>
      <c r="AC6" s="157">
        <v>6</v>
      </c>
      <c r="AD6" s="157">
        <v>6</v>
      </c>
      <c r="AE6" s="31"/>
      <c r="AF6" s="31"/>
      <c r="AG6" s="31"/>
    </row>
    <row r="7" spans="1:90" ht="11.25" customHeight="1">
      <c r="AB7" s="147"/>
      <c r="AC7" s="147"/>
      <c r="AD7" s="147"/>
      <c r="AE7" s="31"/>
      <c r="AF7" s="31"/>
      <c r="AG7" s="31"/>
    </row>
    <row r="8" spans="1:90" customFormat="1" ht="11.25" customHeight="1">
      <c r="AB8" s="172"/>
      <c r="AC8" s="172"/>
      <c r="AD8" s="172"/>
      <c r="AE8" s="31"/>
      <c r="AF8" s="31"/>
      <c r="AG8" s="31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</row>
    <row r="9" spans="1:90" customFormat="1" ht="11.25" customHeight="1">
      <c r="AB9" s="143" t="s">
        <v>275</v>
      </c>
      <c r="AC9" s="143" t="s">
        <v>194</v>
      </c>
      <c r="AD9" s="143" t="s">
        <v>609</v>
      </c>
      <c r="AE9" s="31"/>
      <c r="AF9" s="31"/>
      <c r="AG9" s="31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</row>
    <row r="10" spans="1:90" customFormat="1" ht="11.25" customHeight="1">
      <c r="AB10" s="215"/>
      <c r="AC10" s="215"/>
      <c r="AD10" s="215"/>
      <c r="AE10" s="31"/>
      <c r="AF10" s="31"/>
      <c r="AG10" s="31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</row>
    <row r="11" spans="1:90" customFormat="1" ht="11.25" customHeight="1">
      <c r="AB11" s="143"/>
      <c r="AC11" s="143"/>
      <c r="AD11" s="143"/>
      <c r="AE11" s="31"/>
      <c r="AF11" s="31"/>
      <c r="AG11" s="31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</row>
    <row r="12" spans="1:90" customFormat="1" ht="11.25" customHeight="1">
      <c r="AB12" s="147"/>
      <c r="AC12" s="147"/>
      <c r="AD12" s="147"/>
      <c r="AE12" s="31"/>
      <c r="AF12" s="31"/>
      <c r="AG12" s="31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</row>
    <row r="13" spans="1:90" customFormat="1" ht="11.25" customHeight="1">
      <c r="AB13" s="214" t="s">
        <v>20</v>
      </c>
      <c r="AC13" s="214" t="s">
        <v>273</v>
      </c>
      <c r="AD13" s="214" t="s">
        <v>274</v>
      </c>
      <c r="AE13" s="31"/>
      <c r="AF13" s="31"/>
      <c r="AG13" s="31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</row>
    <row r="14" spans="1:90" ht="11.25" customHeight="1">
      <c r="AB14" s="919"/>
      <c r="AC14" s="920"/>
      <c r="AD14" s="920"/>
      <c r="AE14" s="31"/>
      <c r="AF14" s="31"/>
      <c r="AG14" s="31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</row>
    <row r="15" spans="1:90" ht="11.25" customHeight="1">
      <c r="AB15" s="167" t="str">
        <f>AB17 &amp; "_" &amp; AB9</f>
        <v>0_Y</v>
      </c>
      <c r="AC15" s="167" t="str">
        <f>AC17 &amp; "_" &amp; AC9</f>
        <v>0_I</v>
      </c>
      <c r="AD15" s="167" t="str">
        <f>AD17 &amp; "_" &amp; AD9</f>
        <v>0_II</v>
      </c>
      <c r="AE15" s="31"/>
      <c r="AF15" s="31"/>
      <c r="AG15" s="31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20"/>
    </row>
    <row r="16" spans="1:90" customFormat="1" ht="11.25" customHeight="1">
      <c r="AB16" s="158"/>
      <c r="AC16" s="158"/>
      <c r="AD16" s="158"/>
      <c r="AE16" s="31"/>
      <c r="AF16" s="31"/>
      <c r="AG16" s="31"/>
    </row>
    <row r="17" spans="12:80" customFormat="1" ht="11.25" customHeight="1">
      <c r="AB17" s="167">
        <f>AB19</f>
        <v>0</v>
      </c>
      <c r="AC17" s="167">
        <f>AB19</f>
        <v>0</v>
      </c>
      <c r="AD17" s="167">
        <f>AB19</f>
        <v>0</v>
      </c>
      <c r="AE17" s="31"/>
      <c r="AF17" s="31"/>
      <c r="AG17" s="31"/>
    </row>
    <row r="18" spans="12:80" customFormat="1" ht="11.25" customHeight="1">
      <c r="AB18" s="918" t="s">
        <v>134</v>
      </c>
      <c r="AC18" s="918"/>
      <c r="AD18" s="918"/>
      <c r="AE18" s="31"/>
      <c r="AF18" s="31"/>
      <c r="AG18" s="31"/>
    </row>
    <row r="19" spans="12:80" ht="11.25" customHeight="1">
      <c r="L19" s="118"/>
      <c r="M19" s="908" t="s">
        <v>104</v>
      </c>
      <c r="N19" s="910" t="s">
        <v>196</v>
      </c>
      <c r="O19" s="912" t="s">
        <v>683</v>
      </c>
      <c r="AB19" s="917"/>
      <c r="AC19" s="917"/>
      <c r="AD19" s="917"/>
      <c r="AE19" s="31"/>
      <c r="AF19" s="31"/>
      <c r="AG19" s="31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2:80" ht="11.25" customHeight="1">
      <c r="L20" s="118"/>
      <c r="M20" s="909"/>
      <c r="N20" s="911"/>
      <c r="O20" s="913"/>
      <c r="AB20" s="914"/>
      <c r="AC20" s="915"/>
      <c r="AD20" s="915"/>
      <c r="AE20" s="31"/>
      <c r="AF20" s="31"/>
      <c r="AG20" s="31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2:80" ht="11.25" customHeight="1">
      <c r="L21" s="9"/>
      <c r="M21" s="175"/>
      <c r="N21" s="176" t="s">
        <v>197</v>
      </c>
      <c r="O21" s="177"/>
      <c r="AB21" s="914"/>
      <c r="AC21" s="915"/>
      <c r="AD21" s="915"/>
      <c r="AE21" s="31"/>
      <c r="AF21" s="31"/>
      <c r="AG21" s="31"/>
      <c r="AH21" s="916" t="s">
        <v>590</v>
      </c>
      <c r="AI21" s="916"/>
      <c r="AJ21" s="916"/>
      <c r="AK21" s="916"/>
      <c r="AL21" s="916"/>
      <c r="AM21" s="916"/>
      <c r="AN21" s="916"/>
      <c r="AO21" s="916"/>
      <c r="AP21" s="916"/>
      <c r="AQ21" s="916"/>
      <c r="AR21" s="916"/>
      <c r="AS21" s="916"/>
      <c r="AT21" s="916"/>
      <c r="AU21" s="916"/>
      <c r="AV21" s="916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2:80" ht="11.25" customHeight="1">
      <c r="L22" s="150"/>
      <c r="M22" s="220"/>
      <c r="N22" s="518"/>
      <c r="O22" s="192"/>
      <c r="AB22" s="914"/>
      <c r="AC22" s="915"/>
      <c r="AD22" s="915"/>
      <c r="AE22" s="31"/>
      <c r="AF22" s="31"/>
      <c r="AG22" s="31"/>
      <c r="AH22" s="916" t="s">
        <v>22</v>
      </c>
      <c r="AI22" s="916"/>
      <c r="AJ22" s="916"/>
      <c r="AK22" s="916"/>
      <c r="AL22" s="916"/>
      <c r="AM22" s="916"/>
      <c r="AN22" s="916"/>
      <c r="AO22" s="916"/>
      <c r="AP22" s="916"/>
      <c r="AQ22" s="916"/>
      <c r="AR22" s="916"/>
      <c r="AS22" s="916"/>
      <c r="AT22" s="916"/>
      <c r="AU22" s="916"/>
      <c r="AV22" s="916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2:80" ht="11.25" customHeight="1">
      <c r="L23" s="150"/>
      <c r="M23" s="589"/>
      <c r="N23" s="165"/>
      <c r="O23" s="160"/>
      <c r="AB23" s="251"/>
      <c r="AC23" s="251"/>
      <c r="AD23" s="251"/>
      <c r="AE23" s="241"/>
      <c r="AF23" s="241"/>
      <c r="AG23" s="241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  <c r="CA23"/>
      <c r="CB23"/>
    </row>
    <row r="24" spans="12:80" ht="11.25" hidden="1" customHeight="1">
      <c r="L24" s="150"/>
      <c r="M24" s="233"/>
      <c r="N24" s="165"/>
      <c r="O24" s="160"/>
      <c r="AB24" s="251"/>
      <c r="AC24" s="251"/>
      <c r="AD24" s="251"/>
      <c r="AE24" s="241"/>
      <c r="AF24" s="241"/>
      <c r="AG24" s="241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169"/>
      <c r="BB24" s="169"/>
      <c r="BC24" s="169"/>
      <c r="BD24" s="169"/>
      <c r="BE24" s="169"/>
      <c r="BF24" s="169"/>
      <c r="BG24" s="169"/>
      <c r="BH24" s="169"/>
      <c r="BI24" s="169"/>
      <c r="BJ24" s="169"/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/>
      <c r="CB24"/>
    </row>
    <row r="25" spans="12:80" ht="11.25" hidden="1" customHeight="1">
      <c r="L25" s="150"/>
      <c r="M25" s="233"/>
      <c r="N25" s="165"/>
      <c r="O25" s="160"/>
      <c r="AB25" s="251"/>
      <c r="AC25" s="251"/>
      <c r="AD25" s="251"/>
      <c r="AE25" s="241"/>
      <c r="AF25" s="241"/>
      <c r="AG25" s="241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169"/>
      <c r="BB25" s="169"/>
      <c r="BC25" s="169"/>
      <c r="BD25" s="169"/>
      <c r="BE25" s="169"/>
      <c r="BF25" s="169"/>
      <c r="BG25" s="169"/>
      <c r="BH25" s="169"/>
      <c r="BI25" s="169"/>
      <c r="BJ25" s="169"/>
      <c r="BK25" s="169"/>
      <c r="BL25" s="169"/>
      <c r="BM25" s="169"/>
      <c r="BN25" s="169"/>
      <c r="BO25" s="169"/>
      <c r="BP25" s="169"/>
      <c r="BQ25" s="169"/>
      <c r="BR25" s="169"/>
      <c r="BS25" s="169"/>
      <c r="BT25" s="169"/>
      <c r="BU25" s="169"/>
      <c r="BV25" s="169"/>
      <c r="BW25" s="169"/>
      <c r="BX25" s="169"/>
      <c r="BY25" s="169"/>
      <c r="BZ25" s="169"/>
      <c r="CA25"/>
      <c r="CB25"/>
    </row>
    <row r="26" spans="12:80" ht="11.25" hidden="1" customHeight="1">
      <c r="L26" s="150"/>
      <c r="M26" s="233"/>
      <c r="N26" s="165"/>
      <c r="O26" s="160"/>
      <c r="AB26" s="251"/>
      <c r="AC26" s="251"/>
      <c r="AD26" s="251"/>
      <c r="AE26" s="241"/>
      <c r="AF26" s="241"/>
      <c r="AG26" s="241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69"/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69"/>
      <c r="BT26" s="169"/>
      <c r="BU26" s="169"/>
      <c r="BV26" s="169"/>
      <c r="BW26" s="169"/>
      <c r="BX26" s="169"/>
      <c r="BY26" s="169"/>
      <c r="BZ26" s="169"/>
      <c r="CA26"/>
      <c r="CB26"/>
    </row>
    <row r="27" spans="12:80" ht="11.25" hidden="1" customHeight="1">
      <c r="L27" s="150"/>
      <c r="M27" s="233"/>
      <c r="N27" s="165"/>
      <c r="O27" s="160"/>
      <c r="AB27" s="251"/>
      <c r="AC27" s="251"/>
      <c r="AD27" s="251"/>
      <c r="AE27" s="241"/>
      <c r="AF27" s="241"/>
      <c r="AG27" s="241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/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  <c r="CA27"/>
      <c r="CB27"/>
    </row>
    <row r="28" spans="12:80" ht="11.25" hidden="1" customHeight="1">
      <c r="L28" s="150"/>
      <c r="M28" s="233"/>
      <c r="N28" s="165"/>
      <c r="O28" s="160"/>
      <c r="AB28" s="251"/>
      <c r="AC28" s="251"/>
      <c r="AD28" s="251"/>
      <c r="AE28" s="241"/>
      <c r="AF28" s="241"/>
      <c r="AG28" s="241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  <c r="CA28"/>
      <c r="CB28"/>
    </row>
    <row r="29" spans="12:80" ht="11.25" hidden="1" customHeight="1">
      <c r="L29" s="150"/>
      <c r="M29" s="233"/>
      <c r="N29" s="165"/>
      <c r="O29" s="160"/>
      <c r="AB29" s="251"/>
      <c r="AC29" s="251"/>
      <c r="AD29" s="251"/>
      <c r="AE29" s="241"/>
      <c r="AF29" s="241"/>
      <c r="AG29" s="241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  <c r="CA29"/>
      <c r="CB29"/>
    </row>
    <row r="30" spans="12:80" ht="11.25" hidden="1" customHeight="1">
      <c r="L30" s="150"/>
      <c r="M30" s="233"/>
      <c r="N30" s="165"/>
      <c r="O30" s="160"/>
      <c r="AB30" s="251"/>
      <c r="AC30" s="251"/>
      <c r="AD30" s="251"/>
      <c r="AE30" s="241"/>
      <c r="AF30" s="241"/>
      <c r="AG30" s="241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69"/>
      <c r="CA30"/>
      <c r="CB30"/>
    </row>
    <row r="31" spans="12:80" ht="11.25" hidden="1" customHeight="1">
      <c r="L31" s="150"/>
      <c r="M31" s="233"/>
      <c r="N31" s="165"/>
      <c r="O31" s="160"/>
      <c r="AB31" s="251"/>
      <c r="AC31" s="251"/>
      <c r="AD31" s="251"/>
      <c r="AE31" s="241"/>
      <c r="AF31" s="241"/>
      <c r="AG31" s="241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169"/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69"/>
      <c r="BP31" s="169"/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  <c r="CA31"/>
      <c r="CB31"/>
    </row>
    <row r="32" spans="12:80" ht="11.25" hidden="1" customHeight="1">
      <c r="L32" s="150"/>
      <c r="M32" s="233"/>
      <c r="N32" s="165"/>
      <c r="O32" s="160"/>
      <c r="AB32" s="251"/>
      <c r="AC32" s="251"/>
      <c r="AD32" s="251"/>
      <c r="AE32" s="241"/>
      <c r="AF32" s="241"/>
      <c r="AG32" s="241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/>
      <c r="CB32"/>
    </row>
    <row r="33" spans="12:104" ht="11.25" hidden="1" customHeight="1">
      <c r="L33" s="150"/>
      <c r="M33" s="233"/>
      <c r="N33" s="165"/>
      <c r="O33" s="160"/>
      <c r="AB33" s="251"/>
      <c r="AC33" s="251"/>
      <c r="AD33" s="251"/>
      <c r="AE33" s="241"/>
      <c r="AF33" s="241"/>
      <c r="AG33" s="241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  <c r="CA33"/>
      <c r="CB33"/>
    </row>
    <row r="34" spans="12:104" ht="11.25" hidden="1" customHeight="1">
      <c r="L34" s="150"/>
      <c r="M34" s="233"/>
      <c r="N34" s="165"/>
      <c r="O34" s="160"/>
      <c r="AB34" s="251"/>
      <c r="AC34" s="251"/>
      <c r="AD34" s="251"/>
      <c r="AE34" s="241"/>
      <c r="AF34" s="241"/>
      <c r="AG34" s="241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  <c r="CA34"/>
      <c r="CB34"/>
    </row>
    <row r="35" spans="12:104" ht="11.25" customHeight="1">
      <c r="L35" s="150"/>
      <c r="M35" s="447"/>
      <c r="N35" s="165"/>
      <c r="O35" s="160"/>
      <c r="AB35" s="251"/>
      <c r="AC35" s="251"/>
      <c r="AD35" s="251"/>
      <c r="AE35" s="241"/>
      <c r="AF35" s="241"/>
      <c r="AG35" s="241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  <c r="CA35"/>
      <c r="CB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</row>
    <row r="36" spans="12:104" ht="11.25" customHeight="1">
      <c r="L36" s="150"/>
      <c r="M36" s="490" t="s">
        <v>166</v>
      </c>
      <c r="N36" s="494" t="s">
        <v>3000</v>
      </c>
      <c r="O36" s="163" t="s">
        <v>195</v>
      </c>
      <c r="AB36" s="251"/>
      <c r="AC36" s="251"/>
      <c r="AD36" s="251"/>
      <c r="AE36" s="730">
        <f>Т!AE1110</f>
        <v>0</v>
      </c>
      <c r="AF36" s="730">
        <f>Т!AF1110</f>
        <v>0</v>
      </c>
      <c r="AG36" s="730">
        <f>Т!AG1110</f>
        <v>0</v>
      </c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69"/>
      <c r="BL36" s="169"/>
      <c r="BM36" s="169"/>
      <c r="BN36" s="169"/>
      <c r="BO36" s="169"/>
      <c r="BP36" s="169"/>
      <c r="BQ36" s="169"/>
      <c r="BR36" s="169"/>
      <c r="BS36" s="169"/>
      <c r="BT36" s="169"/>
      <c r="BU36" s="169"/>
      <c r="BV36" s="169"/>
      <c r="BW36" s="169"/>
      <c r="BX36" s="169"/>
      <c r="BY36" s="169"/>
      <c r="BZ36" s="169"/>
      <c r="CA36"/>
      <c r="CB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</row>
    <row r="37" spans="12:104" ht="11.25" customHeight="1">
      <c r="L37" s="150"/>
      <c r="M37" s="495"/>
      <c r="N37" s="496"/>
      <c r="O37" s="166"/>
      <c r="AB37" s="251"/>
      <c r="AC37" s="251"/>
      <c r="AD37" s="251"/>
      <c r="AE37" s="241"/>
      <c r="AF37" s="241"/>
      <c r="AG37" s="241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  <c r="CA37"/>
      <c r="CB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</row>
    <row r="38" spans="12:104" ht="11.25" hidden="1" customHeight="1">
      <c r="L38" s="150"/>
      <c r="M38" s="495"/>
      <c r="N38" s="496"/>
      <c r="O38" s="166"/>
      <c r="AB38" s="251"/>
      <c r="AC38" s="251"/>
      <c r="AD38" s="251"/>
      <c r="AE38" s="241"/>
      <c r="AF38" s="241"/>
      <c r="AG38" s="241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  <c r="BB38" s="169"/>
      <c r="BC38" s="169"/>
      <c r="BD38" s="169"/>
      <c r="BE38" s="169"/>
      <c r="BF38" s="169"/>
      <c r="BG38" s="169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69"/>
      <c r="BT38" s="169"/>
      <c r="BU38" s="169"/>
      <c r="BV38" s="169"/>
      <c r="BW38" s="169"/>
      <c r="BX38" s="169"/>
      <c r="BY38" s="169"/>
      <c r="BZ38" s="169"/>
      <c r="CA38"/>
      <c r="CB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</row>
    <row r="39" spans="12:104" ht="11.25" hidden="1" customHeight="1">
      <c r="L39" s="150"/>
      <c r="M39" s="495"/>
      <c r="N39" s="496"/>
      <c r="O39" s="166"/>
      <c r="AB39" s="251"/>
      <c r="AC39" s="251"/>
      <c r="AD39" s="251"/>
      <c r="AE39" s="241"/>
      <c r="AF39" s="241"/>
      <c r="AG39" s="241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169"/>
      <c r="BB39" s="169"/>
      <c r="BC39" s="169"/>
      <c r="BD39" s="169"/>
      <c r="BE39" s="169"/>
      <c r="BF39" s="169"/>
      <c r="BG39" s="169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69"/>
      <c r="BY39" s="169"/>
      <c r="BZ39" s="169"/>
      <c r="CA39"/>
      <c r="CB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</row>
    <row r="40" spans="12:104" ht="11.25" hidden="1" customHeight="1">
      <c r="L40" s="150"/>
      <c r="M40" s="495"/>
      <c r="N40" s="496"/>
      <c r="O40" s="166"/>
      <c r="AB40" s="251"/>
      <c r="AC40" s="251"/>
      <c r="AD40" s="251"/>
      <c r="AE40" s="241"/>
      <c r="AF40" s="241"/>
      <c r="AG40" s="241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69"/>
      <c r="BY40" s="169"/>
      <c r="BZ40" s="169"/>
      <c r="CA40"/>
      <c r="CB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</row>
    <row r="41" spans="12:104" ht="11.25" hidden="1" customHeight="1">
      <c r="L41" s="150"/>
      <c r="M41" s="495"/>
      <c r="N41" s="496"/>
      <c r="O41" s="166"/>
      <c r="AB41" s="251"/>
      <c r="AC41" s="251"/>
      <c r="AD41" s="251"/>
      <c r="AE41" s="241"/>
      <c r="AF41" s="241"/>
      <c r="AG41" s="241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  <c r="CA41"/>
      <c r="CB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</row>
    <row r="42" spans="12:104" ht="11.25" hidden="1" customHeight="1">
      <c r="L42" s="150"/>
      <c r="M42" s="495"/>
      <c r="N42" s="496"/>
      <c r="O42" s="166"/>
      <c r="AB42" s="251"/>
      <c r="AC42" s="251"/>
      <c r="AD42" s="251"/>
      <c r="AE42" s="241"/>
      <c r="AF42" s="241"/>
      <c r="AG42" s="241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169"/>
      <c r="BZ42" s="169"/>
      <c r="CA42"/>
      <c r="CB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</row>
    <row r="43" spans="12:104" ht="11.25" hidden="1" customHeight="1">
      <c r="L43" s="150"/>
      <c r="M43" s="495"/>
      <c r="N43" s="496"/>
      <c r="O43" s="166"/>
      <c r="AB43" s="251"/>
      <c r="AC43" s="251"/>
      <c r="AD43" s="251"/>
      <c r="AE43" s="241"/>
      <c r="AF43" s="241"/>
      <c r="AG43" s="241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169"/>
      <c r="BZ43" s="169"/>
      <c r="CA43"/>
      <c r="CB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</row>
    <row r="44" spans="12:104" ht="11.25" hidden="1" customHeight="1">
      <c r="L44" s="150"/>
      <c r="M44" s="495"/>
      <c r="N44" s="496"/>
      <c r="O44" s="166"/>
      <c r="AB44" s="251"/>
      <c r="AC44" s="251"/>
      <c r="AD44" s="251"/>
      <c r="AE44" s="241"/>
      <c r="AF44" s="241"/>
      <c r="AG44" s="241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BZ44" s="169"/>
      <c r="CA44"/>
      <c r="CB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</row>
    <row r="45" spans="12:104" ht="11.25" hidden="1" customHeight="1">
      <c r="L45" s="150"/>
      <c r="M45" s="495"/>
      <c r="N45" s="496"/>
      <c r="O45" s="166"/>
      <c r="AB45" s="251"/>
      <c r="AC45" s="251"/>
      <c r="AD45" s="251"/>
      <c r="AE45" s="241"/>
      <c r="AF45" s="241"/>
      <c r="AG45" s="241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  <c r="BB45" s="169"/>
      <c r="BC45" s="169"/>
      <c r="BD45" s="169"/>
      <c r="BE45" s="169"/>
      <c r="BF45" s="169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169"/>
      <c r="BX45" s="169"/>
      <c r="BY45" s="169"/>
      <c r="BZ45" s="169"/>
      <c r="CA45"/>
      <c r="CB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</row>
    <row r="46" spans="12:104" ht="11.25" hidden="1" customHeight="1">
      <c r="L46" s="150"/>
      <c r="M46" s="495"/>
      <c r="N46" s="496"/>
      <c r="O46" s="166"/>
      <c r="AB46" s="251"/>
      <c r="AC46" s="251"/>
      <c r="AD46" s="251"/>
      <c r="AE46" s="241"/>
      <c r="AF46" s="241"/>
      <c r="AG46" s="241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169"/>
      <c r="BX46" s="169"/>
      <c r="BY46" s="169"/>
      <c r="BZ46" s="169"/>
      <c r="CA46"/>
      <c r="CB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</row>
    <row r="47" spans="12:104" ht="11.25" hidden="1" customHeight="1">
      <c r="L47" s="150"/>
      <c r="M47" s="495"/>
      <c r="N47" s="496"/>
      <c r="O47" s="166"/>
      <c r="AB47" s="251"/>
      <c r="AC47" s="251"/>
      <c r="AD47" s="251"/>
      <c r="AE47" s="241"/>
      <c r="AF47" s="241"/>
      <c r="AG47" s="241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9"/>
      <c r="BW47" s="169"/>
      <c r="BX47" s="169"/>
      <c r="BY47" s="169"/>
      <c r="BZ47" s="169"/>
      <c r="CA47"/>
      <c r="CB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</row>
    <row r="48" spans="12:104" ht="11.25" hidden="1" customHeight="1">
      <c r="L48" s="150"/>
      <c r="M48" s="495"/>
      <c r="N48" s="496"/>
      <c r="O48" s="166"/>
      <c r="AB48" s="251"/>
      <c r="AC48" s="251"/>
      <c r="AD48" s="251"/>
      <c r="AE48" s="241"/>
      <c r="AF48" s="241"/>
      <c r="AG48" s="241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169"/>
      <c r="BY48" s="169"/>
      <c r="BZ48" s="169"/>
      <c r="CA48"/>
      <c r="CB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</row>
    <row r="49" spans="12:104" ht="11.25" hidden="1" customHeight="1">
      <c r="L49" s="150"/>
      <c r="M49" s="495"/>
      <c r="N49" s="496"/>
      <c r="O49" s="166"/>
      <c r="AB49" s="251"/>
      <c r="AC49" s="251"/>
      <c r="AD49" s="251"/>
      <c r="AE49" s="241"/>
      <c r="AF49" s="241"/>
      <c r="AG49" s="241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69"/>
      <c r="BT49" s="169"/>
      <c r="BU49" s="169"/>
      <c r="BV49" s="169"/>
      <c r="BW49" s="169"/>
      <c r="BX49" s="169"/>
      <c r="BY49" s="169"/>
      <c r="BZ49" s="169"/>
      <c r="CA49"/>
      <c r="CB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</row>
    <row r="50" spans="12:104" ht="11.25" hidden="1" customHeight="1">
      <c r="L50" s="150"/>
      <c r="M50" s="495"/>
      <c r="N50" s="496"/>
      <c r="O50" s="166"/>
      <c r="AB50" s="251"/>
      <c r="AC50" s="251"/>
      <c r="AD50" s="251"/>
      <c r="AE50" s="241"/>
      <c r="AF50" s="241"/>
      <c r="AG50" s="241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  <c r="CA50"/>
      <c r="CB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</row>
    <row r="51" spans="12:104" ht="11.25" hidden="1" customHeight="1">
      <c r="L51" s="150"/>
      <c r="M51" s="495"/>
      <c r="N51" s="496"/>
      <c r="O51" s="166"/>
      <c r="AB51" s="251"/>
      <c r="AC51" s="251"/>
      <c r="AD51" s="251"/>
      <c r="AE51" s="241"/>
      <c r="AF51" s="241"/>
      <c r="AG51" s="241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  <c r="CA51"/>
      <c r="CB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</row>
    <row r="52" spans="12:104" ht="11.25" hidden="1" customHeight="1">
      <c r="L52" s="150"/>
      <c r="M52" s="495"/>
      <c r="N52" s="496"/>
      <c r="O52" s="166"/>
      <c r="AB52" s="251"/>
      <c r="AC52" s="251"/>
      <c r="AD52" s="251"/>
      <c r="AE52" s="241"/>
      <c r="AF52" s="241"/>
      <c r="AG52" s="241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69"/>
      <c r="BP52" s="169"/>
      <c r="BQ52" s="169"/>
      <c r="BR52" s="169"/>
      <c r="BS52" s="169"/>
      <c r="BT52" s="169"/>
      <c r="BU52" s="169"/>
      <c r="BV52" s="169"/>
      <c r="BW52" s="169"/>
      <c r="BX52" s="169"/>
      <c r="BY52" s="169"/>
      <c r="BZ52" s="169"/>
      <c r="CA52"/>
      <c r="CB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</row>
    <row r="53" spans="12:104" ht="11.25" hidden="1" customHeight="1">
      <c r="L53" s="150"/>
      <c r="M53" s="495"/>
      <c r="N53" s="496"/>
      <c r="O53" s="166"/>
      <c r="AB53" s="251"/>
      <c r="AC53" s="251"/>
      <c r="AD53" s="251"/>
      <c r="AE53" s="241"/>
      <c r="AF53" s="241"/>
      <c r="AG53" s="241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  <c r="CA53"/>
      <c r="CB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</row>
    <row r="54" spans="12:104" ht="11.25" hidden="1" customHeight="1">
      <c r="L54" s="150"/>
      <c r="M54" s="495"/>
      <c r="N54" s="496"/>
      <c r="O54" s="166"/>
      <c r="AB54" s="251"/>
      <c r="AC54" s="251"/>
      <c r="AD54" s="251"/>
      <c r="AE54" s="241"/>
      <c r="AF54" s="241"/>
      <c r="AG54" s="241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  <c r="CA54"/>
      <c r="CB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</row>
    <row r="55" spans="12:104" ht="11.25" hidden="1" customHeight="1">
      <c r="L55" s="150"/>
      <c r="M55" s="495"/>
      <c r="N55" s="496"/>
      <c r="O55" s="166"/>
      <c r="AB55" s="251"/>
      <c r="AC55" s="251"/>
      <c r="AD55" s="251"/>
      <c r="AE55" s="241"/>
      <c r="AF55" s="241"/>
      <c r="AG55" s="241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69"/>
      <c r="BY55" s="169"/>
      <c r="BZ55" s="169"/>
      <c r="CA55"/>
      <c r="CB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</row>
    <row r="56" spans="12:104" ht="11.25" hidden="1" customHeight="1">
      <c r="L56" s="150"/>
      <c r="M56" s="495"/>
      <c r="N56" s="496"/>
      <c r="O56" s="166"/>
      <c r="AB56" s="251"/>
      <c r="AC56" s="251"/>
      <c r="AD56" s="251"/>
      <c r="AE56" s="241"/>
      <c r="AF56" s="241"/>
      <c r="AG56" s="241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  <c r="CA56"/>
      <c r="CB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</row>
    <row r="57" spans="12:104" ht="11.25" hidden="1" customHeight="1">
      <c r="L57" s="150"/>
      <c r="M57" s="495"/>
      <c r="N57" s="496"/>
      <c r="O57" s="166"/>
      <c r="AB57" s="251"/>
      <c r="AC57" s="251"/>
      <c r="AD57" s="251"/>
      <c r="AE57" s="241"/>
      <c r="AF57" s="241"/>
      <c r="AG57" s="241"/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  <c r="CA57"/>
      <c r="CB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</row>
    <row r="58" spans="12:104" ht="11.25" hidden="1" customHeight="1">
      <c r="L58" s="150"/>
      <c r="M58" s="495"/>
      <c r="N58" s="496"/>
      <c r="O58" s="166"/>
      <c r="AB58" s="251"/>
      <c r="AC58" s="251"/>
      <c r="AD58" s="251"/>
      <c r="AE58" s="241"/>
      <c r="AF58" s="241"/>
      <c r="AG58" s="241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  <c r="CA58"/>
      <c r="CB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</row>
    <row r="59" spans="12:104" ht="11.25" hidden="1" customHeight="1">
      <c r="L59" s="150"/>
      <c r="M59" s="495"/>
      <c r="N59" s="496"/>
      <c r="O59" s="166"/>
      <c r="AB59" s="251"/>
      <c r="AC59" s="251"/>
      <c r="AD59" s="251"/>
      <c r="AE59" s="241"/>
      <c r="AF59" s="241"/>
      <c r="AG59" s="241"/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  <c r="BE59" s="169"/>
      <c r="BF59" s="169"/>
      <c r="BG59" s="169"/>
      <c r="BH59" s="169"/>
      <c r="BI59" s="169"/>
      <c r="BJ59" s="169"/>
      <c r="BK59" s="169"/>
      <c r="BL59" s="169"/>
      <c r="BM59" s="169"/>
      <c r="BN59" s="169"/>
      <c r="BO59" s="169"/>
      <c r="BP59" s="169"/>
      <c r="BQ59" s="169"/>
      <c r="BR59" s="169"/>
      <c r="BS59" s="169"/>
      <c r="BT59" s="169"/>
      <c r="BU59" s="169"/>
      <c r="BV59" s="169"/>
      <c r="BW59" s="169"/>
      <c r="BX59" s="169"/>
      <c r="BY59" s="169"/>
      <c r="BZ59" s="169"/>
      <c r="CA59"/>
      <c r="CB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</row>
    <row r="60" spans="12:104" ht="11.25" hidden="1" customHeight="1">
      <c r="L60" s="150"/>
      <c r="M60" s="495"/>
      <c r="N60" s="496"/>
      <c r="O60" s="166"/>
      <c r="AB60" s="251"/>
      <c r="AC60" s="251"/>
      <c r="AD60" s="251"/>
      <c r="AE60" s="241"/>
      <c r="AF60" s="241"/>
      <c r="AG60" s="241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  <c r="CA60"/>
      <c r="CB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</row>
    <row r="61" spans="12:104" ht="11.25" hidden="1" customHeight="1">
      <c r="L61" s="150"/>
      <c r="M61" s="495"/>
      <c r="N61" s="496"/>
      <c r="O61" s="166"/>
      <c r="AB61" s="251"/>
      <c r="AC61" s="251"/>
      <c r="AD61" s="251"/>
      <c r="AE61" s="241"/>
      <c r="AF61" s="241"/>
      <c r="AG61" s="241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  <c r="CA61"/>
      <c r="CB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</row>
    <row r="62" spans="12:104" ht="11.25" hidden="1" customHeight="1">
      <c r="L62" s="150"/>
      <c r="M62" s="495"/>
      <c r="N62" s="496"/>
      <c r="O62" s="166"/>
      <c r="AB62" s="251"/>
      <c r="AC62" s="251"/>
      <c r="AD62" s="251"/>
      <c r="AE62" s="241"/>
      <c r="AF62" s="241"/>
      <c r="AG62" s="241"/>
      <c r="AH62" s="169"/>
      <c r="AI62" s="169"/>
      <c r="AJ62" s="169"/>
      <c r="AK62" s="169"/>
      <c r="AL62" s="169"/>
      <c r="AM62" s="169"/>
      <c r="AN62" s="169"/>
      <c r="AO62" s="169"/>
      <c r="AP62" s="169"/>
      <c r="AQ62" s="169"/>
      <c r="AR62" s="169"/>
      <c r="AS62" s="169"/>
      <c r="AT62" s="169"/>
      <c r="AU62" s="169"/>
      <c r="AV62" s="169"/>
      <c r="AW62" s="169"/>
      <c r="AX62" s="169"/>
      <c r="AY62" s="169"/>
      <c r="AZ62" s="169"/>
      <c r="BA62" s="169"/>
      <c r="BB62" s="169"/>
      <c r="BC62" s="169"/>
      <c r="BD62" s="169"/>
      <c r="BE62" s="169"/>
      <c r="BF62" s="169"/>
      <c r="BG62" s="169"/>
      <c r="BH62" s="169"/>
      <c r="BI62" s="169"/>
      <c r="BJ62" s="169"/>
      <c r="BK62" s="169"/>
      <c r="BL62" s="169"/>
      <c r="BM62" s="169"/>
      <c r="BN62" s="169"/>
      <c r="BO62" s="169"/>
      <c r="BP62" s="169"/>
      <c r="BQ62" s="169"/>
      <c r="BR62" s="169"/>
      <c r="BS62" s="169"/>
      <c r="BT62" s="169"/>
      <c r="BU62" s="169"/>
      <c r="BV62" s="169"/>
      <c r="BW62" s="169"/>
      <c r="BX62" s="169"/>
      <c r="BY62" s="169"/>
      <c r="BZ62" s="169"/>
      <c r="CA62"/>
      <c r="CB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</row>
    <row r="63" spans="12:104" ht="11.25" hidden="1" customHeight="1">
      <c r="L63" s="150"/>
      <c r="M63" s="495"/>
      <c r="N63" s="496"/>
      <c r="O63" s="166"/>
      <c r="AB63" s="251"/>
      <c r="AC63" s="251"/>
      <c r="AD63" s="251"/>
      <c r="AE63" s="241"/>
      <c r="AF63" s="241"/>
      <c r="AG63" s="241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69"/>
      <c r="BR63" s="169"/>
      <c r="BS63" s="169"/>
      <c r="BT63" s="169"/>
      <c r="BU63" s="169"/>
      <c r="BV63" s="169"/>
      <c r="BW63" s="169"/>
      <c r="BX63" s="169"/>
      <c r="BY63" s="169"/>
      <c r="BZ63" s="169"/>
      <c r="CA63"/>
      <c r="CB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</row>
    <row r="64" spans="12:104" ht="11.25" hidden="1" customHeight="1">
      <c r="L64" s="150"/>
      <c r="M64" s="495"/>
      <c r="N64" s="496"/>
      <c r="O64" s="166"/>
      <c r="AB64" s="251"/>
      <c r="AC64" s="251"/>
      <c r="AD64" s="251"/>
      <c r="AE64" s="241"/>
      <c r="AF64" s="241"/>
      <c r="AG64" s="241"/>
      <c r="AH64" s="169"/>
      <c r="AI64" s="169"/>
      <c r="AJ64" s="169"/>
      <c r="AK64" s="169"/>
      <c r="AL64" s="169"/>
      <c r="AM64" s="169"/>
      <c r="AN64" s="169"/>
      <c r="AO64" s="169"/>
      <c r="AP64" s="169"/>
      <c r="AQ64" s="169"/>
      <c r="AR64" s="169"/>
      <c r="AS64" s="169"/>
      <c r="AT64" s="169"/>
      <c r="AU64" s="169"/>
      <c r="AV64" s="169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69"/>
      <c r="BP64" s="169"/>
      <c r="BQ64" s="169"/>
      <c r="BR64" s="169"/>
      <c r="BS64" s="169"/>
      <c r="BT64" s="169"/>
      <c r="BU64" s="169"/>
      <c r="BV64" s="169"/>
      <c r="BW64" s="169"/>
      <c r="BX64" s="169"/>
      <c r="BY64" s="169"/>
      <c r="BZ64" s="169"/>
      <c r="CA64"/>
      <c r="CB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</row>
    <row r="65" spans="12:104" ht="11.25" hidden="1" customHeight="1">
      <c r="L65" s="150"/>
      <c r="M65" s="495"/>
      <c r="N65" s="496"/>
      <c r="O65" s="166"/>
      <c r="AB65" s="251"/>
      <c r="AC65" s="251"/>
      <c r="AD65" s="251"/>
      <c r="AE65" s="241"/>
      <c r="AF65" s="241"/>
      <c r="AG65" s="241"/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  <c r="CA65"/>
      <c r="CB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</row>
    <row r="66" spans="12:104" ht="11.25" hidden="1" customHeight="1">
      <c r="L66" s="150"/>
      <c r="M66" s="495"/>
      <c r="N66" s="496"/>
      <c r="O66" s="166"/>
      <c r="AB66" s="251"/>
      <c r="AC66" s="251"/>
      <c r="AD66" s="251"/>
      <c r="AE66" s="241"/>
      <c r="AF66" s="241"/>
      <c r="AG66" s="241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  <c r="CA66"/>
      <c r="CB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</row>
    <row r="67" spans="12:104" ht="11.25" hidden="1" customHeight="1">
      <c r="L67" s="150"/>
      <c r="M67" s="495"/>
      <c r="N67" s="496"/>
      <c r="O67" s="166"/>
      <c r="AB67" s="251"/>
      <c r="AC67" s="251"/>
      <c r="AD67" s="251"/>
      <c r="AE67" s="241"/>
      <c r="AF67" s="241"/>
      <c r="AG67" s="241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/>
      <c r="CB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</row>
    <row r="68" spans="12:104" ht="11.25" hidden="1" customHeight="1">
      <c r="L68" s="150"/>
      <c r="M68" s="495"/>
      <c r="N68" s="496"/>
      <c r="O68" s="166"/>
      <c r="AB68" s="251"/>
      <c r="AC68" s="251"/>
      <c r="AD68" s="251"/>
      <c r="AE68" s="241"/>
      <c r="AF68" s="241"/>
      <c r="AG68" s="241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/>
      <c r="CB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</row>
    <row r="69" spans="12:104" ht="11.25" hidden="1" customHeight="1">
      <c r="L69" s="150"/>
      <c r="M69" s="495"/>
      <c r="N69" s="496"/>
      <c r="O69" s="166"/>
      <c r="AB69" s="251"/>
      <c r="AC69" s="251"/>
      <c r="AD69" s="251"/>
      <c r="AE69" s="241"/>
      <c r="AF69" s="241"/>
      <c r="AG69" s="241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  <c r="CA69"/>
      <c r="CB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</row>
    <row r="70" spans="12:104" ht="11.25" hidden="1" customHeight="1">
      <c r="L70" s="150"/>
      <c r="M70" s="495"/>
      <c r="N70" s="496"/>
      <c r="O70" s="166"/>
      <c r="AB70" s="251"/>
      <c r="AC70" s="251"/>
      <c r="AD70" s="251"/>
      <c r="AE70" s="241"/>
      <c r="AF70" s="241"/>
      <c r="AG70" s="241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  <c r="CA70"/>
      <c r="CB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</row>
    <row r="71" spans="12:104" ht="11.25" hidden="1" customHeight="1">
      <c r="L71" s="150"/>
      <c r="M71" s="495"/>
      <c r="N71" s="496"/>
      <c r="O71" s="166"/>
      <c r="AB71" s="251"/>
      <c r="AC71" s="251"/>
      <c r="AD71" s="251"/>
      <c r="AE71" s="241"/>
      <c r="AF71" s="241"/>
      <c r="AG71" s="241"/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  <c r="CA71"/>
      <c r="CB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</row>
    <row r="72" spans="12:104" ht="11.25" hidden="1" customHeight="1">
      <c r="L72" s="150"/>
      <c r="M72" s="495"/>
      <c r="N72" s="496"/>
      <c r="O72" s="166"/>
      <c r="AB72" s="251"/>
      <c r="AC72" s="251"/>
      <c r="AD72" s="251"/>
      <c r="AE72" s="241"/>
      <c r="AF72" s="241"/>
      <c r="AG72" s="241"/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  <c r="CA72"/>
      <c r="CB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</row>
    <row r="73" spans="12:104" ht="11.25" hidden="1" customHeight="1">
      <c r="L73" s="150"/>
      <c r="M73" s="495"/>
      <c r="N73" s="496"/>
      <c r="O73" s="166"/>
      <c r="AB73" s="251"/>
      <c r="AC73" s="251"/>
      <c r="AD73" s="251"/>
      <c r="AE73" s="241"/>
      <c r="AF73" s="241"/>
      <c r="AG73" s="241"/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  <c r="CA73"/>
      <c r="CB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</row>
    <row r="74" spans="12:104" ht="11.25" hidden="1" customHeight="1">
      <c r="L74" s="150"/>
      <c r="M74" s="495"/>
      <c r="N74" s="496"/>
      <c r="O74" s="166"/>
      <c r="AB74" s="251"/>
      <c r="AC74" s="251"/>
      <c r="AD74" s="251"/>
      <c r="AE74" s="241"/>
      <c r="AF74" s="241"/>
      <c r="AG74" s="241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  <c r="CA74"/>
      <c r="CB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</row>
    <row r="75" spans="12:104" ht="11.25" hidden="1" customHeight="1">
      <c r="L75" s="150"/>
      <c r="M75" s="495"/>
      <c r="N75" s="496"/>
      <c r="O75" s="166"/>
      <c r="AB75" s="251"/>
      <c r="AC75" s="251"/>
      <c r="AD75" s="251"/>
      <c r="AE75" s="241"/>
      <c r="AF75" s="241"/>
      <c r="AG75" s="241"/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69"/>
      <c r="BU75" s="169"/>
      <c r="BV75" s="169"/>
      <c r="BW75" s="169"/>
      <c r="BX75" s="169"/>
      <c r="BY75" s="169"/>
      <c r="BZ75" s="169"/>
      <c r="CA75"/>
      <c r="CB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</row>
    <row r="76" spans="12:104" ht="11.25" hidden="1" customHeight="1">
      <c r="L76" s="150"/>
      <c r="M76" s="495"/>
      <c r="N76" s="496"/>
      <c r="O76" s="166"/>
      <c r="AB76" s="251"/>
      <c r="AC76" s="251"/>
      <c r="AD76" s="251"/>
      <c r="AE76" s="241"/>
      <c r="AF76" s="241"/>
      <c r="AG76" s="241"/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  <c r="CA76"/>
      <c r="CB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</row>
    <row r="77" spans="12:104" ht="11.25" hidden="1" customHeight="1">
      <c r="L77" s="150"/>
      <c r="M77" s="495"/>
      <c r="N77" s="496"/>
      <c r="O77" s="166"/>
      <c r="AB77" s="251"/>
      <c r="AC77" s="251"/>
      <c r="AD77" s="251"/>
      <c r="AE77" s="241"/>
      <c r="AF77" s="241"/>
      <c r="AG77" s="241"/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69"/>
      <c r="BC77" s="169"/>
      <c r="BD77" s="169"/>
      <c r="BE77" s="169"/>
      <c r="BF77" s="169"/>
      <c r="BG77" s="169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69"/>
      <c r="BU77" s="169"/>
      <c r="BV77" s="169"/>
      <c r="BW77" s="169"/>
      <c r="BX77" s="169"/>
      <c r="BY77" s="169"/>
      <c r="BZ77" s="169"/>
      <c r="CA77"/>
      <c r="CB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</row>
    <row r="78" spans="12:104" ht="11.25" hidden="1" customHeight="1">
      <c r="L78" s="150"/>
      <c r="M78" s="495"/>
      <c r="N78" s="496"/>
      <c r="O78" s="166"/>
      <c r="AB78" s="251"/>
      <c r="AC78" s="251"/>
      <c r="AD78" s="251"/>
      <c r="AE78" s="241"/>
      <c r="AF78" s="241"/>
      <c r="AG78" s="241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  <c r="CA78"/>
      <c r="CB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</row>
    <row r="79" spans="12:104" ht="11.25" hidden="1" customHeight="1">
      <c r="L79" s="150"/>
      <c r="M79" s="495"/>
      <c r="N79" s="496"/>
      <c r="O79" s="166"/>
      <c r="AB79" s="251"/>
      <c r="AC79" s="251"/>
      <c r="AD79" s="251"/>
      <c r="AE79" s="241"/>
      <c r="AF79" s="241"/>
      <c r="AG79" s="241"/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  <c r="CA79"/>
      <c r="CB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</row>
    <row r="80" spans="12:104" ht="11.25" hidden="1" customHeight="1">
      <c r="L80" s="150"/>
      <c r="M80" s="495"/>
      <c r="N80" s="496"/>
      <c r="O80" s="166"/>
      <c r="AB80" s="251"/>
      <c r="AC80" s="251"/>
      <c r="AD80" s="251"/>
      <c r="AE80" s="241"/>
      <c r="AF80" s="241"/>
      <c r="AG80" s="241"/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69"/>
      <c r="BC80" s="169"/>
      <c r="BD80" s="169"/>
      <c r="BE80" s="169"/>
      <c r="BF80" s="169"/>
      <c r="BG80" s="169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69"/>
      <c r="BU80" s="169"/>
      <c r="BV80" s="169"/>
      <c r="BW80" s="169"/>
      <c r="BX80" s="169"/>
      <c r="BY80" s="169"/>
      <c r="BZ80" s="169"/>
      <c r="CA80"/>
      <c r="CB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</row>
    <row r="81" spans="12:104" ht="11.25" hidden="1" customHeight="1">
      <c r="L81" s="150"/>
      <c r="M81" s="495"/>
      <c r="N81" s="496"/>
      <c r="O81" s="166"/>
      <c r="AB81" s="251"/>
      <c r="AC81" s="251"/>
      <c r="AD81" s="251"/>
      <c r="AE81" s="241"/>
      <c r="AF81" s="241"/>
      <c r="AG81" s="241"/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  <c r="CA81"/>
      <c r="CB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</row>
    <row r="82" spans="12:104" ht="11.25" hidden="1" customHeight="1">
      <c r="L82" s="150"/>
      <c r="M82" s="495"/>
      <c r="N82" s="496"/>
      <c r="O82" s="166"/>
      <c r="AB82" s="251"/>
      <c r="AC82" s="251"/>
      <c r="AD82" s="251"/>
      <c r="AE82" s="241"/>
      <c r="AF82" s="241"/>
      <c r="AG82" s="241"/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  <c r="CA82"/>
      <c r="CB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</row>
    <row r="83" spans="12:104" ht="11.25" hidden="1" customHeight="1">
      <c r="L83" s="150"/>
      <c r="M83" s="495"/>
      <c r="N83" s="496"/>
      <c r="O83" s="166"/>
      <c r="AB83" s="251"/>
      <c r="AC83" s="251"/>
      <c r="AD83" s="251"/>
      <c r="AE83" s="241"/>
      <c r="AF83" s="241"/>
      <c r="AG83" s="241"/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/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/>
      <c r="BU83" s="169"/>
      <c r="BV83" s="169"/>
      <c r="BW83" s="169"/>
      <c r="BX83" s="169"/>
      <c r="BY83" s="169"/>
      <c r="BZ83" s="169"/>
      <c r="CA83"/>
      <c r="CB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</row>
    <row r="84" spans="12:104" ht="11.25" hidden="1" customHeight="1">
      <c r="L84" s="150"/>
      <c r="M84" s="495"/>
      <c r="N84" s="496"/>
      <c r="O84" s="166"/>
      <c r="AB84" s="251"/>
      <c r="AC84" s="251"/>
      <c r="AD84" s="251"/>
      <c r="AE84" s="241"/>
      <c r="AF84" s="241"/>
      <c r="AG84" s="241"/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69"/>
      <c r="BC84" s="169"/>
      <c r="BD84" s="169"/>
      <c r="BE84" s="169"/>
      <c r="BF84" s="169"/>
      <c r="BG84" s="169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69"/>
      <c r="BU84" s="169"/>
      <c r="BV84" s="169"/>
      <c r="BW84" s="169"/>
      <c r="BX84" s="169"/>
      <c r="BY84" s="169"/>
      <c r="BZ84" s="169"/>
      <c r="CA84"/>
      <c r="CB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</row>
    <row r="85" spans="12:104" ht="11.25" hidden="1" customHeight="1">
      <c r="L85" s="150"/>
      <c r="M85" s="495"/>
      <c r="N85" s="496"/>
      <c r="O85" s="166"/>
      <c r="AB85" s="251"/>
      <c r="AC85" s="251"/>
      <c r="AD85" s="251"/>
      <c r="AE85" s="241"/>
      <c r="AF85" s="241"/>
      <c r="AG85" s="241"/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/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/>
      <c r="BU85" s="169"/>
      <c r="BV85" s="169"/>
      <c r="BW85" s="169"/>
      <c r="BX85" s="169"/>
      <c r="BY85" s="169"/>
      <c r="BZ85" s="169"/>
      <c r="CA85"/>
      <c r="CB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</row>
    <row r="86" spans="12:104" ht="11.25" hidden="1" customHeight="1">
      <c r="L86" s="150"/>
      <c r="M86" s="495"/>
      <c r="N86" s="496"/>
      <c r="O86" s="166"/>
      <c r="AB86" s="251"/>
      <c r="AC86" s="251"/>
      <c r="AD86" s="251"/>
      <c r="AE86" s="241"/>
      <c r="AF86" s="241"/>
      <c r="AG86" s="241"/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  <c r="CA86"/>
      <c r="CB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</row>
    <row r="87" spans="12:104" ht="11.25" hidden="1" customHeight="1">
      <c r="L87" s="150"/>
      <c r="M87" s="495"/>
      <c r="N87" s="496"/>
      <c r="O87" s="166"/>
      <c r="AB87" s="251"/>
      <c r="AC87" s="251"/>
      <c r="AD87" s="251"/>
      <c r="AE87" s="241"/>
      <c r="AF87" s="241"/>
      <c r="AG87" s="241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  <c r="CA87"/>
      <c r="CB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</row>
    <row r="88" spans="12:104" ht="11.25" hidden="1" customHeight="1">
      <c r="L88" s="150"/>
      <c r="M88" s="495"/>
      <c r="N88" s="496"/>
      <c r="O88" s="166"/>
      <c r="AB88" s="251"/>
      <c r="AC88" s="251"/>
      <c r="AD88" s="251"/>
      <c r="AE88" s="241"/>
      <c r="AF88" s="241"/>
      <c r="AG88" s="241"/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  <c r="AU88" s="169"/>
      <c r="AV88" s="169"/>
      <c r="AW88" s="169"/>
      <c r="AX88" s="169"/>
      <c r="AY88" s="169"/>
      <c r="AZ88" s="169"/>
      <c r="BA88" s="169"/>
      <c r="BB88" s="169"/>
      <c r="BC88" s="169"/>
      <c r="BD88" s="169"/>
      <c r="BE88" s="169"/>
      <c r="BF88" s="169"/>
      <c r="BG88" s="169"/>
      <c r="BH88" s="169"/>
      <c r="BI88" s="169"/>
      <c r="BJ88" s="169"/>
      <c r="BK88" s="169"/>
      <c r="BL88" s="169"/>
      <c r="BM88" s="169"/>
      <c r="BN88" s="169"/>
      <c r="BO88" s="169"/>
      <c r="BP88" s="169"/>
      <c r="BQ88" s="169"/>
      <c r="BR88" s="169"/>
      <c r="BS88" s="169"/>
      <c r="BT88" s="169"/>
      <c r="BU88" s="169"/>
      <c r="BV88" s="169"/>
      <c r="BW88" s="169"/>
      <c r="BX88" s="169"/>
      <c r="BY88" s="169"/>
      <c r="BZ88" s="169"/>
      <c r="CA88"/>
      <c r="CB88"/>
      <c r="CC88"/>
      <c r="CD88"/>
      <c r="CE88"/>
      <c r="CF88"/>
      <c r="CG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</row>
    <row r="89" spans="12:104" ht="11.25" customHeight="1">
      <c r="L89" s="150"/>
      <c r="M89" s="495"/>
      <c r="N89" s="496"/>
      <c r="O89" s="166"/>
      <c r="AB89" s="251"/>
      <c r="AC89" s="251"/>
      <c r="AD89" s="251"/>
      <c r="AE89" s="241"/>
      <c r="AF89" s="241"/>
      <c r="AG89" s="241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69"/>
      <c r="BU89" s="169"/>
      <c r="BV89" s="169"/>
      <c r="BW89" s="169"/>
      <c r="BX89" s="169"/>
      <c r="BY89" s="169"/>
      <c r="BZ89" s="169"/>
      <c r="CA89"/>
      <c r="CB89"/>
      <c r="CC89"/>
      <c r="CD89"/>
      <c r="CE89"/>
      <c r="CF89"/>
      <c r="CG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</row>
    <row r="90" spans="12:104" ht="11.25" customHeight="1">
      <c r="L90" s="150"/>
      <c r="M90" s="490" t="s">
        <v>180</v>
      </c>
      <c r="N90" s="494" t="s">
        <v>322</v>
      </c>
      <c r="O90" s="163" t="s">
        <v>195</v>
      </c>
      <c r="AB90" s="251"/>
      <c r="AC90" s="251"/>
      <c r="AD90" s="251"/>
      <c r="AE90" s="247">
        <f>SUM(AE91,AE154)</f>
        <v>0</v>
      </c>
      <c r="AF90" s="247">
        <f>SUM(AF91,AF154)</f>
        <v>0</v>
      </c>
      <c r="AG90" s="247">
        <f>SUM(AG91,AG154)</f>
        <v>0</v>
      </c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69"/>
      <c r="BS90" s="169"/>
      <c r="BT90" s="169"/>
      <c r="BU90" s="169"/>
      <c r="BV90" s="169"/>
      <c r="BW90" s="169"/>
      <c r="BX90" s="169"/>
      <c r="BY90" s="169"/>
      <c r="BZ90" s="169"/>
      <c r="CA90"/>
      <c r="CB90"/>
      <c r="CC90"/>
      <c r="CD90"/>
      <c r="CE90"/>
      <c r="CF90"/>
      <c r="CG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</row>
    <row r="91" spans="12:104" ht="11.25" customHeight="1">
      <c r="L91" s="150"/>
      <c r="M91" s="490" t="s">
        <v>181</v>
      </c>
      <c r="N91" s="497" t="s">
        <v>323</v>
      </c>
      <c r="O91" s="163" t="s">
        <v>195</v>
      </c>
      <c r="AB91" s="251"/>
      <c r="AC91" s="251"/>
      <c r="AD91" s="251"/>
      <c r="AE91" s="253">
        <f>SUM(AE92,AE126,AE127)</f>
        <v>0</v>
      </c>
      <c r="AF91" s="253">
        <f>SUM(AF92,AF126,AF127)</f>
        <v>0</v>
      </c>
      <c r="AG91" s="253">
        <f>SUM(AG92,AG126,AG127)</f>
        <v>0</v>
      </c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  <c r="CA91"/>
      <c r="CB91"/>
      <c r="CC91"/>
      <c r="CD91"/>
      <c r="CE91"/>
      <c r="CF91"/>
      <c r="CG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</row>
    <row r="92" spans="12:104" ht="11.25" customHeight="1">
      <c r="L92" s="150"/>
      <c r="M92" s="490" t="s">
        <v>324</v>
      </c>
      <c r="N92" s="498" t="s">
        <v>325</v>
      </c>
      <c r="O92" s="163" t="s">
        <v>195</v>
      </c>
      <c r="AB92" s="251"/>
      <c r="AC92" s="251"/>
      <c r="AD92" s="251"/>
      <c r="AE92" s="247">
        <f>SUM(AE93,AE109)</f>
        <v>0</v>
      </c>
      <c r="AF92" s="247">
        <f>SUM(AF93,AF109)</f>
        <v>0</v>
      </c>
      <c r="AG92" s="247">
        <f>SUM(AG93,AG109)</f>
        <v>0</v>
      </c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69"/>
      <c r="BU92" s="169"/>
      <c r="BV92" s="169"/>
      <c r="BW92" s="169"/>
      <c r="BX92" s="169"/>
      <c r="BY92" s="169"/>
      <c r="BZ92" s="169"/>
      <c r="CA92"/>
      <c r="CB92"/>
      <c r="CC92"/>
      <c r="CD92"/>
      <c r="CE92"/>
      <c r="CF92"/>
      <c r="CG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</row>
    <row r="93" spans="12:104" ht="11.25" customHeight="1">
      <c r="L93" s="150"/>
      <c r="M93" s="499" t="str">
        <f>M92 &amp; ".1"</f>
        <v>5.1.1.1</v>
      </c>
      <c r="N93" s="470" t="s">
        <v>294</v>
      </c>
      <c r="O93" s="163" t="s">
        <v>195</v>
      </c>
      <c r="AB93" s="251"/>
      <c r="AC93" s="251"/>
      <c r="AD93" s="251"/>
      <c r="AE93" s="254">
        <f>SUM(AE94,AE98,AE102)</f>
        <v>0</v>
      </c>
      <c r="AF93" s="255">
        <f>SUM(AF94,AF98,AF102)</f>
        <v>0</v>
      </c>
      <c r="AG93" s="256">
        <f>SUM(AG94,AG98,AG102)</f>
        <v>0</v>
      </c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169"/>
      <c r="BB93" s="169"/>
      <c r="BC93" s="169"/>
      <c r="BD93" s="169"/>
      <c r="BE93" s="169"/>
      <c r="BF93" s="169"/>
      <c r="BG93" s="169"/>
      <c r="BH93" s="169"/>
      <c r="BI93" s="169"/>
      <c r="BJ93" s="169"/>
      <c r="BK93" s="169"/>
      <c r="BL93" s="169"/>
      <c r="BM93" s="169"/>
      <c r="BN93" s="169"/>
      <c r="BO93" s="169"/>
      <c r="BP93" s="169"/>
      <c r="BQ93" s="169"/>
      <c r="BR93" s="169"/>
      <c r="BS93" s="169"/>
      <c r="BT93" s="169"/>
      <c r="BU93" s="169"/>
      <c r="BV93" s="169"/>
      <c r="BW93" s="169"/>
      <c r="BX93" s="169"/>
      <c r="BY93" s="169"/>
      <c r="BZ93" s="169"/>
      <c r="CA93"/>
      <c r="CB93"/>
      <c r="CC93"/>
      <c r="CD93"/>
      <c r="CE93"/>
      <c r="CF93"/>
      <c r="CG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</row>
    <row r="94" spans="12:104" ht="11.25" customHeight="1">
      <c r="L94" s="150"/>
      <c r="M94" s="499" t="str">
        <f>M92 &amp; ".1.1"</f>
        <v>5.1.1.1.1</v>
      </c>
      <c r="N94" s="469" t="s">
        <v>738</v>
      </c>
      <c r="O94" s="163" t="s">
        <v>195</v>
      </c>
      <c r="AB94" s="251"/>
      <c r="AC94" s="251"/>
      <c r="AD94" s="251"/>
      <c r="AE94" s="256">
        <f>AF94+AG94</f>
        <v>0</v>
      </c>
      <c r="AF94" s="588"/>
      <c r="AG94" s="588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  <c r="CA94"/>
      <c r="CB94"/>
      <c r="CC94"/>
      <c r="CD94"/>
      <c r="CE94"/>
      <c r="CF94"/>
      <c r="CG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</row>
    <row r="95" spans="12:104" ht="11.25" customHeight="1">
      <c r="L95" s="150"/>
      <c r="M95" s="499" t="str">
        <f>M92 &amp; ".1.1.0.1"</f>
        <v>5.1.1.1.1.0.1</v>
      </c>
      <c r="N95" s="471" t="s">
        <v>285</v>
      </c>
      <c r="O95" s="163" t="s">
        <v>286</v>
      </c>
      <c r="AB95" s="251"/>
      <c r="AC95" s="251"/>
      <c r="AD95" s="251"/>
      <c r="AE95" s="244">
        <f>AF95+AG95</f>
        <v>0</v>
      </c>
      <c r="AF95" s="588"/>
      <c r="AG95" s="222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69"/>
      <c r="BU95" s="169"/>
      <c r="BV95" s="169"/>
      <c r="BW95" s="169"/>
      <c r="BX95" s="169"/>
      <c r="BY95" s="169"/>
      <c r="BZ95" s="169"/>
      <c r="CA95"/>
      <c r="CB95"/>
      <c r="CC95"/>
      <c r="CD95"/>
      <c r="CE95"/>
      <c r="CF95"/>
      <c r="CG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</row>
    <row r="96" spans="12:104" ht="11.25" customHeight="1">
      <c r="L96" s="150"/>
      <c r="M96" s="499" t="str">
        <f>M92 &amp; ".1.1.0.2"</f>
        <v>5.1.1.1.1.0.2</v>
      </c>
      <c r="N96" s="471" t="s">
        <v>287</v>
      </c>
      <c r="O96" s="163" t="s">
        <v>288</v>
      </c>
      <c r="AB96" s="251"/>
      <c r="AC96" s="251"/>
      <c r="AD96" s="251"/>
      <c r="AE96" s="244">
        <f>IF(AE95=0,0,AE94/AE95)</f>
        <v>0</v>
      </c>
      <c r="AF96" s="244">
        <f>IF(AF95=0,0,AF94/AF95)</f>
        <v>0</v>
      </c>
      <c r="AG96" s="244">
        <f>IF(AG95=0,0,AG94/AG95)</f>
        <v>0</v>
      </c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  <c r="CA96"/>
      <c r="CB96"/>
      <c r="CC96"/>
      <c r="CD96"/>
      <c r="CE96"/>
      <c r="CF96"/>
      <c r="CG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</row>
    <row r="97" spans="12:104" ht="11.25" customHeight="1">
      <c r="L97" s="150"/>
      <c r="M97" s="500"/>
      <c r="N97" s="472"/>
      <c r="O97" s="166"/>
      <c r="AB97" s="251"/>
      <c r="AC97" s="251"/>
      <c r="AD97" s="251"/>
      <c r="AE97" s="242"/>
      <c r="AF97" s="260"/>
      <c r="AG97" s="241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169"/>
      <c r="AX97" s="169"/>
      <c r="AY97" s="169"/>
      <c r="AZ97" s="169"/>
      <c r="BA97" s="169"/>
      <c r="BB97" s="169"/>
      <c r="BC97" s="169"/>
      <c r="BD97" s="169"/>
      <c r="BE97" s="169"/>
      <c r="BF97" s="169"/>
      <c r="BG97" s="169"/>
      <c r="BH97" s="169"/>
      <c r="BI97" s="169"/>
      <c r="BJ97" s="169"/>
      <c r="BK97" s="169"/>
      <c r="BL97" s="169"/>
      <c r="BM97" s="169"/>
      <c r="BN97" s="169"/>
      <c r="BO97" s="169"/>
      <c r="BP97" s="169"/>
      <c r="BQ97" s="169"/>
      <c r="BR97" s="169"/>
      <c r="BS97" s="169"/>
      <c r="BT97" s="169"/>
      <c r="BU97" s="169"/>
      <c r="BV97" s="169"/>
      <c r="BW97" s="169"/>
      <c r="BX97" s="169"/>
      <c r="BY97" s="169"/>
      <c r="BZ97" s="169"/>
      <c r="CA97"/>
      <c r="CB97"/>
      <c r="CC97"/>
      <c r="CD97"/>
      <c r="CE97"/>
      <c r="CF97"/>
      <c r="CG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</row>
    <row r="98" spans="12:104" ht="11.25" customHeight="1">
      <c r="L98" s="150"/>
      <c r="M98" s="499" t="str">
        <f>M92 &amp; ".1.2"</f>
        <v>5.1.1.1.2</v>
      </c>
      <c r="N98" s="469" t="s">
        <v>739</v>
      </c>
      <c r="O98" s="163" t="s">
        <v>195</v>
      </c>
      <c r="AB98" s="251"/>
      <c r="AC98" s="251"/>
      <c r="AD98" s="251"/>
      <c r="AE98" s="256">
        <f>AF98+AG98</f>
        <v>0</v>
      </c>
      <c r="AF98" s="588"/>
      <c r="AG98" s="588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  <c r="CA98"/>
      <c r="CB98"/>
      <c r="CC98"/>
      <c r="CD98"/>
      <c r="CE98"/>
      <c r="CF98"/>
      <c r="CG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</row>
    <row r="99" spans="12:104" ht="11.25" customHeight="1">
      <c r="L99" s="150"/>
      <c r="M99" s="499" t="str">
        <f>M92 &amp; ".1.2.0.1"</f>
        <v>5.1.1.1.2.0.1</v>
      </c>
      <c r="N99" s="471" t="s">
        <v>285</v>
      </c>
      <c r="O99" s="163" t="s">
        <v>286</v>
      </c>
      <c r="AB99" s="251"/>
      <c r="AC99" s="251"/>
      <c r="AD99" s="251"/>
      <c r="AE99" s="244">
        <f>AF99+AG99</f>
        <v>0</v>
      </c>
      <c r="AF99" s="588"/>
      <c r="AG99" s="222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  <c r="CA99"/>
      <c r="CB99"/>
      <c r="CC99"/>
      <c r="CD99"/>
      <c r="CE99"/>
      <c r="CF99"/>
      <c r="CG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</row>
    <row r="100" spans="12:104" ht="11.25" customHeight="1">
      <c r="L100" s="150"/>
      <c r="M100" s="499" t="str">
        <f>M92 &amp; ".1.2.0.2"</f>
        <v>5.1.1.1.2.0.2</v>
      </c>
      <c r="N100" s="471" t="s">
        <v>287</v>
      </c>
      <c r="O100" s="163" t="s">
        <v>288</v>
      </c>
      <c r="AB100" s="251"/>
      <c r="AC100" s="251"/>
      <c r="AD100" s="251"/>
      <c r="AE100" s="244">
        <f>IF(AE99=0,0,AE98/AE99)</f>
        <v>0</v>
      </c>
      <c r="AF100" s="244">
        <f>IF(AF99=0,0,AF98/AF99)</f>
        <v>0</v>
      </c>
      <c r="AG100" s="244">
        <f>IF(AG99=0,0,AG98/AG99)</f>
        <v>0</v>
      </c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169"/>
      <c r="BU100" s="169"/>
      <c r="BV100" s="169"/>
      <c r="BW100" s="169"/>
      <c r="BX100" s="169"/>
      <c r="BY100" s="169"/>
      <c r="BZ100" s="169"/>
      <c r="CA100"/>
      <c r="CB100"/>
      <c r="CC100"/>
      <c r="CD100"/>
      <c r="CE100"/>
      <c r="CF100"/>
      <c r="CG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</row>
    <row r="101" spans="12:104" ht="11.25" customHeight="1">
      <c r="L101" s="150"/>
      <c r="M101" s="500"/>
      <c r="N101" s="472"/>
      <c r="O101" s="166"/>
      <c r="AB101" s="251"/>
      <c r="AC101" s="251"/>
      <c r="AD101" s="251"/>
      <c r="AE101" s="242"/>
      <c r="AF101" s="260"/>
      <c r="AG101" s="241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  <c r="CA101"/>
      <c r="CB101"/>
      <c r="CC101"/>
      <c r="CD101"/>
      <c r="CE101"/>
      <c r="CF101"/>
      <c r="CG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</row>
    <row r="102" spans="12:104" ht="11.25" customHeight="1">
      <c r="L102" s="150"/>
      <c r="M102" s="499" t="str">
        <f>M92 &amp; ".1.3"</f>
        <v>5.1.1.1.3</v>
      </c>
      <c r="N102" s="469" t="s">
        <v>2224</v>
      </c>
      <c r="O102" s="163" t="s">
        <v>195</v>
      </c>
      <c r="AB102" s="251"/>
      <c r="AC102" s="251"/>
      <c r="AD102" s="251"/>
      <c r="AE102" s="256">
        <f>AF102+AG102</f>
        <v>0</v>
      </c>
      <c r="AF102" s="588"/>
      <c r="AG102" s="588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69"/>
      <c r="BC102" s="169"/>
      <c r="BD102" s="169"/>
      <c r="BE102" s="169"/>
      <c r="BF102" s="169"/>
      <c r="BG102" s="169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169"/>
      <c r="BU102" s="169"/>
      <c r="BV102" s="169"/>
      <c r="BW102" s="169"/>
      <c r="BX102" s="169"/>
      <c r="BY102" s="169"/>
      <c r="BZ102" s="169"/>
      <c r="CA102"/>
      <c r="CB102"/>
      <c r="CC102"/>
      <c r="CD102"/>
      <c r="CE102"/>
      <c r="CF102"/>
      <c r="CG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</row>
    <row r="103" spans="12:104" ht="11.25" customHeight="1">
      <c r="L103" s="150"/>
      <c r="M103" s="499" t="str">
        <f>M92 &amp; ".1.3.0.1"</f>
        <v>5.1.1.1.3.0.1</v>
      </c>
      <c r="N103" s="471" t="s">
        <v>285</v>
      </c>
      <c r="O103" s="163" t="s">
        <v>286</v>
      </c>
      <c r="AB103" s="251"/>
      <c r="AC103" s="251"/>
      <c r="AD103" s="251"/>
      <c r="AE103" s="244">
        <f>AF103+AG103</f>
        <v>0</v>
      </c>
      <c r="AF103" s="588"/>
      <c r="AG103" s="222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69"/>
      <c r="BG103" s="169"/>
      <c r="BH103" s="169"/>
      <c r="BI103" s="169"/>
      <c r="BJ103" s="169"/>
      <c r="BK103" s="169"/>
      <c r="BL103" s="169"/>
      <c r="BM103" s="169"/>
      <c r="BN103" s="169"/>
      <c r="BO103" s="169"/>
      <c r="BP103" s="169"/>
      <c r="BQ103" s="169"/>
      <c r="BR103" s="169"/>
      <c r="BS103" s="169"/>
      <c r="BT103" s="169"/>
      <c r="BU103" s="169"/>
      <c r="BV103" s="169"/>
      <c r="BW103" s="169"/>
      <c r="BX103" s="169"/>
      <c r="BY103" s="169"/>
      <c r="BZ103" s="169"/>
      <c r="CA103"/>
      <c r="CB103"/>
      <c r="CC103"/>
      <c r="CD103"/>
      <c r="CE103"/>
      <c r="CF103"/>
      <c r="CG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</row>
    <row r="104" spans="12:104" ht="11.25" customHeight="1">
      <c r="L104" s="150"/>
      <c r="M104" s="499" t="str">
        <f>M92 &amp; ".1.3.0.2"</f>
        <v>5.1.1.1.3.0.2</v>
      </c>
      <c r="N104" s="471" t="s">
        <v>287</v>
      </c>
      <c r="O104" s="163" t="s">
        <v>288</v>
      </c>
      <c r="AB104" s="251"/>
      <c r="AC104" s="251"/>
      <c r="AD104" s="251"/>
      <c r="AE104" s="244">
        <f>IF(AE103=0,0,AE102/AE103)</f>
        <v>0</v>
      </c>
      <c r="AF104" s="244">
        <f>IF(AF103=0,0,AF102/AF103)</f>
        <v>0</v>
      </c>
      <c r="AG104" s="244">
        <f>IF(AG103=0,0,AG102/AG103)</f>
        <v>0</v>
      </c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169"/>
      <c r="BB104" s="169"/>
      <c r="BC104" s="169"/>
      <c r="BD104" s="169"/>
      <c r="BE104" s="169"/>
      <c r="BF104" s="169"/>
      <c r="BG104" s="169"/>
      <c r="BH104" s="169"/>
      <c r="BI104" s="169"/>
      <c r="BJ104" s="169"/>
      <c r="BK104" s="169"/>
      <c r="BL104" s="169"/>
      <c r="BM104" s="169"/>
      <c r="BN104" s="169"/>
      <c r="BO104" s="169"/>
      <c r="BP104" s="169"/>
      <c r="BQ104" s="169"/>
      <c r="BR104" s="169"/>
      <c r="BS104" s="169"/>
      <c r="BT104" s="169"/>
      <c r="BU104" s="169"/>
      <c r="BV104" s="169"/>
      <c r="BW104" s="169"/>
      <c r="BX104" s="169"/>
      <c r="BY104" s="169"/>
      <c r="BZ104" s="169"/>
      <c r="CA104"/>
      <c r="CB104"/>
      <c r="CC104"/>
      <c r="CD104"/>
      <c r="CE104"/>
      <c r="CF104"/>
      <c r="CG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</row>
    <row r="105" spans="12:104" ht="11.25" customHeight="1">
      <c r="L105" s="150"/>
      <c r="M105" s="499" t="str">
        <f>M92 &amp; ".2"</f>
        <v>5.1.1.2</v>
      </c>
      <c r="N105" s="470" t="s">
        <v>278</v>
      </c>
      <c r="O105" s="163" t="s">
        <v>195</v>
      </c>
      <c r="AB105" s="251"/>
      <c r="AC105" s="251"/>
      <c r="AD105" s="251"/>
      <c r="AE105" s="244">
        <f>SUM(AE106:AE108)</f>
        <v>0</v>
      </c>
      <c r="AF105" s="257">
        <f>SUM(AF106:AF108)</f>
        <v>0</v>
      </c>
      <c r="AG105" s="247">
        <f>SUM(AG106:AG108)</f>
        <v>0</v>
      </c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69"/>
      <c r="BC105" s="169"/>
      <c r="BD105" s="169"/>
      <c r="BE105" s="169"/>
      <c r="BF105" s="169"/>
      <c r="BG105" s="169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69"/>
      <c r="BU105" s="169"/>
      <c r="BV105" s="169"/>
      <c r="BW105" s="169"/>
      <c r="BX105" s="169"/>
      <c r="BY105" s="169"/>
      <c r="BZ105" s="169"/>
      <c r="CA105"/>
      <c r="CB105"/>
      <c r="CC105"/>
      <c r="CD105"/>
      <c r="CE105"/>
      <c r="CF105"/>
      <c r="CG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</row>
    <row r="106" spans="12:104" ht="11.25" customHeight="1">
      <c r="L106" s="150"/>
      <c r="M106" s="499" t="str">
        <f>M92 &amp; ".2.1"</f>
        <v>5.1.1.2.1</v>
      </c>
      <c r="N106" s="469" t="s">
        <v>738</v>
      </c>
      <c r="O106" s="163" t="s">
        <v>195</v>
      </c>
      <c r="AB106" s="251"/>
      <c r="AC106" s="251"/>
      <c r="AD106" s="251"/>
      <c r="AE106" s="256">
        <f>AF106+AG106</f>
        <v>0</v>
      </c>
      <c r="AF106" s="588"/>
      <c r="AG106" s="588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69"/>
      <c r="BS106" s="169"/>
      <c r="BT106" s="169"/>
      <c r="BU106" s="169"/>
      <c r="BV106" s="169"/>
      <c r="BW106" s="169"/>
      <c r="BX106" s="169"/>
      <c r="BY106" s="169"/>
      <c r="BZ106" s="169"/>
      <c r="CA106"/>
      <c r="CB106"/>
      <c r="CC106"/>
      <c r="CD106"/>
      <c r="CE106"/>
      <c r="CF106"/>
      <c r="CG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</row>
    <row r="107" spans="12:104" ht="11.25" customHeight="1">
      <c r="L107" s="150"/>
      <c r="M107" s="499" t="str">
        <f>M92 &amp; ".2.2"</f>
        <v>5.1.1.2.2</v>
      </c>
      <c r="N107" s="469" t="s">
        <v>739</v>
      </c>
      <c r="O107" s="163" t="s">
        <v>195</v>
      </c>
      <c r="AB107" s="251"/>
      <c r="AC107" s="251"/>
      <c r="AD107" s="251"/>
      <c r="AE107" s="256">
        <f>AF107+AG107</f>
        <v>0</v>
      </c>
      <c r="AF107" s="588"/>
      <c r="AG107" s="222"/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  <c r="CA107"/>
      <c r="CB107"/>
      <c r="CC107"/>
      <c r="CD107"/>
      <c r="CE107"/>
      <c r="CF107"/>
      <c r="CG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</row>
    <row r="108" spans="12:104" ht="11.25" customHeight="1">
      <c r="L108" s="150"/>
      <c r="M108" s="499" t="str">
        <f>M92 &amp; ".2.3"</f>
        <v>5.1.1.2.3</v>
      </c>
      <c r="N108" s="469" t="s">
        <v>2224</v>
      </c>
      <c r="O108" s="163" t="s">
        <v>195</v>
      </c>
      <c r="AB108" s="251"/>
      <c r="AC108" s="251"/>
      <c r="AD108" s="251"/>
      <c r="AE108" s="256">
        <f>AF108+AG108</f>
        <v>0</v>
      </c>
      <c r="AF108" s="588"/>
      <c r="AG108" s="222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69"/>
      <c r="BC108" s="169"/>
      <c r="BD108" s="169"/>
      <c r="BE108" s="169"/>
      <c r="BF108" s="169"/>
      <c r="BG108" s="169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69"/>
      <c r="BU108" s="169"/>
      <c r="BV108" s="169"/>
      <c r="BW108" s="169"/>
      <c r="BX108" s="169"/>
      <c r="BY108" s="169"/>
      <c r="BZ108" s="169"/>
      <c r="CA108"/>
      <c r="CB108"/>
      <c r="CC108"/>
      <c r="CD108"/>
      <c r="CE108"/>
      <c r="CF108"/>
      <c r="CG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</row>
    <row r="109" spans="12:104" ht="11.25" customHeight="1">
      <c r="L109" s="150"/>
      <c r="M109" s="499" t="str">
        <f>M92 &amp; ".3"</f>
        <v>5.1.1.3</v>
      </c>
      <c r="N109" s="470" t="s">
        <v>295</v>
      </c>
      <c r="O109" s="163" t="s">
        <v>195</v>
      </c>
      <c r="AB109" s="251"/>
      <c r="AC109" s="251"/>
      <c r="AD109" s="251"/>
      <c r="AE109" s="244">
        <f>SUM(AE110,AE114,AE118)</f>
        <v>0</v>
      </c>
      <c r="AF109" s="257">
        <f>SUM(AF110,AF114,AF118)</f>
        <v>0</v>
      </c>
      <c r="AG109" s="247">
        <f>SUM(AG110,AG114,AG118)</f>
        <v>0</v>
      </c>
      <c r="AH109" s="169"/>
      <c r="AI109" s="169"/>
      <c r="AJ109" s="169"/>
      <c r="AK109" s="169"/>
      <c r="AL109" s="169"/>
      <c r="AM109" s="169"/>
      <c r="AN109" s="169"/>
      <c r="AO109" s="169"/>
      <c r="AP109" s="169"/>
      <c r="AQ109" s="169"/>
      <c r="AR109" s="169"/>
      <c r="AS109" s="169"/>
      <c r="AT109" s="169"/>
      <c r="AU109" s="169"/>
      <c r="AV109" s="169"/>
      <c r="AW109" s="169"/>
      <c r="AX109" s="169"/>
      <c r="AY109" s="169"/>
      <c r="AZ109" s="169"/>
      <c r="BA109" s="169"/>
      <c r="BB109" s="169"/>
      <c r="BC109" s="169"/>
      <c r="BD109" s="169"/>
      <c r="BE109" s="169"/>
      <c r="BF109" s="169"/>
      <c r="BG109" s="169"/>
      <c r="BH109" s="169"/>
      <c r="BI109" s="169"/>
      <c r="BJ109" s="169"/>
      <c r="BK109" s="169"/>
      <c r="BL109" s="169"/>
      <c r="BM109" s="169"/>
      <c r="BN109" s="169"/>
      <c r="BO109" s="169"/>
      <c r="BP109" s="169"/>
      <c r="BQ109" s="169"/>
      <c r="BR109" s="169"/>
      <c r="BS109" s="169"/>
      <c r="BT109" s="169"/>
      <c r="BU109" s="169"/>
      <c r="BV109" s="169"/>
      <c r="BW109" s="169"/>
      <c r="BX109" s="169"/>
      <c r="BY109" s="169"/>
      <c r="BZ109" s="169"/>
      <c r="CA109"/>
      <c r="CB109"/>
      <c r="CC109"/>
      <c r="CD109"/>
      <c r="CE109"/>
      <c r="CF109"/>
      <c r="CG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</row>
    <row r="110" spans="12:104" ht="11.25" customHeight="1">
      <c r="L110" s="150"/>
      <c r="M110" s="499" t="str">
        <f>M92 &amp; ".3.1"</f>
        <v>5.1.1.3.1</v>
      </c>
      <c r="N110" s="469" t="s">
        <v>738</v>
      </c>
      <c r="O110" s="163" t="s">
        <v>195</v>
      </c>
      <c r="AB110" s="251"/>
      <c r="AC110" s="251"/>
      <c r="AD110" s="251"/>
      <c r="AE110" s="256">
        <f>AF110+AG110</f>
        <v>0</v>
      </c>
      <c r="AF110" s="588"/>
      <c r="AG110" s="588"/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  <c r="CA110"/>
      <c r="CB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</row>
    <row r="111" spans="12:104" ht="11.25" customHeight="1">
      <c r="L111" s="150"/>
      <c r="M111" s="499" t="str">
        <f>M92 &amp; ".3.1.0.1"</f>
        <v>5.1.1.3.1.0.1</v>
      </c>
      <c r="N111" s="471" t="s">
        <v>285</v>
      </c>
      <c r="O111" s="163" t="s">
        <v>286</v>
      </c>
      <c r="AB111" s="251"/>
      <c r="AC111" s="251"/>
      <c r="AD111" s="251"/>
      <c r="AE111" s="256">
        <f>AF111+AG111</f>
        <v>0</v>
      </c>
      <c r="AF111" s="588"/>
      <c r="AG111" s="222"/>
      <c r="AH111" s="169"/>
      <c r="AI111" s="169"/>
      <c r="AJ111" s="169"/>
      <c r="AK111" s="169"/>
      <c r="AL111" s="169"/>
      <c r="AM111" s="169"/>
      <c r="AN111" s="169"/>
      <c r="AO111" s="169"/>
      <c r="AP111" s="169"/>
      <c r="AQ111" s="169"/>
      <c r="AR111" s="169"/>
      <c r="AS111" s="169"/>
      <c r="AT111" s="169"/>
      <c r="AU111" s="169"/>
      <c r="AV111" s="169"/>
      <c r="AW111" s="169"/>
      <c r="AX111" s="169"/>
      <c r="AY111" s="169"/>
      <c r="AZ111" s="169"/>
      <c r="BA111" s="169"/>
      <c r="BB111" s="169"/>
      <c r="BC111" s="169"/>
      <c r="BD111" s="169"/>
      <c r="BE111" s="169"/>
      <c r="BF111" s="169"/>
      <c r="BG111" s="169"/>
      <c r="BH111" s="169"/>
      <c r="BI111" s="169"/>
      <c r="BJ111" s="169"/>
      <c r="BK111" s="169"/>
      <c r="BL111" s="169"/>
      <c r="BM111" s="169"/>
      <c r="BN111" s="169"/>
      <c r="BO111" s="169"/>
      <c r="BP111" s="169"/>
      <c r="BQ111" s="169"/>
      <c r="BR111" s="169"/>
      <c r="BS111" s="169"/>
      <c r="BT111" s="169"/>
      <c r="BU111" s="169"/>
      <c r="BV111" s="169"/>
      <c r="BW111" s="169"/>
      <c r="BX111" s="169"/>
      <c r="BY111" s="169"/>
      <c r="BZ111" s="169"/>
      <c r="CA111"/>
      <c r="CB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</row>
    <row r="112" spans="12:104" ht="11.25" customHeight="1">
      <c r="L112" s="150"/>
      <c r="M112" s="499" t="str">
        <f>M92 &amp; ".3.1.0.2"</f>
        <v>5.1.1.3.1.0.2</v>
      </c>
      <c r="N112" s="471" t="s">
        <v>287</v>
      </c>
      <c r="O112" s="163" t="s">
        <v>288</v>
      </c>
      <c r="AB112" s="251"/>
      <c r="AC112" s="251"/>
      <c r="AD112" s="251"/>
      <c r="AE112" s="244">
        <f>IF(AE111=0,0,AE110/AE111)</f>
        <v>0</v>
      </c>
      <c r="AF112" s="244">
        <f>IF(AF111=0,0,AF110/AF111)</f>
        <v>0</v>
      </c>
      <c r="AG112" s="244">
        <f>IF(AG111=0,0,AG110/AG111)</f>
        <v>0</v>
      </c>
      <c r="AH112" s="169"/>
      <c r="AI112" s="169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  <c r="AU112" s="169"/>
      <c r="AV112" s="169"/>
      <c r="AW112" s="169"/>
      <c r="AX112" s="169"/>
      <c r="AY112" s="169"/>
      <c r="AZ112" s="169"/>
      <c r="BA112" s="169"/>
      <c r="BB112" s="169"/>
      <c r="BC112" s="169"/>
      <c r="BD112" s="169"/>
      <c r="BE112" s="169"/>
      <c r="BF112" s="169"/>
      <c r="BG112" s="169"/>
      <c r="BH112" s="169"/>
      <c r="BI112" s="169"/>
      <c r="BJ112" s="169"/>
      <c r="BK112" s="169"/>
      <c r="BL112" s="169"/>
      <c r="BM112" s="169"/>
      <c r="BN112" s="169"/>
      <c r="BO112" s="169"/>
      <c r="BP112" s="169"/>
      <c r="BQ112" s="169"/>
      <c r="BR112" s="169"/>
      <c r="BS112" s="169"/>
      <c r="BT112" s="169"/>
      <c r="BU112" s="169"/>
      <c r="BV112" s="169"/>
      <c r="BW112" s="169"/>
      <c r="BX112" s="169"/>
      <c r="BY112" s="169"/>
      <c r="BZ112" s="169"/>
      <c r="CA112"/>
      <c r="CB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</row>
    <row r="113" spans="12:104" ht="11.25" customHeight="1">
      <c r="L113" s="150"/>
      <c r="M113" s="500"/>
      <c r="N113" s="472"/>
      <c r="O113" s="166"/>
      <c r="AB113" s="251"/>
      <c r="AC113" s="251"/>
      <c r="AD113" s="251"/>
      <c r="AE113" s="242"/>
      <c r="AF113" s="260"/>
      <c r="AG113" s="241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169"/>
      <c r="CA113"/>
      <c r="CB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</row>
    <row r="114" spans="12:104" ht="11.25" customHeight="1">
      <c r="L114" s="150"/>
      <c r="M114" s="499" t="str">
        <f>M92 &amp; ".3.2"</f>
        <v>5.1.1.3.2</v>
      </c>
      <c r="N114" s="469" t="s">
        <v>739</v>
      </c>
      <c r="O114" s="163" t="s">
        <v>195</v>
      </c>
      <c r="AB114" s="251"/>
      <c r="AC114" s="251"/>
      <c r="AD114" s="251"/>
      <c r="AE114" s="256">
        <f>AF114+AG114</f>
        <v>0</v>
      </c>
      <c r="AF114" s="588"/>
      <c r="AG114" s="588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69"/>
      <c r="BU114" s="169"/>
      <c r="BV114" s="169"/>
      <c r="BW114" s="169"/>
      <c r="BX114" s="169"/>
      <c r="BY114" s="169"/>
      <c r="BZ114" s="169"/>
      <c r="CA114"/>
      <c r="CB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</row>
    <row r="115" spans="12:104" ht="11.25" customHeight="1">
      <c r="L115" s="150"/>
      <c r="M115" s="499" t="str">
        <f>M92 &amp; ".3.2.0.1"</f>
        <v>5.1.1.3.2.0.1</v>
      </c>
      <c r="N115" s="471" t="s">
        <v>285</v>
      </c>
      <c r="O115" s="163" t="s">
        <v>286</v>
      </c>
      <c r="AB115" s="251"/>
      <c r="AC115" s="251"/>
      <c r="AD115" s="251"/>
      <c r="AE115" s="256">
        <f>AF115+AG115</f>
        <v>0</v>
      </c>
      <c r="AF115" s="588"/>
      <c r="AG115" s="222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  <c r="AU115" s="169"/>
      <c r="AV115" s="169"/>
      <c r="AW115" s="169"/>
      <c r="AX115" s="169"/>
      <c r="AY115" s="169"/>
      <c r="AZ115" s="169"/>
      <c r="BA115" s="169"/>
      <c r="BB115" s="169"/>
      <c r="BC115" s="169"/>
      <c r="BD115" s="169"/>
      <c r="BE115" s="169"/>
      <c r="BF115" s="169"/>
      <c r="BG115" s="169"/>
      <c r="BH115" s="169"/>
      <c r="BI115" s="169"/>
      <c r="BJ115" s="169"/>
      <c r="BK115" s="169"/>
      <c r="BL115" s="169"/>
      <c r="BM115" s="169"/>
      <c r="BN115" s="169"/>
      <c r="BO115" s="169"/>
      <c r="BP115" s="169"/>
      <c r="BQ115" s="169"/>
      <c r="BR115" s="169"/>
      <c r="BS115" s="169"/>
      <c r="BT115" s="169"/>
      <c r="BU115" s="169"/>
      <c r="BV115" s="169"/>
      <c r="BW115" s="169"/>
      <c r="BX115" s="169"/>
      <c r="BY115" s="169"/>
      <c r="BZ115" s="169"/>
      <c r="CA115"/>
      <c r="CB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</row>
    <row r="116" spans="12:104" ht="11.25" customHeight="1">
      <c r="L116" s="150"/>
      <c r="M116" s="499" t="str">
        <f>M92 &amp; ".3.2.0.2"</f>
        <v>5.1.1.3.2.0.2</v>
      </c>
      <c r="N116" s="471" t="s">
        <v>287</v>
      </c>
      <c r="O116" s="163" t="s">
        <v>288</v>
      </c>
      <c r="AB116" s="251"/>
      <c r="AC116" s="251"/>
      <c r="AD116" s="251"/>
      <c r="AE116" s="244">
        <f>IF(AE115=0,0,AE114/AE115)</f>
        <v>0</v>
      </c>
      <c r="AF116" s="244">
        <f>IF(AF115=0,0,AF114/AF115)</f>
        <v>0</v>
      </c>
      <c r="AG116" s="244">
        <f>IF(AG115=0,0,AG114/AG115)</f>
        <v>0</v>
      </c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69"/>
      <c r="BC116" s="169"/>
      <c r="BD116" s="169"/>
      <c r="BE116" s="169"/>
      <c r="BF116" s="169"/>
      <c r="BG116" s="169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69"/>
      <c r="BU116" s="169"/>
      <c r="BV116" s="169"/>
      <c r="BW116" s="169"/>
      <c r="BX116" s="169"/>
      <c r="BY116" s="169"/>
      <c r="BZ116" s="169"/>
      <c r="CA116"/>
      <c r="CB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</row>
    <row r="117" spans="12:104" ht="11.25" customHeight="1">
      <c r="L117" s="150"/>
      <c r="M117" s="500"/>
      <c r="N117" s="472"/>
      <c r="O117" s="166"/>
      <c r="AB117" s="251"/>
      <c r="AC117" s="251"/>
      <c r="AD117" s="251"/>
      <c r="AE117" s="242"/>
      <c r="AF117" s="260"/>
      <c r="AG117" s="241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69"/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  <c r="CA117"/>
      <c r="CB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</row>
    <row r="118" spans="12:104" ht="11.25" customHeight="1">
      <c r="L118" s="150"/>
      <c r="M118" s="499" t="str">
        <f>M92 &amp; ".3.3"</f>
        <v>5.1.1.3.3</v>
      </c>
      <c r="N118" s="469" t="s">
        <v>737</v>
      </c>
      <c r="O118" s="163" t="s">
        <v>195</v>
      </c>
      <c r="AB118" s="251"/>
      <c r="AC118" s="251"/>
      <c r="AD118" s="251"/>
      <c r="AE118" s="256">
        <f>AF118+AG118</f>
        <v>0</v>
      </c>
      <c r="AF118" s="588"/>
      <c r="AG118" s="588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69"/>
      <c r="BD118" s="169"/>
      <c r="BE118" s="169"/>
      <c r="BF118" s="169"/>
      <c r="BG118" s="169"/>
      <c r="BH118" s="169"/>
      <c r="BI118" s="169"/>
      <c r="BJ118" s="169"/>
      <c r="BK118" s="169"/>
      <c r="BL118" s="169"/>
      <c r="BM118" s="169"/>
      <c r="BN118" s="169"/>
      <c r="BO118" s="169"/>
      <c r="BP118" s="169"/>
      <c r="BQ118" s="169"/>
      <c r="BR118" s="169"/>
      <c r="BS118" s="169"/>
      <c r="BT118" s="169"/>
      <c r="BU118" s="169"/>
      <c r="BV118" s="169"/>
      <c r="BW118" s="169"/>
      <c r="BX118" s="169"/>
      <c r="BY118" s="169"/>
      <c r="BZ118" s="169"/>
      <c r="CA118"/>
      <c r="CB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</row>
    <row r="119" spans="12:104" ht="11.25" customHeight="1">
      <c r="L119" s="150"/>
      <c r="M119" s="499" t="str">
        <f>M92 &amp; ".3.3.0.1"</f>
        <v>5.1.1.3.3.0.1</v>
      </c>
      <c r="N119" s="471" t="s">
        <v>285</v>
      </c>
      <c r="O119" s="163" t="s">
        <v>286</v>
      </c>
      <c r="AB119" s="251"/>
      <c r="AC119" s="251"/>
      <c r="AD119" s="251"/>
      <c r="AE119" s="256">
        <f>AF119+AG119</f>
        <v>0</v>
      </c>
      <c r="AF119" s="588"/>
      <c r="AG119" s="222"/>
      <c r="AH119" s="169"/>
      <c r="AI119" s="169"/>
      <c r="AJ119" s="169"/>
      <c r="AK119" s="169"/>
      <c r="AL119" s="169"/>
      <c r="AM119" s="169"/>
      <c r="AN119" s="169"/>
      <c r="AO119" s="169"/>
      <c r="AP119" s="169"/>
      <c r="AQ119" s="169"/>
      <c r="AR119" s="169"/>
      <c r="AS119" s="169"/>
      <c r="AT119" s="169"/>
      <c r="AU119" s="169"/>
      <c r="AV119" s="169"/>
      <c r="AW119" s="169"/>
      <c r="AX119" s="169"/>
      <c r="AY119" s="169"/>
      <c r="AZ119" s="169"/>
      <c r="BA119" s="169"/>
      <c r="BB119" s="169"/>
      <c r="BC119" s="169"/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  <c r="CA119"/>
      <c r="CB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</row>
    <row r="120" spans="12:104" ht="11.25" customHeight="1">
      <c r="L120" s="150"/>
      <c r="M120" s="499" t="str">
        <f>M92 &amp; ".3.3.0.2"</f>
        <v>5.1.1.3.3.0.2</v>
      </c>
      <c r="N120" s="471" t="s">
        <v>287</v>
      </c>
      <c r="O120" s="163" t="s">
        <v>288</v>
      </c>
      <c r="AB120" s="251"/>
      <c r="AC120" s="251"/>
      <c r="AD120" s="251"/>
      <c r="AE120" s="244">
        <f>IF(AE119=0,0,AE118/AE119)</f>
        <v>0</v>
      </c>
      <c r="AF120" s="244">
        <f>IF(AF119=0,0,AF118/AF119)</f>
        <v>0</v>
      </c>
      <c r="AG120" s="244">
        <f>IF(AG119=0,0,AG118/AG119)</f>
        <v>0</v>
      </c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169"/>
      <c r="BO120" s="169"/>
      <c r="BP120" s="169"/>
      <c r="BQ120" s="169"/>
      <c r="BR120" s="169"/>
      <c r="BS120" s="169"/>
      <c r="BT120" s="169"/>
      <c r="BU120" s="169"/>
      <c r="BV120" s="169"/>
      <c r="BW120" s="169"/>
      <c r="BX120" s="169"/>
      <c r="BY120" s="169"/>
      <c r="BZ120" s="169"/>
      <c r="CA120"/>
      <c r="CB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</row>
    <row r="121" spans="12:104" ht="11.25" customHeight="1">
      <c r="L121" s="150"/>
      <c r="M121" s="500"/>
      <c r="N121" s="472"/>
      <c r="O121" s="166"/>
      <c r="AB121" s="251"/>
      <c r="AC121" s="251"/>
      <c r="AD121" s="251"/>
      <c r="AE121" s="242"/>
      <c r="AF121" s="260"/>
      <c r="AG121" s="241"/>
      <c r="AH121" s="169"/>
      <c r="AI121" s="169"/>
      <c r="AJ121" s="169"/>
      <c r="AK121" s="169"/>
      <c r="AL121" s="169"/>
      <c r="AM121" s="169"/>
      <c r="AN121" s="169"/>
      <c r="AO121" s="169"/>
      <c r="AP121" s="169"/>
      <c r="AQ121" s="169"/>
      <c r="AR121" s="169"/>
      <c r="AS121" s="169"/>
      <c r="AT121" s="169"/>
      <c r="AU121" s="169"/>
      <c r="AV121" s="169"/>
      <c r="AW121" s="169"/>
      <c r="AX121" s="169"/>
      <c r="AY121" s="169"/>
      <c r="AZ121" s="169"/>
      <c r="BA121" s="169"/>
      <c r="BB121" s="169"/>
      <c r="BC121" s="169"/>
      <c r="BD121" s="169"/>
      <c r="BE121" s="169"/>
      <c r="BF121" s="169"/>
      <c r="BG121" s="169"/>
      <c r="BH121" s="169"/>
      <c r="BI121" s="169"/>
      <c r="BJ121" s="169"/>
      <c r="BK121" s="169"/>
      <c r="BL121" s="169"/>
      <c r="BM121" s="169"/>
      <c r="BN121" s="169"/>
      <c r="BO121" s="169"/>
      <c r="BP121" s="169"/>
      <c r="BQ121" s="169"/>
      <c r="BR121" s="169"/>
      <c r="BS121" s="169"/>
      <c r="BT121" s="169"/>
      <c r="BU121" s="169"/>
      <c r="BV121" s="169"/>
      <c r="BW121" s="169"/>
      <c r="BX121" s="169"/>
      <c r="BY121" s="169"/>
      <c r="BZ121" s="169"/>
      <c r="CA121"/>
      <c r="CB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</row>
    <row r="122" spans="12:104" ht="11.25" customHeight="1">
      <c r="L122" s="150"/>
      <c r="M122" s="499" t="str">
        <f>M92 &amp; ".4"</f>
        <v>5.1.1.4</v>
      </c>
      <c r="N122" s="470" t="s">
        <v>279</v>
      </c>
      <c r="O122" s="163" t="s">
        <v>195</v>
      </c>
      <c r="AB122" s="251"/>
      <c r="AC122" s="251"/>
      <c r="AD122" s="251"/>
      <c r="AE122" s="244">
        <f>SUM(AE123:AE125)</f>
        <v>0</v>
      </c>
      <c r="AF122" s="257">
        <f>SUM(AF123:AF125)</f>
        <v>0</v>
      </c>
      <c r="AG122" s="247">
        <f>SUM(AG123:AG125)</f>
        <v>0</v>
      </c>
      <c r="AH122" s="169"/>
      <c r="AI122" s="169"/>
      <c r="AJ122" s="169"/>
      <c r="AK122" s="169"/>
      <c r="AL122" s="169"/>
      <c r="AM122" s="169"/>
      <c r="AN122" s="169"/>
      <c r="AO122" s="169"/>
      <c r="AP122" s="169"/>
      <c r="AQ122" s="169"/>
      <c r="AR122" s="169"/>
      <c r="AS122" s="169"/>
      <c r="AT122" s="169"/>
      <c r="AU122" s="169"/>
      <c r="AV122" s="169"/>
      <c r="AW122" s="169"/>
      <c r="AX122" s="169"/>
      <c r="AY122" s="169"/>
      <c r="AZ122" s="169"/>
      <c r="BA122" s="169"/>
      <c r="BB122" s="169"/>
      <c r="BC122" s="169"/>
      <c r="BD122" s="169"/>
      <c r="BE122" s="169"/>
      <c r="BF122" s="169"/>
      <c r="BG122" s="169"/>
      <c r="BH122" s="169"/>
      <c r="BI122" s="169"/>
      <c r="BJ122" s="169"/>
      <c r="BK122" s="169"/>
      <c r="BL122" s="169"/>
      <c r="BM122" s="169"/>
      <c r="BN122" s="169"/>
      <c r="BO122" s="169"/>
      <c r="BP122" s="169"/>
      <c r="BQ122" s="169"/>
      <c r="BR122" s="169"/>
      <c r="BS122" s="169"/>
      <c r="BT122" s="169"/>
      <c r="BU122" s="169"/>
      <c r="BV122" s="169"/>
      <c r="BW122" s="169"/>
      <c r="BX122" s="169"/>
      <c r="BY122" s="169"/>
      <c r="BZ122" s="169"/>
      <c r="CA122"/>
      <c r="CB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</row>
    <row r="123" spans="12:104" ht="11.25" customHeight="1">
      <c r="L123" s="150"/>
      <c r="M123" s="499" t="str">
        <f>M92 &amp; ".4.1"</f>
        <v>5.1.1.4.1</v>
      </c>
      <c r="N123" s="469" t="s">
        <v>738</v>
      </c>
      <c r="O123" s="163" t="s">
        <v>195</v>
      </c>
      <c r="AB123" s="251"/>
      <c r="AC123" s="251"/>
      <c r="AD123" s="251"/>
      <c r="AE123" s="256">
        <f t="shared" ref="AE123:AE130" si="0">AF123+AG123</f>
        <v>0</v>
      </c>
      <c r="AF123" s="588"/>
      <c r="AG123" s="588"/>
      <c r="AH123" s="169"/>
      <c r="AI123" s="169"/>
      <c r="AJ123" s="169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69"/>
      <c r="AV123" s="169"/>
      <c r="AW123" s="169"/>
      <c r="AX123" s="169"/>
      <c r="AY123" s="169"/>
      <c r="AZ123" s="169"/>
      <c r="BA123" s="169"/>
      <c r="BB123" s="169"/>
      <c r="BC123" s="169"/>
      <c r="BD123" s="169"/>
      <c r="BE123" s="169"/>
      <c r="BF123" s="169"/>
      <c r="BG123" s="169"/>
      <c r="BH123" s="169"/>
      <c r="BI123" s="169"/>
      <c r="BJ123" s="169"/>
      <c r="BK123" s="169"/>
      <c r="BL123" s="169"/>
      <c r="BM123" s="169"/>
      <c r="BN123" s="169"/>
      <c r="BO123" s="169"/>
      <c r="BP123" s="169"/>
      <c r="BQ123" s="169"/>
      <c r="BR123" s="169"/>
      <c r="BS123" s="169"/>
      <c r="BT123" s="169"/>
      <c r="BU123" s="169"/>
      <c r="BV123" s="169"/>
      <c r="BW123" s="169"/>
      <c r="BX123" s="169"/>
      <c r="BY123" s="169"/>
      <c r="BZ123" s="169"/>
      <c r="CA123"/>
      <c r="CB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</row>
    <row r="124" spans="12:104" ht="11.25" customHeight="1">
      <c r="L124" s="150"/>
      <c r="M124" s="499" t="str">
        <f>M92 &amp; ".4.2"</f>
        <v>5.1.1.4.2</v>
      </c>
      <c r="N124" s="469" t="s">
        <v>739</v>
      </c>
      <c r="O124" s="163" t="s">
        <v>195</v>
      </c>
      <c r="AB124" s="251"/>
      <c r="AC124" s="251"/>
      <c r="AD124" s="251"/>
      <c r="AE124" s="256">
        <f t="shared" si="0"/>
        <v>0</v>
      </c>
      <c r="AF124" s="588"/>
      <c r="AG124" s="588"/>
      <c r="AH124" s="169"/>
      <c r="AI124" s="169"/>
      <c r="AJ124" s="169"/>
      <c r="AK124" s="169"/>
      <c r="AL124" s="169"/>
      <c r="AM124" s="169"/>
      <c r="AN124" s="169"/>
      <c r="AO124" s="169"/>
      <c r="AP124" s="169"/>
      <c r="AQ124" s="169"/>
      <c r="AR124" s="169"/>
      <c r="AS124" s="169"/>
      <c r="AT124" s="169"/>
      <c r="AU124" s="169"/>
      <c r="AV124" s="169"/>
      <c r="AW124" s="169"/>
      <c r="AX124" s="169"/>
      <c r="AY124" s="169"/>
      <c r="AZ124" s="169"/>
      <c r="BA124" s="169"/>
      <c r="BB124" s="169"/>
      <c r="BC124" s="169"/>
      <c r="BD124" s="169"/>
      <c r="BE124" s="169"/>
      <c r="BF124" s="169"/>
      <c r="BG124" s="169"/>
      <c r="BH124" s="169"/>
      <c r="BI124" s="169"/>
      <c r="BJ124" s="169"/>
      <c r="BK124" s="169"/>
      <c r="BL124" s="169"/>
      <c r="BM124" s="169"/>
      <c r="BN124" s="169"/>
      <c r="BO124" s="169"/>
      <c r="BP124" s="169"/>
      <c r="BQ124" s="169"/>
      <c r="BR124" s="169"/>
      <c r="BS124" s="169"/>
      <c r="BT124" s="169"/>
      <c r="BU124" s="169"/>
      <c r="BV124" s="169"/>
      <c r="BW124" s="169"/>
      <c r="BX124" s="169"/>
      <c r="BY124" s="169"/>
      <c r="BZ124" s="169"/>
      <c r="CA124"/>
      <c r="CB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</row>
    <row r="125" spans="12:104" ht="11.25" customHeight="1">
      <c r="L125" s="150"/>
      <c r="M125" s="499" t="str">
        <f>M92 &amp; ".4.3"</f>
        <v>5.1.1.4.3</v>
      </c>
      <c r="N125" s="469" t="s">
        <v>737</v>
      </c>
      <c r="O125" s="163" t="s">
        <v>195</v>
      </c>
      <c r="AB125" s="251"/>
      <c r="AC125" s="251"/>
      <c r="AD125" s="251"/>
      <c r="AE125" s="256">
        <f t="shared" si="0"/>
        <v>0</v>
      </c>
      <c r="AF125" s="588"/>
      <c r="AG125" s="222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69"/>
      <c r="BA125" s="169"/>
      <c r="BB125" s="169"/>
      <c r="BC125" s="169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169"/>
      <c r="BP125" s="169"/>
      <c r="BQ125" s="169"/>
      <c r="BR125" s="169"/>
      <c r="BS125" s="169"/>
      <c r="BT125" s="169"/>
      <c r="BU125" s="169"/>
      <c r="BV125" s="169"/>
      <c r="BW125" s="169"/>
      <c r="BX125" s="169"/>
      <c r="BY125" s="169"/>
      <c r="BZ125" s="169"/>
      <c r="CA125"/>
      <c r="CB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</row>
    <row r="126" spans="12:104" ht="11.25" customHeight="1">
      <c r="L126" s="150"/>
      <c r="M126" s="490" t="s">
        <v>326</v>
      </c>
      <c r="N126" s="498" t="s">
        <v>327</v>
      </c>
      <c r="O126" s="163" t="s">
        <v>195</v>
      </c>
      <c r="AB126" s="251"/>
      <c r="AC126" s="251"/>
      <c r="AD126" s="251"/>
      <c r="AE126" s="256">
        <f t="shared" si="0"/>
        <v>0</v>
      </c>
      <c r="AF126" s="245"/>
      <c r="AG126" s="245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  <c r="AV126" s="169"/>
      <c r="AW126" s="169"/>
      <c r="AX126" s="169"/>
      <c r="AY126" s="169"/>
      <c r="AZ126" s="169"/>
      <c r="BA126" s="169"/>
      <c r="BB126" s="169"/>
      <c r="BC126" s="169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169"/>
      <c r="BQ126" s="169"/>
      <c r="BR126" s="169"/>
      <c r="BS126" s="169"/>
      <c r="BT126" s="169"/>
      <c r="BU126" s="169"/>
      <c r="BV126" s="169"/>
      <c r="BW126" s="169"/>
      <c r="BX126" s="169"/>
      <c r="BY126" s="169"/>
      <c r="BZ126" s="169"/>
      <c r="CA126"/>
      <c r="CB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</row>
    <row r="127" spans="12:104" ht="11.25" customHeight="1">
      <c r="L127" s="150"/>
      <c r="M127" s="490" t="s">
        <v>329</v>
      </c>
      <c r="N127" s="498" t="s">
        <v>330</v>
      </c>
      <c r="O127" s="163" t="s">
        <v>195</v>
      </c>
      <c r="AB127" s="251"/>
      <c r="AC127" s="251"/>
      <c r="AD127" s="251"/>
      <c r="AE127" s="247">
        <f t="shared" si="0"/>
        <v>0</v>
      </c>
      <c r="AF127" s="247">
        <f>SUM(AF130,AF133,AF136,AF139,AF142,AF145,AF148,AF151)</f>
        <v>0</v>
      </c>
      <c r="AG127" s="247">
        <f>SUM(AG130,AG133,AG136,AG139,AG142,AG145,AG148,AG151)</f>
        <v>0</v>
      </c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69"/>
      <c r="BA127" s="169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169"/>
      <c r="BR127" s="169"/>
      <c r="BS127" s="169"/>
      <c r="BT127" s="169"/>
      <c r="BU127" s="169"/>
      <c r="BV127" s="169"/>
      <c r="BW127" s="169"/>
      <c r="BX127" s="169"/>
      <c r="BY127" s="169"/>
      <c r="BZ127" s="169"/>
      <c r="CA127"/>
      <c r="CB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</row>
    <row r="128" spans="12:104" ht="11.25" customHeight="1">
      <c r="L128" s="150"/>
      <c r="M128" s="501" t="s">
        <v>331</v>
      </c>
      <c r="N128" s="473" t="s">
        <v>666</v>
      </c>
      <c r="O128" s="163" t="s">
        <v>284</v>
      </c>
      <c r="AB128" s="251"/>
      <c r="AC128" s="251"/>
      <c r="AD128" s="251"/>
      <c r="AE128" s="247">
        <f t="shared" si="0"/>
        <v>0</v>
      </c>
      <c r="AF128" s="247">
        <f>AF132+AF138+AF144+AF150</f>
        <v>0</v>
      </c>
      <c r="AG128" s="247">
        <f>AG132+AG138+AG144+AG150</f>
        <v>0</v>
      </c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  <c r="AV128" s="169"/>
      <c r="AW128" s="169"/>
      <c r="AX128" s="169"/>
      <c r="AY128" s="169"/>
      <c r="AZ128" s="169"/>
      <c r="BA128" s="169"/>
      <c r="BB128" s="169"/>
      <c r="BC128" s="169"/>
      <c r="BD128" s="169"/>
      <c r="BE128" s="169"/>
      <c r="BF128" s="169"/>
      <c r="BG128" s="169"/>
      <c r="BH128" s="169"/>
      <c r="BI128" s="169"/>
      <c r="BJ128" s="169"/>
      <c r="BK128" s="169"/>
      <c r="BL128" s="169"/>
      <c r="BM128" s="169"/>
      <c r="BN128" s="169"/>
      <c r="BO128" s="169"/>
      <c r="BP128" s="169"/>
      <c r="BQ128" s="169"/>
      <c r="BR128" s="169"/>
      <c r="BS128" s="169"/>
      <c r="BT128" s="169"/>
      <c r="BU128" s="169"/>
      <c r="BV128" s="169"/>
      <c r="BW128" s="169"/>
      <c r="BX128" s="169"/>
      <c r="BY128" s="169"/>
      <c r="BZ128" s="169"/>
      <c r="CA128"/>
      <c r="CB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</row>
    <row r="129" spans="12:104" ht="11.25" customHeight="1">
      <c r="L129" s="150"/>
      <c r="M129" s="501" t="s">
        <v>332</v>
      </c>
      <c r="N129" s="473" t="s">
        <v>668</v>
      </c>
      <c r="O129" s="163" t="s">
        <v>669</v>
      </c>
      <c r="AB129" s="251"/>
      <c r="AC129" s="251"/>
      <c r="AD129" s="251"/>
      <c r="AE129" s="247">
        <f t="shared" si="0"/>
        <v>0</v>
      </c>
      <c r="AF129" s="247">
        <f>AF135+AF141+AF147+AF153</f>
        <v>0</v>
      </c>
      <c r="AG129" s="247">
        <f>AG135+AG141+AG147+AG153</f>
        <v>0</v>
      </c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169"/>
      <c r="BQ129" s="169"/>
      <c r="BR129" s="169"/>
      <c r="BS129" s="169"/>
      <c r="BT129" s="169"/>
      <c r="BU129" s="169"/>
      <c r="BV129" s="169"/>
      <c r="BW129" s="169"/>
      <c r="BX129" s="169"/>
      <c r="BY129" s="169"/>
      <c r="BZ129" s="169"/>
      <c r="CA129"/>
      <c r="CB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</row>
    <row r="130" spans="12:104" ht="11.25" customHeight="1">
      <c r="L130" s="150"/>
      <c r="M130" s="501" t="s">
        <v>333</v>
      </c>
      <c r="N130" s="473" t="s">
        <v>334</v>
      </c>
      <c r="O130" s="163" t="s">
        <v>195</v>
      </c>
      <c r="AB130" s="251"/>
      <c r="AC130" s="251"/>
      <c r="AD130" s="251"/>
      <c r="AE130" s="247">
        <f t="shared" si="0"/>
        <v>0</v>
      </c>
      <c r="AF130" s="247">
        <f>AF131*AF132</f>
        <v>0</v>
      </c>
      <c r="AG130" s="247">
        <f>AG131*AG132</f>
        <v>0</v>
      </c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169"/>
      <c r="AX130" s="169"/>
      <c r="AY130" s="169"/>
      <c r="AZ130" s="169"/>
      <c r="BA130" s="169"/>
      <c r="BB130" s="169"/>
      <c r="BC130" s="169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169"/>
      <c r="BQ130" s="169"/>
      <c r="BR130" s="169"/>
      <c r="BS130" s="169"/>
      <c r="BT130" s="169"/>
      <c r="BU130" s="169"/>
      <c r="BV130" s="169"/>
      <c r="BW130" s="169"/>
      <c r="BX130" s="169"/>
      <c r="BY130" s="169"/>
      <c r="BZ130" s="169"/>
      <c r="CA130"/>
      <c r="CB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</row>
    <row r="131" spans="12:104" ht="11.25" customHeight="1">
      <c r="L131" s="150"/>
      <c r="M131" s="501" t="s">
        <v>335</v>
      </c>
      <c r="N131" s="474" t="s">
        <v>670</v>
      </c>
      <c r="O131" s="163" t="s">
        <v>313</v>
      </c>
      <c r="AB131" s="251"/>
      <c r="AC131" s="251"/>
      <c r="AD131" s="251"/>
      <c r="AE131" s="247">
        <f>IF(AE132=0,0,AE130/AE132)</f>
        <v>0</v>
      </c>
      <c r="AF131" s="245"/>
      <c r="AG131" s="245"/>
      <c r="AH131" s="169"/>
      <c r="AI131" s="169"/>
      <c r="AJ131" s="169"/>
      <c r="AK131" s="169"/>
      <c r="AL131" s="169"/>
      <c r="AM131" s="169"/>
      <c r="AN131" s="169"/>
      <c r="AO131" s="169"/>
      <c r="AP131" s="169"/>
      <c r="AQ131" s="169"/>
      <c r="AR131" s="169"/>
      <c r="AS131" s="169"/>
      <c r="AT131" s="169"/>
      <c r="AU131" s="169"/>
      <c r="AV131" s="169"/>
      <c r="AW131" s="169"/>
      <c r="AX131" s="169"/>
      <c r="AY131" s="169"/>
      <c r="AZ131" s="169"/>
      <c r="BA131" s="169"/>
      <c r="BB131" s="169"/>
      <c r="BC131" s="169"/>
      <c r="BD131" s="169"/>
      <c r="BE131" s="169"/>
      <c r="BF131" s="169"/>
      <c r="BG131" s="169"/>
      <c r="BH131" s="169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69"/>
      <c r="BT131" s="169"/>
      <c r="BU131" s="169"/>
      <c r="BV131" s="169"/>
      <c r="BW131" s="169"/>
      <c r="BX131" s="169"/>
      <c r="BY131" s="169"/>
      <c r="BZ131" s="169"/>
      <c r="CA131"/>
      <c r="CB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</row>
    <row r="132" spans="12:104" ht="11.25" customHeight="1">
      <c r="L132" s="150"/>
      <c r="M132" s="501" t="s">
        <v>336</v>
      </c>
      <c r="N132" s="474" t="s">
        <v>666</v>
      </c>
      <c r="O132" s="163" t="s">
        <v>284</v>
      </c>
      <c r="AB132" s="251"/>
      <c r="AC132" s="251"/>
      <c r="AD132" s="251"/>
      <c r="AE132" s="247">
        <f>AF132+AG132</f>
        <v>0</v>
      </c>
      <c r="AF132" s="245"/>
      <c r="AG132" s="245"/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69"/>
      <c r="AV132" s="169"/>
      <c r="AW132" s="169"/>
      <c r="AX132" s="169"/>
      <c r="AY132" s="169"/>
      <c r="AZ132" s="169"/>
      <c r="BA132" s="169"/>
      <c r="BB132" s="169"/>
      <c r="BC132" s="169"/>
      <c r="BD132" s="169"/>
      <c r="BE132" s="169"/>
      <c r="BF132" s="169"/>
      <c r="BG132" s="169"/>
      <c r="BH132" s="169"/>
      <c r="BI132" s="169"/>
      <c r="BJ132" s="169"/>
      <c r="BK132" s="169"/>
      <c r="BL132" s="169"/>
      <c r="BM132" s="169"/>
      <c r="BN132" s="169"/>
      <c r="BO132" s="169"/>
      <c r="BP132" s="169"/>
      <c r="BQ132" s="169"/>
      <c r="BR132" s="169"/>
      <c r="BS132" s="169"/>
      <c r="BT132" s="169"/>
      <c r="BU132" s="169"/>
      <c r="BV132" s="169"/>
      <c r="BW132" s="169"/>
      <c r="BX132" s="169"/>
      <c r="BY132" s="169"/>
      <c r="BZ132" s="169"/>
      <c r="CA132"/>
      <c r="CB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</row>
    <row r="133" spans="12:104" ht="11.25" customHeight="1">
      <c r="L133" s="150"/>
      <c r="M133" s="501" t="s">
        <v>337</v>
      </c>
      <c r="N133" s="473" t="s">
        <v>338</v>
      </c>
      <c r="O133" s="163" t="s">
        <v>195</v>
      </c>
      <c r="AB133" s="251"/>
      <c r="AC133" s="251"/>
      <c r="AD133" s="251"/>
      <c r="AE133" s="247">
        <f>AF133+AG133</f>
        <v>0</v>
      </c>
      <c r="AF133" s="247">
        <f>AF134*AF135</f>
        <v>0</v>
      </c>
      <c r="AG133" s="247">
        <f>AG134*AG135</f>
        <v>0</v>
      </c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69"/>
      <c r="AV133" s="169"/>
      <c r="AW133" s="169"/>
      <c r="AX133" s="169"/>
      <c r="AY133" s="169"/>
      <c r="AZ133" s="169"/>
      <c r="BA133" s="169"/>
      <c r="BB133" s="169"/>
      <c r="BC133" s="169"/>
      <c r="BD133" s="169"/>
      <c r="BE133" s="169"/>
      <c r="BF133" s="169"/>
      <c r="BG133" s="169"/>
      <c r="BH133" s="169"/>
      <c r="BI133" s="169"/>
      <c r="BJ133" s="169"/>
      <c r="BK133" s="169"/>
      <c r="BL133" s="169"/>
      <c r="BM133" s="169"/>
      <c r="BN133" s="169"/>
      <c r="BO133" s="169"/>
      <c r="BP133" s="169"/>
      <c r="BQ133" s="169"/>
      <c r="BR133" s="169"/>
      <c r="BS133" s="169"/>
      <c r="BT133" s="169"/>
      <c r="BU133" s="169"/>
      <c r="BV133" s="169"/>
      <c r="BW133" s="169"/>
      <c r="BX133" s="169"/>
      <c r="BY133" s="169"/>
      <c r="BZ133" s="169"/>
      <c r="CA133"/>
      <c r="CB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</row>
    <row r="134" spans="12:104" ht="11.25" customHeight="1">
      <c r="L134" s="150"/>
      <c r="M134" s="501" t="s">
        <v>339</v>
      </c>
      <c r="N134" s="474" t="s">
        <v>671</v>
      </c>
      <c r="O134" s="163" t="s">
        <v>314</v>
      </c>
      <c r="AB134" s="251"/>
      <c r="AC134" s="251"/>
      <c r="AD134" s="251"/>
      <c r="AE134" s="247">
        <f>IF(AE135=0,0,AE133/AE135)</f>
        <v>0</v>
      </c>
      <c r="AF134" s="245"/>
      <c r="AG134" s="245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69"/>
      <c r="AV134" s="169"/>
      <c r="AW134" s="169"/>
      <c r="AX134" s="169"/>
      <c r="AY134" s="169"/>
      <c r="AZ134" s="169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169"/>
      <c r="BU134" s="169"/>
      <c r="BV134" s="169"/>
      <c r="BW134" s="169"/>
      <c r="BX134" s="169"/>
      <c r="BY134" s="169"/>
      <c r="BZ134" s="169"/>
      <c r="CA134"/>
      <c r="CB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</row>
    <row r="135" spans="12:104" ht="11.25" customHeight="1">
      <c r="L135" s="150"/>
      <c r="M135" s="501" t="s">
        <v>340</v>
      </c>
      <c r="N135" s="474" t="s">
        <v>672</v>
      </c>
      <c r="O135" s="163" t="s">
        <v>669</v>
      </c>
      <c r="AB135" s="251"/>
      <c r="AC135" s="251"/>
      <c r="AD135" s="251"/>
      <c r="AE135" s="247">
        <f>AF135+AG135</f>
        <v>0</v>
      </c>
      <c r="AF135" s="245"/>
      <c r="AG135" s="245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69"/>
      <c r="AV135" s="169"/>
      <c r="AW135" s="169"/>
      <c r="AX135" s="169"/>
      <c r="AY135" s="169"/>
      <c r="AZ135" s="169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169"/>
      <c r="BU135" s="169"/>
      <c r="BV135" s="169"/>
      <c r="BW135" s="169"/>
      <c r="BX135" s="169"/>
      <c r="BY135" s="169"/>
      <c r="BZ135" s="169"/>
      <c r="CA135"/>
      <c r="CB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</row>
    <row r="136" spans="12:104" ht="11.25" customHeight="1">
      <c r="L136" s="150"/>
      <c r="M136" s="501" t="s">
        <v>341</v>
      </c>
      <c r="N136" s="473" t="s">
        <v>342</v>
      </c>
      <c r="O136" s="163" t="s">
        <v>195</v>
      </c>
      <c r="AB136" s="251"/>
      <c r="AC136" s="251"/>
      <c r="AD136" s="251"/>
      <c r="AE136" s="247">
        <f>AF136+AG136</f>
        <v>0</v>
      </c>
      <c r="AF136" s="247">
        <f>AF137*AF138</f>
        <v>0</v>
      </c>
      <c r="AG136" s="247">
        <f>AG137*AG138</f>
        <v>0</v>
      </c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69"/>
      <c r="AV136" s="169"/>
      <c r="AW136" s="169"/>
      <c r="AX136" s="169"/>
      <c r="AY136" s="169"/>
      <c r="AZ136" s="169"/>
      <c r="BA136" s="169"/>
      <c r="BB136" s="169"/>
      <c r="BC136" s="169"/>
      <c r="BD136" s="169"/>
      <c r="BE136" s="169"/>
      <c r="BF136" s="169"/>
      <c r="BG136" s="169"/>
      <c r="BH136" s="169"/>
      <c r="BI136" s="169"/>
      <c r="BJ136" s="169"/>
      <c r="BK136" s="169"/>
      <c r="BL136" s="169"/>
      <c r="BM136" s="169"/>
      <c r="BN136" s="169"/>
      <c r="BO136" s="169"/>
      <c r="BP136" s="169"/>
      <c r="BQ136" s="169"/>
      <c r="BR136" s="169"/>
      <c r="BS136" s="169"/>
      <c r="BT136" s="169"/>
      <c r="BU136" s="169"/>
      <c r="BV136" s="169"/>
      <c r="BW136" s="169"/>
      <c r="BX136" s="169"/>
      <c r="BY136" s="169"/>
      <c r="BZ136" s="169"/>
      <c r="CA136"/>
      <c r="CB136"/>
    </row>
    <row r="137" spans="12:104" ht="11.25" customHeight="1">
      <c r="L137" s="150"/>
      <c r="M137" s="501" t="s">
        <v>343</v>
      </c>
      <c r="N137" s="474" t="s">
        <v>670</v>
      </c>
      <c r="O137" s="163" t="s">
        <v>313</v>
      </c>
      <c r="AB137" s="251"/>
      <c r="AC137" s="251"/>
      <c r="AD137" s="251"/>
      <c r="AE137" s="247">
        <f>IF(AE138=0,0,AE136/AE138)</f>
        <v>0</v>
      </c>
      <c r="AF137" s="245"/>
      <c r="AG137" s="245"/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169"/>
      <c r="BU137" s="169"/>
      <c r="BV137" s="169"/>
      <c r="BW137" s="169"/>
      <c r="BX137" s="169"/>
      <c r="BY137" s="169"/>
      <c r="BZ137" s="169"/>
      <c r="CA137"/>
      <c r="CB137"/>
    </row>
    <row r="138" spans="12:104" ht="11.25" customHeight="1">
      <c r="L138" s="150"/>
      <c r="M138" s="501" t="s">
        <v>344</v>
      </c>
      <c r="N138" s="474" t="s">
        <v>666</v>
      </c>
      <c r="O138" s="163" t="s">
        <v>284</v>
      </c>
      <c r="AB138" s="251"/>
      <c r="AC138" s="251"/>
      <c r="AD138" s="251"/>
      <c r="AE138" s="247">
        <f>AF138+AG138</f>
        <v>0</v>
      </c>
      <c r="AF138" s="245"/>
      <c r="AG138" s="245"/>
      <c r="AH138" s="169"/>
      <c r="AI138" s="169"/>
      <c r="AJ138" s="169"/>
      <c r="AK138" s="169"/>
      <c r="AL138" s="169"/>
      <c r="AM138" s="169"/>
      <c r="AN138" s="169"/>
      <c r="AO138" s="169"/>
      <c r="AP138" s="169"/>
      <c r="AQ138" s="169"/>
      <c r="AR138" s="169"/>
      <c r="AS138" s="169"/>
      <c r="AT138" s="169"/>
      <c r="AU138" s="169"/>
      <c r="AV138" s="169"/>
      <c r="AW138" s="169"/>
      <c r="AX138" s="169"/>
      <c r="AY138" s="169"/>
      <c r="AZ138" s="169"/>
      <c r="BA138" s="169"/>
      <c r="BB138" s="169"/>
      <c r="BC138" s="169"/>
      <c r="BD138" s="169"/>
      <c r="BE138" s="169"/>
      <c r="BF138" s="169"/>
      <c r="BG138" s="169"/>
      <c r="BH138" s="169"/>
      <c r="BI138" s="169"/>
      <c r="BJ138" s="169"/>
      <c r="BK138" s="169"/>
      <c r="BL138" s="169"/>
      <c r="BM138" s="169"/>
      <c r="BN138" s="169"/>
      <c r="BO138" s="169"/>
      <c r="BP138" s="169"/>
      <c r="BQ138" s="169"/>
      <c r="BR138" s="169"/>
      <c r="BS138" s="169"/>
      <c r="BT138" s="169"/>
      <c r="BU138" s="169"/>
      <c r="BV138" s="169"/>
      <c r="BW138" s="169"/>
      <c r="BX138" s="169"/>
      <c r="BY138" s="169"/>
      <c r="BZ138" s="169"/>
      <c r="CA138"/>
      <c r="CB138"/>
    </row>
    <row r="139" spans="12:104" ht="11.25" customHeight="1">
      <c r="L139" s="150"/>
      <c r="M139" s="501" t="s">
        <v>345</v>
      </c>
      <c r="N139" s="473" t="s">
        <v>346</v>
      </c>
      <c r="O139" s="163" t="s">
        <v>195</v>
      </c>
      <c r="AB139" s="251"/>
      <c r="AC139" s="251"/>
      <c r="AD139" s="251"/>
      <c r="AE139" s="247">
        <f>AF139+AG139</f>
        <v>0</v>
      </c>
      <c r="AF139" s="247">
        <f>AF140*AF141</f>
        <v>0</v>
      </c>
      <c r="AG139" s="247">
        <f>AG140*AG141</f>
        <v>0</v>
      </c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169"/>
      <c r="BU139" s="169"/>
      <c r="BV139" s="169"/>
      <c r="BW139" s="169"/>
      <c r="BX139" s="169"/>
      <c r="BY139" s="169"/>
      <c r="BZ139" s="169"/>
      <c r="CA139"/>
      <c r="CB139"/>
    </row>
    <row r="140" spans="12:104" ht="11.25" customHeight="1">
      <c r="L140" s="150"/>
      <c r="M140" s="501" t="s">
        <v>347</v>
      </c>
      <c r="N140" s="474" t="s">
        <v>671</v>
      </c>
      <c r="O140" s="163" t="s">
        <v>314</v>
      </c>
      <c r="AB140" s="251"/>
      <c r="AC140" s="251"/>
      <c r="AD140" s="251"/>
      <c r="AE140" s="247">
        <f>IF(AE141=0,0,AE139/AE141)</f>
        <v>0</v>
      </c>
      <c r="AF140" s="245"/>
      <c r="AG140" s="245"/>
      <c r="AH140" s="169"/>
      <c r="AI140" s="169"/>
      <c r="AJ140" s="169"/>
      <c r="AK140" s="169"/>
      <c r="AL140" s="169"/>
      <c r="AM140" s="169"/>
      <c r="AN140" s="169"/>
      <c r="AO140" s="169"/>
      <c r="AP140" s="169"/>
      <c r="AQ140" s="169"/>
      <c r="AR140" s="169"/>
      <c r="AS140" s="169"/>
      <c r="AT140" s="169"/>
      <c r="AU140" s="169"/>
      <c r="AV140" s="169"/>
      <c r="AW140" s="169"/>
      <c r="AX140" s="169"/>
      <c r="AY140" s="169"/>
      <c r="AZ140" s="169"/>
      <c r="BA140" s="169"/>
      <c r="BB140" s="169"/>
      <c r="BC140" s="169"/>
      <c r="BD140" s="169"/>
      <c r="BE140" s="169"/>
      <c r="BF140" s="169"/>
      <c r="BG140" s="169"/>
      <c r="BH140" s="169"/>
      <c r="BI140" s="169"/>
      <c r="BJ140" s="169"/>
      <c r="BK140" s="169"/>
      <c r="BL140" s="169"/>
      <c r="BM140" s="169"/>
      <c r="BN140" s="169"/>
      <c r="BO140" s="169"/>
      <c r="BP140" s="169"/>
      <c r="BQ140" s="169"/>
      <c r="BR140" s="169"/>
      <c r="BS140" s="169"/>
      <c r="BT140" s="169"/>
      <c r="BU140" s="169"/>
      <c r="BV140" s="169"/>
      <c r="BW140" s="169"/>
      <c r="BX140" s="169"/>
      <c r="BY140" s="169"/>
      <c r="BZ140" s="169"/>
      <c r="CA140"/>
      <c r="CB140"/>
    </row>
    <row r="141" spans="12:104" ht="11.25" customHeight="1">
      <c r="L141" s="150"/>
      <c r="M141" s="501" t="s">
        <v>348</v>
      </c>
      <c r="N141" s="474" t="s">
        <v>672</v>
      </c>
      <c r="O141" s="163" t="s">
        <v>669</v>
      </c>
      <c r="AB141" s="251"/>
      <c r="AC141" s="251"/>
      <c r="AD141" s="251"/>
      <c r="AE141" s="247">
        <f>AF141+AG141</f>
        <v>0</v>
      </c>
      <c r="AF141" s="245"/>
      <c r="AG141" s="245"/>
      <c r="AH141" s="169"/>
      <c r="AI141" s="169"/>
      <c r="AJ141" s="169"/>
      <c r="AK141" s="169"/>
      <c r="AL141" s="169"/>
      <c r="AM141" s="169"/>
      <c r="AN141" s="169"/>
      <c r="AO141" s="169"/>
      <c r="AP141" s="169"/>
      <c r="AQ141" s="169"/>
      <c r="AR141" s="169"/>
      <c r="AS141" s="169"/>
      <c r="AT141" s="169"/>
      <c r="AU141" s="169"/>
      <c r="AV141" s="169"/>
      <c r="AW141" s="169"/>
      <c r="AX141" s="169"/>
      <c r="AY141" s="169"/>
      <c r="AZ141" s="169"/>
      <c r="BA141" s="169"/>
      <c r="BB141" s="169"/>
      <c r="BC141" s="169"/>
      <c r="BD141" s="169"/>
      <c r="BE141" s="169"/>
      <c r="BF141" s="169"/>
      <c r="BG141" s="169"/>
      <c r="BH141" s="169"/>
      <c r="BI141" s="169"/>
      <c r="BJ141" s="169"/>
      <c r="BK141" s="169"/>
      <c r="BL141" s="169"/>
      <c r="BM141" s="169"/>
      <c r="BN141" s="169"/>
      <c r="BO141" s="169"/>
      <c r="BP141" s="169"/>
      <c r="BQ141" s="169"/>
      <c r="BR141" s="169"/>
      <c r="BS141" s="169"/>
      <c r="BT141" s="169"/>
      <c r="BU141" s="169"/>
      <c r="BV141" s="169"/>
      <c r="BW141" s="169"/>
      <c r="BX141" s="169"/>
      <c r="BY141" s="169"/>
      <c r="BZ141" s="169"/>
      <c r="CA141"/>
      <c r="CB141"/>
    </row>
    <row r="142" spans="12:104" ht="11.25" customHeight="1">
      <c r="L142" s="150"/>
      <c r="M142" s="501" t="s">
        <v>349</v>
      </c>
      <c r="N142" s="473" t="s">
        <v>350</v>
      </c>
      <c r="O142" s="163" t="s">
        <v>195</v>
      </c>
      <c r="AB142" s="251"/>
      <c r="AC142" s="251"/>
      <c r="AD142" s="251"/>
      <c r="AE142" s="247">
        <f>AF142+AG142</f>
        <v>0</v>
      </c>
      <c r="AF142" s="247">
        <f>AF143*AF144</f>
        <v>0</v>
      </c>
      <c r="AG142" s="247">
        <f>AG143*AG144</f>
        <v>0</v>
      </c>
      <c r="AH142" s="169"/>
      <c r="AI142" s="169"/>
      <c r="AJ142" s="169"/>
      <c r="AK142" s="169"/>
      <c r="AL142" s="169"/>
      <c r="AM142" s="169"/>
      <c r="AN142" s="169"/>
      <c r="AO142" s="169"/>
      <c r="AP142" s="169"/>
      <c r="AQ142" s="169"/>
      <c r="AR142" s="169"/>
      <c r="AS142" s="169"/>
      <c r="AT142" s="169"/>
      <c r="AU142" s="169"/>
      <c r="AV142" s="169"/>
      <c r="AW142" s="169"/>
      <c r="AX142" s="169"/>
      <c r="AY142" s="169"/>
      <c r="AZ142" s="169"/>
      <c r="BA142" s="169"/>
      <c r="BB142" s="169"/>
      <c r="BC142" s="169"/>
      <c r="BD142" s="169"/>
      <c r="BE142" s="169"/>
      <c r="BF142" s="169"/>
      <c r="BG142" s="169"/>
      <c r="BH142" s="169"/>
      <c r="BI142" s="169"/>
      <c r="BJ142" s="169"/>
      <c r="BK142" s="169"/>
      <c r="BL142" s="169"/>
      <c r="BM142" s="169"/>
      <c r="BN142" s="169"/>
      <c r="BO142" s="169"/>
      <c r="BP142" s="169"/>
      <c r="BQ142" s="169"/>
      <c r="BR142" s="169"/>
      <c r="BS142" s="169"/>
      <c r="BT142" s="169"/>
      <c r="BU142" s="169"/>
      <c r="BV142" s="169"/>
      <c r="BW142" s="169"/>
      <c r="BX142" s="169"/>
      <c r="BY142" s="169"/>
      <c r="BZ142" s="169"/>
      <c r="CA142"/>
      <c r="CB142"/>
    </row>
    <row r="143" spans="12:104" ht="11.25" customHeight="1">
      <c r="L143" s="150"/>
      <c r="M143" s="501" t="s">
        <v>351</v>
      </c>
      <c r="N143" s="474" t="s">
        <v>670</v>
      </c>
      <c r="O143" s="163" t="s">
        <v>313</v>
      </c>
      <c r="AB143" s="251"/>
      <c r="AC143" s="251"/>
      <c r="AD143" s="251"/>
      <c r="AE143" s="247">
        <f>IF(AE144=0,0,AE142/AE144)</f>
        <v>0</v>
      </c>
      <c r="AF143" s="245"/>
      <c r="AG143" s="245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9"/>
      <c r="AX143" s="169"/>
      <c r="AY143" s="169"/>
      <c r="AZ143" s="169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169"/>
      <c r="BU143" s="169"/>
      <c r="BV143" s="169"/>
      <c r="BW143" s="169"/>
      <c r="BX143" s="169"/>
      <c r="BY143" s="169"/>
      <c r="BZ143" s="169"/>
      <c r="CA143"/>
      <c r="CB143"/>
    </row>
    <row r="144" spans="12:104" ht="11.25" customHeight="1">
      <c r="L144" s="150"/>
      <c r="M144" s="501" t="s">
        <v>352</v>
      </c>
      <c r="N144" s="474" t="s">
        <v>666</v>
      </c>
      <c r="O144" s="163" t="s">
        <v>284</v>
      </c>
      <c r="AB144" s="251"/>
      <c r="AC144" s="251"/>
      <c r="AD144" s="251"/>
      <c r="AE144" s="247">
        <f>AF144+AG144</f>
        <v>0</v>
      </c>
      <c r="AF144" s="245"/>
      <c r="AG144" s="245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69"/>
      <c r="BO144" s="169"/>
      <c r="BP144" s="169"/>
      <c r="BQ144" s="169"/>
      <c r="BR144" s="169"/>
      <c r="BS144" s="169"/>
      <c r="BT144" s="169"/>
      <c r="BU144" s="169"/>
      <c r="BV144" s="169"/>
      <c r="BW144" s="169"/>
      <c r="BX144" s="169"/>
      <c r="BY144" s="169"/>
      <c r="BZ144" s="169"/>
      <c r="CA144"/>
      <c r="CB144"/>
    </row>
    <row r="145" spans="12:80" ht="11.25" customHeight="1">
      <c r="L145" s="150"/>
      <c r="M145" s="501" t="s">
        <v>353</v>
      </c>
      <c r="N145" s="473" t="s">
        <v>354</v>
      </c>
      <c r="O145" s="163" t="s">
        <v>195</v>
      </c>
      <c r="AB145" s="251"/>
      <c r="AC145" s="251"/>
      <c r="AD145" s="251"/>
      <c r="AE145" s="247">
        <f>AF145+AG145</f>
        <v>0</v>
      </c>
      <c r="AF145" s="247">
        <f>AF146*AF147</f>
        <v>0</v>
      </c>
      <c r="AG145" s="247">
        <f>AG146*AG147</f>
        <v>0</v>
      </c>
      <c r="AH145" s="169"/>
      <c r="AI145" s="169"/>
      <c r="AJ145" s="169"/>
      <c r="AK145" s="169"/>
      <c r="AL145" s="169"/>
      <c r="AM145" s="169"/>
      <c r="AN145" s="169"/>
      <c r="AO145" s="169"/>
      <c r="AP145" s="169"/>
      <c r="AQ145" s="169"/>
      <c r="AR145" s="169"/>
      <c r="AS145" s="169"/>
      <c r="AT145" s="169"/>
      <c r="AU145" s="169"/>
      <c r="AV145" s="169"/>
      <c r="AW145" s="169"/>
      <c r="AX145" s="169"/>
      <c r="AY145" s="169"/>
      <c r="AZ145" s="169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169"/>
      <c r="BU145" s="169"/>
      <c r="BV145" s="169"/>
      <c r="BW145" s="169"/>
      <c r="BX145" s="169"/>
      <c r="BY145" s="169"/>
      <c r="BZ145" s="169"/>
      <c r="CA145"/>
      <c r="CB145"/>
    </row>
    <row r="146" spans="12:80" ht="11.25" customHeight="1">
      <c r="L146" s="150"/>
      <c r="M146" s="501" t="s">
        <v>355</v>
      </c>
      <c r="N146" s="474" t="s">
        <v>671</v>
      </c>
      <c r="O146" s="163" t="s">
        <v>314</v>
      </c>
      <c r="AB146" s="251"/>
      <c r="AC146" s="251"/>
      <c r="AD146" s="251"/>
      <c r="AE146" s="247">
        <f>IF(AE147=0,0,AE145/AE147)</f>
        <v>0</v>
      </c>
      <c r="AF146" s="245"/>
      <c r="AG146" s="245"/>
      <c r="AH146" s="169"/>
      <c r="AI146" s="169"/>
      <c r="AJ146" s="169"/>
      <c r="AK146" s="169"/>
      <c r="AL146" s="169"/>
      <c r="AM146" s="169"/>
      <c r="AN146" s="169"/>
      <c r="AO146" s="169"/>
      <c r="AP146" s="169"/>
      <c r="AQ146" s="169"/>
      <c r="AR146" s="169"/>
      <c r="AS146" s="169"/>
      <c r="AT146" s="169"/>
      <c r="AU146" s="169"/>
      <c r="AV146" s="169"/>
      <c r="AW146" s="169"/>
      <c r="AX146" s="169"/>
      <c r="AY146" s="169"/>
      <c r="AZ146" s="169"/>
      <c r="BA146" s="169"/>
      <c r="BB146" s="169"/>
      <c r="BC146" s="169"/>
      <c r="BD146" s="169"/>
      <c r="BE146" s="169"/>
      <c r="BF146" s="169"/>
      <c r="BG146" s="169"/>
      <c r="BH146" s="169"/>
      <c r="BI146" s="169"/>
      <c r="BJ146" s="169"/>
      <c r="BK146" s="169"/>
      <c r="BL146" s="169"/>
      <c r="BM146" s="169"/>
      <c r="BN146" s="169"/>
      <c r="BO146" s="169"/>
      <c r="BP146" s="169"/>
      <c r="BQ146" s="169"/>
      <c r="BR146" s="169"/>
      <c r="BS146" s="169"/>
      <c r="BT146" s="169"/>
      <c r="BU146" s="169"/>
      <c r="BV146" s="169"/>
      <c r="BW146" s="169"/>
      <c r="BX146" s="169"/>
      <c r="BY146" s="169"/>
      <c r="BZ146" s="169"/>
      <c r="CA146"/>
      <c r="CB146"/>
    </row>
    <row r="147" spans="12:80" ht="11.25" customHeight="1">
      <c r="L147" s="150"/>
      <c r="M147" s="501" t="s">
        <v>356</v>
      </c>
      <c r="N147" s="474" t="s">
        <v>672</v>
      </c>
      <c r="O147" s="163" t="s">
        <v>669</v>
      </c>
      <c r="AB147" s="251"/>
      <c r="AC147" s="251"/>
      <c r="AD147" s="251"/>
      <c r="AE147" s="247">
        <f>AF147+AG147</f>
        <v>0</v>
      </c>
      <c r="AF147" s="245"/>
      <c r="AG147" s="245"/>
      <c r="AH147" s="169"/>
      <c r="AI147" s="169"/>
      <c r="AJ147" s="169"/>
      <c r="AK147" s="169"/>
      <c r="AL147" s="169"/>
      <c r="AM147" s="169"/>
      <c r="AN147" s="169"/>
      <c r="AO147" s="169"/>
      <c r="AP147" s="169"/>
      <c r="AQ147" s="169"/>
      <c r="AR147" s="169"/>
      <c r="AS147" s="169"/>
      <c r="AT147" s="169"/>
      <c r="AU147" s="169"/>
      <c r="AV147" s="169"/>
      <c r="AW147" s="169"/>
      <c r="AX147" s="169"/>
      <c r="AY147" s="169"/>
      <c r="AZ147" s="169"/>
      <c r="BA147" s="169"/>
      <c r="BB147" s="169"/>
      <c r="BC147" s="169"/>
      <c r="BD147" s="169"/>
      <c r="BE147" s="169"/>
      <c r="BF147" s="169"/>
      <c r="BG147" s="169"/>
      <c r="BH147" s="169"/>
      <c r="BI147" s="169"/>
      <c r="BJ147" s="169"/>
      <c r="BK147" s="169"/>
      <c r="BL147" s="169"/>
      <c r="BM147" s="169"/>
      <c r="BN147" s="169"/>
      <c r="BO147" s="169"/>
      <c r="BP147" s="169"/>
      <c r="BQ147" s="169"/>
      <c r="BR147" s="169"/>
      <c r="BS147" s="169"/>
      <c r="BT147" s="169"/>
      <c r="BU147" s="169"/>
      <c r="BV147" s="169"/>
      <c r="BW147" s="169"/>
      <c r="BX147" s="169"/>
      <c r="BY147" s="169"/>
      <c r="BZ147" s="169"/>
      <c r="CA147"/>
      <c r="CB147"/>
    </row>
    <row r="148" spans="12:80" ht="11.25" customHeight="1">
      <c r="L148" s="150"/>
      <c r="M148" s="501" t="s">
        <v>357</v>
      </c>
      <c r="N148" s="473" t="s">
        <v>358</v>
      </c>
      <c r="O148" s="163" t="s">
        <v>195</v>
      </c>
      <c r="AB148" s="251"/>
      <c r="AC148" s="251"/>
      <c r="AD148" s="251"/>
      <c r="AE148" s="247">
        <f>AF148+AG148</f>
        <v>0</v>
      </c>
      <c r="AF148" s="247">
        <f>AF149*AF150</f>
        <v>0</v>
      </c>
      <c r="AG148" s="247">
        <f>AG149*AG150</f>
        <v>0</v>
      </c>
      <c r="AH148" s="169"/>
      <c r="AI148" s="169"/>
      <c r="AJ148" s="169"/>
      <c r="AK148" s="169"/>
      <c r="AL148" s="169"/>
      <c r="AM148" s="169"/>
      <c r="AN148" s="169"/>
      <c r="AO148" s="169"/>
      <c r="AP148" s="169"/>
      <c r="AQ148" s="169"/>
      <c r="AR148" s="169"/>
      <c r="AS148" s="169"/>
      <c r="AT148" s="169"/>
      <c r="AU148" s="169"/>
      <c r="AV148" s="169"/>
      <c r="AW148" s="169"/>
      <c r="AX148" s="169"/>
      <c r="AY148" s="169"/>
      <c r="AZ148" s="169"/>
      <c r="BA148" s="169"/>
      <c r="BB148" s="169"/>
      <c r="BC148" s="169"/>
      <c r="BD148" s="169"/>
      <c r="BE148" s="169"/>
      <c r="BF148" s="169"/>
      <c r="BG148" s="169"/>
      <c r="BH148" s="169"/>
      <c r="BI148" s="169"/>
      <c r="BJ148" s="169"/>
      <c r="BK148" s="169"/>
      <c r="BL148" s="169"/>
      <c r="BM148" s="169"/>
      <c r="BN148" s="169"/>
      <c r="BO148" s="169"/>
      <c r="BP148" s="169"/>
      <c r="BQ148" s="169"/>
      <c r="BR148" s="169"/>
      <c r="BS148" s="169"/>
      <c r="BT148" s="169"/>
      <c r="BU148" s="169"/>
      <c r="BV148" s="169"/>
      <c r="BW148" s="169"/>
      <c r="BX148" s="169"/>
      <c r="BY148" s="169"/>
      <c r="BZ148" s="169"/>
      <c r="CA148"/>
      <c r="CB148"/>
    </row>
    <row r="149" spans="12:80" ht="11.25" customHeight="1">
      <c r="L149" s="150"/>
      <c r="M149" s="501" t="s">
        <v>359</v>
      </c>
      <c r="N149" s="474" t="s">
        <v>670</v>
      </c>
      <c r="O149" s="163" t="s">
        <v>313</v>
      </c>
      <c r="AB149" s="251"/>
      <c r="AC149" s="251"/>
      <c r="AD149" s="251"/>
      <c r="AE149" s="247">
        <f>IF(AE150=0,0,AE148/AE150)</f>
        <v>0</v>
      </c>
      <c r="AF149" s="245"/>
      <c r="AG149" s="245"/>
      <c r="AH149" s="169"/>
      <c r="AI149" s="169"/>
      <c r="AJ149" s="169"/>
      <c r="AK149" s="169"/>
      <c r="AL149" s="169"/>
      <c r="AM149" s="169"/>
      <c r="AN149" s="169"/>
      <c r="AO149" s="169"/>
      <c r="AP149" s="169"/>
      <c r="AQ149" s="169"/>
      <c r="AR149" s="169"/>
      <c r="AS149" s="169"/>
      <c r="AT149" s="169"/>
      <c r="AU149" s="169"/>
      <c r="AV149" s="169"/>
      <c r="AW149" s="169"/>
      <c r="AX149" s="169"/>
      <c r="AY149" s="169"/>
      <c r="AZ149" s="169"/>
      <c r="BA149" s="169"/>
      <c r="BB149" s="169"/>
      <c r="BC149" s="169"/>
      <c r="BD149" s="169"/>
      <c r="BE149" s="169"/>
      <c r="BF149" s="169"/>
      <c r="BG149" s="169"/>
      <c r="BH149" s="169"/>
      <c r="BI149" s="169"/>
      <c r="BJ149" s="169"/>
      <c r="BK149" s="169"/>
      <c r="BL149" s="169"/>
      <c r="BM149" s="169"/>
      <c r="BN149" s="169"/>
      <c r="BO149" s="169"/>
      <c r="BP149" s="169"/>
      <c r="BQ149" s="169"/>
      <c r="BR149" s="169"/>
      <c r="BS149" s="169"/>
      <c r="BT149" s="169"/>
      <c r="BU149" s="169"/>
      <c r="BV149" s="169"/>
      <c r="BW149" s="169"/>
      <c r="BX149" s="169"/>
      <c r="BY149" s="169"/>
      <c r="BZ149" s="169"/>
      <c r="CA149"/>
      <c r="CB149"/>
    </row>
    <row r="150" spans="12:80" ht="11.25" customHeight="1">
      <c r="L150" s="150"/>
      <c r="M150" s="501" t="s">
        <v>360</v>
      </c>
      <c r="N150" s="474" t="s">
        <v>666</v>
      </c>
      <c r="O150" s="163" t="s">
        <v>284</v>
      </c>
      <c r="AB150" s="251"/>
      <c r="AC150" s="251"/>
      <c r="AD150" s="251"/>
      <c r="AE150" s="247">
        <f>AF150+AG150</f>
        <v>0</v>
      </c>
      <c r="AF150" s="245"/>
      <c r="AG150" s="245"/>
      <c r="AH150" s="169"/>
      <c r="AI150" s="169"/>
      <c r="AJ150" s="169"/>
      <c r="AK150" s="169"/>
      <c r="AL150" s="169"/>
      <c r="AM150" s="169"/>
      <c r="AN150" s="169"/>
      <c r="AO150" s="169"/>
      <c r="AP150" s="169"/>
      <c r="AQ150" s="169"/>
      <c r="AR150" s="169"/>
      <c r="AS150" s="169"/>
      <c r="AT150" s="169"/>
      <c r="AU150" s="169"/>
      <c r="AV150" s="169"/>
      <c r="AW150" s="169"/>
      <c r="AX150" s="169"/>
      <c r="AY150" s="169"/>
      <c r="AZ150" s="169"/>
      <c r="BA150" s="169"/>
      <c r="BB150" s="169"/>
      <c r="BC150" s="169"/>
      <c r="BD150" s="169"/>
      <c r="BE150" s="169"/>
      <c r="BF150" s="169"/>
      <c r="BG150" s="169"/>
      <c r="BH150" s="169"/>
      <c r="BI150" s="169"/>
      <c r="BJ150" s="169"/>
      <c r="BK150" s="169"/>
      <c r="BL150" s="169"/>
      <c r="BM150" s="169"/>
      <c r="BN150" s="169"/>
      <c r="BO150" s="169"/>
      <c r="BP150" s="169"/>
      <c r="BQ150" s="169"/>
      <c r="BR150" s="169"/>
      <c r="BS150" s="169"/>
      <c r="BT150" s="169"/>
      <c r="BU150" s="169"/>
      <c r="BV150" s="169"/>
      <c r="BW150" s="169"/>
      <c r="BX150" s="169"/>
      <c r="BY150" s="169"/>
      <c r="BZ150" s="169"/>
      <c r="CA150"/>
      <c r="CB150"/>
    </row>
    <row r="151" spans="12:80" ht="11.25" customHeight="1">
      <c r="L151" s="150"/>
      <c r="M151" s="501" t="s">
        <v>361</v>
      </c>
      <c r="N151" s="473" t="s">
        <v>362</v>
      </c>
      <c r="O151" s="163" t="s">
        <v>195</v>
      </c>
      <c r="AB151" s="251"/>
      <c r="AC151" s="251"/>
      <c r="AD151" s="251"/>
      <c r="AE151" s="247">
        <f>AF151+AG151</f>
        <v>0</v>
      </c>
      <c r="AF151" s="247">
        <f>AF152*AF153</f>
        <v>0</v>
      </c>
      <c r="AG151" s="247">
        <f>AG152*AG153</f>
        <v>0</v>
      </c>
      <c r="AH151" s="169"/>
      <c r="AI151" s="169"/>
      <c r="AJ151" s="169"/>
      <c r="AK151" s="169"/>
      <c r="AL151" s="169"/>
      <c r="AM151" s="169"/>
      <c r="AN151" s="169"/>
      <c r="AO151" s="169"/>
      <c r="AP151" s="169"/>
      <c r="AQ151" s="169"/>
      <c r="AR151" s="169"/>
      <c r="AS151" s="169"/>
      <c r="AT151" s="169"/>
      <c r="AU151" s="169"/>
      <c r="AV151" s="169"/>
      <c r="AW151" s="169"/>
      <c r="AX151" s="169"/>
      <c r="AY151" s="169"/>
      <c r="AZ151" s="169"/>
      <c r="BA151" s="169"/>
      <c r="BB151" s="169"/>
      <c r="BC151" s="169"/>
      <c r="BD151" s="169"/>
      <c r="BE151" s="169"/>
      <c r="BF151" s="169"/>
      <c r="BG151" s="169"/>
      <c r="BH151" s="169"/>
      <c r="BI151" s="169"/>
      <c r="BJ151" s="169"/>
      <c r="BK151" s="169"/>
      <c r="BL151" s="169"/>
      <c r="BM151" s="169"/>
      <c r="BN151" s="169"/>
      <c r="BO151" s="169"/>
      <c r="BP151" s="169"/>
      <c r="BQ151" s="169"/>
      <c r="BR151" s="169"/>
      <c r="BS151" s="169"/>
      <c r="BT151" s="169"/>
      <c r="BU151" s="169"/>
      <c r="BV151" s="169"/>
      <c r="BW151" s="169"/>
      <c r="BX151" s="169"/>
      <c r="BY151" s="169"/>
      <c r="BZ151" s="169"/>
      <c r="CA151"/>
      <c r="CB151"/>
    </row>
    <row r="152" spans="12:80" ht="11.25" customHeight="1">
      <c r="L152" s="150"/>
      <c r="M152" s="501" t="s">
        <v>363</v>
      </c>
      <c r="N152" s="474" t="s">
        <v>671</v>
      </c>
      <c r="O152" s="163" t="s">
        <v>314</v>
      </c>
      <c r="AB152" s="251"/>
      <c r="AC152" s="251"/>
      <c r="AD152" s="251"/>
      <c r="AE152" s="247">
        <f>IF(AE153=0,0,AE151/AE153)</f>
        <v>0</v>
      </c>
      <c r="AF152" s="245"/>
      <c r="AG152" s="245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69"/>
      <c r="AT152" s="169"/>
      <c r="AU152" s="169"/>
      <c r="AV152" s="169"/>
      <c r="AW152" s="169"/>
      <c r="AX152" s="169"/>
      <c r="AY152" s="169"/>
      <c r="AZ152" s="169"/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169"/>
      <c r="BK152" s="169"/>
      <c r="BL152" s="169"/>
      <c r="BM152" s="169"/>
      <c r="BN152" s="169"/>
      <c r="BO152" s="169"/>
      <c r="BP152" s="169"/>
      <c r="BQ152" s="169"/>
      <c r="BR152" s="169"/>
      <c r="BS152" s="169"/>
      <c r="BT152" s="169"/>
      <c r="BU152" s="169"/>
      <c r="BV152" s="169"/>
      <c r="BW152" s="169"/>
      <c r="BX152" s="169"/>
      <c r="BY152" s="169"/>
      <c r="BZ152" s="169"/>
      <c r="CA152"/>
      <c r="CB152"/>
    </row>
    <row r="153" spans="12:80" ht="11.25" customHeight="1">
      <c r="L153" s="150"/>
      <c r="M153" s="501" t="s">
        <v>364</v>
      </c>
      <c r="N153" s="474" t="s">
        <v>672</v>
      </c>
      <c r="O153" s="163" t="s">
        <v>669</v>
      </c>
      <c r="AB153" s="251"/>
      <c r="AC153" s="251"/>
      <c r="AD153" s="251"/>
      <c r="AE153" s="247">
        <f>AF153+AG153</f>
        <v>0</v>
      </c>
      <c r="AF153" s="245"/>
      <c r="AG153" s="245"/>
      <c r="AH153" s="169"/>
      <c r="AI153" s="169"/>
      <c r="AJ153" s="169"/>
      <c r="AK153" s="169"/>
      <c r="AL153" s="169"/>
      <c r="AM153" s="169"/>
      <c r="AN153" s="169"/>
      <c r="AO153" s="169"/>
      <c r="AP153" s="169"/>
      <c r="AQ153" s="169"/>
      <c r="AR153" s="169"/>
      <c r="AS153" s="169"/>
      <c r="AT153" s="169"/>
      <c r="AU153" s="169"/>
      <c r="AV153" s="169"/>
      <c r="AW153" s="169"/>
      <c r="AX153" s="169"/>
      <c r="AY153" s="169"/>
      <c r="AZ153" s="169"/>
      <c r="BA153" s="169"/>
      <c r="BB153" s="169"/>
      <c r="BC153" s="169"/>
      <c r="BD153" s="169"/>
      <c r="BE153" s="169"/>
      <c r="BF153" s="169"/>
      <c r="BG153" s="169"/>
      <c r="BH153" s="169"/>
      <c r="BI153" s="169"/>
      <c r="BJ153" s="169"/>
      <c r="BK153" s="169"/>
      <c r="BL153" s="169"/>
      <c r="BM153" s="169"/>
      <c r="BN153" s="169"/>
      <c r="BO153" s="169"/>
      <c r="BP153" s="169"/>
      <c r="BQ153" s="169"/>
      <c r="BR153" s="169"/>
      <c r="BS153" s="169"/>
      <c r="BT153" s="169"/>
      <c r="BU153" s="169"/>
      <c r="BV153" s="169"/>
      <c r="BW153" s="169"/>
      <c r="BX153" s="169"/>
      <c r="BY153" s="169"/>
      <c r="BZ153" s="169"/>
      <c r="CA153"/>
      <c r="CB153"/>
    </row>
    <row r="154" spans="12:80" ht="11.25" customHeight="1">
      <c r="L154" s="150"/>
      <c r="M154" s="490" t="s">
        <v>182</v>
      </c>
      <c r="N154" s="497" t="s">
        <v>365</v>
      </c>
      <c r="O154" s="163" t="s">
        <v>195</v>
      </c>
      <c r="AB154" s="251"/>
      <c r="AC154" s="251"/>
      <c r="AD154" s="251"/>
      <c r="AE154" s="253">
        <f>SUM(AE155,AE189)</f>
        <v>0</v>
      </c>
      <c r="AF154" s="253">
        <f>SUM(AF155,AF189)</f>
        <v>0</v>
      </c>
      <c r="AG154" s="253">
        <f>SUM(AG155,AG189)</f>
        <v>0</v>
      </c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69"/>
      <c r="AT154" s="169"/>
      <c r="AU154" s="169"/>
      <c r="AV154" s="169"/>
      <c r="AW154" s="169"/>
      <c r="AX154" s="169"/>
      <c r="AY154" s="169"/>
      <c r="AZ154" s="169"/>
      <c r="BA154" s="169"/>
      <c r="BB154" s="169"/>
      <c r="BC154" s="169"/>
      <c r="BD154" s="169"/>
      <c r="BE154" s="169"/>
      <c r="BF154" s="169"/>
      <c r="BG154" s="169"/>
      <c r="BH154" s="169"/>
      <c r="BI154" s="169"/>
      <c r="BJ154" s="169"/>
      <c r="BK154" s="169"/>
      <c r="BL154" s="169"/>
      <c r="BM154" s="169"/>
      <c r="BN154" s="169"/>
      <c r="BO154" s="169"/>
      <c r="BP154" s="169"/>
      <c r="BQ154" s="169"/>
      <c r="BR154" s="169"/>
      <c r="BS154" s="169"/>
      <c r="BT154" s="169"/>
      <c r="BU154" s="169"/>
      <c r="BV154" s="169"/>
      <c r="BW154" s="169"/>
      <c r="BX154" s="169"/>
      <c r="BY154" s="169"/>
      <c r="BZ154" s="169"/>
      <c r="CA154"/>
      <c r="CB154"/>
    </row>
    <row r="155" spans="12:80" ht="11.25" customHeight="1">
      <c r="L155" s="150"/>
      <c r="M155" s="490" t="s">
        <v>183</v>
      </c>
      <c r="N155" s="498" t="s">
        <v>366</v>
      </c>
      <c r="O155" s="163" t="s">
        <v>195</v>
      </c>
      <c r="AB155" s="251"/>
      <c r="AC155" s="251"/>
      <c r="AD155" s="251"/>
      <c r="AE155" s="247">
        <f>SUM(AE156,AE172)</f>
        <v>0</v>
      </c>
      <c r="AF155" s="247">
        <f>SUM(AF156,AF172)</f>
        <v>0</v>
      </c>
      <c r="AG155" s="247">
        <f>SUM(AG156,AG172)</f>
        <v>0</v>
      </c>
      <c r="AH155" s="169"/>
      <c r="AI155" s="169"/>
      <c r="AJ155" s="169"/>
      <c r="AK155" s="169"/>
      <c r="AL155" s="169"/>
      <c r="AM155" s="169"/>
      <c r="AN155" s="169"/>
      <c r="AO155" s="169"/>
      <c r="AP155" s="169"/>
      <c r="AQ155" s="169"/>
      <c r="AR155" s="169"/>
      <c r="AS155" s="169"/>
      <c r="AT155" s="169"/>
      <c r="AU155" s="169"/>
      <c r="AV155" s="169"/>
      <c r="AW155" s="169"/>
      <c r="AX155" s="169"/>
      <c r="AY155" s="169"/>
      <c r="AZ155" s="169"/>
      <c r="BA155" s="169"/>
      <c r="BB155" s="169"/>
      <c r="BC155" s="169"/>
      <c r="BD155" s="169"/>
      <c r="BE155" s="169"/>
      <c r="BF155" s="169"/>
      <c r="BG155" s="169"/>
      <c r="BH155" s="169"/>
      <c r="BI155" s="169"/>
      <c r="BJ155" s="169"/>
      <c r="BK155" s="169"/>
      <c r="BL155" s="169"/>
      <c r="BM155" s="169"/>
      <c r="BN155" s="169"/>
      <c r="BO155" s="169"/>
      <c r="BP155" s="169"/>
      <c r="BQ155" s="169"/>
      <c r="BR155" s="169"/>
      <c r="BS155" s="169"/>
      <c r="BT155" s="169"/>
      <c r="BU155" s="169"/>
      <c r="BV155" s="169"/>
      <c r="BW155" s="169"/>
      <c r="BX155" s="169"/>
      <c r="BY155" s="169"/>
      <c r="BZ155" s="169"/>
      <c r="CA155"/>
      <c r="CB155"/>
    </row>
    <row r="156" spans="12:80" ht="11.25" customHeight="1">
      <c r="L156" s="150"/>
      <c r="M156" s="499" t="str">
        <f>M155 &amp; ".1"</f>
        <v>5.2.1.1</v>
      </c>
      <c r="N156" s="470" t="s">
        <v>294</v>
      </c>
      <c r="O156" s="163" t="s">
        <v>195</v>
      </c>
      <c r="AB156" s="251"/>
      <c r="AC156" s="251"/>
      <c r="AD156" s="251"/>
      <c r="AE156" s="254">
        <f>SUM(AE157,AE161,AE165)</f>
        <v>0</v>
      </c>
      <c r="AF156" s="255">
        <f>SUM(AF157,AF161,AF165)</f>
        <v>0</v>
      </c>
      <c r="AG156" s="256">
        <f>SUM(AG157,AG161,AG165)</f>
        <v>0</v>
      </c>
      <c r="AH156" s="169"/>
      <c r="AI156" s="169"/>
      <c r="AJ156" s="169"/>
      <c r="AK156" s="169"/>
      <c r="AL156" s="169"/>
      <c r="AM156" s="169"/>
      <c r="AN156" s="169"/>
      <c r="AO156" s="169"/>
      <c r="AP156" s="169"/>
      <c r="AQ156" s="169"/>
      <c r="AR156" s="169"/>
      <c r="AS156" s="169"/>
      <c r="AT156" s="169"/>
      <c r="AU156" s="169"/>
      <c r="AV156" s="169"/>
      <c r="AW156" s="169"/>
      <c r="AX156" s="169"/>
      <c r="AY156" s="169"/>
      <c r="AZ156" s="169"/>
      <c r="BA156" s="169"/>
      <c r="BB156" s="169"/>
      <c r="BC156" s="169"/>
      <c r="BD156" s="169"/>
      <c r="BE156" s="169"/>
      <c r="BF156" s="169"/>
      <c r="BG156" s="169"/>
      <c r="BH156" s="169"/>
      <c r="BI156" s="169"/>
      <c r="BJ156" s="169"/>
      <c r="BK156" s="169"/>
      <c r="BL156" s="169"/>
      <c r="BM156" s="169"/>
      <c r="BN156" s="169"/>
      <c r="BO156" s="169"/>
      <c r="BP156" s="169"/>
      <c r="BQ156" s="169"/>
      <c r="BR156" s="169"/>
      <c r="BS156" s="169"/>
      <c r="BT156" s="169"/>
      <c r="BU156" s="169"/>
      <c r="BV156" s="169"/>
      <c r="BW156" s="169"/>
      <c r="BX156" s="169"/>
      <c r="BY156" s="169"/>
      <c r="BZ156" s="169"/>
      <c r="CA156"/>
      <c r="CB156"/>
    </row>
    <row r="157" spans="12:80" ht="11.25" customHeight="1">
      <c r="L157" s="150"/>
      <c r="M157" s="499" t="str">
        <f>M155 &amp; ".1.1"</f>
        <v>5.2.1.1.1</v>
      </c>
      <c r="N157" s="469" t="s">
        <v>738</v>
      </c>
      <c r="O157" s="163" t="s">
        <v>195</v>
      </c>
      <c r="AB157" s="251"/>
      <c r="AC157" s="251"/>
      <c r="AD157" s="251"/>
      <c r="AE157" s="256">
        <f>AF157+AG157</f>
        <v>0</v>
      </c>
      <c r="AF157" s="588"/>
      <c r="AG157" s="588"/>
      <c r="AH157" s="169"/>
      <c r="AI157" s="169"/>
      <c r="AJ157" s="169"/>
      <c r="AK157" s="169"/>
      <c r="AL157" s="169"/>
      <c r="AM157" s="169"/>
      <c r="AN157" s="169"/>
      <c r="AO157" s="169"/>
      <c r="AP157" s="169"/>
      <c r="AQ157" s="169"/>
      <c r="AR157" s="169"/>
      <c r="AS157" s="169"/>
      <c r="AT157" s="169"/>
      <c r="AU157" s="169"/>
      <c r="AV157" s="169"/>
      <c r="AW157" s="169"/>
      <c r="AX157" s="169"/>
      <c r="AY157" s="169"/>
      <c r="AZ157" s="169"/>
      <c r="BA157" s="169"/>
      <c r="BB157" s="169"/>
      <c r="BC157" s="169"/>
      <c r="BD157" s="169"/>
      <c r="BE157" s="169"/>
      <c r="BF157" s="169"/>
      <c r="BG157" s="169"/>
      <c r="BH157" s="169"/>
      <c r="BI157" s="169"/>
      <c r="BJ157" s="169"/>
      <c r="BK157" s="169"/>
      <c r="BL157" s="169"/>
      <c r="BM157" s="169"/>
      <c r="BN157" s="169"/>
      <c r="BO157" s="169"/>
      <c r="BP157" s="169"/>
      <c r="BQ157" s="169"/>
      <c r="BR157" s="169"/>
      <c r="BS157" s="169"/>
      <c r="BT157" s="169"/>
      <c r="BU157" s="169"/>
      <c r="BV157" s="169"/>
      <c r="BW157" s="169"/>
      <c r="BX157" s="169"/>
      <c r="BY157" s="169"/>
      <c r="BZ157" s="169"/>
      <c r="CA157"/>
      <c r="CB157"/>
    </row>
    <row r="158" spans="12:80" ht="11.25" customHeight="1">
      <c r="L158" s="150"/>
      <c r="M158" s="499" t="str">
        <f>M155 &amp; ".1.1.0.1"</f>
        <v>5.2.1.1.1.0.1</v>
      </c>
      <c r="N158" s="471" t="s">
        <v>285</v>
      </c>
      <c r="O158" s="163" t="s">
        <v>286</v>
      </c>
      <c r="AB158" s="251"/>
      <c r="AC158" s="251"/>
      <c r="AD158" s="251"/>
      <c r="AE158" s="244">
        <f>AF158+AG158</f>
        <v>0</v>
      </c>
      <c r="AF158" s="588"/>
      <c r="AG158" s="222"/>
      <c r="AH158" s="169"/>
      <c r="AI158" s="169"/>
      <c r="AJ158" s="169"/>
      <c r="AK158" s="169"/>
      <c r="AL158" s="169"/>
      <c r="AM158" s="169"/>
      <c r="AN158" s="169"/>
      <c r="AO158" s="169"/>
      <c r="AP158" s="169"/>
      <c r="AQ158" s="169"/>
      <c r="AR158" s="169"/>
      <c r="AS158" s="169"/>
      <c r="AT158" s="169"/>
      <c r="AU158" s="169"/>
      <c r="AV158" s="169"/>
      <c r="AW158" s="169"/>
      <c r="AX158" s="169"/>
      <c r="AY158" s="169"/>
      <c r="AZ158" s="169"/>
      <c r="BA158" s="169"/>
      <c r="BB158" s="169"/>
      <c r="BC158" s="169"/>
      <c r="BD158" s="169"/>
      <c r="BE158" s="169"/>
      <c r="BF158" s="169"/>
      <c r="BG158" s="169"/>
      <c r="BH158" s="169"/>
      <c r="BI158" s="169"/>
      <c r="BJ158" s="169"/>
      <c r="BK158" s="169"/>
      <c r="BL158" s="169"/>
      <c r="BM158" s="169"/>
      <c r="BN158" s="169"/>
      <c r="BO158" s="169"/>
      <c r="BP158" s="169"/>
      <c r="BQ158" s="169"/>
      <c r="BR158" s="169"/>
      <c r="BS158" s="169"/>
      <c r="BT158" s="169"/>
      <c r="BU158" s="169"/>
      <c r="BV158" s="169"/>
      <c r="BW158" s="169"/>
      <c r="BX158" s="169"/>
      <c r="BY158" s="169"/>
      <c r="BZ158" s="169"/>
      <c r="CA158"/>
      <c r="CB158"/>
    </row>
    <row r="159" spans="12:80" ht="11.25" customHeight="1">
      <c r="L159" s="150"/>
      <c r="M159" s="499" t="str">
        <f>M155 &amp; ".1.1.0.2"</f>
        <v>5.2.1.1.1.0.2</v>
      </c>
      <c r="N159" s="471" t="s">
        <v>287</v>
      </c>
      <c r="O159" s="163" t="s">
        <v>288</v>
      </c>
      <c r="AB159" s="251"/>
      <c r="AC159" s="251"/>
      <c r="AD159" s="251"/>
      <c r="AE159" s="244">
        <f>IF(AE158=0,0,AE157/AE158)</f>
        <v>0</v>
      </c>
      <c r="AF159" s="244">
        <f>IF(AF158=0,0,AF157/AF158)</f>
        <v>0</v>
      </c>
      <c r="AG159" s="244">
        <f>IF(AG158=0,0,AG157/AG158)</f>
        <v>0</v>
      </c>
      <c r="AH159" s="169"/>
      <c r="AI159" s="169"/>
      <c r="AJ159" s="169"/>
      <c r="AK159" s="169"/>
      <c r="AL159" s="169"/>
      <c r="AM159" s="169"/>
      <c r="AN159" s="169"/>
      <c r="AO159" s="169"/>
      <c r="AP159" s="169"/>
      <c r="AQ159" s="169"/>
      <c r="AR159" s="169"/>
      <c r="AS159" s="169"/>
      <c r="AT159" s="169"/>
      <c r="AU159" s="169"/>
      <c r="AV159" s="169"/>
      <c r="AW159" s="169"/>
      <c r="AX159" s="169"/>
      <c r="AY159" s="169"/>
      <c r="AZ159" s="169"/>
      <c r="BA159" s="169"/>
      <c r="BB159" s="169"/>
      <c r="BC159" s="169"/>
      <c r="BD159" s="169"/>
      <c r="BE159" s="169"/>
      <c r="BF159" s="169"/>
      <c r="BG159" s="169"/>
      <c r="BH159" s="169"/>
      <c r="BI159" s="169"/>
      <c r="BJ159" s="169"/>
      <c r="BK159" s="169"/>
      <c r="BL159" s="169"/>
      <c r="BM159" s="169"/>
      <c r="BN159" s="169"/>
      <c r="BO159" s="169"/>
      <c r="BP159" s="169"/>
      <c r="BQ159" s="169"/>
      <c r="BR159" s="169"/>
      <c r="BS159" s="169"/>
      <c r="BT159" s="169"/>
      <c r="BU159" s="169"/>
      <c r="BV159" s="169"/>
      <c r="BW159" s="169"/>
      <c r="BX159" s="169"/>
      <c r="BY159" s="169"/>
      <c r="BZ159" s="169"/>
      <c r="CA159"/>
      <c r="CB159"/>
    </row>
    <row r="160" spans="12:80" ht="11.25" customHeight="1">
      <c r="L160" s="150"/>
      <c r="M160" s="500"/>
      <c r="N160" s="472"/>
      <c r="O160" s="166"/>
      <c r="AB160" s="251"/>
      <c r="AC160" s="251"/>
      <c r="AD160" s="251"/>
      <c r="AE160" s="242"/>
      <c r="AF160" s="260"/>
      <c r="AG160" s="241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69"/>
      <c r="AT160" s="169"/>
      <c r="AU160" s="169"/>
      <c r="AV160" s="169"/>
      <c r="AW160" s="169"/>
      <c r="AX160" s="169"/>
      <c r="AY160" s="169"/>
      <c r="AZ160" s="169"/>
      <c r="BA160" s="169"/>
      <c r="BB160" s="169"/>
      <c r="BC160" s="169"/>
      <c r="BD160" s="169"/>
      <c r="BE160" s="169"/>
      <c r="BF160" s="169"/>
      <c r="BG160" s="169"/>
      <c r="BH160" s="169"/>
      <c r="BI160" s="169"/>
      <c r="BJ160" s="169"/>
      <c r="BK160" s="169"/>
      <c r="BL160" s="169"/>
      <c r="BM160" s="169"/>
      <c r="BN160" s="169"/>
      <c r="BO160" s="169"/>
      <c r="BP160" s="169"/>
      <c r="BQ160" s="169"/>
      <c r="BR160" s="169"/>
      <c r="BS160" s="169"/>
      <c r="BT160" s="169"/>
      <c r="BU160" s="169"/>
      <c r="BV160" s="169"/>
      <c r="BW160" s="169"/>
      <c r="BX160" s="169"/>
      <c r="BY160" s="169"/>
      <c r="BZ160" s="169"/>
      <c r="CA160"/>
      <c r="CB160"/>
    </row>
    <row r="161" spans="12:80" ht="11.25" customHeight="1">
      <c r="L161" s="150"/>
      <c r="M161" s="499" t="str">
        <f>M155 &amp; ".1.2"</f>
        <v>5.2.1.1.2</v>
      </c>
      <c r="N161" s="469" t="s">
        <v>739</v>
      </c>
      <c r="O161" s="163" t="s">
        <v>195</v>
      </c>
      <c r="AB161" s="251"/>
      <c r="AC161" s="251"/>
      <c r="AD161" s="251"/>
      <c r="AE161" s="256">
        <f>AF161+AG161</f>
        <v>0</v>
      </c>
      <c r="AF161" s="588"/>
      <c r="AG161" s="588"/>
      <c r="AH161" s="169"/>
      <c r="AI161" s="169"/>
      <c r="AJ161" s="169"/>
      <c r="AK161" s="169"/>
      <c r="AL161" s="169"/>
      <c r="AM161" s="169"/>
      <c r="AN161" s="169"/>
      <c r="AO161" s="169"/>
      <c r="AP161" s="169"/>
      <c r="AQ161" s="169"/>
      <c r="AR161" s="169"/>
      <c r="AS161" s="169"/>
      <c r="AT161" s="169"/>
      <c r="AU161" s="169"/>
      <c r="AV161" s="169"/>
      <c r="AW161" s="169"/>
      <c r="AX161" s="169"/>
      <c r="AY161" s="169"/>
      <c r="AZ161" s="169"/>
      <c r="BA161" s="169"/>
      <c r="BB161" s="169"/>
      <c r="BC161" s="169"/>
      <c r="BD161" s="169"/>
      <c r="BE161" s="169"/>
      <c r="BF161" s="169"/>
      <c r="BG161" s="169"/>
      <c r="BH161" s="169"/>
      <c r="BI161" s="169"/>
      <c r="BJ161" s="169"/>
      <c r="BK161" s="169"/>
      <c r="BL161" s="169"/>
      <c r="BM161" s="169"/>
      <c r="BN161" s="169"/>
      <c r="BO161" s="169"/>
      <c r="BP161" s="169"/>
      <c r="BQ161" s="169"/>
      <c r="BR161" s="169"/>
      <c r="BS161" s="169"/>
      <c r="BT161" s="169"/>
      <c r="BU161" s="169"/>
      <c r="BV161" s="169"/>
      <c r="BW161" s="169"/>
      <c r="BX161" s="169"/>
      <c r="BY161" s="169"/>
      <c r="BZ161" s="169"/>
      <c r="CA161"/>
      <c r="CB161"/>
    </row>
    <row r="162" spans="12:80" ht="11.25" customHeight="1">
      <c r="L162" s="150"/>
      <c r="M162" s="499" t="str">
        <f>M155 &amp; ".1.2.0.1"</f>
        <v>5.2.1.1.2.0.1</v>
      </c>
      <c r="N162" s="471" t="s">
        <v>285</v>
      </c>
      <c r="O162" s="163" t="s">
        <v>286</v>
      </c>
      <c r="AB162" s="251"/>
      <c r="AC162" s="251"/>
      <c r="AD162" s="251"/>
      <c r="AE162" s="244">
        <f>AF162+AG162</f>
        <v>0</v>
      </c>
      <c r="AF162" s="588"/>
      <c r="AG162" s="222"/>
      <c r="AH162" s="169"/>
      <c r="AI162" s="169"/>
      <c r="AJ162" s="169"/>
      <c r="AK162" s="169"/>
      <c r="AL162" s="169"/>
      <c r="AM162" s="169"/>
      <c r="AN162" s="169"/>
      <c r="AO162" s="169"/>
      <c r="AP162" s="169"/>
      <c r="AQ162" s="169"/>
      <c r="AR162" s="169"/>
      <c r="AS162" s="169"/>
      <c r="AT162" s="169"/>
      <c r="AU162" s="169"/>
      <c r="AV162" s="169"/>
      <c r="AW162" s="169"/>
      <c r="AX162" s="169"/>
      <c r="AY162" s="169"/>
      <c r="AZ162" s="169"/>
      <c r="BA162" s="169"/>
      <c r="BB162" s="169"/>
      <c r="BC162" s="169"/>
      <c r="BD162" s="169"/>
      <c r="BE162" s="169"/>
      <c r="BF162" s="169"/>
      <c r="BG162" s="169"/>
      <c r="BH162" s="169"/>
      <c r="BI162" s="169"/>
      <c r="BJ162" s="169"/>
      <c r="BK162" s="169"/>
      <c r="BL162" s="169"/>
      <c r="BM162" s="169"/>
      <c r="BN162" s="169"/>
      <c r="BO162" s="169"/>
      <c r="BP162" s="169"/>
      <c r="BQ162" s="169"/>
      <c r="BR162" s="169"/>
      <c r="BS162" s="169"/>
      <c r="BT162" s="169"/>
      <c r="BU162" s="169"/>
      <c r="BV162" s="169"/>
      <c r="BW162" s="169"/>
      <c r="BX162" s="169"/>
      <c r="BY162" s="169"/>
      <c r="BZ162" s="169"/>
      <c r="CA162"/>
      <c r="CB162"/>
    </row>
    <row r="163" spans="12:80" ht="11.25" customHeight="1">
      <c r="L163" s="150"/>
      <c r="M163" s="499" t="str">
        <f>M155 &amp; ".1.2.0.2"</f>
        <v>5.2.1.1.2.0.2</v>
      </c>
      <c r="N163" s="471" t="s">
        <v>287</v>
      </c>
      <c r="O163" s="163" t="s">
        <v>288</v>
      </c>
      <c r="AB163" s="251"/>
      <c r="AC163" s="251"/>
      <c r="AD163" s="251"/>
      <c r="AE163" s="244">
        <f>IF(AE162=0,0,AE161/AE162)</f>
        <v>0</v>
      </c>
      <c r="AF163" s="244">
        <f>IF(AF162=0,0,AF161/AF162)</f>
        <v>0</v>
      </c>
      <c r="AG163" s="244">
        <f>IF(AG162=0,0,AG161/AG162)</f>
        <v>0</v>
      </c>
      <c r="AH163" s="169"/>
      <c r="AI163" s="169"/>
      <c r="AJ163" s="169"/>
      <c r="AK163" s="169"/>
      <c r="AL163" s="169"/>
      <c r="AM163" s="169"/>
      <c r="AN163" s="169"/>
      <c r="AO163" s="169"/>
      <c r="AP163" s="169"/>
      <c r="AQ163" s="169"/>
      <c r="AR163" s="169"/>
      <c r="AS163" s="169"/>
      <c r="AT163" s="169"/>
      <c r="AU163" s="169"/>
      <c r="AV163" s="169"/>
      <c r="AW163" s="169"/>
      <c r="AX163" s="169"/>
      <c r="AY163" s="169"/>
      <c r="AZ163" s="169"/>
      <c r="BA163" s="169"/>
      <c r="BB163" s="169"/>
      <c r="BC163" s="169"/>
      <c r="BD163" s="169"/>
      <c r="BE163" s="169"/>
      <c r="BF163" s="169"/>
      <c r="BG163" s="169"/>
      <c r="BH163" s="169"/>
      <c r="BI163" s="169"/>
      <c r="BJ163" s="169"/>
      <c r="BK163" s="169"/>
      <c r="BL163" s="169"/>
      <c r="BM163" s="169"/>
      <c r="BN163" s="169"/>
      <c r="BO163" s="169"/>
      <c r="BP163" s="169"/>
      <c r="BQ163" s="169"/>
      <c r="BR163" s="169"/>
      <c r="BS163" s="169"/>
      <c r="BT163" s="169"/>
      <c r="BU163" s="169"/>
      <c r="BV163" s="169"/>
      <c r="BW163" s="169"/>
      <c r="BX163" s="169"/>
      <c r="BY163" s="169"/>
      <c r="BZ163" s="169"/>
      <c r="CA163"/>
      <c r="CB163"/>
    </row>
    <row r="164" spans="12:80" ht="11.25" customHeight="1">
      <c r="L164" s="150"/>
      <c r="M164" s="500"/>
      <c r="N164" s="472"/>
      <c r="O164" s="166"/>
      <c r="AB164" s="251"/>
      <c r="AC164" s="251"/>
      <c r="AD164" s="251"/>
      <c r="AE164" s="242"/>
      <c r="AF164" s="260"/>
      <c r="AG164" s="241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69"/>
      <c r="AU164" s="169"/>
      <c r="AV164" s="169"/>
      <c r="AW164" s="169"/>
      <c r="AX164" s="169"/>
      <c r="AY164" s="169"/>
      <c r="AZ164" s="169"/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169"/>
      <c r="CA164"/>
      <c r="CB164"/>
    </row>
    <row r="165" spans="12:80" ht="11.25" customHeight="1">
      <c r="L165" s="150"/>
      <c r="M165" s="499" t="str">
        <f>M155 &amp; ".1.3"</f>
        <v>5.2.1.1.3</v>
      </c>
      <c r="N165" s="469" t="s">
        <v>2224</v>
      </c>
      <c r="O165" s="163" t="s">
        <v>195</v>
      </c>
      <c r="AB165" s="251"/>
      <c r="AC165" s="251"/>
      <c r="AD165" s="251"/>
      <c r="AE165" s="256">
        <f>AF165+AG165</f>
        <v>0</v>
      </c>
      <c r="AF165" s="588"/>
      <c r="AG165" s="588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69"/>
      <c r="AU165" s="169"/>
      <c r="AV165" s="169"/>
      <c r="AW165" s="169"/>
      <c r="AX165" s="169"/>
      <c r="AY165" s="169"/>
      <c r="AZ165" s="169"/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169"/>
      <c r="CA165"/>
      <c r="CB165"/>
    </row>
    <row r="166" spans="12:80" ht="11.25" customHeight="1">
      <c r="L166" s="150"/>
      <c r="M166" s="499" t="str">
        <f>M155 &amp; ".1.3.0.1"</f>
        <v>5.2.1.1.3.0.1</v>
      </c>
      <c r="N166" s="471" t="s">
        <v>285</v>
      </c>
      <c r="O166" s="163" t="s">
        <v>286</v>
      </c>
      <c r="AB166" s="251"/>
      <c r="AC166" s="251"/>
      <c r="AD166" s="251"/>
      <c r="AE166" s="244">
        <f>AF166+AG166</f>
        <v>0</v>
      </c>
      <c r="AF166" s="588"/>
      <c r="AG166" s="222"/>
      <c r="AH166" s="169"/>
      <c r="AI166" s="169"/>
      <c r="AJ166" s="169"/>
      <c r="AK166" s="169"/>
      <c r="AL166" s="169"/>
      <c r="AM166" s="169"/>
      <c r="AN166" s="169"/>
      <c r="AO166" s="169"/>
      <c r="AP166" s="169"/>
      <c r="AQ166" s="169"/>
      <c r="AR166" s="169"/>
      <c r="AS166" s="169"/>
      <c r="AT166" s="169"/>
      <c r="AU166" s="169"/>
      <c r="AV166" s="169"/>
      <c r="AW166" s="169"/>
      <c r="AX166" s="169"/>
      <c r="AY166" s="169"/>
      <c r="AZ166" s="169"/>
      <c r="BA166" s="169"/>
      <c r="BB166" s="169"/>
      <c r="BC166" s="169"/>
      <c r="BD166" s="169"/>
      <c r="BE166" s="169"/>
      <c r="BF166" s="169"/>
      <c r="BG166" s="169"/>
      <c r="BH166" s="169"/>
      <c r="BI166" s="169"/>
      <c r="BJ166" s="169"/>
      <c r="BK166" s="169"/>
      <c r="BL166" s="169"/>
      <c r="BM166" s="169"/>
      <c r="BN166" s="169"/>
      <c r="BO166" s="169"/>
      <c r="BP166" s="169"/>
      <c r="BQ166" s="169"/>
      <c r="BR166" s="169"/>
      <c r="BS166" s="169"/>
      <c r="BT166" s="169"/>
      <c r="BU166" s="169"/>
      <c r="BV166" s="169"/>
      <c r="BW166" s="169"/>
      <c r="BX166" s="169"/>
      <c r="BY166" s="169"/>
      <c r="BZ166" s="169"/>
      <c r="CA166"/>
      <c r="CB166"/>
    </row>
    <row r="167" spans="12:80" ht="11.25" customHeight="1">
      <c r="L167" s="150"/>
      <c r="M167" s="499" t="str">
        <f>M155 &amp; ".1.3.0.2"</f>
        <v>5.2.1.1.3.0.2</v>
      </c>
      <c r="N167" s="471" t="s">
        <v>287</v>
      </c>
      <c r="O167" s="163" t="s">
        <v>288</v>
      </c>
      <c r="AB167" s="251"/>
      <c r="AC167" s="251"/>
      <c r="AD167" s="251"/>
      <c r="AE167" s="244">
        <f>IF(AE166=0,0,AE165/AE166)</f>
        <v>0</v>
      </c>
      <c r="AF167" s="244">
        <f>IF(AF166=0,0,AF165/AF166)</f>
        <v>0</v>
      </c>
      <c r="AG167" s="244">
        <f>IF(AG166=0,0,AG165/AG166)</f>
        <v>0</v>
      </c>
      <c r="AH167" s="169"/>
      <c r="AI167" s="169"/>
      <c r="AJ167" s="169"/>
      <c r="AK167" s="169"/>
      <c r="AL167" s="169"/>
      <c r="AM167" s="169"/>
      <c r="AN167" s="169"/>
      <c r="AO167" s="169"/>
      <c r="AP167" s="169"/>
      <c r="AQ167" s="169"/>
      <c r="AR167" s="169"/>
      <c r="AS167" s="169"/>
      <c r="AT167" s="169"/>
      <c r="AU167" s="169"/>
      <c r="AV167" s="169"/>
      <c r="AW167" s="169"/>
      <c r="AX167" s="169"/>
      <c r="AY167" s="169"/>
      <c r="AZ167" s="169"/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169"/>
      <c r="CA167"/>
      <c r="CB167"/>
    </row>
    <row r="168" spans="12:80" ht="11.25" customHeight="1">
      <c r="L168" s="150"/>
      <c r="M168" s="499" t="str">
        <f>M155 &amp; ".2"</f>
        <v>5.2.1.2</v>
      </c>
      <c r="N168" s="470" t="s">
        <v>278</v>
      </c>
      <c r="O168" s="163" t="s">
        <v>195</v>
      </c>
      <c r="AB168" s="251"/>
      <c r="AC168" s="251"/>
      <c r="AD168" s="251"/>
      <c r="AE168" s="244">
        <f>SUM(AE169:AE171)</f>
        <v>0</v>
      </c>
      <c r="AF168" s="257">
        <f>SUM(AF169:AF171)</f>
        <v>0</v>
      </c>
      <c r="AG168" s="247">
        <f>SUM(AG169:AG171)</f>
        <v>0</v>
      </c>
      <c r="AH168" s="169"/>
      <c r="AI168" s="169"/>
      <c r="AJ168" s="169"/>
      <c r="AK168" s="169"/>
      <c r="AL168" s="169"/>
      <c r="AM168" s="169"/>
      <c r="AN168" s="169"/>
      <c r="AO168" s="169"/>
      <c r="AP168" s="169"/>
      <c r="AQ168" s="169"/>
      <c r="AR168" s="169"/>
      <c r="AS168" s="169"/>
      <c r="AT168" s="169"/>
      <c r="AU168" s="169"/>
      <c r="AV168" s="169"/>
      <c r="AW168" s="169"/>
      <c r="AX168" s="169"/>
      <c r="AY168" s="169"/>
      <c r="AZ168" s="169"/>
      <c r="BA168" s="169"/>
      <c r="BB168" s="169"/>
      <c r="BC168" s="169"/>
      <c r="BD168" s="169"/>
      <c r="BE168" s="169"/>
      <c r="BF168" s="169"/>
      <c r="BG168" s="169"/>
      <c r="BH168" s="169"/>
      <c r="BI168" s="169"/>
      <c r="BJ168" s="169"/>
      <c r="BK168" s="169"/>
      <c r="BL168" s="169"/>
      <c r="BM168" s="169"/>
      <c r="BN168" s="169"/>
      <c r="BO168" s="169"/>
      <c r="BP168" s="169"/>
      <c r="BQ168" s="169"/>
      <c r="BR168" s="169"/>
      <c r="BS168" s="169"/>
      <c r="BT168" s="169"/>
      <c r="BU168" s="169"/>
      <c r="BV168" s="169"/>
      <c r="BW168" s="169"/>
      <c r="BX168" s="169"/>
      <c r="BY168" s="169"/>
      <c r="BZ168" s="169"/>
      <c r="CA168"/>
      <c r="CB168"/>
    </row>
    <row r="169" spans="12:80" ht="11.25" customHeight="1">
      <c r="L169" s="150"/>
      <c r="M169" s="499" t="str">
        <f>M155 &amp; ".2.1"</f>
        <v>5.2.1.2.1</v>
      </c>
      <c r="N169" s="469" t="s">
        <v>738</v>
      </c>
      <c r="O169" s="163" t="s">
        <v>195</v>
      </c>
      <c r="AB169" s="251"/>
      <c r="AC169" s="251"/>
      <c r="AD169" s="251"/>
      <c r="AE169" s="256">
        <f>AF169+AG169</f>
        <v>0</v>
      </c>
      <c r="AF169" s="588"/>
      <c r="AG169" s="588"/>
      <c r="AH169" s="169"/>
      <c r="AI169" s="169"/>
      <c r="AJ169" s="169"/>
      <c r="AK169" s="169"/>
      <c r="AL169" s="169"/>
      <c r="AM169" s="169"/>
      <c r="AN169" s="169"/>
      <c r="AO169" s="169"/>
      <c r="AP169" s="169"/>
      <c r="AQ169" s="169"/>
      <c r="AR169" s="169"/>
      <c r="AS169" s="169"/>
      <c r="AT169" s="169"/>
      <c r="AU169" s="169"/>
      <c r="AV169" s="169"/>
      <c r="AW169" s="169"/>
      <c r="AX169" s="169"/>
      <c r="AY169" s="169"/>
      <c r="AZ169" s="169"/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169"/>
      <c r="CA169"/>
      <c r="CB169"/>
    </row>
    <row r="170" spans="12:80" ht="11.25" customHeight="1">
      <c r="L170" s="150"/>
      <c r="M170" s="499" t="str">
        <f>M155 &amp; ".2.2"</f>
        <v>5.2.1.2.2</v>
      </c>
      <c r="N170" s="469" t="s">
        <v>739</v>
      </c>
      <c r="O170" s="163" t="s">
        <v>195</v>
      </c>
      <c r="AB170" s="251"/>
      <c r="AC170" s="251"/>
      <c r="AD170" s="251"/>
      <c r="AE170" s="256">
        <f>AF170+AG170</f>
        <v>0</v>
      </c>
      <c r="AF170" s="588"/>
      <c r="AG170" s="222"/>
      <c r="AH170" s="169"/>
      <c r="AI170" s="169"/>
      <c r="AJ170" s="169"/>
      <c r="AK170" s="169"/>
      <c r="AL170" s="169"/>
      <c r="AM170" s="169"/>
      <c r="AN170" s="169"/>
      <c r="AO170" s="169"/>
      <c r="AP170" s="169"/>
      <c r="AQ170" s="169"/>
      <c r="AR170" s="169"/>
      <c r="AS170" s="169"/>
      <c r="AT170" s="169"/>
      <c r="AU170" s="169"/>
      <c r="AV170" s="169"/>
      <c r="AW170" s="169"/>
      <c r="AX170" s="169"/>
      <c r="AY170" s="169"/>
      <c r="AZ170" s="169"/>
      <c r="BA170" s="169"/>
      <c r="BB170" s="169"/>
      <c r="BC170" s="169"/>
      <c r="BD170" s="169"/>
      <c r="BE170" s="169"/>
      <c r="BF170" s="169"/>
      <c r="BG170" s="169"/>
      <c r="BH170" s="169"/>
      <c r="BI170" s="169"/>
      <c r="BJ170" s="169"/>
      <c r="BK170" s="169"/>
      <c r="BL170" s="169"/>
      <c r="BM170" s="169"/>
      <c r="BN170" s="169"/>
      <c r="BO170" s="169"/>
      <c r="BP170" s="169"/>
      <c r="BQ170" s="169"/>
      <c r="BR170" s="169"/>
      <c r="BS170" s="169"/>
      <c r="BT170" s="169"/>
      <c r="BU170" s="169"/>
      <c r="BV170" s="169"/>
      <c r="BW170" s="169"/>
      <c r="BX170" s="169"/>
      <c r="BY170" s="169"/>
      <c r="BZ170" s="169"/>
      <c r="CA170"/>
      <c r="CB170"/>
    </row>
    <row r="171" spans="12:80" ht="11.25" customHeight="1">
      <c r="L171" s="150"/>
      <c r="M171" s="499" t="str">
        <f>M155 &amp; ".2.3"</f>
        <v>5.2.1.2.3</v>
      </c>
      <c r="N171" s="469" t="s">
        <v>2224</v>
      </c>
      <c r="O171" s="163" t="s">
        <v>195</v>
      </c>
      <c r="AB171" s="251"/>
      <c r="AC171" s="251"/>
      <c r="AD171" s="251"/>
      <c r="AE171" s="256">
        <f>AF171+AG171</f>
        <v>0</v>
      </c>
      <c r="AF171" s="588"/>
      <c r="AG171" s="222"/>
      <c r="AH171" s="169"/>
      <c r="AI171" s="169"/>
      <c r="AJ171" s="169"/>
      <c r="AK171" s="169"/>
      <c r="AL171" s="169"/>
      <c r="AM171" s="169"/>
      <c r="AN171" s="169"/>
      <c r="AO171" s="169"/>
      <c r="AP171" s="169"/>
      <c r="AQ171" s="169"/>
      <c r="AR171" s="169"/>
      <c r="AS171" s="169"/>
      <c r="AT171" s="169"/>
      <c r="AU171" s="169"/>
      <c r="AV171" s="169"/>
      <c r="AW171" s="169"/>
      <c r="AX171" s="169"/>
      <c r="AY171" s="169"/>
      <c r="AZ171" s="169"/>
      <c r="BA171" s="169"/>
      <c r="BB171" s="169"/>
      <c r="BC171" s="169"/>
      <c r="BD171" s="169"/>
      <c r="BE171" s="169"/>
      <c r="BF171" s="169"/>
      <c r="BG171" s="169"/>
      <c r="BH171" s="169"/>
      <c r="BI171" s="169"/>
      <c r="BJ171" s="169"/>
      <c r="BK171" s="169"/>
      <c r="BL171" s="169"/>
      <c r="BM171" s="169"/>
      <c r="BN171" s="169"/>
      <c r="BO171" s="169"/>
      <c r="BP171" s="169"/>
      <c r="BQ171" s="169"/>
      <c r="BR171" s="169"/>
      <c r="BS171" s="169"/>
      <c r="BT171" s="169"/>
      <c r="BU171" s="169"/>
      <c r="BV171" s="169"/>
      <c r="BW171" s="169"/>
      <c r="BX171" s="169"/>
      <c r="BY171" s="169"/>
      <c r="BZ171" s="169"/>
      <c r="CA171"/>
      <c r="CB171"/>
    </row>
    <row r="172" spans="12:80" ht="11.25" customHeight="1">
      <c r="L172" s="150"/>
      <c r="M172" s="499" t="str">
        <f>M155 &amp; ".3"</f>
        <v>5.2.1.3</v>
      </c>
      <c r="N172" s="470" t="s">
        <v>295</v>
      </c>
      <c r="O172" s="163" t="s">
        <v>195</v>
      </c>
      <c r="AB172" s="251"/>
      <c r="AC172" s="251"/>
      <c r="AD172" s="251"/>
      <c r="AE172" s="244">
        <f>SUM(AE173,AE177,AE181)</f>
        <v>0</v>
      </c>
      <c r="AF172" s="257">
        <f>SUM(AF173,AF177,AF181)</f>
        <v>0</v>
      </c>
      <c r="AG172" s="247">
        <f>SUM(AG173,AG177,AG181)</f>
        <v>0</v>
      </c>
      <c r="AH172" s="169"/>
      <c r="AI172" s="169"/>
      <c r="AJ172" s="169"/>
      <c r="AK172" s="169"/>
      <c r="AL172" s="169"/>
      <c r="AM172" s="169"/>
      <c r="AN172" s="169"/>
      <c r="AO172" s="169"/>
      <c r="AP172" s="169"/>
      <c r="AQ172" s="169"/>
      <c r="AR172" s="169"/>
      <c r="AS172" s="169"/>
      <c r="AT172" s="169"/>
      <c r="AU172" s="169"/>
      <c r="AV172" s="169"/>
      <c r="AW172" s="169"/>
      <c r="AX172" s="169"/>
      <c r="AY172" s="169"/>
      <c r="AZ172" s="169"/>
      <c r="BA172" s="169"/>
      <c r="BB172" s="169"/>
      <c r="BC172" s="169"/>
      <c r="BD172" s="169"/>
      <c r="BE172" s="169"/>
      <c r="BF172" s="169"/>
      <c r="BG172" s="169"/>
      <c r="BH172" s="169"/>
      <c r="BI172" s="169"/>
      <c r="BJ172" s="169"/>
      <c r="BK172" s="169"/>
      <c r="BL172" s="169"/>
      <c r="BM172" s="169"/>
      <c r="BN172" s="169"/>
      <c r="BO172" s="169"/>
      <c r="BP172" s="169"/>
      <c r="BQ172" s="169"/>
      <c r="BR172" s="169"/>
      <c r="BS172" s="169"/>
      <c r="BT172" s="169"/>
      <c r="BU172" s="169"/>
      <c r="BV172" s="169"/>
      <c r="BW172" s="169"/>
      <c r="BX172" s="169"/>
      <c r="BY172" s="169"/>
      <c r="BZ172" s="169"/>
      <c r="CA172"/>
      <c r="CB172"/>
    </row>
    <row r="173" spans="12:80" ht="11.25" customHeight="1">
      <c r="L173" s="150"/>
      <c r="M173" s="499" t="str">
        <f>M155 &amp; ".3.1"</f>
        <v>5.2.1.3.1</v>
      </c>
      <c r="N173" s="469" t="s">
        <v>738</v>
      </c>
      <c r="O173" s="163" t="s">
        <v>195</v>
      </c>
      <c r="AB173" s="251"/>
      <c r="AC173" s="251"/>
      <c r="AD173" s="251"/>
      <c r="AE173" s="256">
        <f>AF173+AG173</f>
        <v>0</v>
      </c>
      <c r="AF173" s="588"/>
      <c r="AG173" s="588"/>
      <c r="AH173" s="169"/>
      <c r="AI173" s="169"/>
      <c r="AJ173" s="169"/>
      <c r="AK173" s="169"/>
      <c r="AL173" s="169"/>
      <c r="AM173" s="169"/>
      <c r="AN173" s="169"/>
      <c r="AO173" s="169"/>
      <c r="AP173" s="169"/>
      <c r="AQ173" s="169"/>
      <c r="AR173" s="169"/>
      <c r="AS173" s="169"/>
      <c r="AT173" s="169"/>
      <c r="AU173" s="169"/>
      <c r="AV173" s="169"/>
      <c r="AW173" s="169"/>
      <c r="AX173" s="169"/>
      <c r="AY173" s="169"/>
      <c r="AZ173" s="169"/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169"/>
      <c r="CA173"/>
      <c r="CB173"/>
    </row>
    <row r="174" spans="12:80" ht="11.25" customHeight="1">
      <c r="L174" s="150"/>
      <c r="M174" s="499" t="str">
        <f>M155 &amp; ".3.1.0.1"</f>
        <v>5.2.1.3.1.0.1</v>
      </c>
      <c r="N174" s="471" t="s">
        <v>285</v>
      </c>
      <c r="O174" s="163" t="s">
        <v>286</v>
      </c>
      <c r="AB174" s="251"/>
      <c r="AC174" s="251"/>
      <c r="AD174" s="251"/>
      <c r="AE174" s="256">
        <f>AF174+AG174</f>
        <v>0</v>
      </c>
      <c r="AF174" s="588"/>
      <c r="AG174" s="222"/>
      <c r="AH174" s="169"/>
      <c r="AI174" s="169"/>
      <c r="AJ174" s="169"/>
      <c r="AK174" s="169"/>
      <c r="AL174" s="169"/>
      <c r="AM174" s="169"/>
      <c r="AN174" s="169"/>
      <c r="AO174" s="169"/>
      <c r="AP174" s="169"/>
      <c r="AQ174" s="169"/>
      <c r="AR174" s="169"/>
      <c r="AS174" s="169"/>
      <c r="AT174" s="169"/>
      <c r="AU174" s="169"/>
      <c r="AV174" s="169"/>
      <c r="AW174" s="169"/>
      <c r="AX174" s="169"/>
      <c r="AY174" s="169"/>
      <c r="AZ174" s="169"/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169"/>
      <c r="BN174" s="169"/>
      <c r="BO174" s="169"/>
      <c r="BP174" s="169"/>
      <c r="BQ174" s="169"/>
      <c r="BR174" s="169"/>
      <c r="BS174" s="169"/>
      <c r="BT174" s="169"/>
      <c r="BU174" s="169"/>
      <c r="BV174" s="169"/>
      <c r="BW174" s="169"/>
      <c r="BX174" s="169"/>
      <c r="BY174" s="169"/>
      <c r="BZ174" s="169"/>
      <c r="CA174"/>
      <c r="CB174"/>
    </row>
    <row r="175" spans="12:80" ht="11.25" customHeight="1">
      <c r="L175" s="150"/>
      <c r="M175" s="499" t="str">
        <f>M155 &amp; ".3.1.0.2"</f>
        <v>5.2.1.3.1.0.2</v>
      </c>
      <c r="N175" s="471" t="s">
        <v>287</v>
      </c>
      <c r="O175" s="163" t="s">
        <v>288</v>
      </c>
      <c r="AB175" s="251"/>
      <c r="AC175" s="251"/>
      <c r="AD175" s="251"/>
      <c r="AE175" s="244">
        <f>IF(AE174=0,0,AE173/AE174)</f>
        <v>0</v>
      </c>
      <c r="AF175" s="244">
        <f>IF(AF174=0,0,AF173/AF174)</f>
        <v>0</v>
      </c>
      <c r="AG175" s="244">
        <f>IF(AG174=0,0,AG173/AG174)</f>
        <v>0</v>
      </c>
      <c r="AH175" s="169"/>
      <c r="AI175" s="169"/>
      <c r="AJ175" s="169"/>
      <c r="AK175" s="169"/>
      <c r="AL175" s="169"/>
      <c r="AM175" s="169"/>
      <c r="AN175" s="169"/>
      <c r="AO175" s="169"/>
      <c r="AP175" s="169"/>
      <c r="AQ175" s="169"/>
      <c r="AR175" s="169"/>
      <c r="AS175" s="169"/>
      <c r="AT175" s="169"/>
      <c r="AU175" s="169"/>
      <c r="AV175" s="169"/>
      <c r="AW175" s="169"/>
      <c r="AX175" s="169"/>
      <c r="AY175" s="169"/>
      <c r="AZ175" s="169"/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169"/>
      <c r="CA175"/>
      <c r="CB175"/>
    </row>
    <row r="176" spans="12:80" ht="11.25" customHeight="1">
      <c r="L176" s="150"/>
      <c r="M176" s="500"/>
      <c r="N176" s="472"/>
      <c r="O176" s="166"/>
      <c r="AB176" s="251"/>
      <c r="AC176" s="251"/>
      <c r="AD176" s="251"/>
      <c r="AE176" s="242"/>
      <c r="AF176" s="260"/>
      <c r="AG176" s="241"/>
      <c r="AH176" s="169"/>
      <c r="AI176" s="169"/>
      <c r="AJ176" s="169"/>
      <c r="AK176" s="169"/>
      <c r="AL176" s="169"/>
      <c r="AM176" s="169"/>
      <c r="AN176" s="169"/>
      <c r="AO176" s="169"/>
      <c r="AP176" s="169"/>
      <c r="AQ176" s="169"/>
      <c r="AR176" s="169"/>
      <c r="AS176" s="169"/>
      <c r="AT176" s="169"/>
      <c r="AU176" s="169"/>
      <c r="AV176" s="169"/>
      <c r="AW176" s="169"/>
      <c r="AX176" s="169"/>
      <c r="AY176" s="169"/>
      <c r="AZ176" s="169"/>
      <c r="BA176" s="169"/>
      <c r="BB176" s="169"/>
      <c r="BC176" s="169"/>
      <c r="BD176" s="169"/>
      <c r="BE176" s="169"/>
      <c r="BF176" s="169"/>
      <c r="BG176" s="169"/>
      <c r="BH176" s="169"/>
      <c r="BI176" s="169"/>
      <c r="BJ176" s="169"/>
      <c r="BK176" s="169"/>
      <c r="BL176" s="169"/>
      <c r="BM176" s="169"/>
      <c r="BN176" s="169"/>
      <c r="BO176" s="169"/>
      <c r="BP176" s="169"/>
      <c r="BQ176" s="169"/>
      <c r="BR176" s="169"/>
      <c r="BS176" s="169"/>
      <c r="BT176" s="169"/>
      <c r="BU176" s="169"/>
      <c r="BV176" s="169"/>
      <c r="BW176" s="169"/>
      <c r="BX176" s="169"/>
      <c r="BY176" s="169"/>
      <c r="BZ176" s="169"/>
      <c r="CA176"/>
      <c r="CB176"/>
    </row>
    <row r="177" spans="12:80" ht="11.25" customHeight="1">
      <c r="L177" s="150"/>
      <c r="M177" s="499" t="str">
        <f>M155 &amp; ".3.2"</f>
        <v>5.2.1.3.2</v>
      </c>
      <c r="N177" s="469" t="s">
        <v>739</v>
      </c>
      <c r="O177" s="163" t="s">
        <v>195</v>
      </c>
      <c r="AB177" s="251"/>
      <c r="AC177" s="251"/>
      <c r="AD177" s="251"/>
      <c r="AE177" s="256">
        <f>AF177+AG177</f>
        <v>0</v>
      </c>
      <c r="AF177" s="588"/>
      <c r="AG177" s="588"/>
      <c r="AH177" s="169"/>
      <c r="AI177" s="169"/>
      <c r="AJ177" s="169"/>
      <c r="AK177" s="169"/>
      <c r="AL177" s="169"/>
      <c r="AM177" s="169"/>
      <c r="AN177" s="169"/>
      <c r="AO177" s="169"/>
      <c r="AP177" s="169"/>
      <c r="AQ177" s="169"/>
      <c r="AR177" s="169"/>
      <c r="AS177" s="169"/>
      <c r="AT177" s="169"/>
      <c r="AU177" s="169"/>
      <c r="AV177" s="169"/>
      <c r="AW177" s="169"/>
      <c r="AX177" s="169"/>
      <c r="AY177" s="169"/>
      <c r="AZ177" s="169"/>
      <c r="BA177" s="169"/>
      <c r="BB177" s="169"/>
      <c r="BC177" s="169"/>
      <c r="BD177" s="169"/>
      <c r="BE177" s="169"/>
      <c r="BF177" s="169"/>
      <c r="BG177" s="169"/>
      <c r="BH177" s="169"/>
      <c r="BI177" s="169"/>
      <c r="BJ177" s="169"/>
      <c r="BK177" s="169"/>
      <c r="BL177" s="169"/>
      <c r="BM177" s="169"/>
      <c r="BN177" s="169"/>
      <c r="BO177" s="169"/>
      <c r="BP177" s="169"/>
      <c r="BQ177" s="169"/>
      <c r="BR177" s="169"/>
      <c r="BS177" s="169"/>
      <c r="BT177" s="169"/>
      <c r="BU177" s="169"/>
      <c r="BV177" s="169"/>
      <c r="BW177" s="169"/>
      <c r="BX177" s="169"/>
      <c r="BY177" s="169"/>
      <c r="BZ177" s="169"/>
      <c r="CA177"/>
      <c r="CB177"/>
    </row>
    <row r="178" spans="12:80" ht="11.25" customHeight="1">
      <c r="L178" s="150"/>
      <c r="M178" s="499" t="str">
        <f>M155 &amp; ".3.2.0.1"</f>
        <v>5.2.1.3.2.0.1</v>
      </c>
      <c r="N178" s="471" t="s">
        <v>285</v>
      </c>
      <c r="O178" s="163" t="s">
        <v>286</v>
      </c>
      <c r="AB178" s="251"/>
      <c r="AC178" s="251"/>
      <c r="AD178" s="251"/>
      <c r="AE178" s="256">
        <f>AF178+AG178</f>
        <v>0</v>
      </c>
      <c r="AF178" s="588"/>
      <c r="AG178" s="222"/>
      <c r="AH178" s="169"/>
      <c r="AI178" s="169"/>
      <c r="AJ178" s="169"/>
      <c r="AK178" s="169"/>
      <c r="AL178" s="169"/>
      <c r="AM178" s="169"/>
      <c r="AN178" s="169"/>
      <c r="AO178" s="169"/>
      <c r="AP178" s="169"/>
      <c r="AQ178" s="169"/>
      <c r="AR178" s="169"/>
      <c r="AS178" s="169"/>
      <c r="AT178" s="169"/>
      <c r="AU178" s="169"/>
      <c r="AV178" s="169"/>
      <c r="AW178" s="169"/>
      <c r="AX178" s="169"/>
      <c r="AY178" s="169"/>
      <c r="AZ178" s="169"/>
      <c r="BA178" s="169"/>
      <c r="BB178" s="169"/>
      <c r="BC178" s="169"/>
      <c r="BD178" s="169"/>
      <c r="BE178" s="169"/>
      <c r="BF178" s="169"/>
      <c r="BG178" s="169"/>
      <c r="BH178" s="169"/>
      <c r="BI178" s="169"/>
      <c r="BJ178" s="169"/>
      <c r="BK178" s="169"/>
      <c r="BL178" s="169"/>
      <c r="BM178" s="169"/>
      <c r="BN178" s="169"/>
      <c r="BO178" s="169"/>
      <c r="BP178" s="169"/>
      <c r="BQ178" s="169"/>
      <c r="BR178" s="169"/>
      <c r="BS178" s="169"/>
      <c r="BT178" s="169"/>
      <c r="BU178" s="169"/>
      <c r="BV178" s="169"/>
      <c r="BW178" s="169"/>
      <c r="BX178" s="169"/>
      <c r="BY178" s="169"/>
      <c r="BZ178" s="169"/>
      <c r="CA178"/>
      <c r="CB178"/>
    </row>
    <row r="179" spans="12:80" ht="11.25" customHeight="1">
      <c r="L179" s="150"/>
      <c r="M179" s="499" t="str">
        <f>M155 &amp; ".3.2.0.2"</f>
        <v>5.2.1.3.2.0.2</v>
      </c>
      <c r="N179" s="471" t="s">
        <v>287</v>
      </c>
      <c r="O179" s="163" t="s">
        <v>288</v>
      </c>
      <c r="AB179" s="251"/>
      <c r="AC179" s="251"/>
      <c r="AD179" s="251"/>
      <c r="AE179" s="244">
        <f>IF(AE178=0,0,AE177/AE178)</f>
        <v>0</v>
      </c>
      <c r="AF179" s="244">
        <f>IF(AF178=0,0,AF177/AF178)</f>
        <v>0</v>
      </c>
      <c r="AG179" s="244">
        <f>IF(AG178=0,0,AG177/AG178)</f>
        <v>0</v>
      </c>
      <c r="AH179" s="169"/>
      <c r="AI179" s="169"/>
      <c r="AJ179" s="169"/>
      <c r="AK179" s="169"/>
      <c r="AL179" s="169"/>
      <c r="AM179" s="169"/>
      <c r="AN179" s="169"/>
      <c r="AO179" s="169"/>
      <c r="AP179" s="169"/>
      <c r="AQ179" s="169"/>
      <c r="AR179" s="169"/>
      <c r="AS179" s="169"/>
      <c r="AT179" s="169"/>
      <c r="AU179" s="169"/>
      <c r="AV179" s="169"/>
      <c r="AW179" s="169"/>
      <c r="AX179" s="169"/>
      <c r="AY179" s="169"/>
      <c r="AZ179" s="169"/>
      <c r="BA179" s="169"/>
      <c r="BB179" s="169"/>
      <c r="BC179" s="169"/>
      <c r="BD179" s="169"/>
      <c r="BE179" s="169"/>
      <c r="BF179" s="169"/>
      <c r="BG179" s="169"/>
      <c r="BH179" s="169"/>
      <c r="BI179" s="169"/>
      <c r="BJ179" s="169"/>
      <c r="BK179" s="169"/>
      <c r="BL179" s="169"/>
      <c r="BM179" s="169"/>
      <c r="BN179" s="169"/>
      <c r="BO179" s="169"/>
      <c r="BP179" s="169"/>
      <c r="BQ179" s="169"/>
      <c r="BR179" s="169"/>
      <c r="BS179" s="169"/>
      <c r="BT179" s="169"/>
      <c r="BU179" s="169"/>
      <c r="BV179" s="169"/>
      <c r="BW179" s="169"/>
      <c r="BX179" s="169"/>
      <c r="BY179" s="169"/>
      <c r="BZ179" s="169"/>
      <c r="CA179"/>
      <c r="CB179"/>
    </row>
    <row r="180" spans="12:80" ht="11.25" customHeight="1">
      <c r="L180" s="150"/>
      <c r="M180" s="500"/>
      <c r="N180" s="472"/>
      <c r="O180" s="166"/>
      <c r="AB180" s="251"/>
      <c r="AC180" s="251"/>
      <c r="AD180" s="251"/>
      <c r="AE180" s="242"/>
      <c r="AF180" s="260"/>
      <c r="AG180" s="241"/>
      <c r="AH180" s="169"/>
      <c r="AI180" s="169"/>
      <c r="AJ180" s="169"/>
      <c r="AK180" s="169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69"/>
      <c r="AW180" s="169"/>
      <c r="AX180" s="169"/>
      <c r="AY180" s="169"/>
      <c r="AZ180" s="169"/>
      <c r="BA180" s="169"/>
      <c r="BB180" s="169"/>
      <c r="BC180" s="169"/>
      <c r="BD180" s="169"/>
      <c r="BE180" s="169"/>
      <c r="BF180" s="169"/>
      <c r="BG180" s="169"/>
      <c r="BH180" s="169"/>
      <c r="BI180" s="169"/>
      <c r="BJ180" s="169"/>
      <c r="BK180" s="169"/>
      <c r="BL180" s="169"/>
      <c r="BM180" s="169"/>
      <c r="BN180" s="169"/>
      <c r="BO180" s="169"/>
      <c r="BP180" s="169"/>
      <c r="BQ180" s="169"/>
      <c r="BR180" s="169"/>
      <c r="BS180" s="169"/>
      <c r="BT180" s="169"/>
      <c r="BU180" s="169"/>
      <c r="BV180" s="169"/>
      <c r="BW180" s="169"/>
      <c r="BX180" s="169"/>
      <c r="BY180" s="169"/>
      <c r="BZ180" s="169"/>
      <c r="CA180"/>
      <c r="CB180"/>
    </row>
    <row r="181" spans="12:80" ht="11.25" customHeight="1">
      <c r="L181" s="150"/>
      <c r="M181" s="499" t="str">
        <f>M155 &amp; ".3.3"</f>
        <v>5.2.1.3.3</v>
      </c>
      <c r="N181" s="469" t="s">
        <v>737</v>
      </c>
      <c r="O181" s="163" t="s">
        <v>195</v>
      </c>
      <c r="AB181" s="251"/>
      <c r="AC181" s="251"/>
      <c r="AD181" s="251"/>
      <c r="AE181" s="256">
        <f>AF181+AG181</f>
        <v>0</v>
      </c>
      <c r="AF181" s="588"/>
      <c r="AG181" s="588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169"/>
      <c r="BA181" s="169"/>
      <c r="BB181" s="169"/>
      <c r="BC181" s="169"/>
      <c r="BD181" s="169"/>
      <c r="BE181" s="169"/>
      <c r="BF181" s="169"/>
      <c r="BG181" s="169"/>
      <c r="BH181" s="169"/>
      <c r="BI181" s="169"/>
      <c r="BJ181" s="169"/>
      <c r="BK181" s="169"/>
      <c r="BL181" s="169"/>
      <c r="BM181" s="169"/>
      <c r="BN181" s="169"/>
      <c r="BO181" s="169"/>
      <c r="BP181" s="169"/>
      <c r="BQ181" s="169"/>
      <c r="BR181" s="169"/>
      <c r="BS181" s="169"/>
      <c r="BT181" s="169"/>
      <c r="BU181" s="169"/>
      <c r="BV181" s="169"/>
      <c r="BW181" s="169"/>
      <c r="BX181" s="169"/>
      <c r="BY181" s="169"/>
      <c r="BZ181" s="169"/>
      <c r="CA181"/>
      <c r="CB181"/>
    </row>
    <row r="182" spans="12:80" ht="11.25" customHeight="1">
      <c r="L182" s="150"/>
      <c r="M182" s="499" t="str">
        <f>M155 &amp; ".3.3.0.1"</f>
        <v>5.2.1.3.3.0.1</v>
      </c>
      <c r="N182" s="471" t="s">
        <v>285</v>
      </c>
      <c r="O182" s="163" t="s">
        <v>286</v>
      </c>
      <c r="AB182" s="251"/>
      <c r="AC182" s="251"/>
      <c r="AD182" s="251"/>
      <c r="AE182" s="256">
        <f>AF182+AG182</f>
        <v>0</v>
      </c>
      <c r="AF182" s="588"/>
      <c r="AG182" s="222"/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169"/>
      <c r="BN182" s="169"/>
      <c r="BO182" s="169"/>
      <c r="BP182" s="169"/>
      <c r="BQ182" s="169"/>
      <c r="BR182" s="169"/>
      <c r="BS182" s="169"/>
      <c r="BT182" s="169"/>
      <c r="BU182" s="169"/>
      <c r="BV182" s="169"/>
      <c r="BW182" s="169"/>
      <c r="BX182" s="169"/>
      <c r="BY182" s="169"/>
      <c r="BZ182" s="169"/>
      <c r="CA182"/>
      <c r="CB182"/>
    </row>
    <row r="183" spans="12:80" ht="11.25" customHeight="1">
      <c r="L183" s="150"/>
      <c r="M183" s="499" t="str">
        <f>M155 &amp; ".3.3.0.2"</f>
        <v>5.2.1.3.3.0.2</v>
      </c>
      <c r="N183" s="471" t="s">
        <v>287</v>
      </c>
      <c r="O183" s="163" t="s">
        <v>288</v>
      </c>
      <c r="AB183" s="251"/>
      <c r="AC183" s="251"/>
      <c r="AD183" s="251"/>
      <c r="AE183" s="244">
        <f>IF(AE182=0,0,AE181/AE182)</f>
        <v>0</v>
      </c>
      <c r="AF183" s="244">
        <f>IF(AF182=0,0,AF181/AF182)</f>
        <v>0</v>
      </c>
      <c r="AG183" s="244">
        <f>IF(AG182=0,0,AG181/AG182)</f>
        <v>0</v>
      </c>
      <c r="AH183" s="169"/>
      <c r="AI183" s="169"/>
      <c r="AJ183" s="169"/>
      <c r="AK183" s="169"/>
      <c r="AL183" s="169"/>
      <c r="AM183" s="169"/>
      <c r="AN183" s="169"/>
      <c r="AO183" s="169"/>
      <c r="AP183" s="169"/>
      <c r="AQ183" s="169"/>
      <c r="AR183" s="169"/>
      <c r="AS183" s="169"/>
      <c r="AT183" s="169"/>
      <c r="AU183" s="169"/>
      <c r="AV183" s="169"/>
      <c r="AW183" s="169"/>
      <c r="AX183" s="169"/>
      <c r="AY183" s="169"/>
      <c r="AZ183" s="169"/>
      <c r="BA183" s="169"/>
      <c r="BB183" s="169"/>
      <c r="BC183" s="169"/>
      <c r="BD183" s="169"/>
      <c r="BE183" s="169"/>
      <c r="BF183" s="169"/>
      <c r="BG183" s="169"/>
      <c r="BH183" s="169"/>
      <c r="BI183" s="169"/>
      <c r="BJ183" s="169"/>
      <c r="BK183" s="169"/>
      <c r="BL183" s="169"/>
      <c r="BM183" s="169"/>
      <c r="BN183" s="169"/>
      <c r="BO183" s="169"/>
      <c r="BP183" s="169"/>
      <c r="BQ183" s="169"/>
      <c r="BR183" s="169"/>
      <c r="BS183" s="169"/>
      <c r="BT183" s="169"/>
      <c r="BU183" s="169"/>
      <c r="BV183" s="169"/>
      <c r="BW183" s="169"/>
      <c r="BX183" s="169"/>
      <c r="BY183" s="169"/>
      <c r="BZ183" s="169"/>
      <c r="CA183"/>
      <c r="CB183"/>
    </row>
    <row r="184" spans="12:80" ht="11.25" customHeight="1">
      <c r="L184" s="150"/>
      <c r="M184" s="500"/>
      <c r="N184" s="472"/>
      <c r="O184" s="166"/>
      <c r="AB184" s="251"/>
      <c r="AC184" s="251"/>
      <c r="AD184" s="251"/>
      <c r="AE184" s="242"/>
      <c r="AF184" s="260"/>
      <c r="AG184" s="241"/>
      <c r="AH184" s="169"/>
      <c r="AI184" s="169"/>
      <c r="AJ184" s="169"/>
      <c r="AK184" s="169"/>
      <c r="AL184" s="169"/>
      <c r="AM184" s="169"/>
      <c r="AN184" s="169"/>
      <c r="AO184" s="169"/>
      <c r="AP184" s="169"/>
      <c r="AQ184" s="169"/>
      <c r="AR184" s="169"/>
      <c r="AS184" s="169"/>
      <c r="AT184" s="169"/>
      <c r="AU184" s="169"/>
      <c r="AV184" s="169"/>
      <c r="AW184" s="169"/>
      <c r="AX184" s="169"/>
      <c r="AY184" s="169"/>
      <c r="AZ184" s="169"/>
      <c r="BA184" s="169"/>
      <c r="BB184" s="169"/>
      <c r="BC184" s="169"/>
      <c r="BD184" s="169"/>
      <c r="BE184" s="169"/>
      <c r="BF184" s="169"/>
      <c r="BG184" s="169"/>
      <c r="BH184" s="169"/>
      <c r="BI184" s="169"/>
      <c r="BJ184" s="169"/>
      <c r="BK184" s="169"/>
      <c r="BL184" s="169"/>
      <c r="BM184" s="169"/>
      <c r="BN184" s="169"/>
      <c r="BO184" s="169"/>
      <c r="BP184" s="169"/>
      <c r="BQ184" s="169"/>
      <c r="BR184" s="169"/>
      <c r="BS184" s="169"/>
      <c r="BT184" s="169"/>
      <c r="BU184" s="169"/>
      <c r="BV184" s="169"/>
      <c r="BW184" s="169"/>
      <c r="BX184" s="169"/>
      <c r="BY184" s="169"/>
      <c r="BZ184" s="169"/>
      <c r="CA184"/>
      <c r="CB184"/>
    </row>
    <row r="185" spans="12:80" ht="11.25" customHeight="1">
      <c r="L185" s="150"/>
      <c r="M185" s="499" t="str">
        <f>M155 &amp; ".4"</f>
        <v>5.2.1.4</v>
      </c>
      <c r="N185" s="470" t="s">
        <v>279</v>
      </c>
      <c r="O185" s="163" t="s">
        <v>195</v>
      </c>
      <c r="AB185" s="251"/>
      <c r="AC185" s="251"/>
      <c r="AD185" s="251"/>
      <c r="AE185" s="244">
        <f>SUM(AE186:AE188)</f>
        <v>0</v>
      </c>
      <c r="AF185" s="257">
        <f>SUM(AF186:AF188)</f>
        <v>0</v>
      </c>
      <c r="AG185" s="247">
        <f>SUM(AG186:AG188)</f>
        <v>0</v>
      </c>
      <c r="AH185" s="169"/>
      <c r="AI185" s="169"/>
      <c r="AJ185" s="169"/>
      <c r="AK185" s="169"/>
      <c r="AL185" s="169"/>
      <c r="AM185" s="169"/>
      <c r="AN185" s="169"/>
      <c r="AO185" s="169"/>
      <c r="AP185" s="169"/>
      <c r="AQ185" s="169"/>
      <c r="AR185" s="169"/>
      <c r="AS185" s="169"/>
      <c r="AT185" s="169"/>
      <c r="AU185" s="169"/>
      <c r="AV185" s="169"/>
      <c r="AW185" s="169"/>
      <c r="AX185" s="169"/>
      <c r="AY185" s="169"/>
      <c r="AZ185" s="169"/>
      <c r="BA185" s="169"/>
      <c r="BB185" s="169"/>
      <c r="BC185" s="169"/>
      <c r="BD185" s="169"/>
      <c r="BE185" s="169"/>
      <c r="BF185" s="169"/>
      <c r="BG185" s="169"/>
      <c r="BH185" s="169"/>
      <c r="BI185" s="169"/>
      <c r="BJ185" s="169"/>
      <c r="BK185" s="169"/>
      <c r="BL185" s="169"/>
      <c r="BM185" s="169"/>
      <c r="BN185" s="169"/>
      <c r="BO185" s="169"/>
      <c r="BP185" s="169"/>
      <c r="BQ185" s="169"/>
      <c r="BR185" s="169"/>
      <c r="BS185" s="169"/>
      <c r="BT185" s="169"/>
      <c r="BU185" s="169"/>
      <c r="BV185" s="169"/>
      <c r="BW185" s="169"/>
      <c r="BX185" s="169"/>
      <c r="BY185" s="169"/>
      <c r="BZ185" s="169"/>
      <c r="CA185"/>
      <c r="CB185"/>
    </row>
    <row r="186" spans="12:80" ht="11.25" customHeight="1">
      <c r="L186" s="150"/>
      <c r="M186" s="499" t="str">
        <f>M155 &amp; ".4.1"</f>
        <v>5.2.1.4.1</v>
      </c>
      <c r="N186" s="469" t="s">
        <v>738</v>
      </c>
      <c r="O186" s="163" t="s">
        <v>195</v>
      </c>
      <c r="AB186" s="251"/>
      <c r="AC186" s="251"/>
      <c r="AD186" s="251"/>
      <c r="AE186" s="256">
        <f t="shared" ref="AE186:AE192" si="1">AF186+AG186</f>
        <v>0</v>
      </c>
      <c r="AF186" s="588"/>
      <c r="AG186" s="588"/>
      <c r="AH186" s="169"/>
      <c r="AI186" s="169"/>
      <c r="AJ186" s="169"/>
      <c r="AK186" s="169"/>
      <c r="AL186" s="169"/>
      <c r="AM186" s="169"/>
      <c r="AN186" s="169"/>
      <c r="AO186" s="169"/>
      <c r="AP186" s="169"/>
      <c r="AQ186" s="169"/>
      <c r="AR186" s="169"/>
      <c r="AS186" s="169"/>
      <c r="AT186" s="169"/>
      <c r="AU186" s="169"/>
      <c r="AV186" s="169"/>
      <c r="AW186" s="169"/>
      <c r="AX186" s="169"/>
      <c r="AY186" s="169"/>
      <c r="AZ186" s="169"/>
      <c r="BA186" s="169"/>
      <c r="BB186" s="169"/>
      <c r="BC186" s="169"/>
      <c r="BD186" s="169"/>
      <c r="BE186" s="169"/>
      <c r="BF186" s="169"/>
      <c r="BG186" s="169"/>
      <c r="BH186" s="169"/>
      <c r="BI186" s="169"/>
      <c r="BJ186" s="169"/>
      <c r="BK186" s="169"/>
      <c r="BL186" s="169"/>
      <c r="BM186" s="169"/>
      <c r="BN186" s="169"/>
      <c r="BO186" s="169"/>
      <c r="BP186" s="169"/>
      <c r="BQ186" s="169"/>
      <c r="BR186" s="169"/>
      <c r="BS186" s="169"/>
      <c r="BT186" s="169"/>
      <c r="BU186" s="169"/>
      <c r="BV186" s="169"/>
      <c r="BW186" s="169"/>
      <c r="BX186" s="169"/>
      <c r="BY186" s="169"/>
      <c r="BZ186" s="169"/>
      <c r="CA186"/>
      <c r="CB186"/>
    </row>
    <row r="187" spans="12:80" ht="11.25" customHeight="1">
      <c r="L187" s="150"/>
      <c r="M187" s="499" t="str">
        <f>M155 &amp; ".4.2"</f>
        <v>5.2.1.4.2</v>
      </c>
      <c r="N187" s="469" t="s">
        <v>739</v>
      </c>
      <c r="O187" s="163" t="s">
        <v>195</v>
      </c>
      <c r="AB187" s="251"/>
      <c r="AC187" s="251"/>
      <c r="AD187" s="251"/>
      <c r="AE187" s="256">
        <f t="shared" si="1"/>
        <v>0</v>
      </c>
      <c r="AF187" s="588"/>
      <c r="AG187" s="588"/>
      <c r="AH187" s="169"/>
      <c r="AI187" s="169"/>
      <c r="AJ187" s="169"/>
      <c r="AK187" s="169"/>
      <c r="AL187" s="169"/>
      <c r="AM187" s="169"/>
      <c r="AN187" s="169"/>
      <c r="AO187" s="169"/>
      <c r="AP187" s="169"/>
      <c r="AQ187" s="169"/>
      <c r="AR187" s="169"/>
      <c r="AS187" s="169"/>
      <c r="AT187" s="169"/>
      <c r="AU187" s="169"/>
      <c r="AV187" s="169"/>
      <c r="AW187" s="169"/>
      <c r="AX187" s="169"/>
      <c r="AY187" s="169"/>
      <c r="AZ187" s="169"/>
      <c r="BA187" s="169"/>
      <c r="BB187" s="169"/>
      <c r="BC187" s="169"/>
      <c r="BD187" s="169"/>
      <c r="BE187" s="169"/>
      <c r="BF187" s="169"/>
      <c r="BG187" s="169"/>
      <c r="BH187" s="169"/>
      <c r="BI187" s="169"/>
      <c r="BJ187" s="169"/>
      <c r="BK187" s="169"/>
      <c r="BL187" s="169"/>
      <c r="BM187" s="169"/>
      <c r="BN187" s="169"/>
      <c r="BO187" s="169"/>
      <c r="BP187" s="169"/>
      <c r="BQ187" s="169"/>
      <c r="BR187" s="169"/>
      <c r="BS187" s="169"/>
      <c r="BT187" s="169"/>
      <c r="BU187" s="169"/>
      <c r="BV187" s="169"/>
      <c r="BW187" s="169"/>
      <c r="BX187" s="169"/>
      <c r="BY187" s="169"/>
      <c r="BZ187" s="169"/>
      <c r="CA187"/>
      <c r="CB187"/>
    </row>
    <row r="188" spans="12:80" ht="11.25" customHeight="1">
      <c r="L188" s="150"/>
      <c r="M188" s="499" t="str">
        <f>M155 &amp; ".4.3"</f>
        <v>5.2.1.4.3</v>
      </c>
      <c r="N188" s="469" t="s">
        <v>737</v>
      </c>
      <c r="O188" s="163" t="s">
        <v>195</v>
      </c>
      <c r="AB188" s="251"/>
      <c r="AC188" s="251"/>
      <c r="AD188" s="251"/>
      <c r="AE188" s="256">
        <f t="shared" si="1"/>
        <v>0</v>
      </c>
      <c r="AF188" s="588"/>
      <c r="AG188" s="222"/>
      <c r="AH188" s="169"/>
      <c r="AI188" s="169"/>
      <c r="AJ188" s="169"/>
      <c r="AK188" s="169"/>
      <c r="AL188" s="169"/>
      <c r="AM188" s="169"/>
      <c r="AN188" s="169"/>
      <c r="AO188" s="169"/>
      <c r="AP188" s="169"/>
      <c r="AQ188" s="169"/>
      <c r="AR188" s="169"/>
      <c r="AS188" s="169"/>
      <c r="AT188" s="169"/>
      <c r="AU188" s="169"/>
      <c r="AV188" s="169"/>
      <c r="AW188" s="169"/>
      <c r="AX188" s="169"/>
      <c r="AY188" s="169"/>
      <c r="AZ188" s="169"/>
      <c r="BA188" s="169"/>
      <c r="BB188" s="169"/>
      <c r="BC188" s="169"/>
      <c r="BD188" s="169"/>
      <c r="BE188" s="169"/>
      <c r="BF188" s="169"/>
      <c r="BG188" s="169"/>
      <c r="BH188" s="169"/>
      <c r="BI188" s="169"/>
      <c r="BJ188" s="169"/>
      <c r="BK188" s="169"/>
      <c r="BL188" s="169"/>
      <c r="BM188" s="169"/>
      <c r="BN188" s="169"/>
      <c r="BO188" s="169"/>
      <c r="BP188" s="169"/>
      <c r="BQ188" s="169"/>
      <c r="BR188" s="169"/>
      <c r="BS188" s="169"/>
      <c r="BT188" s="169"/>
      <c r="BU188" s="169"/>
      <c r="BV188" s="169"/>
      <c r="BW188" s="169"/>
      <c r="BX188" s="169"/>
      <c r="BY188" s="169"/>
      <c r="BZ188" s="169"/>
      <c r="CA188"/>
      <c r="CB188"/>
    </row>
    <row r="189" spans="12:80" ht="11.25" customHeight="1">
      <c r="L189" s="150"/>
      <c r="M189" s="490" t="s">
        <v>184</v>
      </c>
      <c r="N189" s="498" t="s">
        <v>367</v>
      </c>
      <c r="O189" s="163" t="s">
        <v>195</v>
      </c>
      <c r="AB189" s="251"/>
      <c r="AC189" s="251"/>
      <c r="AD189" s="251"/>
      <c r="AE189" s="247">
        <f t="shared" si="1"/>
        <v>0</v>
      </c>
      <c r="AF189" s="247">
        <f>SUM(AF192,AF195,AF198,AF201,AF204,AF207,AF210,AF213)</f>
        <v>0</v>
      </c>
      <c r="AG189" s="247">
        <f>SUM(AG192,AG195,AG198,AG201,AG204,AG207,AG210,AG213)</f>
        <v>0</v>
      </c>
      <c r="AH189" s="169"/>
      <c r="AI189" s="169"/>
      <c r="AJ189" s="169"/>
      <c r="AK189" s="169"/>
      <c r="AL189" s="169"/>
      <c r="AM189" s="169"/>
      <c r="AN189" s="169"/>
      <c r="AO189" s="169"/>
      <c r="AP189" s="169"/>
      <c r="AQ189" s="169"/>
      <c r="AR189" s="169"/>
      <c r="AS189" s="169"/>
      <c r="AT189" s="169"/>
      <c r="AU189" s="169"/>
      <c r="AV189" s="169"/>
      <c r="AW189" s="169"/>
      <c r="AX189" s="169"/>
      <c r="AY189" s="169"/>
      <c r="AZ189" s="169"/>
      <c r="BA189" s="169"/>
      <c r="BB189" s="169"/>
      <c r="BC189" s="169"/>
      <c r="BD189" s="169"/>
      <c r="BE189" s="169"/>
      <c r="BF189" s="169"/>
      <c r="BG189" s="169"/>
      <c r="BH189" s="169"/>
      <c r="BI189" s="169"/>
      <c r="BJ189" s="169"/>
      <c r="BK189" s="169"/>
      <c r="BL189" s="169"/>
      <c r="BM189" s="169"/>
      <c r="BN189" s="169"/>
      <c r="BO189" s="169"/>
      <c r="BP189" s="169"/>
      <c r="BQ189" s="169"/>
      <c r="BR189" s="169"/>
      <c r="BS189" s="169"/>
      <c r="BT189" s="169"/>
      <c r="BU189" s="169"/>
      <c r="BV189" s="169"/>
      <c r="BW189" s="169"/>
      <c r="BX189" s="169"/>
      <c r="BY189" s="169"/>
      <c r="BZ189" s="169"/>
      <c r="CA189"/>
      <c r="CB189"/>
    </row>
    <row r="190" spans="12:80" ht="11.25" customHeight="1">
      <c r="L190" s="150"/>
      <c r="M190" s="501" t="s">
        <v>368</v>
      </c>
      <c r="N190" s="473" t="s">
        <v>666</v>
      </c>
      <c r="O190" s="163" t="s">
        <v>284</v>
      </c>
      <c r="AB190" s="251"/>
      <c r="AC190" s="251"/>
      <c r="AD190" s="251"/>
      <c r="AE190" s="247">
        <f t="shared" si="1"/>
        <v>0</v>
      </c>
      <c r="AF190" s="247">
        <f>AF194+AF200+AF206+AF212</f>
        <v>0</v>
      </c>
      <c r="AG190" s="247">
        <f>AG194+AG200+AG206+AG212</f>
        <v>0</v>
      </c>
      <c r="AH190" s="169"/>
      <c r="AI190" s="169"/>
      <c r="AJ190" s="169"/>
      <c r="AK190" s="169"/>
      <c r="AL190" s="169"/>
      <c r="AM190" s="169"/>
      <c r="AN190" s="169"/>
      <c r="AO190" s="169"/>
      <c r="AP190" s="169"/>
      <c r="AQ190" s="169"/>
      <c r="AR190" s="169"/>
      <c r="AS190" s="169"/>
      <c r="AT190" s="169"/>
      <c r="AU190" s="169"/>
      <c r="AV190" s="169"/>
      <c r="AW190" s="169"/>
      <c r="AX190" s="169"/>
      <c r="AY190" s="169"/>
      <c r="AZ190" s="169"/>
      <c r="BA190" s="169"/>
      <c r="BB190" s="169"/>
      <c r="BC190" s="169"/>
      <c r="BD190" s="169"/>
      <c r="BE190" s="169"/>
      <c r="BF190" s="169"/>
      <c r="BG190" s="169"/>
      <c r="BH190" s="169"/>
      <c r="BI190" s="169"/>
      <c r="BJ190" s="169"/>
      <c r="BK190" s="169"/>
      <c r="BL190" s="169"/>
      <c r="BM190" s="169"/>
      <c r="BN190" s="169"/>
      <c r="BO190" s="169"/>
      <c r="BP190" s="169"/>
      <c r="BQ190" s="169"/>
      <c r="BR190" s="169"/>
      <c r="BS190" s="169"/>
      <c r="BT190" s="169"/>
      <c r="BU190" s="169"/>
      <c r="BV190" s="169"/>
      <c r="BW190" s="169"/>
      <c r="BX190" s="169"/>
      <c r="BY190" s="169"/>
      <c r="BZ190" s="169"/>
      <c r="CA190"/>
      <c r="CB190"/>
    </row>
    <row r="191" spans="12:80" ht="11.25" customHeight="1">
      <c r="L191" s="150"/>
      <c r="M191" s="501" t="s">
        <v>369</v>
      </c>
      <c r="N191" s="473" t="s">
        <v>668</v>
      </c>
      <c r="O191" s="163" t="s">
        <v>669</v>
      </c>
      <c r="AB191" s="251"/>
      <c r="AC191" s="251"/>
      <c r="AD191" s="251"/>
      <c r="AE191" s="247">
        <f t="shared" si="1"/>
        <v>0</v>
      </c>
      <c r="AF191" s="247">
        <f>AF197+AF203+AF209+AF215</f>
        <v>0</v>
      </c>
      <c r="AG191" s="247">
        <f>AG197+AG203+AG209+AG215</f>
        <v>0</v>
      </c>
      <c r="AH191" s="169"/>
      <c r="AI191" s="169"/>
      <c r="AJ191" s="169"/>
      <c r="AK191" s="169"/>
      <c r="AL191" s="169"/>
      <c r="AM191" s="169"/>
      <c r="AN191" s="169"/>
      <c r="AO191" s="169"/>
      <c r="AP191" s="169"/>
      <c r="AQ191" s="169"/>
      <c r="AR191" s="169"/>
      <c r="AS191" s="169"/>
      <c r="AT191" s="169"/>
      <c r="AU191" s="169"/>
      <c r="AV191" s="169"/>
      <c r="AW191" s="169"/>
      <c r="AX191" s="169"/>
      <c r="AY191" s="169"/>
      <c r="AZ191" s="169"/>
      <c r="BA191" s="169"/>
      <c r="BB191" s="169"/>
      <c r="BC191" s="169"/>
      <c r="BD191" s="169"/>
      <c r="BE191" s="169"/>
      <c r="BF191" s="169"/>
      <c r="BG191" s="169"/>
      <c r="BH191" s="169"/>
      <c r="BI191" s="169"/>
      <c r="BJ191" s="169"/>
      <c r="BK191" s="169"/>
      <c r="BL191" s="169"/>
      <c r="BM191" s="169"/>
      <c r="BN191" s="169"/>
      <c r="BO191" s="169"/>
      <c r="BP191" s="169"/>
      <c r="BQ191" s="169"/>
      <c r="BR191" s="169"/>
      <c r="BS191" s="169"/>
      <c r="BT191" s="169"/>
      <c r="BU191" s="169"/>
      <c r="BV191" s="169"/>
      <c r="BW191" s="169"/>
      <c r="BX191" s="169"/>
      <c r="BY191" s="169"/>
      <c r="BZ191" s="169"/>
      <c r="CA191"/>
      <c r="CB191"/>
    </row>
    <row r="192" spans="12:80" ht="11.25" customHeight="1">
      <c r="L192" s="150"/>
      <c r="M192" s="501" t="s">
        <v>370</v>
      </c>
      <c r="N192" s="473" t="s">
        <v>334</v>
      </c>
      <c r="O192" s="163" t="s">
        <v>195</v>
      </c>
      <c r="AB192" s="251"/>
      <c r="AC192" s="251"/>
      <c r="AD192" s="251"/>
      <c r="AE192" s="247">
        <f t="shared" si="1"/>
        <v>0</v>
      </c>
      <c r="AF192" s="247">
        <f>AF193*AF194</f>
        <v>0</v>
      </c>
      <c r="AG192" s="247">
        <f>AG193*AG194</f>
        <v>0</v>
      </c>
      <c r="AH192" s="169"/>
      <c r="AI192" s="169"/>
      <c r="AJ192" s="169"/>
      <c r="AK192" s="169"/>
      <c r="AL192" s="169"/>
      <c r="AM192" s="169"/>
      <c r="AN192" s="169"/>
      <c r="AO192" s="169"/>
      <c r="AP192" s="169"/>
      <c r="AQ192" s="169"/>
      <c r="AR192" s="169"/>
      <c r="AS192" s="169"/>
      <c r="AT192" s="169"/>
      <c r="AU192" s="169"/>
      <c r="AV192" s="169"/>
      <c r="AW192" s="169"/>
      <c r="AX192" s="169"/>
      <c r="AY192" s="169"/>
      <c r="AZ192" s="169"/>
      <c r="BA192" s="169"/>
      <c r="BB192" s="169"/>
      <c r="BC192" s="169"/>
      <c r="BD192" s="169"/>
      <c r="BE192" s="169"/>
      <c r="BF192" s="169"/>
      <c r="BG192" s="169"/>
      <c r="BH192" s="169"/>
      <c r="BI192" s="169"/>
      <c r="BJ192" s="169"/>
      <c r="BK192" s="169"/>
      <c r="BL192" s="169"/>
      <c r="BM192" s="169"/>
      <c r="BN192" s="169"/>
      <c r="BO192" s="169"/>
      <c r="BP192" s="169"/>
      <c r="BQ192" s="169"/>
      <c r="BR192" s="169"/>
      <c r="BS192" s="169"/>
      <c r="BT192" s="169"/>
      <c r="BU192" s="169"/>
      <c r="BV192" s="169"/>
      <c r="BW192" s="169"/>
      <c r="BX192" s="169"/>
      <c r="BY192" s="169"/>
      <c r="BZ192" s="169"/>
      <c r="CA192"/>
      <c r="CB192"/>
    </row>
    <row r="193" spans="12:80" ht="11.25" customHeight="1">
      <c r="L193" s="150"/>
      <c r="M193" s="501" t="s">
        <v>371</v>
      </c>
      <c r="N193" s="474" t="s">
        <v>670</v>
      </c>
      <c r="O193" s="163" t="s">
        <v>313</v>
      </c>
      <c r="AB193" s="251"/>
      <c r="AC193" s="251"/>
      <c r="AD193" s="251"/>
      <c r="AE193" s="247">
        <f>IF(AE194=0,0,AE192/AE194)</f>
        <v>0</v>
      </c>
      <c r="AF193" s="245"/>
      <c r="AG193" s="245"/>
      <c r="AH193" s="169"/>
      <c r="AI193" s="169"/>
      <c r="AJ193" s="169"/>
      <c r="AK193" s="169"/>
      <c r="AL193" s="169"/>
      <c r="AM193" s="169"/>
      <c r="AN193" s="169"/>
      <c r="AO193" s="169"/>
      <c r="AP193" s="169"/>
      <c r="AQ193" s="169"/>
      <c r="AR193" s="169"/>
      <c r="AS193" s="169"/>
      <c r="AT193" s="169"/>
      <c r="AU193" s="169"/>
      <c r="AV193" s="169"/>
      <c r="AW193" s="169"/>
      <c r="AX193" s="169"/>
      <c r="AY193" s="169"/>
      <c r="AZ193" s="169"/>
      <c r="BA193" s="169"/>
      <c r="BB193" s="169"/>
      <c r="BC193" s="169"/>
      <c r="BD193" s="169"/>
      <c r="BE193" s="169"/>
      <c r="BF193" s="169"/>
      <c r="BG193" s="169"/>
      <c r="BH193" s="169"/>
      <c r="BI193" s="169"/>
      <c r="BJ193" s="169"/>
      <c r="BK193" s="169"/>
      <c r="BL193" s="169"/>
      <c r="BM193" s="169"/>
      <c r="BN193" s="169"/>
      <c r="BO193" s="169"/>
      <c r="BP193" s="169"/>
      <c r="BQ193" s="169"/>
      <c r="BR193" s="169"/>
      <c r="BS193" s="169"/>
      <c r="BT193" s="169"/>
      <c r="BU193" s="169"/>
      <c r="BV193" s="169"/>
      <c r="BW193" s="169"/>
      <c r="BX193" s="169"/>
      <c r="BY193" s="169"/>
      <c r="BZ193" s="169"/>
      <c r="CA193"/>
      <c r="CB193"/>
    </row>
    <row r="194" spans="12:80" ht="11.25" customHeight="1">
      <c r="L194" s="150"/>
      <c r="M194" s="501" t="s">
        <v>372</v>
      </c>
      <c r="N194" s="474" t="s">
        <v>666</v>
      </c>
      <c r="O194" s="163" t="s">
        <v>284</v>
      </c>
      <c r="AB194" s="251"/>
      <c r="AC194" s="251"/>
      <c r="AD194" s="251"/>
      <c r="AE194" s="247">
        <f>AF194+AG194</f>
        <v>0</v>
      </c>
      <c r="AF194" s="245"/>
      <c r="AG194" s="245"/>
      <c r="AH194" s="169"/>
      <c r="AI194" s="169"/>
      <c r="AJ194" s="169"/>
      <c r="AK194" s="169"/>
      <c r="AL194" s="169"/>
      <c r="AM194" s="169"/>
      <c r="AN194" s="169"/>
      <c r="AO194" s="169"/>
      <c r="AP194" s="169"/>
      <c r="AQ194" s="169"/>
      <c r="AR194" s="169"/>
      <c r="AS194" s="169"/>
      <c r="AT194" s="169"/>
      <c r="AU194" s="169"/>
      <c r="AV194" s="169"/>
      <c r="AW194" s="169"/>
      <c r="AX194" s="169"/>
      <c r="AY194" s="169"/>
      <c r="AZ194" s="169"/>
      <c r="BA194" s="169"/>
      <c r="BB194" s="169"/>
      <c r="BC194" s="169"/>
      <c r="BD194" s="169"/>
      <c r="BE194" s="169"/>
      <c r="BF194" s="169"/>
      <c r="BG194" s="169"/>
      <c r="BH194" s="169"/>
      <c r="BI194" s="169"/>
      <c r="BJ194" s="169"/>
      <c r="BK194" s="169"/>
      <c r="BL194" s="169"/>
      <c r="BM194" s="169"/>
      <c r="BN194" s="169"/>
      <c r="BO194" s="169"/>
      <c r="BP194" s="169"/>
      <c r="BQ194" s="169"/>
      <c r="BR194" s="169"/>
      <c r="BS194" s="169"/>
      <c r="BT194" s="169"/>
      <c r="BU194" s="169"/>
      <c r="BV194" s="169"/>
      <c r="BW194" s="169"/>
      <c r="BX194" s="169"/>
      <c r="BY194" s="169"/>
      <c r="BZ194" s="169"/>
      <c r="CA194"/>
      <c r="CB194"/>
    </row>
    <row r="195" spans="12:80" ht="11.25" customHeight="1">
      <c r="L195" s="150"/>
      <c r="M195" s="501" t="s">
        <v>373</v>
      </c>
      <c r="N195" s="473" t="s">
        <v>338</v>
      </c>
      <c r="O195" s="163" t="s">
        <v>195</v>
      </c>
      <c r="AB195" s="251"/>
      <c r="AC195" s="251"/>
      <c r="AD195" s="251"/>
      <c r="AE195" s="247">
        <f>AF195+AG195</f>
        <v>0</v>
      </c>
      <c r="AF195" s="247">
        <f>AF196*AF197</f>
        <v>0</v>
      </c>
      <c r="AG195" s="247">
        <f>AG196*AG197</f>
        <v>0</v>
      </c>
      <c r="AH195" s="169"/>
      <c r="AI195" s="169"/>
      <c r="AJ195" s="169"/>
      <c r="AK195" s="169"/>
      <c r="AL195" s="169"/>
      <c r="AM195" s="169"/>
      <c r="AN195" s="169"/>
      <c r="AO195" s="169"/>
      <c r="AP195" s="169"/>
      <c r="AQ195" s="169"/>
      <c r="AR195" s="169"/>
      <c r="AS195" s="169"/>
      <c r="AT195" s="169"/>
      <c r="AU195" s="169"/>
      <c r="AV195" s="169"/>
      <c r="AW195" s="169"/>
      <c r="AX195" s="169"/>
      <c r="AY195" s="169"/>
      <c r="AZ195" s="169"/>
      <c r="BA195" s="169"/>
      <c r="BB195" s="169"/>
      <c r="BC195" s="169"/>
      <c r="BD195" s="169"/>
      <c r="BE195" s="169"/>
      <c r="BF195" s="169"/>
      <c r="BG195" s="169"/>
      <c r="BH195" s="169"/>
      <c r="BI195" s="169"/>
      <c r="BJ195" s="169"/>
      <c r="BK195" s="169"/>
      <c r="BL195" s="169"/>
      <c r="BM195" s="169"/>
      <c r="BN195" s="169"/>
      <c r="BO195" s="169"/>
      <c r="BP195" s="169"/>
      <c r="BQ195" s="169"/>
      <c r="BR195" s="169"/>
      <c r="BS195" s="169"/>
      <c r="BT195" s="169"/>
      <c r="BU195" s="169"/>
      <c r="BV195" s="169"/>
      <c r="BW195" s="169"/>
      <c r="BX195" s="169"/>
      <c r="BY195" s="169"/>
      <c r="BZ195" s="169"/>
      <c r="CA195"/>
      <c r="CB195"/>
    </row>
    <row r="196" spans="12:80" ht="11.25" customHeight="1">
      <c r="L196" s="150"/>
      <c r="M196" s="501" t="s">
        <v>374</v>
      </c>
      <c r="N196" s="474" t="s">
        <v>671</v>
      </c>
      <c r="O196" s="163" t="s">
        <v>314</v>
      </c>
      <c r="AB196" s="251"/>
      <c r="AC196" s="251"/>
      <c r="AD196" s="251"/>
      <c r="AE196" s="247">
        <f>IF(AE197=0,0,AE195/AE197)</f>
        <v>0</v>
      </c>
      <c r="AF196" s="245"/>
      <c r="AG196" s="245"/>
      <c r="AH196" s="169"/>
      <c r="AI196" s="169"/>
      <c r="AJ196" s="169"/>
      <c r="AK196" s="169"/>
      <c r="AL196" s="169"/>
      <c r="AM196" s="169"/>
      <c r="AN196" s="169"/>
      <c r="AO196" s="169"/>
      <c r="AP196" s="169"/>
      <c r="AQ196" s="169"/>
      <c r="AR196" s="169"/>
      <c r="AS196" s="169"/>
      <c r="AT196" s="169"/>
      <c r="AU196" s="169"/>
      <c r="AV196" s="169"/>
      <c r="AW196" s="169"/>
      <c r="AX196" s="169"/>
      <c r="AY196" s="169"/>
      <c r="AZ196" s="169"/>
      <c r="BA196" s="169"/>
      <c r="BB196" s="169"/>
      <c r="BC196" s="169"/>
      <c r="BD196" s="169"/>
      <c r="BE196" s="169"/>
      <c r="BF196" s="169"/>
      <c r="BG196" s="169"/>
      <c r="BH196" s="169"/>
      <c r="BI196" s="169"/>
      <c r="BJ196" s="169"/>
      <c r="BK196" s="169"/>
      <c r="BL196" s="169"/>
      <c r="BM196" s="169"/>
      <c r="BN196" s="169"/>
      <c r="BO196" s="169"/>
      <c r="BP196" s="169"/>
      <c r="BQ196" s="169"/>
      <c r="BR196" s="169"/>
      <c r="BS196" s="169"/>
      <c r="BT196" s="169"/>
      <c r="BU196" s="169"/>
      <c r="BV196" s="169"/>
      <c r="BW196" s="169"/>
      <c r="BX196" s="169"/>
      <c r="BY196" s="169"/>
      <c r="BZ196" s="169"/>
      <c r="CA196"/>
      <c r="CB196"/>
    </row>
    <row r="197" spans="12:80" ht="11.25" customHeight="1">
      <c r="L197" s="150"/>
      <c r="M197" s="501" t="s">
        <v>375</v>
      </c>
      <c r="N197" s="474" t="s">
        <v>672</v>
      </c>
      <c r="O197" s="163" t="s">
        <v>669</v>
      </c>
      <c r="AB197" s="251"/>
      <c r="AC197" s="251"/>
      <c r="AD197" s="251"/>
      <c r="AE197" s="247">
        <f>AF197+AG197</f>
        <v>0</v>
      </c>
      <c r="AF197" s="245"/>
      <c r="AG197" s="245"/>
      <c r="AH197" s="169"/>
      <c r="AI197" s="169"/>
      <c r="AJ197" s="169"/>
      <c r="AK197" s="169"/>
      <c r="AL197" s="169"/>
      <c r="AM197" s="169"/>
      <c r="AN197" s="169"/>
      <c r="AO197" s="169"/>
      <c r="AP197" s="169"/>
      <c r="AQ197" s="169"/>
      <c r="AR197" s="169"/>
      <c r="AS197" s="169"/>
      <c r="AT197" s="169"/>
      <c r="AU197" s="169"/>
      <c r="AV197" s="169"/>
      <c r="AW197" s="169"/>
      <c r="AX197" s="169"/>
      <c r="AY197" s="169"/>
      <c r="AZ197" s="169"/>
      <c r="BA197" s="169"/>
      <c r="BB197" s="169"/>
      <c r="BC197" s="169"/>
      <c r="BD197" s="169"/>
      <c r="BE197" s="169"/>
      <c r="BF197" s="169"/>
      <c r="BG197" s="169"/>
      <c r="BH197" s="169"/>
      <c r="BI197" s="169"/>
      <c r="BJ197" s="169"/>
      <c r="BK197" s="169"/>
      <c r="BL197" s="169"/>
      <c r="BM197" s="169"/>
      <c r="BN197" s="169"/>
      <c r="BO197" s="169"/>
      <c r="BP197" s="169"/>
      <c r="BQ197" s="169"/>
      <c r="BR197" s="169"/>
      <c r="BS197" s="169"/>
      <c r="BT197" s="169"/>
      <c r="BU197" s="169"/>
      <c r="BV197" s="169"/>
      <c r="BW197" s="169"/>
      <c r="BX197" s="169"/>
      <c r="BY197" s="169"/>
      <c r="BZ197" s="169"/>
      <c r="CA197"/>
      <c r="CB197"/>
    </row>
    <row r="198" spans="12:80" ht="11.25" customHeight="1">
      <c r="L198" s="150"/>
      <c r="M198" s="501" t="s">
        <v>376</v>
      </c>
      <c r="N198" s="473" t="s">
        <v>342</v>
      </c>
      <c r="O198" s="163" t="s">
        <v>195</v>
      </c>
      <c r="AB198" s="251"/>
      <c r="AC198" s="251"/>
      <c r="AD198" s="251"/>
      <c r="AE198" s="247">
        <f>AF198+AG198</f>
        <v>0</v>
      </c>
      <c r="AF198" s="247">
        <f>AF199*AF200</f>
        <v>0</v>
      </c>
      <c r="AG198" s="247">
        <f>AG199*AG200</f>
        <v>0</v>
      </c>
      <c r="AH198" s="169"/>
      <c r="AI198" s="169"/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/>
      <c r="CB198"/>
    </row>
    <row r="199" spans="12:80" ht="11.25" customHeight="1">
      <c r="L199" s="150"/>
      <c r="M199" s="501" t="s">
        <v>377</v>
      </c>
      <c r="N199" s="474" t="s">
        <v>670</v>
      </c>
      <c r="O199" s="163" t="s">
        <v>313</v>
      </c>
      <c r="AB199" s="251"/>
      <c r="AC199" s="251"/>
      <c r="AD199" s="251"/>
      <c r="AE199" s="247">
        <f>IF(AE200=0,0,AE198/AE200)</f>
        <v>0</v>
      </c>
      <c r="AF199" s="245"/>
      <c r="AG199" s="245"/>
      <c r="AH199" s="169"/>
      <c r="AI199" s="169"/>
      <c r="AJ199" s="169"/>
      <c r="AK199" s="169"/>
      <c r="AL199" s="169"/>
      <c r="AM199" s="169"/>
      <c r="AN199" s="169"/>
      <c r="AO199" s="169"/>
      <c r="AP199" s="169"/>
      <c r="AQ199" s="169"/>
      <c r="AR199" s="169"/>
      <c r="AS199" s="169"/>
      <c r="AT199" s="169"/>
      <c r="AU199" s="169"/>
      <c r="AV199" s="169"/>
      <c r="AW199" s="169"/>
      <c r="AX199" s="169"/>
      <c r="AY199" s="169"/>
      <c r="AZ199" s="169"/>
      <c r="BA199" s="169"/>
      <c r="BB199" s="169"/>
      <c r="BC199" s="169"/>
      <c r="BD199" s="169"/>
      <c r="BE199" s="169"/>
      <c r="BF199" s="169"/>
      <c r="BG199" s="169"/>
      <c r="BH199" s="169"/>
      <c r="BI199" s="169"/>
      <c r="BJ199" s="169"/>
      <c r="BK199" s="169"/>
      <c r="BL199" s="169"/>
      <c r="BM199" s="169"/>
      <c r="BN199" s="169"/>
      <c r="BO199" s="169"/>
      <c r="BP199" s="169"/>
      <c r="BQ199" s="169"/>
      <c r="BR199" s="169"/>
      <c r="BS199" s="169"/>
      <c r="BT199" s="169"/>
      <c r="BU199" s="169"/>
      <c r="BV199" s="169"/>
      <c r="BW199" s="169"/>
      <c r="BX199" s="169"/>
      <c r="BY199" s="169"/>
      <c r="BZ199" s="169"/>
      <c r="CA199"/>
      <c r="CB199"/>
    </row>
    <row r="200" spans="12:80" ht="11.25" customHeight="1">
      <c r="L200" s="150"/>
      <c r="M200" s="501" t="s">
        <v>378</v>
      </c>
      <c r="N200" s="474" t="s">
        <v>666</v>
      </c>
      <c r="O200" s="163" t="s">
        <v>284</v>
      </c>
      <c r="AB200" s="251"/>
      <c r="AC200" s="251"/>
      <c r="AD200" s="251"/>
      <c r="AE200" s="247">
        <f>AF200+AG200</f>
        <v>0</v>
      </c>
      <c r="AF200" s="245"/>
      <c r="AG200" s="245"/>
      <c r="AH200" s="169"/>
      <c r="AI200" s="169"/>
      <c r="AJ200" s="169"/>
      <c r="AK200" s="169"/>
      <c r="AL200" s="169"/>
      <c r="AM200" s="169"/>
      <c r="AN200" s="169"/>
      <c r="AO200" s="169"/>
      <c r="AP200" s="169"/>
      <c r="AQ200" s="169"/>
      <c r="AR200" s="169"/>
      <c r="AS200" s="169"/>
      <c r="AT200" s="169"/>
      <c r="AU200" s="169"/>
      <c r="AV200" s="169"/>
      <c r="AW200" s="169"/>
      <c r="AX200" s="169"/>
      <c r="AY200" s="169"/>
      <c r="AZ200" s="169"/>
      <c r="BA200" s="169"/>
      <c r="BB200" s="169"/>
      <c r="BC200" s="169"/>
      <c r="BD200" s="169"/>
      <c r="BE200" s="169"/>
      <c r="BF200" s="169"/>
      <c r="BG200" s="169"/>
      <c r="BH200" s="169"/>
      <c r="BI200" s="169"/>
      <c r="BJ200" s="169"/>
      <c r="BK200" s="169"/>
      <c r="BL200" s="169"/>
      <c r="BM200" s="169"/>
      <c r="BN200" s="169"/>
      <c r="BO200" s="169"/>
      <c r="BP200" s="169"/>
      <c r="BQ200" s="169"/>
      <c r="BR200" s="169"/>
      <c r="BS200" s="169"/>
      <c r="BT200" s="169"/>
      <c r="BU200" s="169"/>
      <c r="BV200" s="169"/>
      <c r="BW200" s="169"/>
      <c r="BX200" s="169"/>
      <c r="BY200" s="169"/>
      <c r="BZ200" s="169"/>
      <c r="CA200"/>
      <c r="CB200"/>
    </row>
    <row r="201" spans="12:80" ht="11.25" customHeight="1">
      <c r="L201" s="150"/>
      <c r="M201" s="501" t="s">
        <v>379</v>
      </c>
      <c r="N201" s="473" t="s">
        <v>346</v>
      </c>
      <c r="O201" s="163" t="s">
        <v>195</v>
      </c>
      <c r="AB201" s="251"/>
      <c r="AC201" s="251"/>
      <c r="AD201" s="251"/>
      <c r="AE201" s="247">
        <f>AF201+AG201</f>
        <v>0</v>
      </c>
      <c r="AF201" s="247">
        <f>AF202*AF203</f>
        <v>0</v>
      </c>
      <c r="AG201" s="247">
        <f>AG202*AG203</f>
        <v>0</v>
      </c>
      <c r="AH201" s="169"/>
      <c r="AI201" s="169"/>
      <c r="AJ201" s="169"/>
      <c r="AK201" s="169"/>
      <c r="AL201" s="169"/>
      <c r="AM201" s="169"/>
      <c r="AN201" s="169"/>
      <c r="AO201" s="169"/>
      <c r="AP201" s="169"/>
      <c r="AQ201" s="169"/>
      <c r="AR201" s="169"/>
      <c r="AS201" s="169"/>
      <c r="AT201" s="169"/>
      <c r="AU201" s="169"/>
      <c r="AV201" s="169"/>
      <c r="AW201" s="169"/>
      <c r="AX201" s="169"/>
      <c r="AY201" s="169"/>
      <c r="AZ201" s="169"/>
      <c r="BA201" s="169"/>
      <c r="BB201" s="169"/>
      <c r="BC201" s="169"/>
      <c r="BD201" s="169"/>
      <c r="BE201" s="169"/>
      <c r="BF201" s="169"/>
      <c r="BG201" s="169"/>
      <c r="BH201" s="169"/>
      <c r="BI201" s="169"/>
      <c r="BJ201" s="169"/>
      <c r="BK201" s="169"/>
      <c r="BL201" s="169"/>
      <c r="BM201" s="169"/>
      <c r="BN201" s="169"/>
      <c r="BO201" s="169"/>
      <c r="BP201" s="169"/>
      <c r="BQ201" s="169"/>
      <c r="BR201" s="169"/>
      <c r="BS201" s="169"/>
      <c r="BT201" s="169"/>
      <c r="BU201" s="169"/>
      <c r="BV201" s="169"/>
      <c r="BW201" s="169"/>
      <c r="BX201" s="169"/>
      <c r="BY201" s="169"/>
      <c r="BZ201" s="169"/>
      <c r="CA201"/>
      <c r="CB201"/>
    </row>
    <row r="202" spans="12:80" ht="11.25" customHeight="1">
      <c r="L202" s="150"/>
      <c r="M202" s="501" t="s">
        <v>380</v>
      </c>
      <c r="N202" s="474" t="s">
        <v>671</v>
      </c>
      <c r="O202" s="163" t="s">
        <v>314</v>
      </c>
      <c r="AB202" s="251"/>
      <c r="AC202" s="251"/>
      <c r="AD202" s="251"/>
      <c r="AE202" s="247">
        <f>IF(AE203=0,0,AE201/AE203)</f>
        <v>0</v>
      </c>
      <c r="AF202" s="245"/>
      <c r="AG202" s="245"/>
      <c r="AH202" s="169"/>
      <c r="AI202" s="169"/>
      <c r="AJ202" s="169"/>
      <c r="AK202" s="169"/>
      <c r="AL202" s="169"/>
      <c r="AM202" s="169"/>
      <c r="AN202" s="169"/>
      <c r="AO202" s="169"/>
      <c r="AP202" s="169"/>
      <c r="AQ202" s="169"/>
      <c r="AR202" s="169"/>
      <c r="AS202" s="169"/>
      <c r="AT202" s="169"/>
      <c r="AU202" s="169"/>
      <c r="AV202" s="169"/>
      <c r="AW202" s="169"/>
      <c r="AX202" s="169"/>
      <c r="AY202" s="169"/>
      <c r="AZ202" s="169"/>
      <c r="BA202" s="169"/>
      <c r="BB202" s="169"/>
      <c r="BC202" s="169"/>
      <c r="BD202" s="169"/>
      <c r="BE202" s="169"/>
      <c r="BF202" s="169"/>
      <c r="BG202" s="169"/>
      <c r="BH202" s="169"/>
      <c r="BI202" s="169"/>
      <c r="BJ202" s="169"/>
      <c r="BK202" s="169"/>
      <c r="BL202" s="169"/>
      <c r="BM202" s="169"/>
      <c r="BN202" s="169"/>
      <c r="BO202" s="169"/>
      <c r="BP202" s="169"/>
      <c r="BQ202" s="169"/>
      <c r="BR202" s="169"/>
      <c r="BS202" s="169"/>
      <c r="BT202" s="169"/>
      <c r="BU202" s="169"/>
      <c r="BV202" s="169"/>
      <c r="BW202" s="169"/>
      <c r="BX202" s="169"/>
      <c r="BY202" s="169"/>
      <c r="BZ202" s="169"/>
      <c r="CA202"/>
      <c r="CB202"/>
    </row>
    <row r="203" spans="12:80" ht="11.25" customHeight="1">
      <c r="L203" s="150"/>
      <c r="M203" s="501" t="s">
        <v>381</v>
      </c>
      <c r="N203" s="474" t="s">
        <v>672</v>
      </c>
      <c r="O203" s="163" t="s">
        <v>669</v>
      </c>
      <c r="AB203" s="251"/>
      <c r="AC203" s="251"/>
      <c r="AD203" s="251"/>
      <c r="AE203" s="247">
        <f>AF203+AG203</f>
        <v>0</v>
      </c>
      <c r="AF203" s="245"/>
      <c r="AG203" s="245"/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  <c r="CA203"/>
      <c r="CB203"/>
    </row>
    <row r="204" spans="12:80" ht="11.25" customHeight="1">
      <c r="L204" s="150"/>
      <c r="M204" s="501" t="s">
        <v>382</v>
      </c>
      <c r="N204" s="473" t="s">
        <v>350</v>
      </c>
      <c r="O204" s="163" t="s">
        <v>195</v>
      </c>
      <c r="AB204" s="251"/>
      <c r="AC204" s="251"/>
      <c r="AD204" s="251"/>
      <c r="AE204" s="247">
        <f>AF204+AG204</f>
        <v>0</v>
      </c>
      <c r="AF204" s="247">
        <f>AF205*AF206</f>
        <v>0</v>
      </c>
      <c r="AG204" s="247">
        <f>AG205*AG206</f>
        <v>0</v>
      </c>
      <c r="AH204" s="169"/>
      <c r="AI204" s="169"/>
      <c r="AJ204" s="169"/>
      <c r="AK204" s="169"/>
      <c r="AL204" s="169"/>
      <c r="AM204" s="169"/>
      <c r="AN204" s="169"/>
      <c r="AO204" s="169"/>
      <c r="AP204" s="169"/>
      <c r="AQ204" s="169"/>
      <c r="AR204" s="169"/>
      <c r="AS204" s="169"/>
      <c r="AT204" s="169"/>
      <c r="AU204" s="169"/>
      <c r="AV204" s="169"/>
      <c r="AW204" s="169"/>
      <c r="AX204" s="169"/>
      <c r="AY204" s="169"/>
      <c r="AZ204" s="169"/>
      <c r="BA204" s="169"/>
      <c r="BB204" s="169"/>
      <c r="BC204" s="169"/>
      <c r="BD204" s="169"/>
      <c r="BE204" s="169"/>
      <c r="BF204" s="169"/>
      <c r="BG204" s="169"/>
      <c r="BH204" s="169"/>
      <c r="BI204" s="169"/>
      <c r="BJ204" s="169"/>
      <c r="BK204" s="169"/>
      <c r="BL204" s="169"/>
      <c r="BM204" s="169"/>
      <c r="BN204" s="169"/>
      <c r="BO204" s="169"/>
      <c r="BP204" s="169"/>
      <c r="BQ204" s="169"/>
      <c r="BR204" s="169"/>
      <c r="BS204" s="169"/>
      <c r="BT204" s="169"/>
      <c r="BU204" s="169"/>
      <c r="BV204" s="169"/>
      <c r="BW204" s="169"/>
      <c r="BX204" s="169"/>
      <c r="BY204" s="169"/>
      <c r="BZ204" s="169"/>
      <c r="CA204"/>
      <c r="CB204"/>
    </row>
    <row r="205" spans="12:80" ht="11.25" customHeight="1">
      <c r="L205" s="150"/>
      <c r="M205" s="501" t="s">
        <v>383</v>
      </c>
      <c r="N205" s="474" t="s">
        <v>670</v>
      </c>
      <c r="O205" s="163" t="s">
        <v>313</v>
      </c>
      <c r="AB205" s="251"/>
      <c r="AC205" s="251"/>
      <c r="AD205" s="251"/>
      <c r="AE205" s="247">
        <f>IF(AE206=0,0,AE204/AE206)</f>
        <v>0</v>
      </c>
      <c r="AF205" s="245"/>
      <c r="AG205" s="245"/>
      <c r="AH205" s="169"/>
      <c r="AI205" s="169"/>
      <c r="AJ205" s="169"/>
      <c r="AK205" s="169"/>
      <c r="AL205" s="169"/>
      <c r="AM205" s="169"/>
      <c r="AN205" s="169"/>
      <c r="AO205" s="169"/>
      <c r="AP205" s="169"/>
      <c r="AQ205" s="169"/>
      <c r="AR205" s="169"/>
      <c r="AS205" s="169"/>
      <c r="AT205" s="169"/>
      <c r="AU205" s="169"/>
      <c r="AV205" s="169"/>
      <c r="AW205" s="169"/>
      <c r="AX205" s="169"/>
      <c r="AY205" s="169"/>
      <c r="AZ205" s="169"/>
      <c r="BA205" s="169"/>
      <c r="BB205" s="169"/>
      <c r="BC205" s="169"/>
      <c r="BD205" s="169"/>
      <c r="BE205" s="169"/>
      <c r="BF205" s="169"/>
      <c r="BG205" s="169"/>
      <c r="BH205" s="169"/>
      <c r="BI205" s="169"/>
      <c r="BJ205" s="169"/>
      <c r="BK205" s="169"/>
      <c r="BL205" s="169"/>
      <c r="BM205" s="169"/>
      <c r="BN205" s="169"/>
      <c r="BO205" s="169"/>
      <c r="BP205" s="169"/>
      <c r="BQ205" s="169"/>
      <c r="BR205" s="169"/>
      <c r="BS205" s="169"/>
      <c r="BT205" s="169"/>
      <c r="BU205" s="169"/>
      <c r="BV205" s="169"/>
      <c r="BW205" s="169"/>
      <c r="BX205" s="169"/>
      <c r="BY205" s="169"/>
      <c r="BZ205" s="169"/>
      <c r="CA205"/>
      <c r="CB205"/>
    </row>
    <row r="206" spans="12:80" ht="11.25" customHeight="1">
      <c r="L206" s="150"/>
      <c r="M206" s="501" t="s">
        <v>384</v>
      </c>
      <c r="N206" s="474" t="s">
        <v>666</v>
      </c>
      <c r="O206" s="163" t="s">
        <v>284</v>
      </c>
      <c r="AB206" s="251"/>
      <c r="AC206" s="251"/>
      <c r="AD206" s="251"/>
      <c r="AE206" s="247">
        <f>AF206+AG206</f>
        <v>0</v>
      </c>
      <c r="AF206" s="245"/>
      <c r="AG206" s="245"/>
      <c r="AH206" s="169"/>
      <c r="AI206" s="169"/>
      <c r="AJ206" s="169"/>
      <c r="AK206" s="169"/>
      <c r="AL206" s="169"/>
      <c r="AM206" s="169"/>
      <c r="AN206" s="169"/>
      <c r="AO206" s="169"/>
      <c r="AP206" s="169"/>
      <c r="AQ206" s="169"/>
      <c r="AR206" s="169"/>
      <c r="AS206" s="169"/>
      <c r="AT206" s="169"/>
      <c r="AU206" s="169"/>
      <c r="AV206" s="169"/>
      <c r="AW206" s="169"/>
      <c r="AX206" s="169"/>
      <c r="AY206" s="169"/>
      <c r="AZ206" s="169"/>
      <c r="BA206" s="169"/>
      <c r="BB206" s="169"/>
      <c r="BC206" s="169"/>
      <c r="BD206" s="169"/>
      <c r="BE206" s="169"/>
      <c r="BF206" s="169"/>
      <c r="BG206" s="169"/>
      <c r="BH206" s="169"/>
      <c r="BI206" s="169"/>
      <c r="BJ206" s="169"/>
      <c r="BK206" s="169"/>
      <c r="BL206" s="169"/>
      <c r="BM206" s="169"/>
      <c r="BN206" s="169"/>
      <c r="BO206" s="169"/>
      <c r="BP206" s="169"/>
      <c r="BQ206" s="169"/>
      <c r="BR206" s="169"/>
      <c r="BS206" s="169"/>
      <c r="BT206" s="169"/>
      <c r="BU206" s="169"/>
      <c r="BV206" s="169"/>
      <c r="BW206" s="169"/>
      <c r="BX206" s="169"/>
      <c r="BY206" s="169"/>
      <c r="BZ206" s="169"/>
      <c r="CA206"/>
      <c r="CB206"/>
    </row>
    <row r="207" spans="12:80" ht="11.25" customHeight="1">
      <c r="L207" s="150"/>
      <c r="M207" s="501" t="s">
        <v>385</v>
      </c>
      <c r="N207" s="473" t="s">
        <v>354</v>
      </c>
      <c r="O207" s="163" t="s">
        <v>195</v>
      </c>
      <c r="AB207" s="251"/>
      <c r="AC207" s="251"/>
      <c r="AD207" s="251"/>
      <c r="AE207" s="247">
        <f>AF207+AG207</f>
        <v>0</v>
      </c>
      <c r="AF207" s="247">
        <f>AF208*AF209</f>
        <v>0</v>
      </c>
      <c r="AG207" s="247">
        <f>AG208*AG209</f>
        <v>0</v>
      </c>
      <c r="AH207" s="169"/>
      <c r="AI207" s="169"/>
      <c r="AJ207" s="169"/>
      <c r="AK207" s="169"/>
      <c r="AL207" s="169"/>
      <c r="AM207" s="169"/>
      <c r="AN207" s="169"/>
      <c r="AO207" s="169"/>
      <c r="AP207" s="169"/>
      <c r="AQ207" s="169"/>
      <c r="AR207" s="169"/>
      <c r="AS207" s="169"/>
      <c r="AT207" s="169"/>
      <c r="AU207" s="169"/>
      <c r="AV207" s="169"/>
      <c r="AW207" s="169"/>
      <c r="AX207" s="169"/>
      <c r="AY207" s="169"/>
      <c r="AZ207" s="169"/>
      <c r="BA207" s="169"/>
      <c r="BB207" s="169"/>
      <c r="BC207" s="169"/>
      <c r="BD207" s="169"/>
      <c r="BE207" s="169"/>
      <c r="BF207" s="169"/>
      <c r="BG207" s="169"/>
      <c r="BH207" s="169"/>
      <c r="BI207" s="169"/>
      <c r="BJ207" s="169"/>
      <c r="BK207" s="169"/>
      <c r="BL207" s="169"/>
      <c r="BM207" s="169"/>
      <c r="BN207" s="169"/>
      <c r="BO207" s="169"/>
      <c r="BP207" s="169"/>
      <c r="BQ207" s="169"/>
      <c r="BR207" s="169"/>
      <c r="BS207" s="169"/>
      <c r="BT207" s="169"/>
      <c r="BU207" s="169"/>
      <c r="BV207" s="169"/>
      <c r="BW207" s="169"/>
      <c r="BX207" s="169"/>
      <c r="BY207" s="169"/>
      <c r="BZ207" s="169"/>
      <c r="CA207"/>
      <c r="CB207"/>
    </row>
    <row r="208" spans="12:80" ht="11.25" customHeight="1">
      <c r="L208" s="150"/>
      <c r="M208" s="501" t="s">
        <v>386</v>
      </c>
      <c r="N208" s="474" t="s">
        <v>671</v>
      </c>
      <c r="O208" s="163" t="s">
        <v>314</v>
      </c>
      <c r="AB208" s="251"/>
      <c r="AC208" s="251"/>
      <c r="AD208" s="251"/>
      <c r="AE208" s="247">
        <f>IF(AE209=0,0,AE207/AE209)</f>
        <v>0</v>
      </c>
      <c r="AF208" s="245"/>
      <c r="AG208" s="245"/>
      <c r="AH208" s="169"/>
      <c r="AI208" s="169"/>
      <c r="AJ208" s="169"/>
      <c r="AK208" s="169"/>
      <c r="AL208" s="169"/>
      <c r="AM208" s="169"/>
      <c r="AN208" s="169"/>
      <c r="AO208" s="169"/>
      <c r="AP208" s="169"/>
      <c r="AQ208" s="169"/>
      <c r="AR208" s="169"/>
      <c r="AS208" s="169"/>
      <c r="AT208" s="169"/>
      <c r="AU208" s="169"/>
      <c r="AV208" s="169"/>
      <c r="AW208" s="169"/>
      <c r="AX208" s="169"/>
      <c r="AY208" s="169"/>
      <c r="AZ208" s="169"/>
      <c r="BA208" s="169"/>
      <c r="BB208" s="169"/>
      <c r="BC208" s="169"/>
      <c r="BD208" s="169"/>
      <c r="BE208" s="169"/>
      <c r="BF208" s="169"/>
      <c r="BG208" s="169"/>
      <c r="BH208" s="169"/>
      <c r="BI208" s="169"/>
      <c r="BJ208" s="169"/>
      <c r="BK208" s="169"/>
      <c r="BL208" s="169"/>
      <c r="BM208" s="169"/>
      <c r="BN208" s="169"/>
      <c r="BO208" s="169"/>
      <c r="BP208" s="169"/>
      <c r="BQ208" s="169"/>
      <c r="BR208" s="169"/>
      <c r="BS208" s="169"/>
      <c r="BT208" s="169"/>
      <c r="BU208" s="169"/>
      <c r="BV208" s="169"/>
      <c r="BW208" s="169"/>
      <c r="BX208" s="169"/>
      <c r="BY208" s="169"/>
      <c r="BZ208" s="169"/>
      <c r="CA208"/>
      <c r="CB208"/>
    </row>
    <row r="209" spans="12:91" ht="11.25" customHeight="1">
      <c r="L209" s="150"/>
      <c r="M209" s="501" t="s">
        <v>387</v>
      </c>
      <c r="N209" s="474" t="s">
        <v>672</v>
      </c>
      <c r="O209" s="163" t="s">
        <v>669</v>
      </c>
      <c r="AB209" s="251"/>
      <c r="AC209" s="251"/>
      <c r="AD209" s="251"/>
      <c r="AE209" s="247">
        <f>AF209+AG209</f>
        <v>0</v>
      </c>
      <c r="AF209" s="245"/>
      <c r="AG209" s="245"/>
      <c r="AH209" s="169"/>
      <c r="AI209" s="169"/>
      <c r="AJ209" s="169"/>
      <c r="AK209" s="169"/>
      <c r="AL209" s="169"/>
      <c r="AM209" s="169"/>
      <c r="AN209" s="169"/>
      <c r="AO209" s="169"/>
      <c r="AP209" s="169"/>
      <c r="AQ209" s="169"/>
      <c r="AR209" s="169"/>
      <c r="AS209" s="169"/>
      <c r="AT209" s="169"/>
      <c r="AU209" s="169"/>
      <c r="AV209" s="169"/>
      <c r="AW209" s="169"/>
      <c r="AX209" s="169"/>
      <c r="AY209" s="169"/>
      <c r="AZ209" s="169"/>
      <c r="BA209" s="169"/>
      <c r="BB209" s="169"/>
      <c r="BC209" s="169"/>
      <c r="BD209" s="169"/>
      <c r="BE209" s="169"/>
      <c r="BF209" s="169"/>
      <c r="BG209" s="169"/>
      <c r="BH209" s="169"/>
      <c r="BI209" s="169"/>
      <c r="BJ209" s="169"/>
      <c r="BK209" s="169"/>
      <c r="BL209" s="169"/>
      <c r="BM209" s="169"/>
      <c r="BN209" s="169"/>
      <c r="BO209" s="169"/>
      <c r="BP209" s="169"/>
      <c r="BQ209" s="169"/>
      <c r="BR209" s="169"/>
      <c r="BS209" s="169"/>
      <c r="BT209" s="169"/>
      <c r="BU209" s="169"/>
      <c r="BV209" s="169"/>
      <c r="BW209" s="169"/>
      <c r="BX209" s="169"/>
      <c r="BY209" s="169"/>
      <c r="BZ209" s="169"/>
      <c r="CA209"/>
      <c r="CB209"/>
    </row>
    <row r="210" spans="12:91" ht="11.25" customHeight="1">
      <c r="L210" s="150"/>
      <c r="M210" s="501" t="s">
        <v>388</v>
      </c>
      <c r="N210" s="473" t="s">
        <v>358</v>
      </c>
      <c r="O210" s="163" t="s">
        <v>195</v>
      </c>
      <c r="AB210" s="251"/>
      <c r="AC210" s="251"/>
      <c r="AD210" s="251"/>
      <c r="AE210" s="247">
        <f>AF210+AG210</f>
        <v>0</v>
      </c>
      <c r="AF210" s="247">
        <f>AF211*AF212</f>
        <v>0</v>
      </c>
      <c r="AG210" s="247">
        <f>AG211*AG212</f>
        <v>0</v>
      </c>
      <c r="AH210" s="169"/>
      <c r="AI210" s="169"/>
      <c r="AJ210" s="169"/>
      <c r="AK210" s="169"/>
      <c r="AL210" s="169"/>
      <c r="AM210" s="169"/>
      <c r="AN210" s="169"/>
      <c r="AO210" s="169"/>
      <c r="AP210" s="169"/>
      <c r="AQ210" s="169"/>
      <c r="AR210" s="169"/>
      <c r="AS210" s="169"/>
      <c r="AT210" s="169"/>
      <c r="AU210" s="169"/>
      <c r="AV210" s="169"/>
      <c r="AW210" s="169"/>
      <c r="AX210" s="169"/>
      <c r="AY210" s="169"/>
      <c r="AZ210" s="169"/>
      <c r="BA210" s="169"/>
      <c r="BB210" s="169"/>
      <c r="BC210" s="169"/>
      <c r="BD210" s="169"/>
      <c r="BE210" s="169"/>
      <c r="BF210" s="169"/>
      <c r="BG210" s="169"/>
      <c r="BH210" s="169"/>
      <c r="BI210" s="169"/>
      <c r="BJ210" s="169"/>
      <c r="BK210" s="169"/>
      <c r="BL210" s="169"/>
      <c r="BM210" s="169"/>
      <c r="BN210" s="169"/>
      <c r="BO210" s="169"/>
      <c r="BP210" s="169"/>
      <c r="BQ210" s="169"/>
      <c r="BR210" s="169"/>
      <c r="BS210" s="169"/>
      <c r="BT210" s="169"/>
      <c r="BU210" s="169"/>
      <c r="BV210" s="169"/>
      <c r="BW210" s="169"/>
      <c r="BX210" s="169"/>
      <c r="BY210" s="169"/>
      <c r="BZ210" s="169"/>
      <c r="CA210"/>
      <c r="CB210"/>
    </row>
    <row r="211" spans="12:91" ht="11.25" customHeight="1">
      <c r="L211" s="150"/>
      <c r="M211" s="501" t="s">
        <v>389</v>
      </c>
      <c r="N211" s="474" t="s">
        <v>670</v>
      </c>
      <c r="O211" s="163" t="s">
        <v>313</v>
      </c>
      <c r="AB211" s="251"/>
      <c r="AC211" s="251"/>
      <c r="AD211" s="251"/>
      <c r="AE211" s="247">
        <f>IF(AE212=0,0,AE210/AE212)</f>
        <v>0</v>
      </c>
      <c r="AF211" s="245"/>
      <c r="AG211" s="245"/>
      <c r="AH211" s="169"/>
      <c r="AI211" s="169"/>
      <c r="AJ211" s="169"/>
      <c r="AK211" s="169"/>
      <c r="AL211" s="169"/>
      <c r="AM211" s="169"/>
      <c r="AN211" s="169"/>
      <c r="AO211" s="169"/>
      <c r="AP211" s="169"/>
      <c r="AQ211" s="169"/>
      <c r="AR211" s="169"/>
      <c r="AS211" s="169"/>
      <c r="AT211" s="169"/>
      <c r="AU211" s="169"/>
      <c r="AV211" s="169"/>
      <c r="AW211" s="169"/>
      <c r="AX211" s="169"/>
      <c r="AY211" s="169"/>
      <c r="AZ211" s="169"/>
      <c r="BA211" s="169"/>
      <c r="BB211" s="169"/>
      <c r="BC211" s="169"/>
      <c r="BD211" s="169"/>
      <c r="BE211" s="169"/>
      <c r="BF211" s="169"/>
      <c r="BG211" s="169"/>
      <c r="BH211" s="169"/>
      <c r="BI211" s="169"/>
      <c r="BJ211" s="169"/>
      <c r="BK211" s="169"/>
      <c r="BL211" s="169"/>
      <c r="BM211" s="169"/>
      <c r="BN211" s="169"/>
      <c r="BO211" s="169"/>
      <c r="BP211" s="169"/>
      <c r="BQ211" s="169"/>
      <c r="BR211" s="169"/>
      <c r="BS211" s="169"/>
      <c r="BT211" s="169"/>
      <c r="BU211" s="169"/>
      <c r="BV211" s="169"/>
      <c r="BW211" s="169"/>
      <c r="BX211" s="169"/>
      <c r="BY211" s="169"/>
      <c r="BZ211" s="169"/>
      <c r="CA211"/>
      <c r="CB211"/>
    </row>
    <row r="212" spans="12:91" ht="11.25" customHeight="1">
      <c r="L212" s="150"/>
      <c r="M212" s="501" t="s">
        <v>390</v>
      </c>
      <c r="N212" s="474" t="s">
        <v>666</v>
      </c>
      <c r="O212" s="163" t="s">
        <v>284</v>
      </c>
      <c r="AB212" s="251"/>
      <c r="AC212" s="251"/>
      <c r="AD212" s="251"/>
      <c r="AE212" s="247">
        <f>AF212+AG212</f>
        <v>0</v>
      </c>
      <c r="AF212" s="245"/>
      <c r="AG212" s="245"/>
      <c r="AH212" s="169"/>
      <c r="AI212" s="169"/>
      <c r="AJ212" s="169"/>
      <c r="AK212" s="169"/>
      <c r="AL212" s="169"/>
      <c r="AM212" s="169"/>
      <c r="AN212" s="169"/>
      <c r="AO212" s="169"/>
      <c r="AP212" s="169"/>
      <c r="AQ212" s="169"/>
      <c r="AR212" s="169"/>
      <c r="AS212" s="169"/>
      <c r="AT212" s="169"/>
      <c r="AU212" s="169"/>
      <c r="AV212" s="169"/>
      <c r="AW212" s="169"/>
      <c r="AX212" s="169"/>
      <c r="AY212" s="169"/>
      <c r="AZ212" s="169"/>
      <c r="BA212" s="169"/>
      <c r="BB212" s="169"/>
      <c r="BC212" s="169"/>
      <c r="BD212" s="169"/>
      <c r="BE212" s="169"/>
      <c r="BF212" s="169"/>
      <c r="BG212" s="169"/>
      <c r="BH212" s="169"/>
      <c r="BI212" s="169"/>
      <c r="BJ212" s="169"/>
      <c r="BK212" s="169"/>
      <c r="BL212" s="169"/>
      <c r="BM212" s="169"/>
      <c r="BN212" s="169"/>
      <c r="BO212" s="169"/>
      <c r="BP212" s="169"/>
      <c r="BQ212" s="169"/>
      <c r="BR212" s="169"/>
      <c r="BS212" s="169"/>
      <c r="BT212" s="169"/>
      <c r="BU212" s="169"/>
      <c r="BV212" s="169"/>
      <c r="BW212" s="169"/>
      <c r="BX212" s="169"/>
      <c r="BY212" s="169"/>
      <c r="BZ212" s="169"/>
      <c r="CA212"/>
      <c r="CB212"/>
    </row>
    <row r="213" spans="12:91" ht="11.25" customHeight="1">
      <c r="L213" s="150"/>
      <c r="M213" s="501" t="s">
        <v>391</v>
      </c>
      <c r="N213" s="473" t="s">
        <v>362</v>
      </c>
      <c r="O213" s="163" t="s">
        <v>195</v>
      </c>
      <c r="AB213" s="251"/>
      <c r="AC213" s="251"/>
      <c r="AD213" s="251"/>
      <c r="AE213" s="247">
        <f>AF213+AG213</f>
        <v>0</v>
      </c>
      <c r="AF213" s="247">
        <f>AF214*AF215</f>
        <v>0</v>
      </c>
      <c r="AG213" s="247">
        <f>AG214*AG215</f>
        <v>0</v>
      </c>
      <c r="AH213" s="169"/>
      <c r="AI213" s="169"/>
      <c r="AJ213" s="169"/>
      <c r="AK213" s="169"/>
      <c r="AL213" s="169"/>
      <c r="AM213" s="169"/>
      <c r="AN213" s="169"/>
      <c r="AO213" s="169"/>
      <c r="AP213" s="169"/>
      <c r="AQ213" s="169"/>
      <c r="AR213" s="169"/>
      <c r="AS213" s="169"/>
      <c r="AT213" s="169"/>
      <c r="AU213" s="169"/>
      <c r="AV213" s="169"/>
      <c r="AW213" s="169"/>
      <c r="AX213" s="169"/>
      <c r="AY213" s="169"/>
      <c r="AZ213" s="169"/>
      <c r="BA213" s="169"/>
      <c r="BB213" s="169"/>
      <c r="BC213" s="169"/>
      <c r="BD213" s="169"/>
      <c r="BE213" s="169"/>
      <c r="BF213" s="169"/>
      <c r="BG213" s="169"/>
      <c r="BH213" s="169"/>
      <c r="BI213" s="169"/>
      <c r="BJ213" s="169"/>
      <c r="BK213" s="169"/>
      <c r="BL213" s="169"/>
      <c r="BM213" s="169"/>
      <c r="BN213" s="169"/>
      <c r="BO213" s="169"/>
      <c r="BP213" s="169"/>
      <c r="BQ213" s="169"/>
      <c r="BR213" s="169"/>
      <c r="BS213" s="169"/>
      <c r="BT213" s="169"/>
      <c r="BU213" s="169"/>
      <c r="BV213" s="169"/>
      <c r="BW213" s="169"/>
      <c r="BX213" s="169"/>
      <c r="BY213" s="169"/>
      <c r="BZ213" s="169"/>
      <c r="CA213"/>
      <c r="CB213"/>
    </row>
    <row r="214" spans="12:91" ht="11.25" customHeight="1">
      <c r="L214" s="150"/>
      <c r="M214" s="501" t="s">
        <v>392</v>
      </c>
      <c r="N214" s="474" t="s">
        <v>671</v>
      </c>
      <c r="O214" s="163" t="s">
        <v>314</v>
      </c>
      <c r="AB214" s="251"/>
      <c r="AC214" s="251"/>
      <c r="AD214" s="251"/>
      <c r="AE214" s="247">
        <f>IF(AE215=0,0,AE213/AE215)</f>
        <v>0</v>
      </c>
      <c r="AF214" s="245"/>
      <c r="AG214" s="245"/>
      <c r="AH214" s="169"/>
      <c r="AI214" s="169"/>
      <c r="AJ214" s="169"/>
      <c r="AK214" s="169"/>
      <c r="AL214" s="169"/>
      <c r="AM214" s="169"/>
      <c r="AN214" s="169"/>
      <c r="AO214" s="169"/>
      <c r="AP214" s="169"/>
      <c r="AQ214" s="169"/>
      <c r="AR214" s="169"/>
      <c r="AS214" s="169"/>
      <c r="AT214" s="169"/>
      <c r="AU214" s="169"/>
      <c r="AV214" s="169"/>
      <c r="AW214" s="169"/>
      <c r="AX214" s="169"/>
      <c r="AY214" s="169"/>
      <c r="AZ214" s="169"/>
      <c r="BA214" s="169"/>
      <c r="BB214" s="169"/>
      <c r="BC214" s="169"/>
      <c r="BD214" s="169"/>
      <c r="BE214" s="169"/>
      <c r="BF214" s="169"/>
      <c r="BG214" s="169"/>
      <c r="BH214" s="169"/>
      <c r="BI214" s="169"/>
      <c r="BJ214" s="169"/>
      <c r="BK214" s="169"/>
      <c r="BL214" s="169"/>
      <c r="BM214" s="169"/>
      <c r="BN214" s="169"/>
      <c r="BO214" s="169"/>
      <c r="BP214" s="169"/>
      <c r="BQ214" s="169"/>
      <c r="BR214" s="169"/>
      <c r="BS214" s="169"/>
      <c r="BT214" s="169"/>
      <c r="BU214" s="169"/>
      <c r="BV214" s="169"/>
      <c r="BW214" s="169"/>
      <c r="BX214" s="169"/>
      <c r="BY214" s="169"/>
      <c r="BZ214" s="169"/>
      <c r="CA214"/>
      <c r="CB214"/>
    </row>
    <row r="215" spans="12:91" ht="11.25" customHeight="1">
      <c r="L215" s="150"/>
      <c r="M215" s="501" t="s">
        <v>393</v>
      </c>
      <c r="N215" s="474" t="s">
        <v>672</v>
      </c>
      <c r="O215" s="163" t="s">
        <v>669</v>
      </c>
      <c r="AB215" s="251"/>
      <c r="AC215" s="251"/>
      <c r="AD215" s="251"/>
      <c r="AE215" s="247">
        <f>AF215+AG215</f>
        <v>0</v>
      </c>
      <c r="AF215" s="245"/>
      <c r="AG215" s="245"/>
      <c r="AH215" s="169"/>
      <c r="AI215" s="169"/>
      <c r="AJ215" s="169"/>
      <c r="AK215" s="169"/>
      <c r="AL215" s="169"/>
      <c r="AM215" s="169"/>
      <c r="AN215" s="169"/>
      <c r="AO215" s="169"/>
      <c r="AP215" s="169"/>
      <c r="AQ215" s="169"/>
      <c r="AR215" s="169"/>
      <c r="AS215" s="169"/>
      <c r="AT215" s="169"/>
      <c r="AU215" s="169"/>
      <c r="AV215" s="169"/>
      <c r="AW215" s="169"/>
      <c r="AX215" s="169"/>
      <c r="AY215" s="169"/>
      <c r="AZ215" s="169"/>
      <c r="BA215" s="169"/>
      <c r="BB215" s="169"/>
      <c r="BC215" s="169"/>
      <c r="BD215" s="169"/>
      <c r="BE215" s="169"/>
      <c r="BF215" s="169"/>
      <c r="BG215" s="169"/>
      <c r="BH215" s="169"/>
      <c r="BI215" s="169"/>
      <c r="BJ215" s="169"/>
      <c r="BK215" s="169"/>
      <c r="BL215" s="169"/>
      <c r="BM215" s="169"/>
      <c r="BN215" s="169"/>
      <c r="BO215" s="169"/>
      <c r="BP215" s="169"/>
      <c r="BQ215" s="169"/>
      <c r="BR215" s="169"/>
      <c r="BS215" s="169"/>
      <c r="BT215" s="169"/>
      <c r="BU215" s="169"/>
      <c r="BV215" s="169"/>
      <c r="BW215" s="169"/>
      <c r="BX215" s="169"/>
      <c r="BY215" s="169"/>
      <c r="BZ215" s="169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</row>
    <row r="216" spans="12:91" ht="11.25" customHeight="1">
      <c r="L216" s="150"/>
      <c r="M216" s="490" t="s">
        <v>394</v>
      </c>
      <c r="N216" s="494" t="s">
        <v>201</v>
      </c>
      <c r="O216" s="163" t="s">
        <v>195</v>
      </c>
      <c r="AB216" s="251"/>
      <c r="AC216" s="251"/>
      <c r="AD216" s="251"/>
      <c r="AE216" s="247">
        <f>AF216+AG216</f>
        <v>0</v>
      </c>
      <c r="AF216" s="247">
        <f>SUM(AF222,AF229,AF236,AF240,AF244)</f>
        <v>0</v>
      </c>
      <c r="AG216" s="247">
        <f>SUM(AG222,AG229,AG236,AG240,AG244)</f>
        <v>0</v>
      </c>
      <c r="AH216" s="169"/>
      <c r="AI216" s="169"/>
      <c r="AJ216" s="169"/>
      <c r="AK216" s="169"/>
      <c r="AL216" s="169"/>
      <c r="AM216" s="169"/>
      <c r="AN216" s="169"/>
      <c r="AO216" s="169"/>
      <c r="AP216" s="169"/>
      <c r="AQ216" s="169"/>
      <c r="AR216" s="169"/>
      <c r="AS216" s="169"/>
      <c r="AT216" s="169"/>
      <c r="AU216" s="169"/>
      <c r="AV216" s="169"/>
      <c r="AW216" s="169"/>
      <c r="AX216" s="169"/>
      <c r="AY216" s="169"/>
      <c r="AZ216" s="169"/>
      <c r="BA216" s="169"/>
      <c r="BB216" s="169"/>
      <c r="BC216" s="169"/>
      <c r="BD216" s="169"/>
      <c r="BE216" s="169"/>
      <c r="BF216" s="169"/>
      <c r="BG216" s="169"/>
      <c r="BH216" s="169"/>
      <c r="BI216" s="169"/>
      <c r="BJ216" s="169"/>
      <c r="BK216" s="169"/>
      <c r="BL216" s="169"/>
      <c r="BM216" s="169"/>
      <c r="BN216" s="169"/>
      <c r="BO216" s="169"/>
      <c r="BP216" s="169"/>
      <c r="BQ216" s="169"/>
      <c r="BR216" s="169"/>
      <c r="BS216" s="169"/>
      <c r="BT216" s="169"/>
      <c r="BU216" s="169"/>
      <c r="BV216" s="169"/>
      <c r="BW216" s="169"/>
      <c r="BX216" s="169"/>
      <c r="BY216" s="169"/>
      <c r="BZ216" s="169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</row>
    <row r="217" spans="12:91" ht="11.25" customHeight="1">
      <c r="L217" s="150"/>
      <c r="M217" s="502" t="s">
        <v>296</v>
      </c>
      <c r="N217" s="475" t="s">
        <v>25</v>
      </c>
      <c r="O217" s="163" t="s">
        <v>29</v>
      </c>
      <c r="AB217" s="251"/>
      <c r="AC217" s="251"/>
      <c r="AD217" s="251"/>
      <c r="AE217" s="241"/>
      <c r="AF217" s="247">
        <f>IF(AF218=0,0,(1000*AF216/AF218)/AF$6)</f>
        <v>0</v>
      </c>
      <c r="AG217" s="247">
        <f>IF(AG218=0,0,(1000*AG216/AG218)/AG$6)</f>
        <v>0</v>
      </c>
      <c r="AH217" s="169"/>
      <c r="AI217" s="169"/>
      <c r="AJ217" s="169"/>
      <c r="AK217" s="169"/>
      <c r="AL217" s="169"/>
      <c r="AM217" s="169"/>
      <c r="AN217" s="169"/>
      <c r="AO217" s="169"/>
      <c r="AP217" s="169"/>
      <c r="AQ217" s="169"/>
      <c r="AR217" s="169"/>
      <c r="AS217" s="169"/>
      <c r="AT217" s="169"/>
      <c r="AU217" s="169"/>
      <c r="AV217" s="169"/>
      <c r="AW217" s="169"/>
      <c r="AX217" s="169"/>
      <c r="AY217" s="169"/>
      <c r="AZ217" s="169"/>
      <c r="BA217" s="169"/>
      <c r="BB217" s="169"/>
      <c r="BC217" s="169"/>
      <c r="BD217" s="169"/>
      <c r="BE217" s="169"/>
      <c r="BF217" s="169"/>
      <c r="BG217" s="169"/>
      <c r="BH217" s="169"/>
      <c r="BI217" s="169"/>
      <c r="BJ217" s="169"/>
      <c r="BK217" s="169"/>
      <c r="BL217" s="169"/>
      <c r="BM217" s="169"/>
      <c r="BN217" s="169"/>
      <c r="BO217" s="169"/>
      <c r="BP217" s="169"/>
      <c r="BQ217" s="169"/>
      <c r="BR217" s="169"/>
      <c r="BS217" s="169"/>
      <c r="BT217" s="169"/>
      <c r="BU217" s="169"/>
      <c r="BV217" s="169"/>
      <c r="BW217" s="169"/>
      <c r="BX217" s="169"/>
      <c r="BY217" s="169"/>
      <c r="BZ217" s="169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</row>
    <row r="218" spans="12:91" ht="11.25" customHeight="1">
      <c r="L218" s="150"/>
      <c r="M218" s="502" t="s">
        <v>297</v>
      </c>
      <c r="N218" s="475" t="s">
        <v>26</v>
      </c>
      <c r="O218" s="163" t="s">
        <v>289</v>
      </c>
      <c r="AB218" s="251"/>
      <c r="AC218" s="251"/>
      <c r="AD218" s="251"/>
      <c r="AE218" s="241"/>
      <c r="AF218" s="247">
        <f>SUM(AF224,AF231,AF238,AF242,AF246)</f>
        <v>0</v>
      </c>
      <c r="AG218" s="247">
        <f>SUM(AG224,AG231,AG238,AG242,AG246)</f>
        <v>0</v>
      </c>
      <c r="AH218" s="169"/>
      <c r="AI218" s="169"/>
      <c r="AJ218" s="169"/>
      <c r="AK218" s="169"/>
      <c r="AL218" s="169"/>
      <c r="AM218" s="169"/>
      <c r="AN218" s="169"/>
      <c r="AO218" s="169"/>
      <c r="AP218" s="169"/>
      <c r="AQ218" s="169"/>
      <c r="AR218" s="169"/>
      <c r="AS218" s="169"/>
      <c r="AT218" s="169"/>
      <c r="AU218" s="169"/>
      <c r="AV218" s="169"/>
      <c r="AW218" s="169"/>
      <c r="AX218" s="169"/>
      <c r="AY218" s="169"/>
      <c r="AZ218" s="169"/>
      <c r="BA218" s="169"/>
      <c r="BB218" s="169"/>
      <c r="BC218" s="169"/>
      <c r="BD218" s="169"/>
      <c r="BE218" s="169"/>
      <c r="BF218" s="169"/>
      <c r="BG218" s="169"/>
      <c r="BH218" s="169"/>
      <c r="BI218" s="169"/>
      <c r="BJ218" s="169"/>
      <c r="BK218" s="169"/>
      <c r="BL218" s="169"/>
      <c r="BM218" s="169"/>
      <c r="BN218" s="169"/>
      <c r="BO218" s="169"/>
      <c r="BP218" s="169"/>
      <c r="BQ218" s="169"/>
      <c r="BR218" s="169"/>
      <c r="BS218" s="169"/>
      <c r="BT218" s="169"/>
      <c r="BU218" s="169"/>
      <c r="BV218" s="169"/>
      <c r="BW218" s="169"/>
      <c r="BX218" s="169"/>
      <c r="BY218" s="169"/>
      <c r="BZ218" s="169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</row>
    <row r="219" spans="12:91" ht="11.25" customHeight="1">
      <c r="L219" s="150"/>
      <c r="M219" s="503" t="str">
        <f>M218 &amp; ".1"</f>
        <v>6.0.2.1</v>
      </c>
      <c r="N219" s="476" t="s">
        <v>28</v>
      </c>
      <c r="O219" s="163" t="s">
        <v>289</v>
      </c>
      <c r="AB219" s="251"/>
      <c r="AC219" s="251"/>
      <c r="AD219" s="251"/>
      <c r="AE219" s="241"/>
      <c r="AF219" s="247">
        <f>SUM(AF225,AF232,AF239,AF243,AF247)</f>
        <v>0</v>
      </c>
      <c r="AG219" s="247">
        <f>SUM(AG225,AG232,AG239,AG243,AG247)</f>
        <v>0</v>
      </c>
      <c r="AH219" s="169"/>
      <c r="AI219" s="169"/>
      <c r="AJ219" s="169"/>
      <c r="AK219" s="169"/>
      <c r="AL219" s="169"/>
      <c r="AM219" s="169"/>
      <c r="AN219" s="169"/>
      <c r="AO219" s="169"/>
      <c r="AP219" s="169"/>
      <c r="AQ219" s="169"/>
      <c r="AR219" s="169"/>
      <c r="AS219" s="169"/>
      <c r="AT219" s="169"/>
      <c r="AU219" s="169"/>
      <c r="AV219" s="169"/>
      <c r="AW219" s="169"/>
      <c r="AX219" s="169"/>
      <c r="AY219" s="169"/>
      <c r="AZ219" s="169"/>
      <c r="BA219" s="169"/>
      <c r="BB219" s="169"/>
      <c r="BC219" s="169"/>
      <c r="BD219" s="169"/>
      <c r="BE219" s="169"/>
      <c r="BF219" s="169"/>
      <c r="BG219" s="169"/>
      <c r="BH219" s="169"/>
      <c r="BI219" s="169"/>
      <c r="BJ219" s="169"/>
      <c r="BK219" s="169"/>
      <c r="BL219" s="169"/>
      <c r="BM219" s="169"/>
      <c r="BN219" s="169"/>
      <c r="BO219" s="169"/>
      <c r="BP219" s="169"/>
      <c r="BQ219" s="169"/>
      <c r="BR219" s="169"/>
      <c r="BS219" s="169"/>
      <c r="BT219" s="169"/>
      <c r="BU219" s="169"/>
      <c r="BV219" s="169"/>
      <c r="BW219" s="169"/>
      <c r="BX219" s="169"/>
      <c r="BY219" s="169"/>
      <c r="BZ219" s="16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</row>
    <row r="220" spans="12:91" ht="11.25" customHeight="1">
      <c r="L220" s="150"/>
      <c r="M220" s="503" t="str">
        <f>M218 &amp; ".2"</f>
        <v>6.0.2.2</v>
      </c>
      <c r="N220" s="476" t="s">
        <v>27</v>
      </c>
      <c r="O220" s="163" t="s">
        <v>755</v>
      </c>
      <c r="AB220" s="251"/>
      <c r="AC220" s="251"/>
      <c r="AD220" s="251"/>
      <c r="AE220" s="241"/>
      <c r="AF220" s="247">
        <f>IF(AF219=0,0,AF218/AF219*100)</f>
        <v>0</v>
      </c>
      <c r="AG220" s="247">
        <f>IF(AG219=0,0,AG218/AG219*100)</f>
        <v>0</v>
      </c>
      <c r="AH220" s="169"/>
      <c r="AI220" s="169"/>
      <c r="AJ220" s="169"/>
      <c r="AK220" s="169"/>
      <c r="AL220" s="169"/>
      <c r="AM220" s="169"/>
      <c r="AN220" s="169"/>
      <c r="AO220" s="169"/>
      <c r="AP220" s="169"/>
      <c r="AQ220" s="169"/>
      <c r="AR220" s="169"/>
      <c r="AS220" s="169"/>
      <c r="AT220" s="169"/>
      <c r="AU220" s="169"/>
      <c r="AV220" s="169"/>
      <c r="AW220" s="169"/>
      <c r="AX220" s="169"/>
      <c r="AY220" s="169"/>
      <c r="AZ220" s="169"/>
      <c r="BA220" s="169"/>
      <c r="BB220" s="169"/>
      <c r="BC220" s="169"/>
      <c r="BD220" s="169"/>
      <c r="BE220" s="169"/>
      <c r="BF220" s="169"/>
      <c r="BG220" s="169"/>
      <c r="BH220" s="169"/>
      <c r="BI220" s="169"/>
      <c r="BJ220" s="169"/>
      <c r="BK220" s="169"/>
      <c r="BL220" s="169"/>
      <c r="BM220" s="169"/>
      <c r="BN220" s="169"/>
      <c r="BO220" s="169"/>
      <c r="BP220" s="169"/>
      <c r="BQ220" s="169"/>
      <c r="BR220" s="169"/>
      <c r="BS220" s="169"/>
      <c r="BT220" s="169"/>
      <c r="BU220" s="169"/>
      <c r="BV220" s="169"/>
      <c r="BW220" s="169"/>
      <c r="BX220" s="169"/>
      <c r="BY220" s="169"/>
      <c r="BZ220" s="169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</row>
    <row r="221" spans="12:91" ht="11.25" customHeight="1">
      <c r="L221" s="150"/>
      <c r="M221" s="502" t="s">
        <v>741</v>
      </c>
      <c r="N221" s="475" t="s">
        <v>32</v>
      </c>
      <c r="O221" s="163" t="s">
        <v>29</v>
      </c>
      <c r="AB221" s="251"/>
      <c r="AC221" s="251"/>
      <c r="AD221" s="251"/>
      <c r="AE221" s="241"/>
      <c r="AF221" s="245"/>
      <c r="AG221" s="245"/>
      <c r="AH221" s="169"/>
      <c r="AI221" s="169"/>
      <c r="AJ221" s="169"/>
      <c r="AK221" s="169"/>
      <c r="AL221" s="169"/>
      <c r="AM221" s="169"/>
      <c r="AN221" s="169"/>
      <c r="AO221" s="169"/>
      <c r="AP221" s="169"/>
      <c r="AQ221" s="169"/>
      <c r="AR221" s="169"/>
      <c r="AS221" s="169"/>
      <c r="AT221" s="169"/>
      <c r="AU221" s="169"/>
      <c r="AV221" s="169"/>
      <c r="AW221" s="169"/>
      <c r="AX221" s="169"/>
      <c r="AY221" s="169"/>
      <c r="AZ221" s="169"/>
      <c r="BA221" s="169"/>
      <c r="BB221" s="169"/>
      <c r="BC221" s="169"/>
      <c r="BD221" s="169"/>
      <c r="BE221" s="169"/>
      <c r="BF221" s="169"/>
      <c r="BG221" s="169"/>
      <c r="BH221" s="169"/>
      <c r="BI221" s="169"/>
      <c r="BJ221" s="169"/>
      <c r="BK221" s="169"/>
      <c r="BL221" s="169"/>
      <c r="BM221" s="169"/>
      <c r="BN221" s="169"/>
      <c r="BO221" s="169"/>
      <c r="BP221" s="169"/>
      <c r="BQ221" s="169"/>
      <c r="BR221" s="169"/>
      <c r="BS221" s="169"/>
      <c r="BT221" s="169"/>
      <c r="BU221" s="169"/>
      <c r="BV221" s="169"/>
      <c r="BW221" s="169"/>
      <c r="BX221" s="169"/>
      <c r="BY221" s="169"/>
      <c r="BZ221" s="169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</row>
    <row r="222" spans="12:91" ht="11.25" customHeight="1">
      <c r="L222" s="150"/>
      <c r="M222" s="501" t="s">
        <v>711</v>
      </c>
      <c r="N222" s="477" t="s">
        <v>573</v>
      </c>
      <c r="O222" s="163" t="s">
        <v>195</v>
      </c>
      <c r="AB222" s="251"/>
      <c r="AC222" s="251"/>
      <c r="AD222" s="251"/>
      <c r="AE222" s="247">
        <f>AF222+AG222</f>
        <v>0</v>
      </c>
      <c r="AF222" s="245"/>
      <c r="AG222" s="245"/>
      <c r="AH222" s="169"/>
      <c r="AI222" s="169"/>
      <c r="AJ222" s="169"/>
      <c r="AK222" s="169"/>
      <c r="AL222" s="169"/>
      <c r="AM222" s="169"/>
      <c r="AN222" s="169"/>
      <c r="AO222" s="169"/>
      <c r="AP222" s="169"/>
      <c r="AQ222" s="169"/>
      <c r="AR222" s="169"/>
      <c r="AS222" s="169"/>
      <c r="AT222" s="169"/>
      <c r="AU222" s="169"/>
      <c r="AV222" s="169"/>
      <c r="AW222" s="169"/>
      <c r="AX222" s="169"/>
      <c r="AY222" s="169"/>
      <c r="AZ222" s="169"/>
      <c r="BA222" s="169"/>
      <c r="BB222" s="169"/>
      <c r="BC222" s="169"/>
      <c r="BD222" s="169"/>
      <c r="BE222" s="169"/>
      <c r="BF222" s="169"/>
      <c r="BG222" s="169"/>
      <c r="BH222" s="169"/>
      <c r="BI222" s="169"/>
      <c r="BJ222" s="169"/>
      <c r="BK222" s="169"/>
      <c r="BL222" s="169"/>
      <c r="BM222" s="169"/>
      <c r="BN222" s="169"/>
      <c r="BO222" s="169"/>
      <c r="BP222" s="169"/>
      <c r="BQ222" s="169"/>
      <c r="BR222" s="169"/>
      <c r="BS222" s="169"/>
      <c r="BT222" s="169"/>
      <c r="BU222" s="169"/>
      <c r="BV222" s="169"/>
      <c r="BW222" s="169"/>
      <c r="BX222" s="169"/>
      <c r="BY222" s="169"/>
      <c r="BZ222" s="169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</row>
    <row r="223" spans="12:91" ht="11.25" customHeight="1">
      <c r="L223" s="150"/>
      <c r="M223" s="501" t="s">
        <v>574</v>
      </c>
      <c r="N223" s="475" t="s">
        <v>30</v>
      </c>
      <c r="O223" s="163" t="s">
        <v>29</v>
      </c>
      <c r="AB223" s="251"/>
      <c r="AC223" s="251"/>
      <c r="AD223" s="251"/>
      <c r="AE223" s="241"/>
      <c r="AF223" s="247">
        <f>IF(AF224=0,0,(1000*AF222/AF224)/AF$6)</f>
        <v>0</v>
      </c>
      <c r="AG223" s="247">
        <f>IF(AG224=0,0,(1000*AG222/AG224)/AG$6)</f>
        <v>0</v>
      </c>
      <c r="AH223" s="169"/>
      <c r="AI223" s="169"/>
      <c r="AJ223" s="169"/>
      <c r="AK223" s="169"/>
      <c r="AL223" s="169"/>
      <c r="AM223" s="169"/>
      <c r="AN223" s="169"/>
      <c r="AO223" s="169"/>
      <c r="AP223" s="169"/>
      <c r="AQ223" s="169"/>
      <c r="AR223" s="169"/>
      <c r="AS223" s="169"/>
      <c r="AT223" s="169"/>
      <c r="AU223" s="169"/>
      <c r="AV223" s="169"/>
      <c r="AW223" s="169"/>
      <c r="AX223" s="169"/>
      <c r="AY223" s="169"/>
      <c r="AZ223" s="169"/>
      <c r="BA223" s="169"/>
      <c r="BB223" s="169"/>
      <c r="BC223" s="169"/>
      <c r="BD223" s="169"/>
      <c r="BE223" s="169"/>
      <c r="BF223" s="169"/>
      <c r="BG223" s="169"/>
      <c r="BH223" s="169"/>
      <c r="BI223" s="169"/>
      <c r="BJ223" s="169"/>
      <c r="BK223" s="169"/>
      <c r="BL223" s="169"/>
      <c r="BM223" s="169"/>
      <c r="BN223" s="169"/>
      <c r="BO223" s="169"/>
      <c r="BP223" s="169"/>
      <c r="BQ223" s="169"/>
      <c r="BR223" s="169"/>
      <c r="BS223" s="169"/>
      <c r="BT223" s="169"/>
      <c r="BU223" s="169"/>
      <c r="BV223" s="169"/>
      <c r="BW223" s="169"/>
      <c r="BX223" s="169"/>
      <c r="BY223" s="169"/>
      <c r="BZ223" s="169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</row>
    <row r="224" spans="12:91" ht="11.25" customHeight="1">
      <c r="L224" s="150"/>
      <c r="M224" s="501" t="s">
        <v>575</v>
      </c>
      <c r="N224" s="475" t="s">
        <v>31</v>
      </c>
      <c r="O224" s="163" t="s">
        <v>289</v>
      </c>
      <c r="AB224" s="251"/>
      <c r="AC224" s="251"/>
      <c r="AD224" s="251"/>
      <c r="AE224" s="241"/>
      <c r="AF224" s="245"/>
      <c r="AG224" s="245"/>
      <c r="AH224" s="169"/>
      <c r="AI224" s="169"/>
      <c r="AJ224" s="169"/>
      <c r="AK224" s="169"/>
      <c r="AL224" s="169"/>
      <c r="AM224" s="169"/>
      <c r="AN224" s="169"/>
      <c r="AO224" s="169"/>
      <c r="AP224" s="169"/>
      <c r="AQ224" s="169"/>
      <c r="AR224" s="169"/>
      <c r="AS224" s="169"/>
      <c r="AT224" s="169"/>
      <c r="AU224" s="169"/>
      <c r="AV224" s="169"/>
      <c r="AW224" s="169"/>
      <c r="AX224" s="169"/>
      <c r="AY224" s="169"/>
      <c r="AZ224" s="169"/>
      <c r="BA224" s="169"/>
      <c r="BB224" s="169"/>
      <c r="BC224" s="169"/>
      <c r="BD224" s="169"/>
      <c r="BE224" s="169"/>
      <c r="BF224" s="169"/>
      <c r="BG224" s="169"/>
      <c r="BH224" s="169"/>
      <c r="BI224" s="169"/>
      <c r="BJ224" s="169"/>
      <c r="BK224" s="169"/>
      <c r="BL224" s="169"/>
      <c r="BM224" s="169"/>
      <c r="BN224" s="169"/>
      <c r="BO224" s="169"/>
      <c r="BP224" s="169"/>
      <c r="BQ224" s="169"/>
      <c r="BR224" s="169"/>
      <c r="BS224" s="169"/>
      <c r="BT224" s="169"/>
      <c r="BU224" s="169"/>
      <c r="BV224" s="169"/>
      <c r="BW224" s="169"/>
      <c r="BX224" s="169"/>
      <c r="BY224" s="169"/>
      <c r="BZ224" s="169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</row>
    <row r="225" spans="12:91" ht="11.25" customHeight="1">
      <c r="L225" s="150"/>
      <c r="M225" s="501" t="str">
        <f>M224 &amp; ".0"</f>
        <v>6.1.2.0</v>
      </c>
      <c r="N225" s="476" t="str">
        <f>"справочно: нормативная " &amp; N224</f>
        <v>справочно: нормативная численность основного производственного персонала, относимого на регулируемый вид деятельности</v>
      </c>
      <c r="O225" s="163" t="s">
        <v>289</v>
      </c>
      <c r="AB225" s="251"/>
      <c r="AC225" s="251"/>
      <c r="AD225" s="251"/>
      <c r="AE225" s="241"/>
      <c r="AF225" s="245"/>
      <c r="AG225" s="245"/>
      <c r="AH225" s="169"/>
      <c r="AI225" s="169"/>
      <c r="AJ225" s="169"/>
      <c r="AK225" s="169"/>
      <c r="AL225" s="169"/>
      <c r="AM225" s="169"/>
      <c r="AN225" s="169"/>
      <c r="AO225" s="169"/>
      <c r="AP225" s="169"/>
      <c r="AQ225" s="169"/>
      <c r="AR225" s="169"/>
      <c r="AS225" s="169"/>
      <c r="AT225" s="169"/>
      <c r="AU225" s="169"/>
      <c r="AV225" s="169"/>
      <c r="AW225" s="169"/>
      <c r="AX225" s="169"/>
      <c r="AY225" s="169"/>
      <c r="AZ225" s="169"/>
      <c r="BA225" s="169"/>
      <c r="BB225" s="169"/>
      <c r="BC225" s="169"/>
      <c r="BD225" s="169"/>
      <c r="BE225" s="169"/>
      <c r="BF225" s="169"/>
      <c r="BG225" s="169"/>
      <c r="BH225" s="169"/>
      <c r="BI225" s="169"/>
      <c r="BJ225" s="169"/>
      <c r="BK225" s="169"/>
      <c r="BL225" s="169"/>
      <c r="BM225" s="169"/>
      <c r="BN225" s="169"/>
      <c r="BO225" s="169"/>
      <c r="BP225" s="169"/>
      <c r="BQ225" s="169"/>
      <c r="BR225" s="169"/>
      <c r="BS225" s="169"/>
      <c r="BT225" s="169"/>
      <c r="BU225" s="169"/>
      <c r="BV225" s="169"/>
      <c r="BW225" s="169"/>
      <c r="BX225" s="169"/>
      <c r="BY225" s="169"/>
      <c r="BZ225" s="169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</row>
    <row r="226" spans="12:91" ht="11.25" customHeight="1">
      <c r="L226" s="150"/>
      <c r="M226" s="501" t="s">
        <v>745</v>
      </c>
      <c r="N226" s="475" t="s">
        <v>33</v>
      </c>
      <c r="O226" s="163" t="s">
        <v>29</v>
      </c>
      <c r="AB226" s="251"/>
      <c r="AC226" s="251"/>
      <c r="AD226" s="251"/>
      <c r="AE226" s="241"/>
      <c r="AF226" s="245"/>
      <c r="AG226" s="245"/>
      <c r="AH226" s="169"/>
      <c r="AI226" s="169"/>
      <c r="AJ226" s="169"/>
      <c r="AK226" s="169"/>
      <c r="AL226" s="169"/>
      <c r="AM226" s="169"/>
      <c r="AN226" s="169"/>
      <c r="AO226" s="169"/>
      <c r="AP226" s="169"/>
      <c r="AQ226" s="169"/>
      <c r="AR226" s="169"/>
      <c r="AS226" s="169"/>
      <c r="AT226" s="169"/>
      <c r="AU226" s="169"/>
      <c r="AV226" s="169"/>
      <c r="AW226" s="169"/>
      <c r="AX226" s="169"/>
      <c r="AY226" s="169"/>
      <c r="AZ226" s="169"/>
      <c r="BA226" s="169"/>
      <c r="BB226" s="169"/>
      <c r="BC226" s="169"/>
      <c r="BD226" s="169"/>
      <c r="BE226" s="169"/>
      <c r="BF226" s="169"/>
      <c r="BG226" s="169"/>
      <c r="BH226" s="169"/>
      <c r="BI226" s="169"/>
      <c r="BJ226" s="169"/>
      <c r="BK226" s="169"/>
      <c r="BL226" s="169"/>
      <c r="BM226" s="169"/>
      <c r="BN226" s="169"/>
      <c r="BO226" s="169"/>
      <c r="BP226" s="169"/>
      <c r="BQ226" s="169"/>
      <c r="BR226" s="169"/>
      <c r="BS226" s="169"/>
      <c r="BT226" s="169"/>
      <c r="BU226" s="169"/>
      <c r="BV226" s="169"/>
      <c r="BW226" s="169"/>
      <c r="BX226" s="169"/>
      <c r="BY226" s="169"/>
      <c r="BZ226" s="169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</row>
    <row r="227" spans="12:91" ht="11.25" customHeight="1">
      <c r="L227" s="150"/>
      <c r="M227" s="501" t="s">
        <v>746</v>
      </c>
      <c r="N227" s="475" t="s">
        <v>34</v>
      </c>
      <c r="O227" s="163" t="s">
        <v>29</v>
      </c>
      <c r="AB227" s="251"/>
      <c r="AC227" s="251"/>
      <c r="AD227" s="251"/>
      <c r="AE227" s="241"/>
      <c r="AF227" s="245"/>
      <c r="AG227" s="245"/>
      <c r="AH227" s="169"/>
      <c r="AI227" s="169"/>
      <c r="AJ227" s="169"/>
      <c r="AK227" s="169"/>
      <c r="AL227" s="169"/>
      <c r="AM227" s="169"/>
      <c r="AN227" s="169"/>
      <c r="AO227" s="169"/>
      <c r="AP227" s="169"/>
      <c r="AQ227" s="169"/>
      <c r="AR227" s="169"/>
      <c r="AS227" s="169"/>
      <c r="AT227" s="169"/>
      <c r="AU227" s="169"/>
      <c r="AV227" s="169"/>
      <c r="AW227" s="169"/>
      <c r="AX227" s="169"/>
      <c r="AY227" s="169"/>
      <c r="AZ227" s="169"/>
      <c r="BA227" s="169"/>
      <c r="BB227" s="169"/>
      <c r="BC227" s="169"/>
      <c r="BD227" s="169"/>
      <c r="BE227" s="169"/>
      <c r="BF227" s="169"/>
      <c r="BG227" s="169"/>
      <c r="BH227" s="169"/>
      <c r="BI227" s="169"/>
      <c r="BJ227" s="169"/>
      <c r="BK227" s="169"/>
      <c r="BL227" s="169"/>
      <c r="BM227" s="169"/>
      <c r="BN227" s="169"/>
      <c r="BO227" s="169"/>
      <c r="BP227" s="169"/>
      <c r="BQ227" s="169"/>
      <c r="BR227" s="169"/>
      <c r="BS227" s="169"/>
      <c r="BT227" s="169"/>
      <c r="BU227" s="169"/>
      <c r="BV227" s="169"/>
      <c r="BW227" s="169"/>
      <c r="BX227" s="169"/>
      <c r="BY227" s="169"/>
      <c r="BZ227" s="169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</row>
    <row r="228" spans="12:91" ht="11.25" customHeight="1">
      <c r="L228" s="150"/>
      <c r="M228" s="501" t="s">
        <v>747</v>
      </c>
      <c r="N228" s="475" t="s">
        <v>35</v>
      </c>
      <c r="O228" s="163" t="s">
        <v>29</v>
      </c>
      <c r="AB228" s="251"/>
      <c r="AC228" s="251"/>
      <c r="AD228" s="251"/>
      <c r="AE228" s="241"/>
      <c r="AF228" s="245"/>
      <c r="AG228" s="245"/>
      <c r="AH228" s="169"/>
      <c r="AI228" s="169"/>
      <c r="AJ228" s="169"/>
      <c r="AK228" s="169"/>
      <c r="AL228" s="169"/>
      <c r="AM228" s="169"/>
      <c r="AN228" s="169"/>
      <c r="AO228" s="169"/>
      <c r="AP228" s="169"/>
      <c r="AQ228" s="169"/>
      <c r="AR228" s="169"/>
      <c r="AS228" s="169"/>
      <c r="AT228" s="169"/>
      <c r="AU228" s="169"/>
      <c r="AV228" s="169"/>
      <c r="AW228" s="169"/>
      <c r="AX228" s="169"/>
      <c r="AY228" s="169"/>
      <c r="AZ228" s="169"/>
      <c r="BA228" s="169"/>
      <c r="BB228" s="169"/>
      <c r="BC228" s="169"/>
      <c r="BD228" s="169"/>
      <c r="BE228" s="169"/>
      <c r="BF228" s="169"/>
      <c r="BG228" s="169"/>
      <c r="BH228" s="169"/>
      <c r="BI228" s="169"/>
      <c r="BJ228" s="169"/>
      <c r="BK228" s="169"/>
      <c r="BL228" s="169"/>
      <c r="BM228" s="169"/>
      <c r="BN228" s="169"/>
      <c r="BO228" s="169"/>
      <c r="BP228" s="169"/>
      <c r="BQ228" s="169"/>
      <c r="BR228" s="169"/>
      <c r="BS228" s="169"/>
      <c r="BT228" s="169"/>
      <c r="BU228" s="169"/>
      <c r="BV228" s="169"/>
      <c r="BW228" s="169"/>
      <c r="BX228" s="169"/>
      <c r="BY228" s="169"/>
      <c r="BZ228" s="169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</row>
    <row r="229" spans="12:91" ht="11.25" customHeight="1">
      <c r="L229" s="150"/>
      <c r="M229" s="501" t="s">
        <v>704</v>
      </c>
      <c r="N229" s="477" t="s">
        <v>577</v>
      </c>
      <c r="O229" s="163" t="s">
        <v>195</v>
      </c>
      <c r="AB229" s="251"/>
      <c r="AC229" s="251"/>
      <c r="AD229" s="251"/>
      <c r="AE229" s="247">
        <f>AF229+AG229</f>
        <v>0</v>
      </c>
      <c r="AF229" s="245"/>
      <c r="AG229" s="245"/>
      <c r="AH229" s="169"/>
      <c r="AI229" s="169"/>
      <c r="AJ229" s="169"/>
      <c r="AK229" s="169"/>
      <c r="AL229" s="169"/>
      <c r="AM229" s="169"/>
      <c r="AN229" s="169"/>
      <c r="AO229" s="169"/>
      <c r="AP229" s="169"/>
      <c r="AQ229" s="169"/>
      <c r="AR229" s="169"/>
      <c r="AS229" s="169"/>
      <c r="AT229" s="169"/>
      <c r="AU229" s="169"/>
      <c r="AV229" s="169"/>
      <c r="AW229" s="169"/>
      <c r="AX229" s="169"/>
      <c r="AY229" s="169"/>
      <c r="AZ229" s="169"/>
      <c r="BA229" s="169"/>
      <c r="BB229" s="169"/>
      <c r="BC229" s="169"/>
      <c r="BD229" s="169"/>
      <c r="BE229" s="169"/>
      <c r="BF229" s="169"/>
      <c r="BG229" s="169"/>
      <c r="BH229" s="169"/>
      <c r="BI229" s="169"/>
      <c r="BJ229" s="169"/>
      <c r="BK229" s="169"/>
      <c r="BL229" s="169"/>
      <c r="BM229" s="169"/>
      <c r="BN229" s="169"/>
      <c r="BO229" s="169"/>
      <c r="BP229" s="169"/>
      <c r="BQ229" s="169"/>
      <c r="BR229" s="169"/>
      <c r="BS229" s="169"/>
      <c r="BT229" s="169"/>
      <c r="BU229" s="169"/>
      <c r="BV229" s="169"/>
      <c r="BW229" s="169"/>
      <c r="BX229" s="169"/>
      <c r="BY229" s="169"/>
      <c r="BZ229" s="16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</row>
    <row r="230" spans="12:91" ht="11.25" customHeight="1">
      <c r="L230" s="150"/>
      <c r="M230" s="501" t="s">
        <v>576</v>
      </c>
      <c r="N230" s="478" t="s">
        <v>36</v>
      </c>
      <c r="O230" s="163" t="s">
        <v>29</v>
      </c>
      <c r="AB230" s="251"/>
      <c r="AC230" s="251"/>
      <c r="AD230" s="251"/>
      <c r="AE230" s="241"/>
      <c r="AF230" s="247">
        <f>IF(AF231=0,0,(1000*AF229/AF231)/AF$6)</f>
        <v>0</v>
      </c>
      <c r="AG230" s="247">
        <f>IF(AG231=0,0,(1000*AG229/AG231)/AG$6)</f>
        <v>0</v>
      </c>
      <c r="AH230" s="169"/>
      <c r="AI230" s="169"/>
      <c r="AJ230" s="169"/>
      <c r="AK230" s="169"/>
      <c r="AL230" s="169"/>
      <c r="AM230" s="169"/>
      <c r="AN230" s="169"/>
      <c r="AO230" s="169"/>
      <c r="AP230" s="169"/>
      <c r="AQ230" s="169"/>
      <c r="AR230" s="169"/>
      <c r="AS230" s="169"/>
      <c r="AT230" s="169"/>
      <c r="AU230" s="169"/>
      <c r="AV230" s="169"/>
      <c r="AW230" s="169"/>
      <c r="AX230" s="169"/>
      <c r="AY230" s="169"/>
      <c r="AZ230" s="169"/>
      <c r="BA230" s="169"/>
      <c r="BB230" s="169"/>
      <c r="BC230" s="169"/>
      <c r="BD230" s="169"/>
      <c r="BE230" s="169"/>
      <c r="BF230" s="169"/>
      <c r="BG230" s="169"/>
      <c r="BH230" s="169"/>
      <c r="BI230" s="169"/>
      <c r="BJ230" s="169"/>
      <c r="BK230" s="169"/>
      <c r="BL230" s="169"/>
      <c r="BM230" s="169"/>
      <c r="BN230" s="169"/>
      <c r="BO230" s="169"/>
      <c r="BP230" s="169"/>
      <c r="BQ230" s="169"/>
      <c r="BR230" s="169"/>
      <c r="BS230" s="169"/>
      <c r="BT230" s="169"/>
      <c r="BU230" s="169"/>
      <c r="BV230" s="169"/>
      <c r="BW230" s="169"/>
      <c r="BX230" s="169"/>
      <c r="BY230" s="169"/>
      <c r="BZ230" s="169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</row>
    <row r="231" spans="12:91" ht="11.25" customHeight="1">
      <c r="L231" s="150"/>
      <c r="M231" s="501" t="s">
        <v>578</v>
      </c>
      <c r="N231" s="478" t="s">
        <v>37</v>
      </c>
      <c r="O231" s="163" t="s">
        <v>289</v>
      </c>
      <c r="AB231" s="251"/>
      <c r="AC231" s="251"/>
      <c r="AD231" s="251"/>
      <c r="AE231" s="241"/>
      <c r="AF231" s="245"/>
      <c r="AG231" s="245"/>
      <c r="AH231" s="169"/>
      <c r="AI231" s="169"/>
      <c r="AJ231" s="169"/>
      <c r="AK231" s="169"/>
      <c r="AL231" s="169"/>
      <c r="AM231" s="169"/>
      <c r="AN231" s="169"/>
      <c r="AO231" s="169"/>
      <c r="AP231" s="169"/>
      <c r="AQ231" s="169"/>
      <c r="AR231" s="169"/>
      <c r="AS231" s="169"/>
      <c r="AT231" s="169"/>
      <c r="AU231" s="169"/>
      <c r="AV231" s="169"/>
      <c r="AW231" s="169"/>
      <c r="AX231" s="169"/>
      <c r="AY231" s="169"/>
      <c r="AZ231" s="169"/>
      <c r="BA231" s="169"/>
      <c r="BB231" s="169"/>
      <c r="BC231" s="169"/>
      <c r="BD231" s="169"/>
      <c r="BE231" s="169"/>
      <c r="BF231" s="169"/>
      <c r="BG231" s="169"/>
      <c r="BH231" s="169"/>
      <c r="BI231" s="169"/>
      <c r="BJ231" s="169"/>
      <c r="BK231" s="169"/>
      <c r="BL231" s="169"/>
      <c r="BM231" s="169"/>
      <c r="BN231" s="169"/>
      <c r="BO231" s="169"/>
      <c r="BP231" s="169"/>
      <c r="BQ231" s="169"/>
      <c r="BR231" s="169"/>
      <c r="BS231" s="169"/>
      <c r="BT231" s="169"/>
      <c r="BU231" s="169"/>
      <c r="BV231" s="169"/>
      <c r="BW231" s="169"/>
      <c r="BX231" s="169"/>
      <c r="BY231" s="169"/>
      <c r="BZ231" s="169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</row>
    <row r="232" spans="12:91" ht="11.25" customHeight="1">
      <c r="L232" s="150"/>
      <c r="M232" s="501" t="str">
        <f>M231 &amp; ".0"</f>
        <v>6.2.2.0</v>
      </c>
      <c r="N232" s="476" t="str">
        <f>"справочно: нормативная " &amp; N231</f>
        <v>справочно: нормативная численность ремонтного персонала, относимого на регулируемый вид деятельности</v>
      </c>
      <c r="O232" s="163" t="s">
        <v>289</v>
      </c>
      <c r="AB232" s="251"/>
      <c r="AC232" s="251"/>
      <c r="AD232" s="251"/>
      <c r="AE232" s="241"/>
      <c r="AF232" s="245"/>
      <c r="AG232" s="245"/>
      <c r="AH232" s="169"/>
      <c r="AI232" s="169"/>
      <c r="AJ232" s="169"/>
      <c r="AK232" s="169"/>
      <c r="AL232" s="169"/>
      <c r="AM232" s="169"/>
      <c r="AN232" s="169"/>
      <c r="AO232" s="169"/>
      <c r="AP232" s="169"/>
      <c r="AQ232" s="169"/>
      <c r="AR232" s="169"/>
      <c r="AS232" s="169"/>
      <c r="AT232" s="169"/>
      <c r="AU232" s="169"/>
      <c r="AV232" s="169"/>
      <c r="AW232" s="169"/>
      <c r="AX232" s="169"/>
      <c r="AY232" s="169"/>
      <c r="AZ232" s="169"/>
      <c r="BA232" s="169"/>
      <c r="BB232" s="169"/>
      <c r="BC232" s="169"/>
      <c r="BD232" s="169"/>
      <c r="BE232" s="169"/>
      <c r="BF232" s="169"/>
      <c r="BG232" s="169"/>
      <c r="BH232" s="169"/>
      <c r="BI232" s="169"/>
      <c r="BJ232" s="169"/>
      <c r="BK232" s="169"/>
      <c r="BL232" s="169"/>
      <c r="BM232" s="169"/>
      <c r="BN232" s="169"/>
      <c r="BO232" s="169"/>
      <c r="BP232" s="169"/>
      <c r="BQ232" s="169"/>
      <c r="BR232" s="169"/>
      <c r="BS232" s="169"/>
      <c r="BT232" s="169"/>
      <c r="BU232" s="169"/>
      <c r="BV232" s="169"/>
      <c r="BW232" s="169"/>
      <c r="BX232" s="169"/>
      <c r="BY232" s="169"/>
      <c r="BZ232" s="169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</row>
    <row r="233" spans="12:91" ht="11.25" customHeight="1">
      <c r="L233" s="150"/>
      <c r="M233" s="501" t="s">
        <v>742</v>
      </c>
      <c r="N233" s="475" t="s">
        <v>33</v>
      </c>
      <c r="O233" s="163" t="s">
        <v>29</v>
      </c>
      <c r="AB233" s="251"/>
      <c r="AC233" s="251"/>
      <c r="AD233" s="251"/>
      <c r="AE233" s="241"/>
      <c r="AF233" s="245"/>
      <c r="AG233" s="245"/>
      <c r="AH233" s="169"/>
      <c r="AI233" s="169"/>
      <c r="AJ233" s="169"/>
      <c r="AK233" s="169"/>
      <c r="AL233" s="169"/>
      <c r="AM233" s="169"/>
      <c r="AN233" s="169"/>
      <c r="AO233" s="169"/>
      <c r="AP233" s="169"/>
      <c r="AQ233" s="169"/>
      <c r="AR233" s="169"/>
      <c r="AS233" s="169"/>
      <c r="AT233" s="169"/>
      <c r="AU233" s="169"/>
      <c r="AV233" s="169"/>
      <c r="AW233" s="169"/>
      <c r="AX233" s="169"/>
      <c r="AY233" s="169"/>
      <c r="AZ233" s="169"/>
      <c r="BA233" s="169"/>
      <c r="BB233" s="169"/>
      <c r="BC233" s="169"/>
      <c r="BD233" s="169"/>
      <c r="BE233" s="169"/>
      <c r="BF233" s="169"/>
      <c r="BG233" s="169"/>
      <c r="BH233" s="169"/>
      <c r="BI233" s="169"/>
      <c r="BJ233" s="169"/>
      <c r="BK233" s="169"/>
      <c r="BL233" s="169"/>
      <c r="BM233" s="169"/>
      <c r="BN233" s="169"/>
      <c r="BO233" s="169"/>
      <c r="BP233" s="169"/>
      <c r="BQ233" s="169"/>
      <c r="BR233" s="169"/>
      <c r="BS233" s="169"/>
      <c r="BT233" s="169"/>
      <c r="BU233" s="169"/>
      <c r="BV233" s="169"/>
      <c r="BW233" s="169"/>
      <c r="BX233" s="169"/>
      <c r="BY233" s="169"/>
      <c r="BZ233" s="169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</row>
    <row r="234" spans="12:91" ht="11.25" customHeight="1">
      <c r="L234" s="150"/>
      <c r="M234" s="501" t="s">
        <v>743</v>
      </c>
      <c r="N234" s="475" t="s">
        <v>34</v>
      </c>
      <c r="O234" s="163" t="s">
        <v>29</v>
      </c>
      <c r="AB234" s="251"/>
      <c r="AC234" s="251"/>
      <c r="AD234" s="251"/>
      <c r="AE234" s="241"/>
      <c r="AF234" s="245"/>
      <c r="AG234" s="245"/>
      <c r="AH234" s="169"/>
      <c r="AI234" s="169"/>
      <c r="AJ234" s="169"/>
      <c r="AK234" s="169"/>
      <c r="AL234" s="169"/>
      <c r="AM234" s="169"/>
      <c r="AN234" s="169"/>
      <c r="AO234" s="169"/>
      <c r="AP234" s="169"/>
      <c r="AQ234" s="169"/>
      <c r="AR234" s="169"/>
      <c r="AS234" s="169"/>
      <c r="AT234" s="169"/>
      <c r="AU234" s="169"/>
      <c r="AV234" s="169"/>
      <c r="AW234" s="169"/>
      <c r="AX234" s="169"/>
      <c r="AY234" s="169"/>
      <c r="AZ234" s="169"/>
      <c r="BA234" s="169"/>
      <c r="BB234" s="169"/>
      <c r="BC234" s="169"/>
      <c r="BD234" s="169"/>
      <c r="BE234" s="169"/>
      <c r="BF234" s="169"/>
      <c r="BG234" s="169"/>
      <c r="BH234" s="169"/>
      <c r="BI234" s="169"/>
      <c r="BJ234" s="169"/>
      <c r="BK234" s="169"/>
      <c r="BL234" s="169"/>
      <c r="BM234" s="169"/>
      <c r="BN234" s="169"/>
      <c r="BO234" s="169"/>
      <c r="BP234" s="169"/>
      <c r="BQ234" s="169"/>
      <c r="BR234" s="169"/>
      <c r="BS234" s="169"/>
      <c r="BT234" s="169"/>
      <c r="BU234" s="169"/>
      <c r="BV234" s="169"/>
      <c r="BW234" s="169"/>
      <c r="BX234" s="169"/>
      <c r="BY234" s="169"/>
      <c r="BZ234" s="169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</row>
    <row r="235" spans="12:91" ht="11.25" customHeight="1">
      <c r="L235" s="150"/>
      <c r="M235" s="501" t="s">
        <v>744</v>
      </c>
      <c r="N235" s="475" t="s">
        <v>35</v>
      </c>
      <c r="O235" s="163" t="s">
        <v>29</v>
      </c>
      <c r="AB235" s="251"/>
      <c r="AC235" s="251"/>
      <c r="AD235" s="251"/>
      <c r="AE235" s="241"/>
      <c r="AF235" s="245"/>
      <c r="AG235" s="245"/>
      <c r="AH235" s="169"/>
      <c r="AI235" s="169"/>
      <c r="AJ235" s="169"/>
      <c r="AK235" s="169"/>
      <c r="AL235" s="169"/>
      <c r="AM235" s="169"/>
      <c r="AN235" s="169"/>
      <c r="AO235" s="169"/>
      <c r="AP235" s="169"/>
      <c r="AQ235" s="169"/>
      <c r="AR235" s="169"/>
      <c r="AS235" s="169"/>
      <c r="AT235" s="169"/>
      <c r="AU235" s="169"/>
      <c r="AV235" s="169"/>
      <c r="AW235" s="169"/>
      <c r="AX235" s="169"/>
      <c r="AY235" s="169"/>
      <c r="AZ235" s="169"/>
      <c r="BA235" s="169"/>
      <c r="BB235" s="169"/>
      <c r="BC235" s="169"/>
      <c r="BD235" s="169"/>
      <c r="BE235" s="169"/>
      <c r="BF235" s="169"/>
      <c r="BG235" s="169"/>
      <c r="BH235" s="169"/>
      <c r="BI235" s="169"/>
      <c r="BJ235" s="169"/>
      <c r="BK235" s="169"/>
      <c r="BL235" s="169"/>
      <c r="BM235" s="169"/>
      <c r="BN235" s="169"/>
      <c r="BO235" s="169"/>
      <c r="BP235" s="169"/>
      <c r="BQ235" s="169"/>
      <c r="BR235" s="169"/>
      <c r="BS235" s="169"/>
      <c r="BT235" s="169"/>
      <c r="BU235" s="169"/>
      <c r="BV235" s="169"/>
      <c r="BW235" s="169"/>
      <c r="BX235" s="169"/>
      <c r="BY235" s="169"/>
      <c r="BZ235" s="169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</row>
    <row r="236" spans="12:91" ht="11.25" customHeight="1">
      <c r="L236" s="150"/>
      <c r="M236" s="501" t="s">
        <v>707</v>
      </c>
      <c r="N236" s="477" t="s">
        <v>580</v>
      </c>
      <c r="O236" s="163" t="s">
        <v>195</v>
      </c>
      <c r="AB236" s="251"/>
      <c r="AC236" s="251"/>
      <c r="AD236" s="251"/>
      <c r="AE236" s="247">
        <f>AF236+AG236</f>
        <v>0</v>
      </c>
      <c r="AF236" s="245"/>
      <c r="AG236" s="245"/>
      <c r="AH236" s="169"/>
      <c r="AI236" s="169"/>
      <c r="AJ236" s="169"/>
      <c r="AK236" s="169"/>
      <c r="AL236" s="169"/>
      <c r="AM236" s="169"/>
      <c r="AN236" s="169"/>
      <c r="AO236" s="169"/>
      <c r="AP236" s="169"/>
      <c r="AQ236" s="169"/>
      <c r="AR236" s="169"/>
      <c r="AS236" s="169"/>
      <c r="AT236" s="169"/>
      <c r="AU236" s="169"/>
      <c r="AV236" s="169"/>
      <c r="AW236" s="169"/>
      <c r="AX236" s="169"/>
      <c r="AY236" s="169"/>
      <c r="AZ236" s="169"/>
      <c r="BA236" s="169"/>
      <c r="BB236" s="169"/>
      <c r="BC236" s="169"/>
      <c r="BD236" s="169"/>
      <c r="BE236" s="169"/>
      <c r="BF236" s="169"/>
      <c r="BG236" s="169"/>
      <c r="BH236" s="169"/>
      <c r="BI236" s="169"/>
      <c r="BJ236" s="169"/>
      <c r="BK236" s="169"/>
      <c r="BL236" s="169"/>
      <c r="BM236" s="169"/>
      <c r="BN236" s="169"/>
      <c r="BO236" s="169"/>
      <c r="BP236" s="169"/>
      <c r="BQ236" s="169"/>
      <c r="BR236" s="169"/>
      <c r="BS236" s="169"/>
      <c r="BT236" s="169"/>
      <c r="BU236" s="169"/>
      <c r="BV236" s="169"/>
      <c r="BW236" s="169"/>
      <c r="BX236" s="169"/>
      <c r="BY236" s="169"/>
      <c r="BZ236" s="169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</row>
    <row r="237" spans="12:91" ht="11.25" customHeight="1">
      <c r="L237" s="150"/>
      <c r="M237" s="501" t="s">
        <v>709</v>
      </c>
      <c r="N237" s="478" t="s">
        <v>38</v>
      </c>
      <c r="O237" s="163" t="s">
        <v>29</v>
      </c>
      <c r="AB237" s="251"/>
      <c r="AC237" s="251"/>
      <c r="AD237" s="251"/>
      <c r="AE237" s="241"/>
      <c r="AF237" s="247">
        <f>IF(AF238=0,0,(1000*AF236/AF238)/AF$6)</f>
        <v>0</v>
      </c>
      <c r="AG237" s="247">
        <f>IF(AG238=0,0,(1000*AG236/AG238)/AG$6)</f>
        <v>0</v>
      </c>
      <c r="AH237" s="169"/>
      <c r="AI237" s="169"/>
      <c r="AJ237" s="169"/>
      <c r="AK237" s="169"/>
      <c r="AL237" s="169"/>
      <c r="AM237" s="169"/>
      <c r="AN237" s="169"/>
      <c r="AO237" s="169"/>
      <c r="AP237" s="169"/>
      <c r="AQ237" s="169"/>
      <c r="AR237" s="169"/>
      <c r="AS237" s="169"/>
      <c r="AT237" s="169"/>
      <c r="AU237" s="169"/>
      <c r="AV237" s="169"/>
      <c r="AW237" s="169"/>
      <c r="AX237" s="169"/>
      <c r="AY237" s="169"/>
      <c r="AZ237" s="169"/>
      <c r="BA237" s="169"/>
      <c r="BB237" s="169"/>
      <c r="BC237" s="169"/>
      <c r="BD237" s="169"/>
      <c r="BE237" s="169"/>
      <c r="BF237" s="169"/>
      <c r="BG237" s="169"/>
      <c r="BH237" s="169"/>
      <c r="BI237" s="169"/>
      <c r="BJ237" s="169"/>
      <c r="BK237" s="169"/>
      <c r="BL237" s="169"/>
      <c r="BM237" s="169"/>
      <c r="BN237" s="169"/>
      <c r="BO237" s="169"/>
      <c r="BP237" s="169"/>
      <c r="BQ237" s="169"/>
      <c r="BR237" s="169"/>
      <c r="BS237" s="169"/>
      <c r="BT237" s="169"/>
      <c r="BU237" s="169"/>
      <c r="BV237" s="169"/>
      <c r="BW237" s="169"/>
      <c r="BX237" s="169"/>
      <c r="BY237" s="169"/>
      <c r="BZ237" s="169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</row>
    <row r="238" spans="12:91" ht="11.25" customHeight="1">
      <c r="L238" s="150"/>
      <c r="M238" s="501" t="s">
        <v>581</v>
      </c>
      <c r="N238" s="478" t="s">
        <v>39</v>
      </c>
      <c r="O238" s="163" t="s">
        <v>289</v>
      </c>
      <c r="AB238" s="251"/>
      <c r="AC238" s="251"/>
      <c r="AD238" s="251"/>
      <c r="AE238" s="241"/>
      <c r="AF238" s="245"/>
      <c r="AG238" s="245"/>
      <c r="AH238" s="169"/>
      <c r="AI238" s="169"/>
      <c r="AJ238" s="169"/>
      <c r="AK238" s="169"/>
      <c r="AL238" s="169"/>
      <c r="AM238" s="169"/>
      <c r="AN238" s="169"/>
      <c r="AO238" s="169"/>
      <c r="AP238" s="169"/>
      <c r="AQ238" s="169"/>
      <c r="AR238" s="169"/>
      <c r="AS238" s="169"/>
      <c r="AT238" s="169"/>
      <c r="AU238" s="169"/>
      <c r="AV238" s="169"/>
      <c r="AW238" s="169"/>
      <c r="AX238" s="169"/>
      <c r="AY238" s="169"/>
      <c r="AZ238" s="169"/>
      <c r="BA238" s="169"/>
      <c r="BB238" s="169"/>
      <c r="BC238" s="169"/>
      <c r="BD238" s="169"/>
      <c r="BE238" s="169"/>
      <c r="BF238" s="169"/>
      <c r="BG238" s="169"/>
      <c r="BH238" s="169"/>
      <c r="BI238" s="169"/>
      <c r="BJ238" s="169"/>
      <c r="BK238" s="169"/>
      <c r="BL238" s="169"/>
      <c r="BM238" s="169"/>
      <c r="BN238" s="169"/>
      <c r="BO238" s="169"/>
      <c r="BP238" s="169"/>
      <c r="BQ238" s="169"/>
      <c r="BR238" s="169"/>
      <c r="BS238" s="169"/>
      <c r="BT238" s="169"/>
      <c r="BU238" s="169"/>
      <c r="BV238" s="169"/>
      <c r="BW238" s="169"/>
      <c r="BX238" s="169"/>
      <c r="BY238" s="169"/>
      <c r="BZ238" s="169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</row>
    <row r="239" spans="12:91" ht="11.25" customHeight="1">
      <c r="L239" s="150"/>
      <c r="M239" s="501" t="str">
        <f>M238 &amp; ".0"</f>
        <v>6.3.2.0</v>
      </c>
      <c r="N239" s="476" t="str">
        <f>"справочно: нормативная " &amp; N238</f>
        <v>справочно: нормативная численность цехового персонала, относимого на регулируемый вид деятельности</v>
      </c>
      <c r="O239" s="163" t="s">
        <v>289</v>
      </c>
      <c r="AB239" s="251"/>
      <c r="AC239" s="251"/>
      <c r="AD239" s="251"/>
      <c r="AE239" s="241"/>
      <c r="AF239" s="245"/>
      <c r="AG239" s="245"/>
      <c r="AH239" s="169"/>
      <c r="AI239" s="169"/>
      <c r="AJ239" s="169"/>
      <c r="AK239" s="169"/>
      <c r="AL239" s="169"/>
      <c r="AM239" s="169"/>
      <c r="AN239" s="169"/>
      <c r="AO239" s="169"/>
      <c r="AP239" s="169"/>
      <c r="AQ239" s="169"/>
      <c r="AR239" s="169"/>
      <c r="AS239" s="169"/>
      <c r="AT239" s="169"/>
      <c r="AU239" s="169"/>
      <c r="AV239" s="169"/>
      <c r="AW239" s="169"/>
      <c r="AX239" s="169"/>
      <c r="AY239" s="169"/>
      <c r="AZ239" s="169"/>
      <c r="BA239" s="169"/>
      <c r="BB239" s="169"/>
      <c r="BC239" s="169"/>
      <c r="BD239" s="169"/>
      <c r="BE239" s="169"/>
      <c r="BF239" s="169"/>
      <c r="BG239" s="169"/>
      <c r="BH239" s="169"/>
      <c r="BI239" s="169"/>
      <c r="BJ239" s="169"/>
      <c r="BK239" s="169"/>
      <c r="BL239" s="169"/>
      <c r="BM239" s="169"/>
      <c r="BN239" s="169"/>
      <c r="BO239" s="169"/>
      <c r="BP239" s="169"/>
      <c r="BQ239" s="169"/>
      <c r="BR239" s="169"/>
      <c r="BS239" s="169"/>
      <c r="BT239" s="169"/>
      <c r="BU239" s="169"/>
      <c r="BV239" s="169"/>
      <c r="BW239" s="169"/>
      <c r="BX239" s="169"/>
      <c r="BY239" s="169"/>
      <c r="BZ239" s="16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</row>
    <row r="240" spans="12:91" ht="11.25" customHeight="1">
      <c r="L240" s="150"/>
      <c r="M240" s="501" t="s">
        <v>582</v>
      </c>
      <c r="N240" s="477" t="s">
        <v>583</v>
      </c>
      <c r="O240" s="163" t="s">
        <v>195</v>
      </c>
      <c r="AB240" s="251"/>
      <c r="AC240" s="251"/>
      <c r="AD240" s="251"/>
      <c r="AE240" s="247">
        <f>AF240+AG240</f>
        <v>0</v>
      </c>
      <c r="AF240" s="245"/>
      <c r="AG240" s="245"/>
      <c r="AH240" s="169"/>
      <c r="AI240" s="169"/>
      <c r="AJ240" s="169"/>
      <c r="AK240" s="169"/>
      <c r="AL240" s="169"/>
      <c r="AM240" s="169"/>
      <c r="AN240" s="169"/>
      <c r="AO240" s="169"/>
      <c r="AP240" s="169"/>
      <c r="AQ240" s="169"/>
      <c r="AR240" s="169"/>
      <c r="AS240" s="169"/>
      <c r="AT240" s="169"/>
      <c r="AU240" s="169"/>
      <c r="AV240" s="169"/>
      <c r="AW240" s="169"/>
      <c r="AX240" s="169"/>
      <c r="AY240" s="169"/>
      <c r="AZ240" s="169"/>
      <c r="BA240" s="169"/>
      <c r="BB240" s="169"/>
      <c r="BC240" s="169"/>
      <c r="BD240" s="169"/>
      <c r="BE240" s="169"/>
      <c r="BF240" s="169"/>
      <c r="BG240" s="169"/>
      <c r="BH240" s="169"/>
      <c r="BI240" s="169"/>
      <c r="BJ240" s="169"/>
      <c r="BK240" s="169"/>
      <c r="BL240" s="169"/>
      <c r="BM240" s="169"/>
      <c r="BN240" s="169"/>
      <c r="BO240" s="169"/>
      <c r="BP240" s="169"/>
      <c r="BQ240" s="169"/>
      <c r="BR240" s="169"/>
      <c r="BS240" s="169"/>
      <c r="BT240" s="169"/>
      <c r="BU240" s="169"/>
      <c r="BV240" s="169"/>
      <c r="BW240" s="169"/>
      <c r="BX240" s="169"/>
      <c r="BY240" s="169"/>
      <c r="BZ240" s="169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</row>
    <row r="241" spans="12:91" ht="11.25" customHeight="1">
      <c r="L241" s="150"/>
      <c r="M241" s="501" t="s">
        <v>584</v>
      </c>
      <c r="N241" s="478" t="s">
        <v>40</v>
      </c>
      <c r="O241" s="163" t="s">
        <v>29</v>
      </c>
      <c r="AB241" s="251"/>
      <c r="AC241" s="251"/>
      <c r="AD241" s="251"/>
      <c r="AE241" s="241"/>
      <c r="AF241" s="247">
        <f>IF(AF242=0,0,(1000*AF240/AF242)/AF$6)</f>
        <v>0</v>
      </c>
      <c r="AG241" s="247">
        <f>IF(AG242=0,0,(1000*AG240/AG242)/AG$6)</f>
        <v>0</v>
      </c>
      <c r="AH241" s="169"/>
      <c r="AI241" s="169"/>
      <c r="AJ241" s="169"/>
      <c r="AK241" s="169"/>
      <c r="AL241" s="169"/>
      <c r="AM241" s="169"/>
      <c r="AN241" s="169"/>
      <c r="AO241" s="169"/>
      <c r="AP241" s="169"/>
      <c r="AQ241" s="169"/>
      <c r="AR241" s="169"/>
      <c r="AS241" s="169"/>
      <c r="AT241" s="169"/>
      <c r="AU241" s="169"/>
      <c r="AV241" s="169"/>
      <c r="AW241" s="169"/>
      <c r="AX241" s="169"/>
      <c r="AY241" s="169"/>
      <c r="AZ241" s="169"/>
      <c r="BA241" s="169"/>
      <c r="BB241" s="169"/>
      <c r="BC241" s="169"/>
      <c r="BD241" s="169"/>
      <c r="BE241" s="169"/>
      <c r="BF241" s="169"/>
      <c r="BG241" s="169"/>
      <c r="BH241" s="169"/>
      <c r="BI241" s="169"/>
      <c r="BJ241" s="169"/>
      <c r="BK241" s="169"/>
      <c r="BL241" s="169"/>
      <c r="BM241" s="169"/>
      <c r="BN241" s="169"/>
      <c r="BO241" s="169"/>
      <c r="BP241" s="169"/>
      <c r="BQ241" s="169"/>
      <c r="BR241" s="169"/>
      <c r="BS241" s="169"/>
      <c r="BT241" s="169"/>
      <c r="BU241" s="169"/>
      <c r="BV241" s="169"/>
      <c r="BW241" s="169"/>
      <c r="BX241" s="169"/>
      <c r="BY241" s="169"/>
      <c r="BZ241" s="169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</row>
    <row r="242" spans="12:91" ht="11.25" customHeight="1">
      <c r="L242" s="150"/>
      <c r="M242" s="501" t="s">
        <v>585</v>
      </c>
      <c r="N242" s="475" t="s">
        <v>41</v>
      </c>
      <c r="O242" s="163" t="s">
        <v>289</v>
      </c>
      <c r="AB242" s="251"/>
      <c r="AC242" s="251"/>
      <c r="AD242" s="251"/>
      <c r="AE242" s="241"/>
      <c r="AF242" s="245"/>
      <c r="AG242" s="245"/>
      <c r="AH242" s="169"/>
      <c r="AI242" s="169"/>
      <c r="AJ242" s="169"/>
      <c r="AK242" s="169"/>
      <c r="AL242" s="169"/>
      <c r="AM242" s="169"/>
      <c r="AN242" s="169"/>
      <c r="AO242" s="169"/>
      <c r="AP242" s="169"/>
      <c r="AQ242" s="169"/>
      <c r="AR242" s="169"/>
      <c r="AS242" s="169"/>
      <c r="AT242" s="169"/>
      <c r="AU242" s="169"/>
      <c r="AV242" s="169"/>
      <c r="AW242" s="169"/>
      <c r="AX242" s="169"/>
      <c r="AY242" s="169"/>
      <c r="AZ242" s="169"/>
      <c r="BA242" s="169"/>
      <c r="BB242" s="169"/>
      <c r="BC242" s="169"/>
      <c r="BD242" s="169"/>
      <c r="BE242" s="169"/>
      <c r="BF242" s="169"/>
      <c r="BG242" s="169"/>
      <c r="BH242" s="169"/>
      <c r="BI242" s="169"/>
      <c r="BJ242" s="169"/>
      <c r="BK242" s="169"/>
      <c r="BL242" s="169"/>
      <c r="BM242" s="169"/>
      <c r="BN242" s="169"/>
      <c r="BO242" s="169"/>
      <c r="BP242" s="169"/>
      <c r="BQ242" s="169"/>
      <c r="BR242" s="169"/>
      <c r="BS242" s="169"/>
      <c r="BT242" s="169"/>
      <c r="BU242" s="169"/>
      <c r="BV242" s="169"/>
      <c r="BW242" s="169"/>
      <c r="BX242" s="169"/>
      <c r="BY242" s="169"/>
      <c r="BZ242" s="169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</row>
    <row r="243" spans="12:91" ht="11.25" customHeight="1">
      <c r="L243" s="150"/>
      <c r="M243" s="501" t="str">
        <f>M242 &amp; ".0"</f>
        <v>6.4.2.0</v>
      </c>
      <c r="N243" s="476" t="str">
        <f>"справочно: нормативная " &amp; N242</f>
        <v>справочно: нормативная численность АУП, относимого на регулируемый вид деятельности</v>
      </c>
      <c r="O243" s="163" t="s">
        <v>289</v>
      </c>
      <c r="AB243" s="251"/>
      <c r="AC243" s="251"/>
      <c r="AD243" s="251"/>
      <c r="AE243" s="241"/>
      <c r="AF243" s="245"/>
      <c r="AG243" s="245"/>
      <c r="AH243" s="169"/>
      <c r="AI243" s="169"/>
      <c r="AJ243" s="169"/>
      <c r="AK243" s="169"/>
      <c r="AL243" s="169"/>
      <c r="AM243" s="169"/>
      <c r="AN243" s="169"/>
      <c r="AO243" s="169"/>
      <c r="AP243" s="169"/>
      <c r="AQ243" s="169"/>
      <c r="AR243" s="169"/>
      <c r="AS243" s="169"/>
      <c r="AT243" s="169"/>
      <c r="AU243" s="169"/>
      <c r="AV243" s="169"/>
      <c r="AW243" s="169"/>
      <c r="AX243" s="169"/>
      <c r="AY243" s="169"/>
      <c r="AZ243" s="169"/>
      <c r="BA243" s="169"/>
      <c r="BB243" s="169"/>
      <c r="BC243" s="169"/>
      <c r="BD243" s="169"/>
      <c r="BE243" s="169"/>
      <c r="BF243" s="169"/>
      <c r="BG243" s="169"/>
      <c r="BH243" s="169"/>
      <c r="BI243" s="169"/>
      <c r="BJ243" s="169"/>
      <c r="BK243" s="169"/>
      <c r="BL243" s="169"/>
      <c r="BM243" s="169"/>
      <c r="BN243" s="169"/>
      <c r="BO243" s="169"/>
      <c r="BP243" s="169"/>
      <c r="BQ243" s="169"/>
      <c r="BR243" s="169"/>
      <c r="BS243" s="169"/>
      <c r="BT243" s="169"/>
      <c r="BU243" s="169"/>
      <c r="BV243" s="169"/>
      <c r="BW243" s="169"/>
      <c r="BX243" s="169"/>
      <c r="BY243" s="169"/>
      <c r="BZ243" s="169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</row>
    <row r="244" spans="12:91" ht="11.25" customHeight="1">
      <c r="L244" s="150"/>
      <c r="M244" s="501" t="s">
        <v>586</v>
      </c>
      <c r="N244" s="477" t="s">
        <v>764</v>
      </c>
      <c r="O244" s="163" t="s">
        <v>195</v>
      </c>
      <c r="AB244" s="251"/>
      <c r="AC244" s="251"/>
      <c r="AD244" s="251"/>
      <c r="AE244" s="247">
        <f>AF244+AG244</f>
        <v>0</v>
      </c>
      <c r="AF244" s="245"/>
      <c r="AG244" s="245"/>
      <c r="AH244" s="169"/>
      <c r="AI244" s="169"/>
      <c r="AJ244" s="169"/>
      <c r="AK244" s="169"/>
      <c r="AL244" s="169"/>
      <c r="AM244" s="169"/>
      <c r="AN244" s="169"/>
      <c r="AO244" s="169"/>
      <c r="AP244" s="169"/>
      <c r="AQ244" s="169"/>
      <c r="AR244" s="169"/>
      <c r="AS244" s="169"/>
      <c r="AT244" s="169"/>
      <c r="AU244" s="169"/>
      <c r="AV244" s="169"/>
      <c r="AW244" s="169"/>
      <c r="AX244" s="169"/>
      <c r="AY244" s="169"/>
      <c r="AZ244" s="169"/>
      <c r="BA244" s="169"/>
      <c r="BB244" s="169"/>
      <c r="BC244" s="169"/>
      <c r="BD244" s="169"/>
      <c r="BE244" s="169"/>
      <c r="BF244" s="169"/>
      <c r="BG244" s="169"/>
      <c r="BH244" s="169"/>
      <c r="BI244" s="169"/>
      <c r="BJ244" s="169"/>
      <c r="BK244" s="169"/>
      <c r="BL244" s="169"/>
      <c r="BM244" s="169"/>
      <c r="BN244" s="169"/>
      <c r="BO244" s="169"/>
      <c r="BP244" s="169"/>
      <c r="BQ244" s="169"/>
      <c r="BR244" s="169"/>
      <c r="BS244" s="169"/>
      <c r="BT244" s="169"/>
      <c r="BU244" s="169"/>
      <c r="BV244" s="169"/>
      <c r="BW244" s="169"/>
      <c r="BX244" s="169"/>
      <c r="BY244" s="169"/>
      <c r="BZ244" s="169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</row>
    <row r="245" spans="12:91" ht="11.25" customHeight="1">
      <c r="L245" s="150"/>
      <c r="M245" s="501" t="s">
        <v>587</v>
      </c>
      <c r="N245" s="478" t="s">
        <v>42</v>
      </c>
      <c r="O245" s="163" t="s">
        <v>29</v>
      </c>
      <c r="AB245" s="251"/>
      <c r="AC245" s="251"/>
      <c r="AD245" s="251"/>
      <c r="AE245" s="241"/>
      <c r="AF245" s="247">
        <f>IF(AF246=0,0,(1000*AF244/AF246)/AF$6)</f>
        <v>0</v>
      </c>
      <c r="AG245" s="247">
        <f>IF(AG246=0,0,(1000*AG244/AG246)/AG$6)</f>
        <v>0</v>
      </c>
      <c r="AH245" s="169"/>
      <c r="AI245" s="169"/>
      <c r="AJ245" s="169"/>
      <c r="AK245" s="169"/>
      <c r="AL245" s="169"/>
      <c r="AM245" s="169"/>
      <c r="AN245" s="169"/>
      <c r="AO245" s="169"/>
      <c r="AP245" s="169"/>
      <c r="AQ245" s="169"/>
      <c r="AR245" s="169"/>
      <c r="AS245" s="169"/>
      <c r="AT245" s="169"/>
      <c r="AU245" s="169"/>
      <c r="AV245" s="169"/>
      <c r="AW245" s="169"/>
      <c r="AX245" s="169"/>
      <c r="AY245" s="169"/>
      <c r="AZ245" s="169"/>
      <c r="BA245" s="169"/>
      <c r="BB245" s="169"/>
      <c r="BC245" s="169"/>
      <c r="BD245" s="169"/>
      <c r="BE245" s="169"/>
      <c r="BF245" s="169"/>
      <c r="BG245" s="169"/>
      <c r="BH245" s="169"/>
      <c r="BI245" s="169"/>
      <c r="BJ245" s="169"/>
      <c r="BK245" s="169"/>
      <c r="BL245" s="169"/>
      <c r="BM245" s="169"/>
      <c r="BN245" s="169"/>
      <c r="BO245" s="169"/>
      <c r="BP245" s="169"/>
      <c r="BQ245" s="169"/>
      <c r="BR245" s="169"/>
      <c r="BS245" s="169"/>
      <c r="BT245" s="169"/>
      <c r="BU245" s="169"/>
      <c r="BV245" s="169"/>
      <c r="BW245" s="169"/>
      <c r="BX245" s="169"/>
      <c r="BY245" s="169"/>
      <c r="BZ245" s="169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</row>
    <row r="246" spans="12:91" ht="11.25" customHeight="1">
      <c r="L246" s="150"/>
      <c r="M246" s="501" t="s">
        <v>588</v>
      </c>
      <c r="N246" s="475" t="s">
        <v>43</v>
      </c>
      <c r="O246" s="163" t="s">
        <v>289</v>
      </c>
      <c r="AB246" s="251"/>
      <c r="AC246" s="251"/>
      <c r="AD246" s="251"/>
      <c r="AE246" s="241"/>
      <c r="AF246" s="245"/>
      <c r="AG246" s="245"/>
      <c r="AH246" s="169"/>
      <c r="AI246" s="169"/>
      <c r="AJ246" s="169"/>
      <c r="AK246" s="169"/>
      <c r="AL246" s="169"/>
      <c r="AM246" s="169"/>
      <c r="AN246" s="169"/>
      <c r="AO246" s="169"/>
      <c r="AP246" s="169"/>
      <c r="AQ246" s="169"/>
      <c r="AR246" s="169"/>
      <c r="AS246" s="169"/>
      <c r="AT246" s="169"/>
      <c r="AU246" s="169"/>
      <c r="AV246" s="169"/>
      <c r="AW246" s="169"/>
      <c r="AX246" s="169"/>
      <c r="AY246" s="169"/>
      <c r="AZ246" s="169"/>
      <c r="BA246" s="169"/>
      <c r="BB246" s="169"/>
      <c r="BC246" s="169"/>
      <c r="BD246" s="169"/>
      <c r="BE246" s="169"/>
      <c r="BF246" s="169"/>
      <c r="BG246" s="169"/>
      <c r="BH246" s="169"/>
      <c r="BI246" s="169"/>
      <c r="BJ246" s="169"/>
      <c r="BK246" s="169"/>
      <c r="BL246" s="169"/>
      <c r="BM246" s="169"/>
      <c r="BN246" s="169"/>
      <c r="BO246" s="169"/>
      <c r="BP246" s="169"/>
      <c r="BQ246" s="169"/>
      <c r="BR246" s="169"/>
      <c r="BS246" s="169"/>
      <c r="BT246" s="169"/>
      <c r="BU246" s="169"/>
      <c r="BV246" s="169"/>
      <c r="BW246" s="169"/>
      <c r="BX246" s="169"/>
      <c r="BY246" s="169"/>
      <c r="BZ246" s="169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</row>
    <row r="247" spans="12:91" ht="11.25" customHeight="1">
      <c r="L247" s="150"/>
      <c r="M247" s="501" t="str">
        <f>M246 &amp; ".0"</f>
        <v>6.5.2.0</v>
      </c>
      <c r="N247" s="476" t="str">
        <f>"справочно: нормативная " &amp; N246</f>
        <v>справочно: нормативная численность прочего персонала, относимого на регулируемый вид деятельности</v>
      </c>
      <c r="O247" s="163" t="s">
        <v>289</v>
      </c>
      <c r="AB247" s="251"/>
      <c r="AC247" s="251"/>
      <c r="AD247" s="251"/>
      <c r="AE247" s="241"/>
      <c r="AF247" s="245"/>
      <c r="AG247" s="245"/>
      <c r="AH247" s="169"/>
      <c r="AI247" s="169"/>
      <c r="AJ247" s="169"/>
      <c r="AK247" s="169"/>
      <c r="AL247" s="169"/>
      <c r="AM247" s="169"/>
      <c r="AN247" s="169"/>
      <c r="AO247" s="169"/>
      <c r="AP247" s="169"/>
      <c r="AQ247" s="169"/>
      <c r="AR247" s="169"/>
      <c r="AS247" s="169"/>
      <c r="AT247" s="169"/>
      <c r="AU247" s="169"/>
      <c r="AV247" s="169"/>
      <c r="AW247" s="169"/>
      <c r="AX247" s="169"/>
      <c r="AY247" s="169"/>
      <c r="AZ247" s="169"/>
      <c r="BA247" s="169"/>
      <c r="BB247" s="169"/>
      <c r="BC247" s="169"/>
      <c r="BD247" s="169"/>
      <c r="BE247" s="169"/>
      <c r="BF247" s="169"/>
      <c r="BG247" s="169"/>
      <c r="BH247" s="169"/>
      <c r="BI247" s="169"/>
      <c r="BJ247" s="169"/>
      <c r="BK247" s="169"/>
      <c r="BL247" s="169"/>
      <c r="BM247" s="169"/>
      <c r="BN247" s="169"/>
      <c r="BO247" s="169"/>
      <c r="BP247" s="169"/>
      <c r="BQ247" s="169"/>
      <c r="BR247" s="169"/>
      <c r="BS247" s="169"/>
      <c r="BT247" s="169"/>
      <c r="BU247" s="169"/>
      <c r="BV247" s="169"/>
      <c r="BW247" s="169"/>
      <c r="BX247" s="169"/>
      <c r="BY247" s="169"/>
      <c r="BZ247" s="169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</row>
    <row r="248" spans="12:91" ht="11.25" customHeight="1">
      <c r="L248" s="150"/>
      <c r="M248" s="490" t="s">
        <v>523</v>
      </c>
      <c r="N248" s="494" t="s">
        <v>524</v>
      </c>
      <c r="O248" s="163" t="s">
        <v>195</v>
      </c>
      <c r="AB248" s="251"/>
      <c r="AC248" s="251"/>
      <c r="AD248" s="251"/>
      <c r="AE248" s="247">
        <f>AF248+AG248</f>
        <v>0</v>
      </c>
      <c r="AF248" s="247">
        <f>SUM(AF250:AF254)</f>
        <v>0</v>
      </c>
      <c r="AG248" s="247">
        <f>SUM(AG250:AG254)</f>
        <v>0</v>
      </c>
      <c r="AH248" s="169"/>
      <c r="AI248" s="169"/>
      <c r="AJ248" s="169"/>
      <c r="AK248" s="169"/>
      <c r="AL248" s="169"/>
      <c r="AM248" s="169"/>
      <c r="AN248" s="169"/>
      <c r="AO248" s="169"/>
      <c r="AP248" s="169"/>
      <c r="AQ248" s="169"/>
      <c r="AR248" s="169"/>
      <c r="AS248" s="169"/>
      <c r="AT248" s="169"/>
      <c r="AU248" s="169"/>
      <c r="AV248" s="169"/>
      <c r="AW248" s="169"/>
      <c r="AX248" s="169"/>
      <c r="AY248" s="169"/>
      <c r="AZ248" s="169"/>
      <c r="BA248" s="169"/>
      <c r="BB248" s="169"/>
      <c r="BC248" s="169"/>
      <c r="BD248" s="169"/>
      <c r="BE248" s="169"/>
      <c r="BF248" s="169"/>
      <c r="BG248" s="169"/>
      <c r="BH248" s="169"/>
      <c r="BI248" s="169"/>
      <c r="BJ248" s="169"/>
      <c r="BK248" s="169"/>
      <c r="BL248" s="169"/>
      <c r="BM248" s="169"/>
      <c r="BN248" s="169"/>
      <c r="BO248" s="169"/>
      <c r="BP248" s="169"/>
      <c r="BQ248" s="169"/>
      <c r="BR248" s="169"/>
      <c r="BS248" s="169"/>
      <c r="BT248" s="169"/>
      <c r="BU248" s="169"/>
      <c r="BV248" s="169"/>
      <c r="BW248" s="169"/>
      <c r="BX248" s="169"/>
      <c r="BY248" s="169"/>
      <c r="BZ248" s="169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</row>
    <row r="249" spans="12:91" ht="11.25" customHeight="1">
      <c r="L249" s="150"/>
      <c r="M249" s="501" t="s">
        <v>763</v>
      </c>
      <c r="N249" s="477" t="s">
        <v>24</v>
      </c>
      <c r="O249" s="163" t="s">
        <v>755</v>
      </c>
      <c r="AB249" s="251"/>
      <c r="AC249" s="251"/>
      <c r="AD249" s="251"/>
      <c r="AE249" s="241"/>
      <c r="AF249" s="245"/>
      <c r="AG249" s="245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169"/>
      <c r="AX249" s="169"/>
      <c r="AY249" s="169"/>
      <c r="AZ249" s="169"/>
      <c r="BA249" s="169"/>
      <c r="BB249" s="169"/>
      <c r="BC249" s="169"/>
      <c r="BD249" s="169"/>
      <c r="BE249" s="169"/>
      <c r="BF249" s="169"/>
      <c r="BG249" s="169"/>
      <c r="BH249" s="169"/>
      <c r="BI249" s="169"/>
      <c r="BJ249" s="169"/>
      <c r="BK249" s="169"/>
      <c r="BL249" s="169"/>
      <c r="BM249" s="169"/>
      <c r="BN249" s="169"/>
      <c r="BO249" s="169"/>
      <c r="BP249" s="169"/>
      <c r="BQ249" s="169"/>
      <c r="BR249" s="169"/>
      <c r="BS249" s="169"/>
      <c r="BT249" s="169"/>
      <c r="BU249" s="169"/>
      <c r="BV249" s="169"/>
      <c r="BW249" s="169"/>
      <c r="BX249" s="169"/>
      <c r="BY249" s="169"/>
      <c r="BZ249" s="16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</row>
    <row r="250" spans="12:91" ht="11.25" customHeight="1">
      <c r="L250" s="150"/>
      <c r="M250" s="501" t="s">
        <v>525</v>
      </c>
      <c r="N250" s="477" t="s">
        <v>526</v>
      </c>
      <c r="O250" s="163" t="s">
        <v>195</v>
      </c>
      <c r="AB250" s="251"/>
      <c r="AC250" s="251"/>
      <c r="AD250" s="251"/>
      <c r="AE250" s="247">
        <f>AF250+AG250</f>
        <v>0</v>
      </c>
      <c r="AF250" s="245">
        <f>AF222*AF249/100</f>
        <v>0</v>
      </c>
      <c r="AG250" s="245">
        <f>AG222*AG249/100</f>
        <v>0</v>
      </c>
      <c r="AH250" s="169"/>
      <c r="AI250" s="169"/>
      <c r="AJ250" s="169"/>
      <c r="AK250" s="169"/>
      <c r="AL250" s="169"/>
      <c r="AM250" s="169"/>
      <c r="AN250" s="169"/>
      <c r="AO250" s="169"/>
      <c r="AP250" s="169"/>
      <c r="AQ250" s="169"/>
      <c r="AR250" s="169"/>
      <c r="AS250" s="169"/>
      <c r="AT250" s="169"/>
      <c r="AU250" s="169"/>
      <c r="AV250" s="169"/>
      <c r="AW250" s="169"/>
      <c r="AX250" s="169"/>
      <c r="AY250" s="169"/>
      <c r="AZ250" s="169"/>
      <c r="BA250" s="169"/>
      <c r="BB250" s="169"/>
      <c r="BC250" s="169"/>
      <c r="BD250" s="169"/>
      <c r="BE250" s="169"/>
      <c r="BF250" s="169"/>
      <c r="BG250" s="169"/>
      <c r="BH250" s="169"/>
      <c r="BI250" s="169"/>
      <c r="BJ250" s="169"/>
      <c r="BK250" s="169"/>
      <c r="BL250" s="169"/>
      <c r="BM250" s="169"/>
      <c r="BN250" s="169"/>
      <c r="BO250" s="169"/>
      <c r="BP250" s="169"/>
      <c r="BQ250" s="169"/>
      <c r="BR250" s="169"/>
      <c r="BS250" s="169"/>
      <c r="BT250" s="169"/>
      <c r="BU250" s="169"/>
      <c r="BV250" s="169"/>
      <c r="BW250" s="169"/>
      <c r="BX250" s="169"/>
      <c r="BY250" s="169"/>
      <c r="BZ250" s="169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</row>
    <row r="251" spans="12:91" ht="11.25" customHeight="1">
      <c r="L251" s="150"/>
      <c r="M251" s="501" t="s">
        <v>527</v>
      </c>
      <c r="N251" s="477" t="s">
        <v>528</v>
      </c>
      <c r="O251" s="163" t="s">
        <v>195</v>
      </c>
      <c r="AB251" s="251"/>
      <c r="AC251" s="251"/>
      <c r="AD251" s="251"/>
      <c r="AE251" s="247">
        <f>AF251+AG251</f>
        <v>0</v>
      </c>
      <c r="AF251" s="245">
        <f>AF229*AF249/100</f>
        <v>0</v>
      </c>
      <c r="AG251" s="245">
        <f>AG229*AG249/100</f>
        <v>0</v>
      </c>
      <c r="AH251" s="169"/>
      <c r="AI251" s="169"/>
      <c r="AJ251" s="169"/>
      <c r="AK251" s="169"/>
      <c r="AL251" s="169"/>
      <c r="AM251" s="169"/>
      <c r="AN251" s="169"/>
      <c r="AO251" s="169"/>
      <c r="AP251" s="169"/>
      <c r="AQ251" s="169"/>
      <c r="AR251" s="169"/>
      <c r="AS251" s="169"/>
      <c r="AT251" s="169"/>
      <c r="AU251" s="169"/>
      <c r="AV251" s="169"/>
      <c r="AW251" s="169"/>
      <c r="AX251" s="169"/>
      <c r="AY251" s="169"/>
      <c r="AZ251" s="169"/>
      <c r="BA251" s="169"/>
      <c r="BB251" s="169"/>
      <c r="BC251" s="169"/>
      <c r="BD251" s="169"/>
      <c r="BE251" s="169"/>
      <c r="BF251" s="169"/>
      <c r="BG251" s="169"/>
      <c r="BH251" s="169"/>
      <c r="BI251" s="169"/>
      <c r="BJ251" s="169"/>
      <c r="BK251" s="169"/>
      <c r="BL251" s="169"/>
      <c r="BM251" s="169"/>
      <c r="BN251" s="169"/>
      <c r="BO251" s="169"/>
      <c r="BP251" s="169"/>
      <c r="BQ251" s="169"/>
      <c r="BR251" s="169"/>
      <c r="BS251" s="169"/>
      <c r="BT251" s="169"/>
      <c r="BU251" s="169"/>
      <c r="BV251" s="169"/>
      <c r="BW251" s="169"/>
      <c r="BX251" s="169"/>
      <c r="BY251" s="169"/>
      <c r="BZ251" s="169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</row>
    <row r="252" spans="12:91" ht="11.25" customHeight="1">
      <c r="L252" s="150"/>
      <c r="M252" s="501" t="s">
        <v>530</v>
      </c>
      <c r="N252" s="477" t="s">
        <v>531</v>
      </c>
      <c r="O252" s="163" t="s">
        <v>195</v>
      </c>
      <c r="AB252" s="251"/>
      <c r="AC252" s="251"/>
      <c r="AD252" s="251"/>
      <c r="AE252" s="247">
        <f>AF252+AG252</f>
        <v>0</v>
      </c>
      <c r="AF252" s="245">
        <f>AF236*AF249/100</f>
        <v>0</v>
      </c>
      <c r="AG252" s="245">
        <f>AG236*AG249/100</f>
        <v>0</v>
      </c>
      <c r="AH252" s="169"/>
      <c r="AI252" s="169"/>
      <c r="AJ252" s="169"/>
      <c r="AK252" s="169"/>
      <c r="AL252" s="169"/>
      <c r="AM252" s="169"/>
      <c r="AN252" s="169"/>
      <c r="AO252" s="169"/>
      <c r="AP252" s="169"/>
      <c r="AQ252" s="169"/>
      <c r="AR252" s="169"/>
      <c r="AS252" s="169"/>
      <c r="AT252" s="169"/>
      <c r="AU252" s="169"/>
      <c r="AV252" s="169"/>
      <c r="AW252" s="169"/>
      <c r="AX252" s="169"/>
      <c r="AY252" s="169"/>
      <c r="AZ252" s="169"/>
      <c r="BA252" s="169"/>
      <c r="BB252" s="169"/>
      <c r="BC252" s="169"/>
      <c r="BD252" s="169"/>
      <c r="BE252" s="169"/>
      <c r="BF252" s="169"/>
      <c r="BG252" s="169"/>
      <c r="BH252" s="169"/>
      <c r="BI252" s="169"/>
      <c r="BJ252" s="169"/>
      <c r="BK252" s="169"/>
      <c r="BL252" s="169"/>
      <c r="BM252" s="169"/>
      <c r="BN252" s="169"/>
      <c r="BO252" s="169"/>
      <c r="BP252" s="169"/>
      <c r="BQ252" s="169"/>
      <c r="BR252" s="169"/>
      <c r="BS252" s="169"/>
      <c r="BT252" s="169"/>
      <c r="BU252" s="169"/>
      <c r="BV252" s="169"/>
      <c r="BW252" s="169"/>
      <c r="BX252" s="169"/>
      <c r="BY252" s="169"/>
      <c r="BZ252" s="169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</row>
    <row r="253" spans="12:91" ht="11.25" customHeight="1">
      <c r="L253" s="150"/>
      <c r="M253" s="501" t="s">
        <v>532</v>
      </c>
      <c r="N253" s="477" t="s">
        <v>533</v>
      </c>
      <c r="O253" s="163" t="s">
        <v>195</v>
      </c>
      <c r="AB253" s="251"/>
      <c r="AC253" s="251"/>
      <c r="AD253" s="251"/>
      <c r="AE253" s="247">
        <f>AF253+AG253</f>
        <v>0</v>
      </c>
      <c r="AF253" s="245">
        <f>AF240*AF249/100</f>
        <v>0</v>
      </c>
      <c r="AG253" s="245">
        <f>AG240*AG249/100</f>
        <v>0</v>
      </c>
      <c r="AH253" s="169"/>
      <c r="AI253" s="169"/>
      <c r="AJ253" s="169"/>
      <c r="AK253" s="169"/>
      <c r="AL253" s="169"/>
      <c r="AM253" s="169"/>
      <c r="AN253" s="169"/>
      <c r="AO253" s="169"/>
      <c r="AP253" s="169"/>
      <c r="AQ253" s="169"/>
      <c r="AR253" s="169"/>
      <c r="AS253" s="169"/>
      <c r="AT253" s="169"/>
      <c r="AU253" s="169"/>
      <c r="AV253" s="169"/>
      <c r="AW253" s="169"/>
      <c r="AX253" s="169"/>
      <c r="AY253" s="169"/>
      <c r="AZ253" s="169"/>
      <c r="BA253" s="169"/>
      <c r="BB253" s="169"/>
      <c r="BC253" s="169"/>
      <c r="BD253" s="169"/>
      <c r="BE253" s="169"/>
      <c r="BF253" s="169"/>
      <c r="BG253" s="169"/>
      <c r="BH253" s="169"/>
      <c r="BI253" s="169"/>
      <c r="BJ253" s="169"/>
      <c r="BK253" s="169"/>
      <c r="BL253" s="169"/>
      <c r="BM253" s="169"/>
      <c r="BN253" s="169"/>
      <c r="BO253" s="169"/>
      <c r="BP253" s="169"/>
      <c r="BQ253" s="169"/>
      <c r="BR253" s="169"/>
      <c r="BS253" s="169"/>
      <c r="BT253" s="169"/>
      <c r="BU253" s="169"/>
      <c r="BV253" s="169"/>
      <c r="BW253" s="169"/>
      <c r="BX253" s="169"/>
      <c r="BY253" s="169"/>
      <c r="BZ253" s="169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</row>
    <row r="254" spans="12:91" ht="11.25" customHeight="1">
      <c r="L254" s="150"/>
      <c r="M254" s="501" t="s">
        <v>534</v>
      </c>
      <c r="N254" s="477" t="s">
        <v>535</v>
      </c>
      <c r="O254" s="163" t="s">
        <v>195</v>
      </c>
      <c r="AB254" s="251"/>
      <c r="AC254" s="251"/>
      <c r="AD254" s="251"/>
      <c r="AE254" s="247">
        <f>AF254+AG254</f>
        <v>0</v>
      </c>
      <c r="AF254" s="245">
        <f>AF244*AF249/100</f>
        <v>0</v>
      </c>
      <c r="AG254" s="245">
        <f>AG244*AG249/100</f>
        <v>0</v>
      </c>
      <c r="AH254" s="169"/>
      <c r="AI254" s="169"/>
      <c r="AJ254" s="169"/>
      <c r="AK254" s="169"/>
      <c r="AL254" s="169"/>
      <c r="AM254" s="169"/>
      <c r="AN254" s="169"/>
      <c r="AO254" s="169"/>
      <c r="AP254" s="169"/>
      <c r="AQ254" s="169"/>
      <c r="AR254" s="169"/>
      <c r="AS254" s="169"/>
      <c r="AT254" s="169"/>
      <c r="AU254" s="169"/>
      <c r="AV254" s="169"/>
      <c r="AW254" s="169"/>
      <c r="AX254" s="169"/>
      <c r="AY254" s="169"/>
      <c r="AZ254" s="169"/>
      <c r="BA254" s="169"/>
      <c r="BB254" s="169"/>
      <c r="BC254" s="169"/>
      <c r="BD254" s="169"/>
      <c r="BE254" s="169"/>
      <c r="BF254" s="169"/>
      <c r="BG254" s="169"/>
      <c r="BH254" s="169"/>
      <c r="BI254" s="169"/>
      <c r="BJ254" s="169"/>
      <c r="BK254" s="169"/>
      <c r="BL254" s="169"/>
      <c r="BM254" s="169"/>
      <c r="BN254" s="169"/>
      <c r="BO254" s="169"/>
      <c r="BP254" s="169"/>
      <c r="BQ254" s="169"/>
      <c r="BR254" s="169"/>
      <c r="BS254" s="169"/>
      <c r="BT254" s="169"/>
      <c r="BU254" s="169"/>
      <c r="BV254" s="169"/>
      <c r="BW254" s="169"/>
      <c r="BX254" s="169"/>
      <c r="BY254" s="169"/>
      <c r="BZ254" s="169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</row>
    <row r="255" spans="12:91" ht="11.25" customHeight="1">
      <c r="L255" s="150"/>
      <c r="M255" s="456"/>
      <c r="N255" s="472"/>
      <c r="O255" s="442"/>
      <c r="AB255" s="251"/>
      <c r="AC255" s="251"/>
      <c r="AD255" s="251"/>
      <c r="AE255" s="241"/>
      <c r="AF255" s="241"/>
      <c r="AG255" s="241"/>
      <c r="AH255" s="169"/>
      <c r="AI255" s="169"/>
      <c r="AJ255" s="169"/>
      <c r="AK255" s="169"/>
      <c r="AL255" s="169"/>
      <c r="AM255" s="169"/>
      <c r="AN255" s="169"/>
      <c r="AO255" s="169"/>
      <c r="AP255" s="169"/>
      <c r="AQ255" s="169"/>
      <c r="AR255" s="169"/>
      <c r="AS255" s="169"/>
      <c r="AT255" s="169"/>
      <c r="AU255" s="169"/>
      <c r="AV255" s="169"/>
      <c r="AW255" s="169"/>
      <c r="AX255" s="169"/>
      <c r="AY255" s="169"/>
      <c r="AZ255" s="169"/>
      <c r="BA255" s="169"/>
      <c r="BB255" s="169"/>
      <c r="BC255" s="169"/>
      <c r="BD255" s="169"/>
      <c r="BE255" s="169"/>
      <c r="BF255" s="169"/>
      <c r="BG255" s="169"/>
      <c r="BH255" s="169"/>
      <c r="BI255" s="169"/>
      <c r="BJ255" s="169"/>
      <c r="BK255" s="169"/>
      <c r="BL255" s="169"/>
      <c r="BM255" s="169"/>
      <c r="BN255" s="169"/>
      <c r="BO255" s="169"/>
      <c r="BP255" s="169"/>
      <c r="BQ255" s="169"/>
      <c r="BR255" s="169"/>
      <c r="BS255" s="169"/>
      <c r="BT255" s="169"/>
      <c r="BU255" s="169"/>
      <c r="BV255" s="169"/>
      <c r="BW255" s="169"/>
      <c r="BX255" s="169"/>
      <c r="BY255" s="169"/>
      <c r="BZ255" s="169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</row>
    <row r="256" spans="12:91" ht="11.25" customHeight="1">
      <c r="L256" s="150"/>
      <c r="M256" s="490" t="s">
        <v>536</v>
      </c>
      <c r="N256" s="494" t="s">
        <v>1145</v>
      </c>
      <c r="O256" s="163" t="s">
        <v>195</v>
      </c>
      <c r="AB256" s="251"/>
      <c r="AC256" s="251"/>
      <c r="AD256" s="251"/>
      <c r="AE256" s="247">
        <f t="shared" ref="AE256:AE263" si="2">AF256+AG256</f>
        <v>0</v>
      </c>
      <c r="AF256" s="247">
        <f>AF257*AF258</f>
        <v>0</v>
      </c>
      <c r="AG256" s="247">
        <f>AG257*AG258</f>
        <v>0</v>
      </c>
      <c r="AH256" s="169"/>
      <c r="AI256" s="169"/>
      <c r="AJ256" s="169"/>
      <c r="AK256" s="169"/>
      <c r="AL256" s="169"/>
      <c r="AM256" s="169"/>
      <c r="AN256" s="169"/>
      <c r="AO256" s="169"/>
      <c r="AP256" s="169"/>
      <c r="AQ256" s="169"/>
      <c r="AR256" s="169"/>
      <c r="AS256" s="169"/>
      <c r="AT256" s="169"/>
      <c r="AU256" s="169"/>
      <c r="AV256" s="169"/>
      <c r="AW256" s="169"/>
      <c r="AX256" s="169"/>
      <c r="AY256" s="169"/>
      <c r="AZ256" s="169"/>
      <c r="BA256" s="169"/>
      <c r="BB256" s="169"/>
      <c r="BC256" s="169"/>
      <c r="BD256" s="169"/>
      <c r="BE256" s="169"/>
      <c r="BF256" s="169"/>
      <c r="BG256" s="169"/>
      <c r="BH256" s="169"/>
      <c r="BI256" s="169"/>
      <c r="BJ256" s="169"/>
      <c r="BK256" s="169"/>
      <c r="BL256" s="169"/>
      <c r="BM256" s="169"/>
      <c r="BN256" s="169"/>
      <c r="BO256" s="169"/>
      <c r="BP256" s="169"/>
      <c r="BQ256" s="169"/>
      <c r="BR256" s="169"/>
      <c r="BS256" s="169"/>
      <c r="BT256" s="169"/>
      <c r="BU256" s="169"/>
      <c r="BV256" s="169"/>
      <c r="BW256" s="169"/>
      <c r="BX256" s="169"/>
      <c r="BY256" s="169"/>
      <c r="BZ256" s="169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</row>
    <row r="257" spans="12:91" ht="11.25" customHeight="1">
      <c r="L257" s="150"/>
      <c r="M257" s="504" t="s">
        <v>537</v>
      </c>
      <c r="N257" s="479" t="s">
        <v>247</v>
      </c>
      <c r="O257" s="163" t="s">
        <v>397</v>
      </c>
      <c r="AB257" s="251"/>
      <c r="AC257" s="251"/>
      <c r="AD257" s="251"/>
      <c r="AE257" s="247">
        <f>IF(AE258=0,0,AE256/AE258)</f>
        <v>0</v>
      </c>
      <c r="AF257" s="245"/>
      <c r="AG257" s="245"/>
      <c r="AH257" s="169"/>
      <c r="AI257" s="169"/>
      <c r="AJ257" s="169"/>
      <c r="AK257" s="169"/>
      <c r="AL257" s="169"/>
      <c r="AM257" s="169"/>
      <c r="AN257" s="169"/>
      <c r="AO257" s="169"/>
      <c r="AP257" s="169"/>
      <c r="AQ257" s="169"/>
      <c r="AR257" s="169"/>
      <c r="AS257" s="169"/>
      <c r="AT257" s="169"/>
      <c r="AU257" s="169"/>
      <c r="AV257" s="169"/>
      <c r="AW257" s="169"/>
      <c r="AX257" s="169"/>
      <c r="AY257" s="169"/>
      <c r="AZ257" s="169"/>
      <c r="BA257" s="169"/>
      <c r="BB257" s="169"/>
      <c r="BC257" s="169"/>
      <c r="BD257" s="169"/>
      <c r="BE257" s="169"/>
      <c r="BF257" s="169"/>
      <c r="BG257" s="169"/>
      <c r="BH257" s="169"/>
      <c r="BI257" s="169"/>
      <c r="BJ257" s="169"/>
      <c r="BK257" s="169"/>
      <c r="BL257" s="169"/>
      <c r="BM257" s="169"/>
      <c r="BN257" s="169"/>
      <c r="BO257" s="169"/>
      <c r="BP257" s="169"/>
      <c r="BQ257" s="169"/>
      <c r="BR257" s="169"/>
      <c r="BS257" s="169"/>
      <c r="BT257" s="169"/>
      <c r="BU257" s="169"/>
      <c r="BV257" s="169"/>
      <c r="BW257" s="169"/>
      <c r="BX257" s="169"/>
      <c r="BY257" s="169"/>
      <c r="BZ257" s="169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</row>
    <row r="258" spans="12:91" ht="11.25" customHeight="1">
      <c r="L258" s="150"/>
      <c r="M258" s="504" t="s">
        <v>1146</v>
      </c>
      <c r="N258" s="479" t="s">
        <v>245</v>
      </c>
      <c r="O258" s="163" t="s">
        <v>1026</v>
      </c>
      <c r="AB258" s="251"/>
      <c r="AC258" s="251"/>
      <c r="AD258" s="251"/>
      <c r="AE258" s="247">
        <f t="shared" si="2"/>
        <v>0</v>
      </c>
      <c r="AF258" s="245"/>
      <c r="AG258" s="245"/>
      <c r="AH258" s="169"/>
      <c r="AI258" s="169"/>
      <c r="AJ258" s="169"/>
      <c r="AK258" s="169"/>
      <c r="AL258" s="169"/>
      <c r="AM258" s="169"/>
      <c r="AN258" s="169"/>
      <c r="AO258" s="169"/>
      <c r="AP258" s="169"/>
      <c r="AQ258" s="169"/>
      <c r="AR258" s="169"/>
      <c r="AS258" s="169"/>
      <c r="AT258" s="169"/>
      <c r="AU258" s="169"/>
      <c r="AV258" s="169"/>
      <c r="AW258" s="169"/>
      <c r="AX258" s="169"/>
      <c r="AY258" s="169"/>
      <c r="AZ258" s="169"/>
      <c r="BA258" s="169"/>
      <c r="BB258" s="169"/>
      <c r="BC258" s="169"/>
      <c r="BD258" s="169"/>
      <c r="BE258" s="169"/>
      <c r="BF258" s="169"/>
      <c r="BG258" s="169"/>
      <c r="BH258" s="169"/>
      <c r="BI258" s="169"/>
      <c r="BJ258" s="169"/>
      <c r="BK258" s="169"/>
      <c r="BL258" s="169"/>
      <c r="BM258" s="169"/>
      <c r="BN258" s="169"/>
      <c r="BO258" s="169"/>
      <c r="BP258" s="169"/>
      <c r="BQ258" s="169"/>
      <c r="BR258" s="169"/>
      <c r="BS258" s="169"/>
      <c r="BT258" s="169"/>
      <c r="BU258" s="169"/>
      <c r="BV258" s="169"/>
      <c r="BW258" s="169"/>
      <c r="BX258" s="169"/>
      <c r="BY258" s="169"/>
      <c r="BZ258" s="169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</row>
    <row r="259" spans="12:91" ht="11.25" customHeight="1">
      <c r="L259" s="150"/>
      <c r="M259" s="490" t="s">
        <v>538</v>
      </c>
      <c r="N259" s="494" t="s">
        <v>1147</v>
      </c>
      <c r="O259" s="163" t="s">
        <v>195</v>
      </c>
      <c r="AB259" s="251"/>
      <c r="AC259" s="251"/>
      <c r="AD259" s="251"/>
      <c r="AE259" s="247">
        <f t="shared" si="2"/>
        <v>0</v>
      </c>
      <c r="AF259" s="247">
        <f>AF260*AF261</f>
        <v>0</v>
      </c>
      <c r="AG259" s="247">
        <f>AG260*AG261</f>
        <v>0</v>
      </c>
      <c r="AH259" s="169"/>
      <c r="AI259" s="169"/>
      <c r="AJ259" s="169"/>
      <c r="AK259" s="169"/>
      <c r="AL259" s="169"/>
      <c r="AM259" s="169"/>
      <c r="AN259" s="169"/>
      <c r="AO259" s="169"/>
      <c r="AP259" s="169"/>
      <c r="AQ259" s="169"/>
      <c r="AR259" s="169"/>
      <c r="AS259" s="169"/>
      <c r="AT259" s="169"/>
      <c r="AU259" s="169"/>
      <c r="AV259" s="169"/>
      <c r="AW259" s="169"/>
      <c r="AX259" s="169"/>
      <c r="AY259" s="169"/>
      <c r="AZ259" s="169"/>
      <c r="BA259" s="169"/>
      <c r="BB259" s="169"/>
      <c r="BC259" s="169"/>
      <c r="BD259" s="169"/>
      <c r="BE259" s="169"/>
      <c r="BF259" s="169"/>
      <c r="BG259" s="169"/>
      <c r="BH259" s="169"/>
      <c r="BI259" s="169"/>
      <c r="BJ259" s="169"/>
      <c r="BK259" s="169"/>
      <c r="BL259" s="169"/>
      <c r="BM259" s="169"/>
      <c r="BN259" s="169"/>
      <c r="BO259" s="169"/>
      <c r="BP259" s="169"/>
      <c r="BQ259" s="169"/>
      <c r="BR259" s="169"/>
      <c r="BS259" s="169"/>
      <c r="BT259" s="169"/>
      <c r="BU259" s="169"/>
      <c r="BV259" s="169"/>
      <c r="BW259" s="169"/>
      <c r="BX259" s="169"/>
      <c r="BY259" s="169"/>
      <c r="BZ259" s="16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</row>
    <row r="260" spans="12:91" ht="11.25" customHeight="1">
      <c r="L260" s="150"/>
      <c r="M260" s="504" t="s">
        <v>579</v>
      </c>
      <c r="N260" s="479" t="s">
        <v>247</v>
      </c>
      <c r="O260" s="163" t="s">
        <v>397</v>
      </c>
      <c r="AB260" s="251"/>
      <c r="AC260" s="251"/>
      <c r="AD260" s="251"/>
      <c r="AE260" s="247">
        <f>IF(AE261=0,0,AE259/AE261)</f>
        <v>0</v>
      </c>
      <c r="AF260" s="245"/>
      <c r="AG260" s="245"/>
      <c r="AH260" s="169"/>
      <c r="AI260" s="169"/>
      <c r="AJ260" s="169"/>
      <c r="AK260" s="169"/>
      <c r="AL260" s="169"/>
      <c r="AM260" s="169"/>
      <c r="AN260" s="169"/>
      <c r="AO260" s="169"/>
      <c r="AP260" s="169"/>
      <c r="AQ260" s="169"/>
      <c r="AR260" s="169"/>
      <c r="AS260" s="169"/>
      <c r="AT260" s="169"/>
      <c r="AU260" s="169"/>
      <c r="AV260" s="169"/>
      <c r="AW260" s="169"/>
      <c r="AX260" s="169"/>
      <c r="AY260" s="169"/>
      <c r="AZ260" s="169"/>
      <c r="BA260" s="169"/>
      <c r="BB260" s="169"/>
      <c r="BC260" s="169"/>
      <c r="BD260" s="169"/>
      <c r="BE260" s="169"/>
      <c r="BF260" s="169"/>
      <c r="BG260" s="169"/>
      <c r="BH260" s="169"/>
      <c r="BI260" s="169"/>
      <c r="BJ260" s="169"/>
      <c r="BK260" s="169"/>
      <c r="BL260" s="169"/>
      <c r="BM260" s="169"/>
      <c r="BN260" s="169"/>
      <c r="BO260" s="169"/>
      <c r="BP260" s="169"/>
      <c r="BQ260" s="169"/>
      <c r="BR260" s="169"/>
      <c r="BS260" s="169"/>
      <c r="BT260" s="169"/>
      <c r="BU260" s="169"/>
      <c r="BV260" s="169"/>
      <c r="BW260" s="169"/>
      <c r="BX260" s="169"/>
      <c r="BY260" s="169"/>
      <c r="BZ260" s="169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</row>
    <row r="261" spans="12:91" ht="11.25" customHeight="1">
      <c r="L261" s="150"/>
      <c r="M261" s="504" t="s">
        <v>529</v>
      </c>
      <c r="N261" s="479" t="s">
        <v>245</v>
      </c>
      <c r="O261" s="163" t="s">
        <v>1026</v>
      </c>
      <c r="AB261" s="251"/>
      <c r="AC261" s="251"/>
      <c r="AD261" s="251"/>
      <c r="AE261" s="247">
        <f t="shared" si="2"/>
        <v>0</v>
      </c>
      <c r="AF261" s="245"/>
      <c r="AG261" s="245"/>
      <c r="AH261" s="169"/>
      <c r="AI261" s="169"/>
      <c r="AJ261" s="169"/>
      <c r="AK261" s="169"/>
      <c r="AL261" s="169"/>
      <c r="AM261" s="169"/>
      <c r="AN261" s="169"/>
      <c r="AO261" s="169"/>
      <c r="AP261" s="169"/>
      <c r="AQ261" s="169"/>
      <c r="AR261" s="169"/>
      <c r="AS261" s="169"/>
      <c r="AT261" s="169"/>
      <c r="AU261" s="169"/>
      <c r="AV261" s="169"/>
      <c r="AW261" s="169"/>
      <c r="AX261" s="169"/>
      <c r="AY261" s="169"/>
      <c r="AZ261" s="169"/>
      <c r="BA261" s="169"/>
      <c r="BB261" s="169"/>
      <c r="BC261" s="169"/>
      <c r="BD261" s="169"/>
      <c r="BE261" s="169"/>
      <c r="BF261" s="169"/>
      <c r="BG261" s="169"/>
      <c r="BH261" s="169"/>
      <c r="BI261" s="169"/>
      <c r="BJ261" s="169"/>
      <c r="BK261" s="169"/>
      <c r="BL261" s="169"/>
      <c r="BM261" s="169"/>
      <c r="BN261" s="169"/>
      <c r="BO261" s="169"/>
      <c r="BP261" s="169"/>
      <c r="BQ261" s="169"/>
      <c r="BR261" s="169"/>
      <c r="BS261" s="169"/>
      <c r="BT261" s="169"/>
      <c r="BU261" s="169"/>
      <c r="BV261" s="169"/>
      <c r="BW261" s="169"/>
      <c r="BX261" s="169"/>
      <c r="BY261" s="169"/>
      <c r="BZ261" s="169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</row>
    <row r="262" spans="12:91" ht="11.25" customHeight="1">
      <c r="L262" s="150"/>
      <c r="M262" s="490" t="s">
        <v>542</v>
      </c>
      <c r="N262" s="494" t="s">
        <v>1148</v>
      </c>
      <c r="O262" s="163" t="s">
        <v>195</v>
      </c>
      <c r="AB262" s="251"/>
      <c r="AC262" s="251"/>
      <c r="AD262" s="251"/>
      <c r="AE262" s="247">
        <f t="shared" si="2"/>
        <v>0</v>
      </c>
      <c r="AF262" s="245"/>
      <c r="AG262" s="245"/>
      <c r="AH262" s="169"/>
      <c r="AI262" s="169"/>
      <c r="AJ262" s="169"/>
      <c r="AK262" s="169"/>
      <c r="AL262" s="169"/>
      <c r="AM262" s="169"/>
      <c r="AN262" s="169"/>
      <c r="AO262" s="169"/>
      <c r="AP262" s="169"/>
      <c r="AQ262" s="169"/>
      <c r="AR262" s="169"/>
      <c r="AS262" s="169"/>
      <c r="AT262" s="169"/>
      <c r="AU262" s="169"/>
      <c r="AV262" s="169"/>
      <c r="AW262" s="169"/>
      <c r="AX262" s="169"/>
      <c r="AY262" s="169"/>
      <c r="AZ262" s="169"/>
      <c r="BA262" s="169"/>
      <c r="BB262" s="169"/>
      <c r="BC262" s="169"/>
      <c r="BD262" s="169"/>
      <c r="BE262" s="169"/>
      <c r="BF262" s="169"/>
      <c r="BG262" s="169"/>
      <c r="BH262" s="169"/>
      <c r="BI262" s="169"/>
      <c r="BJ262" s="169"/>
      <c r="BK262" s="169"/>
      <c r="BL262" s="169"/>
      <c r="BM262" s="169"/>
      <c r="BN262" s="169"/>
      <c r="BO262" s="169"/>
      <c r="BP262" s="169"/>
      <c r="BQ262" s="169"/>
      <c r="BR262" s="169"/>
      <c r="BS262" s="169"/>
      <c r="BT262" s="169"/>
      <c r="BU262" s="169"/>
      <c r="BV262" s="169"/>
      <c r="BW262" s="169"/>
      <c r="BX262" s="169"/>
      <c r="BY262" s="169"/>
      <c r="BZ262" s="169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</row>
    <row r="263" spans="12:91" ht="11.25" customHeight="1">
      <c r="L263" s="150"/>
      <c r="M263" s="490" t="s">
        <v>328</v>
      </c>
      <c r="N263" s="494" t="s">
        <v>1149</v>
      </c>
      <c r="O263" s="443" t="s">
        <v>195</v>
      </c>
      <c r="AB263" s="251"/>
      <c r="AC263" s="251"/>
      <c r="AD263" s="251"/>
      <c r="AE263" s="247">
        <f t="shared" si="2"/>
        <v>0</v>
      </c>
      <c r="AF263" s="245"/>
      <c r="AG263" s="245"/>
      <c r="AH263" s="169"/>
      <c r="AI263" s="169"/>
      <c r="AJ263" s="169"/>
      <c r="AK263" s="169"/>
      <c r="AL263" s="169"/>
      <c r="AM263" s="169"/>
      <c r="AN263" s="169"/>
      <c r="AO263" s="169"/>
      <c r="AP263" s="169"/>
      <c r="AQ263" s="169"/>
      <c r="AR263" s="169"/>
      <c r="AS263" s="169"/>
      <c r="AT263" s="169"/>
      <c r="AU263" s="169"/>
      <c r="AV263" s="169"/>
      <c r="AW263" s="169"/>
      <c r="AX263" s="169"/>
      <c r="AY263" s="169"/>
      <c r="AZ263" s="169"/>
      <c r="BA263" s="169"/>
      <c r="BB263" s="169"/>
      <c r="BC263" s="169"/>
      <c r="BD263" s="169"/>
      <c r="BE263" s="169"/>
      <c r="BF263" s="169"/>
      <c r="BG263" s="169"/>
      <c r="BH263" s="169"/>
      <c r="BI263" s="169"/>
      <c r="BJ263" s="169"/>
      <c r="BK263" s="169"/>
      <c r="BL263" s="169"/>
      <c r="BM263" s="169"/>
      <c r="BN263" s="169"/>
      <c r="BO263" s="169"/>
      <c r="BP263" s="169"/>
      <c r="BQ263" s="169"/>
      <c r="BR263" s="169"/>
      <c r="BS263" s="169"/>
      <c r="BT263" s="169"/>
      <c r="BU263" s="169"/>
      <c r="BV263" s="169"/>
      <c r="BW263" s="169"/>
      <c r="BX263" s="169"/>
      <c r="BY263" s="169"/>
      <c r="BZ263" s="169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</row>
    <row r="264" spans="12:91" ht="11.25" customHeight="1">
      <c r="L264" s="150"/>
      <c r="M264" s="500"/>
      <c r="N264" s="472"/>
      <c r="O264" s="442"/>
      <c r="AB264" s="251"/>
      <c r="AC264" s="251"/>
      <c r="AD264" s="251"/>
      <c r="AE264" s="241"/>
      <c r="AF264" s="241"/>
      <c r="AG264" s="241"/>
      <c r="AH264" s="169"/>
      <c r="AI264" s="169"/>
      <c r="AJ264" s="169"/>
      <c r="AK264" s="169"/>
      <c r="AL264" s="169"/>
      <c r="AM264" s="169"/>
      <c r="AN264" s="169"/>
      <c r="AO264" s="169"/>
      <c r="AP264" s="169"/>
      <c r="AQ264" s="169"/>
      <c r="AR264" s="169"/>
      <c r="AS264" s="169"/>
      <c r="AT264" s="169"/>
      <c r="AU264" s="169"/>
      <c r="AV264" s="169"/>
      <c r="AW264" s="169"/>
      <c r="AX264" s="169"/>
      <c r="AY264" s="169"/>
      <c r="AZ264" s="169"/>
      <c r="BA264" s="169"/>
      <c r="BB264" s="169"/>
      <c r="BC264" s="169"/>
      <c r="BD264" s="169"/>
      <c r="BE264" s="169"/>
      <c r="BF264" s="169"/>
      <c r="BG264" s="169"/>
      <c r="BH264" s="169"/>
      <c r="BI264" s="169"/>
      <c r="BJ264" s="169"/>
      <c r="BK264" s="169"/>
      <c r="BL264" s="169"/>
      <c r="BM264" s="169"/>
      <c r="BN264" s="169"/>
      <c r="BO264" s="169"/>
      <c r="BP264" s="169"/>
      <c r="BQ264" s="169"/>
      <c r="BR264" s="169"/>
      <c r="BS264" s="169"/>
      <c r="BT264" s="169"/>
      <c r="BU264" s="169"/>
      <c r="BV264" s="169"/>
      <c r="BW264" s="169"/>
      <c r="BX264" s="169"/>
      <c r="BY264" s="169"/>
      <c r="BZ264" s="169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</row>
    <row r="265" spans="12:91" ht="11.25" customHeight="1">
      <c r="L265" s="150"/>
      <c r="M265" s="490" t="s">
        <v>541</v>
      </c>
      <c r="N265" s="494" t="s">
        <v>1150</v>
      </c>
      <c r="O265" s="443" t="s">
        <v>195</v>
      </c>
      <c r="AB265" s="251"/>
      <c r="AC265" s="251"/>
      <c r="AD265" s="251"/>
      <c r="AE265" s="247">
        <f t="shared" ref="AE265:AE291" si="3">AF265+AG265</f>
        <v>0</v>
      </c>
      <c r="AF265" s="247">
        <f>SUM(AF266:AF272)</f>
        <v>0</v>
      </c>
      <c r="AG265" s="247">
        <f>SUM(AG266:AG272)</f>
        <v>0</v>
      </c>
      <c r="AH265" s="169"/>
      <c r="AI265" s="169"/>
      <c r="AJ265" s="169"/>
      <c r="AK265" s="169"/>
      <c r="AL265" s="169"/>
      <c r="AM265" s="169"/>
      <c r="AN265" s="169"/>
      <c r="AO265" s="169"/>
      <c r="AP265" s="169"/>
      <c r="AQ265" s="169"/>
      <c r="AR265" s="169"/>
      <c r="AS265" s="169"/>
      <c r="AT265" s="169"/>
      <c r="AU265" s="169"/>
      <c r="AV265" s="169"/>
      <c r="AW265" s="169"/>
      <c r="AX265" s="169"/>
      <c r="AY265" s="169"/>
      <c r="AZ265" s="169"/>
      <c r="BA265" s="169"/>
      <c r="BB265" s="169"/>
      <c r="BC265" s="169"/>
      <c r="BD265" s="169"/>
      <c r="BE265" s="169"/>
      <c r="BF265" s="169"/>
      <c r="BG265" s="169"/>
      <c r="BH265" s="169"/>
      <c r="BI265" s="169"/>
      <c r="BJ265" s="169"/>
      <c r="BK265" s="169"/>
      <c r="BL265" s="169"/>
      <c r="BM265" s="169"/>
      <c r="BN265" s="169"/>
      <c r="BO265" s="169"/>
      <c r="BP265" s="169"/>
      <c r="BQ265" s="169"/>
      <c r="BR265" s="169"/>
      <c r="BS265" s="169"/>
      <c r="BT265" s="169"/>
      <c r="BU265" s="169"/>
      <c r="BV265" s="169"/>
      <c r="BW265" s="169"/>
      <c r="BX265" s="169"/>
      <c r="BY265" s="169"/>
      <c r="BZ265" s="169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</row>
    <row r="266" spans="12:91" ht="11.25" customHeight="1">
      <c r="L266" s="150"/>
      <c r="M266" s="505" t="str">
        <f>M265 &amp; ".1"</f>
        <v>12.1</v>
      </c>
      <c r="N266" s="479" t="s">
        <v>1151</v>
      </c>
      <c r="O266" s="443" t="s">
        <v>195</v>
      </c>
      <c r="AB266" s="251"/>
      <c r="AC266" s="251"/>
      <c r="AD266" s="251"/>
      <c r="AE266" s="247">
        <f t="shared" si="3"/>
        <v>0</v>
      </c>
      <c r="AF266" s="245"/>
      <c r="AG266" s="245"/>
      <c r="AH266" s="169"/>
      <c r="AI266" s="169"/>
      <c r="AJ266" s="169"/>
      <c r="AK266" s="169"/>
      <c r="AL266" s="169"/>
      <c r="AM266" s="169"/>
      <c r="AN266" s="169"/>
      <c r="AO266" s="169"/>
      <c r="AP266" s="169"/>
      <c r="AQ266" s="169"/>
      <c r="AR266" s="169"/>
      <c r="AS266" s="169"/>
      <c r="AT266" s="169"/>
      <c r="AU266" s="169"/>
      <c r="AV266" s="169"/>
      <c r="AW266" s="169"/>
      <c r="AX266" s="169"/>
      <c r="AY266" s="169"/>
      <c r="AZ266" s="169"/>
      <c r="BA266" s="169"/>
      <c r="BB266" s="169"/>
      <c r="BC266" s="169"/>
      <c r="BD266" s="169"/>
      <c r="BE266" s="169"/>
      <c r="BF266" s="169"/>
      <c r="BG266" s="169"/>
      <c r="BH266" s="169"/>
      <c r="BI266" s="169"/>
      <c r="BJ266" s="169"/>
      <c r="BK266" s="169"/>
      <c r="BL266" s="169"/>
      <c r="BM266" s="169"/>
      <c r="BN266" s="169"/>
      <c r="BO266" s="169"/>
      <c r="BP266" s="169"/>
      <c r="BQ266" s="169"/>
      <c r="BR266" s="169"/>
      <c r="BS266" s="169"/>
      <c r="BT266" s="169"/>
      <c r="BU266" s="169"/>
      <c r="BV266" s="169"/>
      <c r="BW266" s="169"/>
      <c r="BX266" s="169"/>
      <c r="BY266" s="169"/>
      <c r="BZ266" s="169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</row>
    <row r="267" spans="12:91" ht="11.25" customHeight="1">
      <c r="L267" s="150"/>
      <c r="M267" s="505" t="str">
        <f>M265 &amp; ".2"</f>
        <v>12.2</v>
      </c>
      <c r="N267" s="479" t="s">
        <v>1152</v>
      </c>
      <c r="O267" s="443" t="s">
        <v>195</v>
      </c>
      <c r="AB267" s="251"/>
      <c r="AC267" s="251"/>
      <c r="AD267" s="251"/>
      <c r="AE267" s="247">
        <f t="shared" si="3"/>
        <v>0</v>
      </c>
      <c r="AF267" s="245"/>
      <c r="AG267" s="245"/>
      <c r="AH267" s="169"/>
      <c r="AI267" s="169"/>
      <c r="AJ267" s="169"/>
      <c r="AK267" s="169"/>
      <c r="AL267" s="169"/>
      <c r="AM267" s="169"/>
      <c r="AN267" s="169"/>
      <c r="AO267" s="169"/>
      <c r="AP267" s="169"/>
      <c r="AQ267" s="169"/>
      <c r="AR267" s="169"/>
      <c r="AS267" s="169"/>
      <c r="AT267" s="169"/>
      <c r="AU267" s="169"/>
      <c r="AV267" s="169"/>
      <c r="AW267" s="169"/>
      <c r="AX267" s="169"/>
      <c r="AY267" s="169"/>
      <c r="AZ267" s="169"/>
      <c r="BA267" s="169"/>
      <c r="BB267" s="169"/>
      <c r="BC267" s="169"/>
      <c r="BD267" s="169"/>
      <c r="BE267" s="169"/>
      <c r="BF267" s="169"/>
      <c r="BG267" s="169"/>
      <c r="BH267" s="169"/>
      <c r="BI267" s="169"/>
      <c r="BJ267" s="169"/>
      <c r="BK267" s="169"/>
      <c r="BL267" s="169"/>
      <c r="BM267" s="169"/>
      <c r="BN267" s="169"/>
      <c r="BO267" s="169"/>
      <c r="BP267" s="169"/>
      <c r="BQ267" s="169"/>
      <c r="BR267" s="169"/>
      <c r="BS267" s="169"/>
      <c r="BT267" s="169"/>
      <c r="BU267" s="169"/>
      <c r="BV267" s="169"/>
      <c r="BW267" s="169"/>
      <c r="BX267" s="169"/>
      <c r="BY267" s="169"/>
      <c r="BZ267" s="169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</row>
    <row r="268" spans="12:91" ht="11.25" customHeight="1">
      <c r="L268" s="150"/>
      <c r="M268" s="505" t="str">
        <f>M265 &amp; ".3"</f>
        <v>12.3</v>
      </c>
      <c r="N268" s="479" t="s">
        <v>1153</v>
      </c>
      <c r="O268" s="443" t="s">
        <v>195</v>
      </c>
      <c r="AB268" s="251"/>
      <c r="AC268" s="251"/>
      <c r="AD268" s="251"/>
      <c r="AE268" s="247">
        <f t="shared" si="3"/>
        <v>0</v>
      </c>
      <c r="AF268" s="245"/>
      <c r="AG268" s="245"/>
      <c r="AH268" s="169"/>
      <c r="AI268" s="169"/>
      <c r="AJ268" s="169"/>
      <c r="AK268" s="169"/>
      <c r="AL268" s="169"/>
      <c r="AM268" s="169"/>
      <c r="AN268" s="169"/>
      <c r="AO268" s="169"/>
      <c r="AP268" s="169"/>
      <c r="AQ268" s="169"/>
      <c r="AR268" s="169"/>
      <c r="AS268" s="169"/>
      <c r="AT268" s="169"/>
      <c r="AU268" s="169"/>
      <c r="AV268" s="169"/>
      <c r="AW268" s="169"/>
      <c r="AX268" s="169"/>
      <c r="AY268" s="169"/>
      <c r="AZ268" s="169"/>
      <c r="BA268" s="169"/>
      <c r="BB268" s="169"/>
      <c r="BC268" s="169"/>
      <c r="BD268" s="169"/>
      <c r="BE268" s="169"/>
      <c r="BF268" s="169"/>
      <c r="BG268" s="169"/>
      <c r="BH268" s="169"/>
      <c r="BI268" s="169"/>
      <c r="BJ268" s="169"/>
      <c r="BK268" s="169"/>
      <c r="BL268" s="169"/>
      <c r="BM268" s="169"/>
      <c r="BN268" s="169"/>
      <c r="BO268" s="169"/>
      <c r="BP268" s="169"/>
      <c r="BQ268" s="169"/>
      <c r="BR268" s="169"/>
      <c r="BS268" s="169"/>
      <c r="BT268" s="169"/>
      <c r="BU268" s="169"/>
      <c r="BV268" s="169"/>
      <c r="BW268" s="169"/>
      <c r="BX268" s="169"/>
      <c r="BY268" s="169"/>
      <c r="BZ268" s="169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</row>
    <row r="269" spans="12:91" ht="11.25" customHeight="1">
      <c r="L269" s="150"/>
      <c r="M269" s="505" t="str">
        <f>M265 &amp; ".4"</f>
        <v>12.4</v>
      </c>
      <c r="N269" s="479" t="s">
        <v>1154</v>
      </c>
      <c r="O269" s="443" t="s">
        <v>195</v>
      </c>
      <c r="AB269" s="251"/>
      <c r="AC269" s="251"/>
      <c r="AD269" s="251"/>
      <c r="AE269" s="247">
        <f t="shared" si="3"/>
        <v>0</v>
      </c>
      <c r="AF269" s="245"/>
      <c r="AG269" s="245"/>
      <c r="AH269" s="169"/>
      <c r="AI269" s="169"/>
      <c r="AJ269" s="169"/>
      <c r="AK269" s="169"/>
      <c r="AL269" s="169"/>
      <c r="AM269" s="169"/>
      <c r="AN269" s="169"/>
      <c r="AO269" s="169"/>
      <c r="AP269" s="169"/>
      <c r="AQ269" s="169"/>
      <c r="AR269" s="169"/>
      <c r="AS269" s="169"/>
      <c r="AT269" s="169"/>
      <c r="AU269" s="169"/>
      <c r="AV269" s="169"/>
      <c r="AW269" s="169"/>
      <c r="AX269" s="169"/>
      <c r="AY269" s="169"/>
      <c r="AZ269" s="169"/>
      <c r="BA269" s="169"/>
      <c r="BB269" s="169"/>
      <c r="BC269" s="169"/>
      <c r="BD269" s="169"/>
      <c r="BE269" s="169"/>
      <c r="BF269" s="169"/>
      <c r="BG269" s="169"/>
      <c r="BH269" s="169"/>
      <c r="BI269" s="169"/>
      <c r="BJ269" s="169"/>
      <c r="BK269" s="169"/>
      <c r="BL269" s="169"/>
      <c r="BM269" s="169"/>
      <c r="BN269" s="169"/>
      <c r="BO269" s="169"/>
      <c r="BP269" s="169"/>
      <c r="BQ269" s="169"/>
      <c r="BR269" s="169"/>
      <c r="BS269" s="169"/>
      <c r="BT269" s="169"/>
      <c r="BU269" s="169"/>
      <c r="BV269" s="169"/>
      <c r="BW269" s="169"/>
      <c r="BX269" s="169"/>
      <c r="BY269" s="169"/>
      <c r="BZ269" s="1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</row>
    <row r="270" spans="12:91" ht="11.25" customHeight="1">
      <c r="L270" s="150"/>
      <c r="M270" s="505" t="str">
        <f>M265 &amp; ".5"</f>
        <v>12.5</v>
      </c>
      <c r="N270" s="479" t="s">
        <v>1155</v>
      </c>
      <c r="O270" s="443" t="s">
        <v>195</v>
      </c>
      <c r="AB270" s="251"/>
      <c r="AC270" s="251"/>
      <c r="AD270" s="251"/>
      <c r="AE270" s="247">
        <f t="shared" si="3"/>
        <v>0</v>
      </c>
      <c r="AF270" s="245"/>
      <c r="AG270" s="245"/>
      <c r="AH270" s="169"/>
      <c r="AI270" s="169"/>
      <c r="AJ270" s="169"/>
      <c r="AK270" s="169"/>
      <c r="AL270" s="169"/>
      <c r="AM270" s="169"/>
      <c r="AN270" s="169"/>
      <c r="AO270" s="169"/>
      <c r="AP270" s="169"/>
      <c r="AQ270" s="169"/>
      <c r="AR270" s="169"/>
      <c r="AS270" s="169"/>
      <c r="AT270" s="169"/>
      <c r="AU270" s="169"/>
      <c r="AV270" s="169"/>
      <c r="AW270" s="169"/>
      <c r="AX270" s="169"/>
      <c r="AY270" s="169"/>
      <c r="AZ270" s="169"/>
      <c r="BA270" s="169"/>
      <c r="BB270" s="169"/>
      <c r="BC270" s="169"/>
      <c r="BD270" s="169"/>
      <c r="BE270" s="169"/>
      <c r="BF270" s="169"/>
      <c r="BG270" s="169"/>
      <c r="BH270" s="169"/>
      <c r="BI270" s="169"/>
      <c r="BJ270" s="169"/>
      <c r="BK270" s="169"/>
      <c r="BL270" s="169"/>
      <c r="BM270" s="169"/>
      <c r="BN270" s="169"/>
      <c r="BO270" s="169"/>
      <c r="BP270" s="169"/>
      <c r="BQ270" s="169"/>
      <c r="BR270" s="169"/>
      <c r="BS270" s="169"/>
      <c r="BT270" s="169"/>
      <c r="BU270" s="169"/>
      <c r="BV270" s="169"/>
      <c r="BW270" s="169"/>
      <c r="BX270" s="169"/>
      <c r="BY270" s="169"/>
      <c r="BZ270" s="169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</row>
    <row r="271" spans="12:91" ht="11.25" customHeight="1">
      <c r="L271" s="150"/>
      <c r="M271" s="505" t="str">
        <f>M265 &amp; ".6"</f>
        <v>12.6</v>
      </c>
      <c r="N271" s="479" t="s">
        <v>1156</v>
      </c>
      <c r="O271" s="443" t="s">
        <v>195</v>
      </c>
      <c r="AB271" s="251"/>
      <c r="AC271" s="251"/>
      <c r="AD271" s="251"/>
      <c r="AE271" s="247">
        <f t="shared" si="3"/>
        <v>0</v>
      </c>
      <c r="AF271" s="245"/>
      <c r="AG271" s="245"/>
      <c r="AH271" s="169"/>
      <c r="AI271" s="169"/>
      <c r="AJ271" s="169"/>
      <c r="AK271" s="169"/>
      <c r="AL271" s="169"/>
      <c r="AM271" s="169"/>
      <c r="AN271" s="169"/>
      <c r="AO271" s="169"/>
      <c r="AP271" s="169"/>
      <c r="AQ271" s="169"/>
      <c r="AR271" s="169"/>
      <c r="AS271" s="169"/>
      <c r="AT271" s="169"/>
      <c r="AU271" s="169"/>
      <c r="AV271" s="169"/>
      <c r="AW271" s="169"/>
      <c r="AX271" s="169"/>
      <c r="AY271" s="169"/>
      <c r="AZ271" s="169"/>
      <c r="BA271" s="169"/>
      <c r="BB271" s="169"/>
      <c r="BC271" s="169"/>
      <c r="BD271" s="169"/>
      <c r="BE271" s="169"/>
      <c r="BF271" s="169"/>
      <c r="BG271" s="169"/>
      <c r="BH271" s="169"/>
      <c r="BI271" s="169"/>
      <c r="BJ271" s="169"/>
      <c r="BK271" s="169"/>
      <c r="BL271" s="169"/>
      <c r="BM271" s="169"/>
      <c r="BN271" s="169"/>
      <c r="BO271" s="169"/>
      <c r="BP271" s="169"/>
      <c r="BQ271" s="169"/>
      <c r="BR271" s="169"/>
      <c r="BS271" s="169"/>
      <c r="BT271" s="169"/>
      <c r="BU271" s="169"/>
      <c r="BV271" s="169"/>
      <c r="BW271" s="169"/>
      <c r="BX271" s="169"/>
      <c r="BY271" s="169"/>
      <c r="BZ271" s="169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</row>
    <row r="272" spans="12:91" ht="11.25" customHeight="1">
      <c r="L272" s="150"/>
      <c r="M272" s="505" t="str">
        <f>M265 &amp; ".7"</f>
        <v>12.7</v>
      </c>
      <c r="N272" s="479" t="s">
        <v>1157</v>
      </c>
      <c r="O272" s="443" t="s">
        <v>195</v>
      </c>
      <c r="AB272" s="251"/>
      <c r="AC272" s="251"/>
      <c r="AD272" s="251"/>
      <c r="AE272" s="247">
        <f t="shared" si="3"/>
        <v>0</v>
      </c>
      <c r="AF272" s="245"/>
      <c r="AG272" s="245"/>
      <c r="AH272" s="169"/>
      <c r="AI272" s="169"/>
      <c r="AJ272" s="169"/>
      <c r="AK272" s="169"/>
      <c r="AL272" s="169"/>
      <c r="AM272" s="169"/>
      <c r="AN272" s="169"/>
      <c r="AO272" s="169"/>
      <c r="AP272" s="169"/>
      <c r="AQ272" s="169"/>
      <c r="AR272" s="169"/>
      <c r="AS272" s="169"/>
      <c r="AT272" s="169"/>
      <c r="AU272" s="169"/>
      <c r="AV272" s="169"/>
      <c r="AW272" s="169"/>
      <c r="AX272" s="169"/>
      <c r="AY272" s="169"/>
      <c r="AZ272" s="169"/>
      <c r="BA272" s="169"/>
      <c r="BB272" s="169"/>
      <c r="BC272" s="169"/>
      <c r="BD272" s="169"/>
      <c r="BE272" s="169"/>
      <c r="BF272" s="169"/>
      <c r="BG272" s="169"/>
      <c r="BH272" s="169"/>
      <c r="BI272" s="169"/>
      <c r="BJ272" s="169"/>
      <c r="BK272" s="169"/>
      <c r="BL272" s="169"/>
      <c r="BM272" s="169"/>
      <c r="BN272" s="169"/>
      <c r="BO272" s="169"/>
      <c r="BP272" s="169"/>
      <c r="BQ272" s="169"/>
      <c r="BR272" s="169"/>
      <c r="BS272" s="169"/>
      <c r="BT272" s="169"/>
      <c r="BU272" s="169"/>
      <c r="BV272" s="169"/>
      <c r="BW272" s="169"/>
      <c r="BX272" s="169"/>
      <c r="BY272" s="169"/>
      <c r="BZ272" s="169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</row>
    <row r="273" spans="12:91" ht="11.25" customHeight="1">
      <c r="L273" s="150"/>
      <c r="M273" s="490" t="s">
        <v>543</v>
      </c>
      <c r="N273" s="494" t="s">
        <v>1158</v>
      </c>
      <c r="O273" s="443" t="s">
        <v>195</v>
      </c>
      <c r="AB273" s="251"/>
      <c r="AC273" s="251"/>
      <c r="AD273" s="251"/>
      <c r="AE273" s="247">
        <f t="shared" si="3"/>
        <v>0</v>
      </c>
      <c r="AF273" s="245"/>
      <c r="AG273" s="245"/>
      <c r="AH273" s="169"/>
      <c r="AI273" s="169"/>
      <c r="AJ273" s="169"/>
      <c r="AK273" s="169"/>
      <c r="AL273" s="169"/>
      <c r="AM273" s="169"/>
      <c r="AN273" s="169"/>
      <c r="AO273" s="169"/>
      <c r="AP273" s="169"/>
      <c r="AQ273" s="169"/>
      <c r="AR273" s="169"/>
      <c r="AS273" s="169"/>
      <c r="AT273" s="169"/>
      <c r="AU273" s="169"/>
      <c r="AV273" s="169"/>
      <c r="AW273" s="169"/>
      <c r="AX273" s="169"/>
      <c r="AY273" s="169"/>
      <c r="AZ273" s="169"/>
      <c r="BA273" s="169"/>
      <c r="BB273" s="169"/>
      <c r="BC273" s="169"/>
      <c r="BD273" s="169"/>
      <c r="BE273" s="169"/>
      <c r="BF273" s="169"/>
      <c r="BG273" s="169"/>
      <c r="BH273" s="169"/>
      <c r="BI273" s="169"/>
      <c r="BJ273" s="169"/>
      <c r="BK273" s="169"/>
      <c r="BL273" s="169"/>
      <c r="BM273" s="169"/>
      <c r="BN273" s="169"/>
      <c r="BO273" s="169"/>
      <c r="BP273" s="169"/>
      <c r="BQ273" s="169"/>
      <c r="BR273" s="169"/>
      <c r="BS273" s="169"/>
      <c r="BT273" s="169"/>
      <c r="BU273" s="169"/>
      <c r="BV273" s="169"/>
      <c r="BW273" s="169"/>
      <c r="BX273" s="169"/>
      <c r="BY273" s="169"/>
      <c r="BZ273" s="169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</row>
    <row r="274" spans="12:91" ht="11.25" customHeight="1">
      <c r="L274" s="150"/>
      <c r="M274" s="490" t="s">
        <v>544</v>
      </c>
      <c r="N274" s="494" t="s">
        <v>1159</v>
      </c>
      <c r="O274" s="443" t="s">
        <v>195</v>
      </c>
      <c r="AB274" s="251"/>
      <c r="AC274" s="251"/>
      <c r="AD274" s="251"/>
      <c r="AE274" s="247">
        <f t="shared" si="3"/>
        <v>0</v>
      </c>
      <c r="AF274" s="247">
        <f>SUM(AF275,AF276,AF277,AF278)</f>
        <v>0</v>
      </c>
      <c r="AG274" s="247">
        <f>SUM(AG275,AG276,AG277,AG278)</f>
        <v>0</v>
      </c>
      <c r="AH274" s="169"/>
      <c r="AI274" s="169"/>
      <c r="AJ274" s="169"/>
      <c r="AK274" s="169"/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69"/>
      <c r="BB274" s="169"/>
      <c r="BC274" s="169"/>
      <c r="BD274" s="169"/>
      <c r="BE274" s="169"/>
      <c r="BF274" s="169"/>
      <c r="BG274" s="169"/>
      <c r="BH274" s="169"/>
      <c r="BI274" s="169"/>
      <c r="BJ274" s="169"/>
      <c r="BK274" s="169"/>
      <c r="BL274" s="169"/>
      <c r="BM274" s="169"/>
      <c r="BN274" s="169"/>
      <c r="BO274" s="169"/>
      <c r="BP274" s="169"/>
      <c r="BQ274" s="169"/>
      <c r="BR274" s="169"/>
      <c r="BS274" s="169"/>
      <c r="BT274" s="169"/>
      <c r="BU274" s="169"/>
      <c r="BV274" s="169"/>
      <c r="BW274" s="169"/>
      <c r="BX274" s="169"/>
      <c r="BY274" s="169"/>
      <c r="BZ274" s="169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</row>
    <row r="275" spans="12:91" ht="11.25" customHeight="1">
      <c r="L275" s="150"/>
      <c r="M275" s="505" t="str">
        <f>M274 &amp; ".1"</f>
        <v>14.1</v>
      </c>
      <c r="N275" s="480" t="s">
        <v>1160</v>
      </c>
      <c r="O275" s="443" t="s">
        <v>195</v>
      </c>
      <c r="AB275" s="251"/>
      <c r="AC275" s="251"/>
      <c r="AD275" s="251"/>
      <c r="AE275" s="247">
        <f t="shared" si="3"/>
        <v>0</v>
      </c>
      <c r="AF275" s="245"/>
      <c r="AG275" s="245"/>
      <c r="AH275" s="169"/>
      <c r="AI275" s="169"/>
      <c r="AJ275" s="169"/>
      <c r="AK275" s="169"/>
      <c r="AL275" s="169"/>
      <c r="AM275" s="169"/>
      <c r="AN275" s="169"/>
      <c r="AO275" s="169"/>
      <c r="AP275" s="169"/>
      <c r="AQ275" s="169"/>
      <c r="AR275" s="169"/>
      <c r="AS275" s="169"/>
      <c r="AT275" s="169"/>
      <c r="AU275" s="169"/>
      <c r="AV275" s="169"/>
      <c r="AW275" s="169"/>
      <c r="AX275" s="169"/>
      <c r="AY275" s="169"/>
      <c r="AZ275" s="169"/>
      <c r="BA275" s="169"/>
      <c r="BB275" s="169"/>
      <c r="BC275" s="169"/>
      <c r="BD275" s="169"/>
      <c r="BE275" s="169"/>
      <c r="BF275" s="169"/>
      <c r="BG275" s="169"/>
      <c r="BH275" s="169"/>
      <c r="BI275" s="169"/>
      <c r="BJ275" s="169"/>
      <c r="BK275" s="169"/>
      <c r="BL275" s="169"/>
      <c r="BM275" s="169"/>
      <c r="BN275" s="169"/>
      <c r="BO275" s="169"/>
      <c r="BP275" s="169"/>
      <c r="BQ275" s="169"/>
      <c r="BR275" s="169"/>
      <c r="BS275" s="169"/>
      <c r="BT275" s="169"/>
      <c r="BU275" s="169"/>
      <c r="BV275" s="169"/>
      <c r="BW275" s="169"/>
      <c r="BX275" s="169"/>
      <c r="BY275" s="169"/>
      <c r="BZ275" s="169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</row>
    <row r="276" spans="12:91" ht="11.25" customHeight="1">
      <c r="L276" s="150"/>
      <c r="M276" s="505" t="str">
        <f>M274 &amp; ".2"</f>
        <v>14.2</v>
      </c>
      <c r="N276" s="481" t="s">
        <v>1161</v>
      </c>
      <c r="O276" s="443" t="s">
        <v>195</v>
      </c>
      <c r="AB276" s="251"/>
      <c r="AC276" s="251"/>
      <c r="AD276" s="251"/>
      <c r="AE276" s="247">
        <f t="shared" si="3"/>
        <v>0</v>
      </c>
      <c r="AF276" s="245"/>
      <c r="AG276" s="245"/>
      <c r="AH276" s="169"/>
      <c r="AI276" s="169"/>
      <c r="AJ276" s="169"/>
      <c r="AK276" s="169"/>
      <c r="AL276" s="169"/>
      <c r="AM276" s="169"/>
      <c r="AN276" s="169"/>
      <c r="AO276" s="169"/>
      <c r="AP276" s="169"/>
      <c r="AQ276" s="169"/>
      <c r="AR276" s="169"/>
      <c r="AS276" s="169"/>
      <c r="AT276" s="169"/>
      <c r="AU276" s="169"/>
      <c r="AV276" s="169"/>
      <c r="AW276" s="169"/>
      <c r="AX276" s="169"/>
      <c r="AY276" s="169"/>
      <c r="AZ276" s="169"/>
      <c r="BA276" s="169"/>
      <c r="BB276" s="169"/>
      <c r="BC276" s="169"/>
      <c r="BD276" s="169"/>
      <c r="BE276" s="169"/>
      <c r="BF276" s="169"/>
      <c r="BG276" s="169"/>
      <c r="BH276" s="169"/>
      <c r="BI276" s="169"/>
      <c r="BJ276" s="169"/>
      <c r="BK276" s="169"/>
      <c r="BL276" s="169"/>
      <c r="BM276" s="169"/>
      <c r="BN276" s="169"/>
      <c r="BO276" s="169"/>
      <c r="BP276" s="169"/>
      <c r="BQ276" s="169"/>
      <c r="BR276" s="169"/>
      <c r="BS276" s="169"/>
      <c r="BT276" s="169"/>
      <c r="BU276" s="169"/>
      <c r="BV276" s="169"/>
      <c r="BW276" s="169"/>
      <c r="BX276" s="169"/>
      <c r="BY276" s="169"/>
      <c r="BZ276" s="169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</row>
    <row r="277" spans="12:91" ht="11.25" customHeight="1">
      <c r="L277" s="150"/>
      <c r="M277" s="505" t="str">
        <f>M274 &amp; ".3"</f>
        <v>14.3</v>
      </c>
      <c r="N277" s="480" t="s">
        <v>1162</v>
      </c>
      <c r="O277" s="443" t="s">
        <v>195</v>
      </c>
      <c r="AB277" s="251"/>
      <c r="AC277" s="251"/>
      <c r="AD277" s="251"/>
      <c r="AE277" s="247">
        <f t="shared" si="3"/>
        <v>0</v>
      </c>
      <c r="AF277" s="245"/>
      <c r="AG277" s="245"/>
      <c r="AH277" s="169"/>
      <c r="AI277" s="169"/>
      <c r="AJ277" s="169"/>
      <c r="AK277" s="169"/>
      <c r="AL277" s="169"/>
      <c r="AM277" s="169"/>
      <c r="AN277" s="169"/>
      <c r="AO277" s="169"/>
      <c r="AP277" s="169"/>
      <c r="AQ277" s="169"/>
      <c r="AR277" s="169"/>
      <c r="AS277" s="169"/>
      <c r="AT277" s="169"/>
      <c r="AU277" s="169"/>
      <c r="AV277" s="169"/>
      <c r="AW277" s="169"/>
      <c r="AX277" s="169"/>
      <c r="AY277" s="169"/>
      <c r="AZ277" s="169"/>
      <c r="BA277" s="169"/>
      <c r="BB277" s="169"/>
      <c r="BC277" s="169"/>
      <c r="BD277" s="169"/>
      <c r="BE277" s="169"/>
      <c r="BF277" s="169"/>
      <c r="BG277" s="169"/>
      <c r="BH277" s="169"/>
      <c r="BI277" s="169"/>
      <c r="BJ277" s="169"/>
      <c r="BK277" s="169"/>
      <c r="BL277" s="169"/>
      <c r="BM277" s="169"/>
      <c r="BN277" s="169"/>
      <c r="BO277" s="169"/>
      <c r="BP277" s="169"/>
      <c r="BQ277" s="169"/>
      <c r="BR277" s="169"/>
      <c r="BS277" s="169"/>
      <c r="BT277" s="169"/>
      <c r="BU277" s="169"/>
      <c r="BV277" s="169"/>
      <c r="BW277" s="169"/>
      <c r="BX277" s="169"/>
      <c r="BY277" s="169"/>
      <c r="BZ277" s="169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</row>
    <row r="278" spans="12:91" ht="11.25" customHeight="1">
      <c r="L278" s="150"/>
      <c r="M278" s="505" t="str">
        <f>M274 &amp; ".4"</f>
        <v>14.4</v>
      </c>
      <c r="N278" s="480" t="s">
        <v>1163</v>
      </c>
      <c r="O278" s="443" t="s">
        <v>195</v>
      </c>
      <c r="AB278" s="251"/>
      <c r="AC278" s="251"/>
      <c r="AD278" s="251"/>
      <c r="AE278" s="247">
        <f t="shared" si="3"/>
        <v>0</v>
      </c>
      <c r="AF278" s="245"/>
      <c r="AG278" s="245"/>
      <c r="AH278" s="169"/>
      <c r="AI278" s="169"/>
      <c r="AJ278" s="169"/>
      <c r="AK278" s="169"/>
      <c r="AL278" s="169"/>
      <c r="AM278" s="169"/>
      <c r="AN278" s="169"/>
      <c r="AO278" s="169"/>
      <c r="AP278" s="169"/>
      <c r="AQ278" s="169"/>
      <c r="AR278" s="169"/>
      <c r="AS278" s="169"/>
      <c r="AT278" s="169"/>
      <c r="AU278" s="169"/>
      <c r="AV278" s="169"/>
      <c r="AW278" s="169"/>
      <c r="AX278" s="169"/>
      <c r="AY278" s="169"/>
      <c r="AZ278" s="169"/>
      <c r="BA278" s="169"/>
      <c r="BB278" s="169"/>
      <c r="BC278" s="169"/>
      <c r="BD278" s="169"/>
      <c r="BE278" s="169"/>
      <c r="BF278" s="169"/>
      <c r="BG278" s="169"/>
      <c r="BH278" s="169"/>
      <c r="BI278" s="169"/>
      <c r="BJ278" s="169"/>
      <c r="BK278" s="169"/>
      <c r="BL278" s="169"/>
      <c r="BM278" s="169"/>
      <c r="BN278" s="169"/>
      <c r="BO278" s="169"/>
      <c r="BP278" s="169"/>
      <c r="BQ278" s="169"/>
      <c r="BR278" s="169"/>
      <c r="BS278" s="169"/>
      <c r="BT278" s="169"/>
      <c r="BU278" s="169"/>
      <c r="BV278" s="169"/>
      <c r="BW278" s="169"/>
      <c r="BX278" s="169"/>
      <c r="BY278" s="169"/>
      <c r="BZ278" s="169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</row>
    <row r="279" spans="12:91" ht="11.25" customHeight="1">
      <c r="L279" s="150"/>
      <c r="M279" s="490" t="s">
        <v>546</v>
      </c>
      <c r="N279" s="494" t="s">
        <v>1164</v>
      </c>
      <c r="O279" s="443" t="s">
        <v>195</v>
      </c>
      <c r="AB279" s="251"/>
      <c r="AC279" s="251"/>
      <c r="AD279" s="251"/>
      <c r="AE279" s="247">
        <f t="shared" si="3"/>
        <v>0</v>
      </c>
      <c r="AF279" s="247">
        <f>SUM(AF280:AF291)</f>
        <v>0</v>
      </c>
      <c r="AG279" s="247">
        <f>SUM(AG280:AG291)</f>
        <v>0</v>
      </c>
      <c r="AH279" s="169"/>
      <c r="AI279" s="169"/>
      <c r="AJ279" s="169"/>
      <c r="AK279" s="169"/>
      <c r="AL279" s="169"/>
      <c r="AM279" s="169"/>
      <c r="AN279" s="169"/>
      <c r="AO279" s="169"/>
      <c r="AP279" s="169"/>
      <c r="AQ279" s="169"/>
      <c r="AR279" s="169"/>
      <c r="AS279" s="169"/>
      <c r="AT279" s="169"/>
      <c r="AU279" s="169"/>
      <c r="AV279" s="169"/>
      <c r="AW279" s="169"/>
      <c r="AX279" s="169"/>
      <c r="AY279" s="169"/>
      <c r="AZ279" s="169"/>
      <c r="BA279" s="169"/>
      <c r="BB279" s="169"/>
      <c r="BC279" s="169"/>
      <c r="BD279" s="169"/>
      <c r="BE279" s="169"/>
      <c r="BF279" s="169"/>
      <c r="BG279" s="169"/>
      <c r="BH279" s="169"/>
      <c r="BI279" s="169"/>
      <c r="BJ279" s="169"/>
      <c r="BK279" s="169"/>
      <c r="BL279" s="169"/>
      <c r="BM279" s="169"/>
      <c r="BN279" s="169"/>
      <c r="BO279" s="169"/>
      <c r="BP279" s="169"/>
      <c r="BQ279" s="169"/>
      <c r="BR279" s="169"/>
      <c r="BS279" s="169"/>
      <c r="BT279" s="169"/>
      <c r="BU279" s="169"/>
      <c r="BV279" s="169"/>
      <c r="BW279" s="169"/>
      <c r="BX279" s="169"/>
      <c r="BY279" s="169"/>
      <c r="BZ279" s="16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</row>
    <row r="280" spans="12:91" ht="11.25" customHeight="1">
      <c r="L280" s="150"/>
      <c r="M280" s="505" t="str">
        <f>M279 &amp; ".1"</f>
        <v>15.1</v>
      </c>
      <c r="N280" s="482" t="s">
        <v>1165</v>
      </c>
      <c r="O280" s="443" t="s">
        <v>195</v>
      </c>
      <c r="AB280" s="251"/>
      <c r="AC280" s="251"/>
      <c r="AD280" s="251"/>
      <c r="AE280" s="247">
        <f t="shared" si="3"/>
        <v>0</v>
      </c>
      <c r="AF280" s="245"/>
      <c r="AG280" s="245"/>
      <c r="AH280" s="169"/>
      <c r="AI280" s="169"/>
      <c r="AJ280" s="169"/>
      <c r="AK280" s="169"/>
      <c r="AL280" s="169"/>
      <c r="AM280" s="169"/>
      <c r="AN280" s="169"/>
      <c r="AO280" s="169"/>
      <c r="AP280" s="169"/>
      <c r="AQ280" s="169"/>
      <c r="AR280" s="169"/>
      <c r="AS280" s="169"/>
      <c r="AT280" s="169"/>
      <c r="AU280" s="169"/>
      <c r="AV280" s="169"/>
      <c r="AW280" s="169"/>
      <c r="AX280" s="169"/>
      <c r="AY280" s="169"/>
      <c r="AZ280" s="169"/>
      <c r="BA280" s="169"/>
      <c r="BB280" s="169"/>
      <c r="BC280" s="169"/>
      <c r="BD280" s="169"/>
      <c r="BE280" s="169"/>
      <c r="BF280" s="169"/>
      <c r="BG280" s="169"/>
      <c r="BH280" s="169"/>
      <c r="BI280" s="169"/>
      <c r="BJ280" s="169"/>
      <c r="BK280" s="169"/>
      <c r="BL280" s="169"/>
      <c r="BM280" s="169"/>
      <c r="BN280" s="169"/>
      <c r="BO280" s="169"/>
      <c r="BP280" s="169"/>
      <c r="BQ280" s="169"/>
      <c r="BR280" s="169"/>
      <c r="BS280" s="169"/>
      <c r="BT280" s="169"/>
      <c r="BU280" s="169"/>
      <c r="BV280" s="169"/>
      <c r="BW280" s="169"/>
      <c r="BX280" s="169"/>
      <c r="BY280" s="169"/>
      <c r="BZ280" s="169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</row>
    <row r="281" spans="12:91" ht="11.25" customHeight="1">
      <c r="L281" s="150"/>
      <c r="M281" s="505" t="str">
        <f>M279 &amp; ".2"</f>
        <v>15.2</v>
      </c>
      <c r="N281" s="482" t="s">
        <v>1166</v>
      </c>
      <c r="O281" s="443" t="s">
        <v>195</v>
      </c>
      <c r="AB281" s="251"/>
      <c r="AC281" s="251"/>
      <c r="AD281" s="251"/>
      <c r="AE281" s="247">
        <f t="shared" si="3"/>
        <v>0</v>
      </c>
      <c r="AF281" s="245"/>
      <c r="AG281" s="245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69"/>
      <c r="AU281" s="169"/>
      <c r="AV281" s="169"/>
      <c r="AW281" s="169"/>
      <c r="AX281" s="169"/>
      <c r="AY281" s="169"/>
      <c r="AZ281" s="169"/>
      <c r="BA281" s="169"/>
      <c r="BB281" s="169"/>
      <c r="BC281" s="169"/>
      <c r="BD281" s="169"/>
      <c r="BE281" s="169"/>
      <c r="BF281" s="169"/>
      <c r="BG281" s="169"/>
      <c r="BH281" s="169"/>
      <c r="BI281" s="169"/>
      <c r="BJ281" s="169"/>
      <c r="BK281" s="169"/>
      <c r="BL281" s="169"/>
      <c r="BM281" s="169"/>
      <c r="BN281" s="169"/>
      <c r="BO281" s="169"/>
      <c r="BP281" s="169"/>
      <c r="BQ281" s="169"/>
      <c r="BR281" s="169"/>
      <c r="BS281" s="169"/>
      <c r="BT281" s="169"/>
      <c r="BU281" s="169"/>
      <c r="BV281" s="169"/>
      <c r="BW281" s="169"/>
      <c r="BX281" s="169"/>
      <c r="BY281" s="169"/>
      <c r="BZ281" s="169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</row>
    <row r="282" spans="12:91" ht="11.25" customHeight="1">
      <c r="L282" s="150"/>
      <c r="M282" s="505" t="str">
        <f>M279 &amp; ".3"</f>
        <v>15.3</v>
      </c>
      <c r="N282" s="482" t="s">
        <v>1167</v>
      </c>
      <c r="O282" s="443" t="s">
        <v>195</v>
      </c>
      <c r="AB282" s="251"/>
      <c r="AC282" s="251"/>
      <c r="AD282" s="251"/>
      <c r="AE282" s="247">
        <f t="shared" si="3"/>
        <v>0</v>
      </c>
      <c r="AF282" s="245"/>
      <c r="AG282" s="245"/>
      <c r="AH282" s="169"/>
      <c r="AI282" s="169"/>
      <c r="AJ282" s="169"/>
      <c r="AK282" s="169"/>
      <c r="AL282" s="169"/>
      <c r="AM282" s="169"/>
      <c r="AN282" s="169"/>
      <c r="AO282" s="169"/>
      <c r="AP282" s="169"/>
      <c r="AQ282" s="169"/>
      <c r="AR282" s="169"/>
      <c r="AS282" s="169"/>
      <c r="AT282" s="169"/>
      <c r="AU282" s="169"/>
      <c r="AV282" s="169"/>
      <c r="AW282" s="169"/>
      <c r="AX282" s="169"/>
      <c r="AY282" s="169"/>
      <c r="AZ282" s="169"/>
      <c r="BA282" s="169"/>
      <c r="BB282" s="169"/>
      <c r="BC282" s="169"/>
      <c r="BD282" s="169"/>
      <c r="BE282" s="169"/>
      <c r="BF282" s="169"/>
      <c r="BG282" s="169"/>
      <c r="BH282" s="169"/>
      <c r="BI282" s="169"/>
      <c r="BJ282" s="169"/>
      <c r="BK282" s="169"/>
      <c r="BL282" s="169"/>
      <c r="BM282" s="169"/>
      <c r="BN282" s="169"/>
      <c r="BO282" s="169"/>
      <c r="BP282" s="169"/>
      <c r="BQ282" s="169"/>
      <c r="BR282" s="169"/>
      <c r="BS282" s="169"/>
      <c r="BT282" s="169"/>
      <c r="BU282" s="169"/>
      <c r="BV282" s="169"/>
      <c r="BW282" s="169"/>
      <c r="BX282" s="169"/>
      <c r="BY282" s="169"/>
      <c r="BZ282" s="169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</row>
    <row r="283" spans="12:91" ht="11.25" customHeight="1">
      <c r="L283" s="150"/>
      <c r="M283" s="505" t="str">
        <f>M279 &amp; ".4"</f>
        <v>15.4</v>
      </c>
      <c r="N283" s="483" t="s">
        <v>593</v>
      </c>
      <c r="O283" s="443" t="s">
        <v>195</v>
      </c>
      <c r="AB283" s="251"/>
      <c r="AC283" s="251"/>
      <c r="AD283" s="251"/>
      <c r="AE283" s="247">
        <f t="shared" si="3"/>
        <v>0</v>
      </c>
      <c r="AF283" s="245"/>
      <c r="AG283" s="245"/>
      <c r="AH283" s="169"/>
      <c r="AI283" s="169"/>
      <c r="AJ283" s="169"/>
      <c r="AK283" s="169"/>
      <c r="AL283" s="169"/>
      <c r="AM283" s="169"/>
      <c r="AN283" s="169"/>
      <c r="AO283" s="169"/>
      <c r="AP283" s="169"/>
      <c r="AQ283" s="169"/>
      <c r="AR283" s="169"/>
      <c r="AS283" s="169"/>
      <c r="AT283" s="169"/>
      <c r="AU283" s="169"/>
      <c r="AV283" s="169"/>
      <c r="AW283" s="169"/>
      <c r="AX283" s="169"/>
      <c r="AY283" s="169"/>
      <c r="AZ283" s="169"/>
      <c r="BA283" s="169"/>
      <c r="BB283" s="169"/>
      <c r="BC283" s="169"/>
      <c r="BD283" s="169"/>
      <c r="BE283" s="169"/>
      <c r="BF283" s="169"/>
      <c r="BG283" s="169"/>
      <c r="BH283" s="169"/>
      <c r="BI283" s="169"/>
      <c r="BJ283" s="169"/>
      <c r="BK283" s="169"/>
      <c r="BL283" s="169"/>
      <c r="BM283" s="169"/>
      <c r="BN283" s="169"/>
      <c r="BO283" s="169"/>
      <c r="BP283" s="169"/>
      <c r="BQ283" s="169"/>
      <c r="BR283" s="169"/>
      <c r="BS283" s="169"/>
      <c r="BT283" s="169"/>
      <c r="BU283" s="169"/>
      <c r="BV283" s="169"/>
      <c r="BW283" s="169"/>
      <c r="BX283" s="169"/>
      <c r="BY283" s="169"/>
      <c r="BZ283" s="169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</row>
    <row r="284" spans="12:91" ht="11.25" customHeight="1">
      <c r="L284" s="150"/>
      <c r="M284" s="505" t="str">
        <f>M279 &amp; ".5"</f>
        <v>15.5</v>
      </c>
      <c r="N284" s="483" t="s">
        <v>594</v>
      </c>
      <c r="O284" s="163" t="s">
        <v>195</v>
      </c>
      <c r="AB284" s="251"/>
      <c r="AC284" s="251"/>
      <c r="AD284" s="251"/>
      <c r="AE284" s="247">
        <f t="shared" si="3"/>
        <v>0</v>
      </c>
      <c r="AF284" s="245"/>
      <c r="AG284" s="245"/>
      <c r="AH284" s="169"/>
      <c r="AI284" s="169"/>
      <c r="AJ284" s="169"/>
      <c r="AK284" s="169"/>
      <c r="AL284" s="169"/>
      <c r="AM284" s="169"/>
      <c r="AN284" s="169"/>
      <c r="AO284" s="169"/>
      <c r="AP284" s="169"/>
      <c r="AQ284" s="169"/>
      <c r="AR284" s="169"/>
      <c r="AS284" s="169"/>
      <c r="AT284" s="169"/>
      <c r="AU284" s="169"/>
      <c r="AV284" s="169"/>
      <c r="AW284" s="169"/>
      <c r="AX284" s="169"/>
      <c r="AY284" s="169"/>
      <c r="AZ284" s="169"/>
      <c r="BA284" s="169"/>
      <c r="BB284" s="169"/>
      <c r="BC284" s="169"/>
      <c r="BD284" s="169"/>
      <c r="BE284" s="169"/>
      <c r="BF284" s="169"/>
      <c r="BG284" s="169"/>
      <c r="BH284" s="169"/>
      <c r="BI284" s="169"/>
      <c r="BJ284" s="169"/>
      <c r="BK284" s="169"/>
      <c r="BL284" s="169"/>
      <c r="BM284" s="169"/>
      <c r="BN284" s="169"/>
      <c r="BO284" s="169"/>
      <c r="BP284" s="169"/>
      <c r="BQ284" s="169"/>
      <c r="BR284" s="169"/>
      <c r="BS284" s="169"/>
      <c r="BT284" s="169"/>
      <c r="BU284" s="169"/>
      <c r="BV284" s="169"/>
      <c r="BW284" s="169"/>
      <c r="BX284" s="169"/>
      <c r="BY284" s="169"/>
      <c r="BZ284" s="169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</row>
    <row r="285" spans="12:91" ht="11.25" customHeight="1">
      <c r="L285" s="150"/>
      <c r="M285" s="505" t="str">
        <f>M279 &amp; ".6"</f>
        <v>15.6</v>
      </c>
      <c r="N285" s="483" t="s">
        <v>595</v>
      </c>
      <c r="O285" s="163" t="s">
        <v>195</v>
      </c>
      <c r="AB285" s="251"/>
      <c r="AC285" s="251"/>
      <c r="AD285" s="251"/>
      <c r="AE285" s="247">
        <f t="shared" si="3"/>
        <v>0</v>
      </c>
      <c r="AF285" s="245"/>
      <c r="AG285" s="245"/>
      <c r="AH285" s="169"/>
      <c r="AI285" s="169"/>
      <c r="AJ285" s="169"/>
      <c r="AK285" s="169"/>
      <c r="AL285" s="169"/>
      <c r="AM285" s="169"/>
      <c r="AN285" s="169"/>
      <c r="AO285" s="169"/>
      <c r="AP285" s="169"/>
      <c r="AQ285" s="169"/>
      <c r="AR285" s="169"/>
      <c r="AS285" s="169"/>
      <c r="AT285" s="169"/>
      <c r="AU285" s="169"/>
      <c r="AV285" s="169"/>
      <c r="AW285" s="169"/>
      <c r="AX285" s="169"/>
      <c r="AY285" s="169"/>
      <c r="AZ285" s="169"/>
      <c r="BA285" s="169"/>
      <c r="BB285" s="169"/>
      <c r="BC285" s="169"/>
      <c r="BD285" s="169"/>
      <c r="BE285" s="169"/>
      <c r="BF285" s="169"/>
      <c r="BG285" s="169"/>
      <c r="BH285" s="169"/>
      <c r="BI285" s="169"/>
      <c r="BJ285" s="169"/>
      <c r="BK285" s="169"/>
      <c r="BL285" s="169"/>
      <c r="BM285" s="169"/>
      <c r="BN285" s="169"/>
      <c r="BO285" s="169"/>
      <c r="BP285" s="169"/>
      <c r="BQ285" s="169"/>
      <c r="BR285" s="169"/>
      <c r="BS285" s="169"/>
      <c r="BT285" s="169"/>
      <c r="BU285" s="169"/>
      <c r="BV285" s="169"/>
      <c r="BW285" s="169"/>
      <c r="BX285" s="169"/>
      <c r="BY285" s="169"/>
      <c r="BZ285" s="169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</row>
    <row r="286" spans="12:91" ht="11.25" customHeight="1">
      <c r="L286" s="150"/>
      <c r="M286" s="505" t="str">
        <f>M279 &amp; ".7"</f>
        <v>15.7</v>
      </c>
      <c r="N286" s="483" t="s">
        <v>596</v>
      </c>
      <c r="O286" s="163" t="s">
        <v>195</v>
      </c>
      <c r="AB286" s="251"/>
      <c r="AC286" s="251"/>
      <c r="AD286" s="251"/>
      <c r="AE286" s="247">
        <f t="shared" si="3"/>
        <v>0</v>
      </c>
      <c r="AF286" s="245"/>
      <c r="AG286" s="245"/>
      <c r="AH286" s="169"/>
      <c r="AI286" s="169"/>
      <c r="AJ286" s="169"/>
      <c r="AK286" s="169"/>
      <c r="AL286" s="169"/>
      <c r="AM286" s="169"/>
      <c r="AN286" s="169"/>
      <c r="AO286" s="169"/>
      <c r="AP286" s="169"/>
      <c r="AQ286" s="169"/>
      <c r="AR286" s="169"/>
      <c r="AS286" s="169"/>
      <c r="AT286" s="169"/>
      <c r="AU286" s="169"/>
      <c r="AV286" s="169"/>
      <c r="AW286" s="169"/>
      <c r="AX286" s="169"/>
      <c r="AY286" s="169"/>
      <c r="AZ286" s="169"/>
      <c r="BA286" s="169"/>
      <c r="BB286" s="169"/>
      <c r="BC286" s="169"/>
      <c r="BD286" s="169"/>
      <c r="BE286" s="169"/>
      <c r="BF286" s="169"/>
      <c r="BG286" s="169"/>
      <c r="BH286" s="169"/>
      <c r="BI286" s="169"/>
      <c r="BJ286" s="169"/>
      <c r="BK286" s="169"/>
      <c r="BL286" s="169"/>
      <c r="BM286" s="169"/>
      <c r="BN286" s="169"/>
      <c r="BO286" s="169"/>
      <c r="BP286" s="169"/>
      <c r="BQ286" s="169"/>
      <c r="BR286" s="169"/>
      <c r="BS286" s="169"/>
      <c r="BT286" s="169"/>
      <c r="BU286" s="169"/>
      <c r="BV286" s="169"/>
      <c r="BW286" s="169"/>
      <c r="BX286" s="169"/>
      <c r="BY286" s="169"/>
      <c r="BZ286" s="169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</row>
    <row r="287" spans="12:91" ht="11.25" customHeight="1">
      <c r="L287" s="150"/>
      <c r="M287" s="505" t="str">
        <f>M279 &amp; ".8"</f>
        <v>15.8</v>
      </c>
      <c r="N287" s="482" t="s">
        <v>1168</v>
      </c>
      <c r="O287" s="163" t="s">
        <v>195</v>
      </c>
      <c r="AB287" s="251"/>
      <c r="AC287" s="251"/>
      <c r="AD287" s="251"/>
      <c r="AE287" s="247">
        <f t="shared" si="3"/>
        <v>0</v>
      </c>
      <c r="AF287" s="245"/>
      <c r="AG287" s="245"/>
      <c r="AH287" s="169"/>
      <c r="AI287" s="169"/>
      <c r="AJ287" s="169"/>
      <c r="AK287" s="169"/>
      <c r="AL287" s="169"/>
      <c r="AM287" s="169"/>
      <c r="AN287" s="169"/>
      <c r="AO287" s="169"/>
      <c r="AP287" s="169"/>
      <c r="AQ287" s="169"/>
      <c r="AR287" s="169"/>
      <c r="AS287" s="169"/>
      <c r="AT287" s="169"/>
      <c r="AU287" s="169"/>
      <c r="AV287" s="169"/>
      <c r="AW287" s="169"/>
      <c r="AX287" s="169"/>
      <c r="AY287" s="169"/>
      <c r="AZ287" s="169"/>
      <c r="BA287" s="169"/>
      <c r="BB287" s="169"/>
      <c r="BC287" s="169"/>
      <c r="BD287" s="169"/>
      <c r="BE287" s="169"/>
      <c r="BF287" s="169"/>
      <c r="BG287" s="169"/>
      <c r="BH287" s="169"/>
      <c r="BI287" s="169"/>
      <c r="BJ287" s="169"/>
      <c r="BK287" s="169"/>
      <c r="BL287" s="169"/>
      <c r="BM287" s="169"/>
      <c r="BN287" s="169"/>
      <c r="BO287" s="169"/>
      <c r="BP287" s="169"/>
      <c r="BQ287" s="169"/>
      <c r="BR287" s="169"/>
      <c r="BS287" s="169"/>
      <c r="BT287" s="169"/>
      <c r="BU287" s="169"/>
      <c r="BV287" s="169"/>
      <c r="BW287" s="169"/>
      <c r="BX287" s="169"/>
      <c r="BY287" s="169"/>
      <c r="BZ287" s="169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</row>
    <row r="288" spans="12:91" ht="11.25" customHeight="1">
      <c r="L288" s="150"/>
      <c r="M288" s="505" t="str">
        <f>M279 &amp; ".9"</f>
        <v>15.9</v>
      </c>
      <c r="N288" s="483" t="s">
        <v>599</v>
      </c>
      <c r="O288" s="163" t="s">
        <v>195</v>
      </c>
      <c r="AB288" s="251"/>
      <c r="AC288" s="251"/>
      <c r="AD288" s="251"/>
      <c r="AE288" s="247">
        <f t="shared" si="3"/>
        <v>0</v>
      </c>
      <c r="AF288" s="245"/>
      <c r="AG288" s="245"/>
      <c r="AH288" s="169"/>
      <c r="AI288" s="169"/>
      <c r="AJ288" s="169"/>
      <c r="AK288" s="169"/>
      <c r="AL288" s="169"/>
      <c r="AM288" s="169"/>
      <c r="AN288" s="169"/>
      <c r="AO288" s="169"/>
      <c r="AP288" s="169"/>
      <c r="AQ288" s="169"/>
      <c r="AR288" s="169"/>
      <c r="AS288" s="169"/>
      <c r="AT288" s="169"/>
      <c r="AU288" s="169"/>
      <c r="AV288" s="169"/>
      <c r="AW288" s="169"/>
      <c r="AX288" s="169"/>
      <c r="AY288" s="169"/>
      <c r="AZ288" s="169"/>
      <c r="BA288" s="169"/>
      <c r="BB288" s="169"/>
      <c r="BC288" s="169"/>
      <c r="BD288" s="169"/>
      <c r="BE288" s="169"/>
      <c r="BF288" s="169"/>
      <c r="BG288" s="169"/>
      <c r="BH288" s="169"/>
      <c r="BI288" s="169"/>
      <c r="BJ288" s="169"/>
      <c r="BK288" s="169"/>
      <c r="BL288" s="169"/>
      <c r="BM288" s="169"/>
      <c r="BN288" s="169"/>
      <c r="BO288" s="169"/>
      <c r="BP288" s="169"/>
      <c r="BQ288" s="169"/>
      <c r="BR288" s="169"/>
      <c r="BS288" s="169"/>
      <c r="BT288" s="169"/>
      <c r="BU288" s="169"/>
      <c r="BV288" s="169"/>
      <c r="BW288" s="169"/>
      <c r="BX288" s="169"/>
      <c r="BY288" s="169"/>
      <c r="BZ288" s="169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</row>
    <row r="289" spans="12:91" ht="11.25" customHeight="1">
      <c r="L289" s="150"/>
      <c r="M289" s="505" t="str">
        <f>M279 &amp; ".10"</f>
        <v>15.10</v>
      </c>
      <c r="N289" s="483" t="s">
        <v>600</v>
      </c>
      <c r="O289" s="163" t="s">
        <v>195</v>
      </c>
      <c r="AB289" s="251"/>
      <c r="AC289" s="251"/>
      <c r="AD289" s="251"/>
      <c r="AE289" s="247">
        <f t="shared" si="3"/>
        <v>0</v>
      </c>
      <c r="AF289" s="245"/>
      <c r="AG289" s="245"/>
      <c r="AH289" s="169"/>
      <c r="AI289" s="169"/>
      <c r="AJ289" s="169"/>
      <c r="AK289" s="169"/>
      <c r="AL289" s="169"/>
      <c r="AM289" s="169"/>
      <c r="AN289" s="169"/>
      <c r="AO289" s="169"/>
      <c r="AP289" s="169"/>
      <c r="AQ289" s="169"/>
      <c r="AR289" s="169"/>
      <c r="AS289" s="169"/>
      <c r="AT289" s="169"/>
      <c r="AU289" s="169"/>
      <c r="AV289" s="169"/>
      <c r="AW289" s="169"/>
      <c r="AX289" s="169"/>
      <c r="AY289" s="169"/>
      <c r="AZ289" s="169"/>
      <c r="BA289" s="169"/>
      <c r="BB289" s="169"/>
      <c r="BC289" s="169"/>
      <c r="BD289" s="169"/>
      <c r="BE289" s="169"/>
      <c r="BF289" s="169"/>
      <c r="BG289" s="169"/>
      <c r="BH289" s="169"/>
      <c r="BI289" s="169"/>
      <c r="BJ289" s="169"/>
      <c r="BK289" s="169"/>
      <c r="BL289" s="169"/>
      <c r="BM289" s="169"/>
      <c r="BN289" s="169"/>
      <c r="BO289" s="169"/>
      <c r="BP289" s="169"/>
      <c r="BQ289" s="169"/>
      <c r="BR289" s="169"/>
      <c r="BS289" s="169"/>
      <c r="BT289" s="169"/>
      <c r="BU289" s="169"/>
      <c r="BV289" s="169"/>
      <c r="BW289" s="169"/>
      <c r="BX289" s="169"/>
      <c r="BY289" s="169"/>
      <c r="BZ289" s="16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</row>
    <row r="290" spans="12:91" ht="11.25" customHeight="1">
      <c r="L290" s="150"/>
      <c r="M290" s="505" t="str">
        <f>M279 &amp; ".11"</f>
        <v>15.11</v>
      </c>
      <c r="N290" s="483" t="s">
        <v>631</v>
      </c>
      <c r="O290" s="163" t="s">
        <v>195</v>
      </c>
      <c r="AB290" s="251"/>
      <c r="AC290" s="251"/>
      <c r="AD290" s="251"/>
      <c r="AE290" s="247">
        <f t="shared" si="3"/>
        <v>0</v>
      </c>
      <c r="AF290" s="245"/>
      <c r="AG290" s="245"/>
      <c r="AH290" s="169"/>
      <c r="AI290" s="169"/>
      <c r="AJ290" s="169"/>
      <c r="AK290" s="169"/>
      <c r="AL290" s="169"/>
      <c r="AM290" s="169"/>
      <c r="AN290" s="169"/>
      <c r="AO290" s="169"/>
      <c r="AP290" s="169"/>
      <c r="AQ290" s="169"/>
      <c r="AR290" s="169"/>
      <c r="AS290" s="169"/>
      <c r="AT290" s="169"/>
      <c r="AU290" s="169"/>
      <c r="AV290" s="169"/>
      <c r="AW290" s="169"/>
      <c r="AX290" s="169"/>
      <c r="AY290" s="169"/>
      <c r="AZ290" s="169"/>
      <c r="BA290" s="169"/>
      <c r="BB290" s="169"/>
      <c r="BC290" s="169"/>
      <c r="BD290" s="169"/>
      <c r="BE290" s="169"/>
      <c r="BF290" s="169"/>
      <c r="BG290" s="169"/>
      <c r="BH290" s="169"/>
      <c r="BI290" s="169"/>
      <c r="BJ290" s="169"/>
      <c r="BK290" s="169"/>
      <c r="BL290" s="169"/>
      <c r="BM290" s="169"/>
      <c r="BN290" s="169"/>
      <c r="BO290" s="169"/>
      <c r="BP290" s="169"/>
      <c r="BQ290" s="169"/>
      <c r="BR290" s="169"/>
      <c r="BS290" s="169"/>
      <c r="BT290" s="169"/>
      <c r="BU290" s="169"/>
      <c r="BV290" s="169"/>
      <c r="BW290" s="169"/>
      <c r="BX290" s="169"/>
      <c r="BY290" s="169"/>
      <c r="BZ290" s="169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</row>
    <row r="291" spans="12:91" ht="11.25" customHeight="1">
      <c r="L291" s="150"/>
      <c r="M291" s="505" t="str">
        <f>M279 &amp; ".12"</f>
        <v>15.12</v>
      </c>
      <c r="N291" s="482" t="s">
        <v>1169</v>
      </c>
      <c r="O291" s="443" t="s">
        <v>195</v>
      </c>
      <c r="AB291" s="251"/>
      <c r="AC291" s="251"/>
      <c r="AD291" s="251"/>
      <c r="AE291" s="247">
        <f t="shared" si="3"/>
        <v>0</v>
      </c>
      <c r="AF291" s="245"/>
      <c r="AG291" s="245"/>
      <c r="AH291" s="169"/>
      <c r="AI291" s="169"/>
      <c r="AJ291" s="169"/>
      <c r="AK291" s="169"/>
      <c r="AL291" s="169"/>
      <c r="AM291" s="169"/>
      <c r="AN291" s="169"/>
      <c r="AO291" s="169"/>
      <c r="AP291" s="169"/>
      <c r="AQ291" s="169"/>
      <c r="AR291" s="169"/>
      <c r="AS291" s="169"/>
      <c r="AT291" s="169"/>
      <c r="AU291" s="169"/>
      <c r="AV291" s="169"/>
      <c r="AW291" s="169"/>
      <c r="AX291" s="169"/>
      <c r="AY291" s="169"/>
      <c r="AZ291" s="169"/>
      <c r="BA291" s="169"/>
      <c r="BB291" s="169"/>
      <c r="BC291" s="169"/>
      <c r="BD291" s="169"/>
      <c r="BE291" s="169"/>
      <c r="BF291" s="169"/>
      <c r="BG291" s="169"/>
      <c r="BH291" s="169"/>
      <c r="BI291" s="169"/>
      <c r="BJ291" s="169"/>
      <c r="BK291" s="169"/>
      <c r="BL291" s="169"/>
      <c r="BM291" s="169"/>
      <c r="BN291" s="169"/>
      <c r="BO291" s="169"/>
      <c r="BP291" s="169"/>
      <c r="BQ291" s="169"/>
      <c r="BR291" s="169"/>
      <c r="BS291" s="169"/>
      <c r="BT291" s="169"/>
      <c r="BU291" s="169"/>
      <c r="BV291" s="169"/>
      <c r="BW291" s="169"/>
      <c r="BX291" s="169"/>
      <c r="BY291" s="169"/>
      <c r="BZ291" s="169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</row>
    <row r="292" spans="12:91" ht="11.25" customHeight="1">
      <c r="L292" s="150"/>
      <c r="M292" s="506"/>
      <c r="N292" s="507"/>
      <c r="O292" s="444"/>
      <c r="AB292" s="251"/>
      <c r="AC292" s="251"/>
      <c r="AD292" s="251"/>
      <c r="AE292" s="241"/>
      <c r="AF292" s="241"/>
      <c r="AG292" s="241"/>
      <c r="AH292" s="169"/>
      <c r="AI292" s="169"/>
      <c r="AJ292" s="169"/>
      <c r="AK292" s="169"/>
      <c r="AL292" s="169"/>
      <c r="AM292" s="169"/>
      <c r="AN292" s="169"/>
      <c r="AO292" s="169"/>
      <c r="AP292" s="169"/>
      <c r="AQ292" s="169"/>
      <c r="AR292" s="169"/>
      <c r="AS292" s="169"/>
      <c r="AT292" s="169"/>
      <c r="AU292" s="169"/>
      <c r="AV292" s="169"/>
      <c r="AW292" s="169"/>
      <c r="AX292" s="169"/>
      <c r="AY292" s="169"/>
      <c r="AZ292" s="169"/>
      <c r="BA292" s="169"/>
      <c r="BB292" s="169"/>
      <c r="BC292" s="169"/>
      <c r="BD292" s="169"/>
      <c r="BE292" s="169"/>
      <c r="BF292" s="169"/>
      <c r="BG292" s="169"/>
      <c r="BH292" s="169"/>
      <c r="BI292" s="169"/>
      <c r="BJ292" s="169"/>
      <c r="BK292" s="169"/>
      <c r="BL292" s="169"/>
      <c r="BM292" s="169"/>
      <c r="BN292" s="169"/>
      <c r="BO292" s="169"/>
      <c r="BP292" s="169"/>
      <c r="BQ292" s="169"/>
      <c r="BR292" s="169"/>
      <c r="BS292" s="169"/>
      <c r="BT292" s="169"/>
      <c r="BU292" s="169"/>
      <c r="BV292" s="169"/>
      <c r="BW292" s="169"/>
      <c r="BX292" s="169"/>
      <c r="BY292" s="169"/>
      <c r="BZ292" s="169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</row>
    <row r="293" spans="12:91" ht="11.25" customHeight="1">
      <c r="L293" s="150"/>
      <c r="M293" s="570" t="s">
        <v>2103</v>
      </c>
      <c r="N293" s="494" t="s">
        <v>1010</v>
      </c>
      <c r="O293" s="163" t="s">
        <v>195</v>
      </c>
      <c r="AB293" s="251"/>
      <c r="AC293" s="251"/>
      <c r="AD293" s="251"/>
      <c r="AE293" s="247">
        <f t="shared" ref="AE293:AE329" si="4">AF293+AG293</f>
        <v>0</v>
      </c>
      <c r="AF293" s="247">
        <f>SUM(AF294:AF296)</f>
        <v>0</v>
      </c>
      <c r="AG293" s="247">
        <f>SUM(AG294:AG296)</f>
        <v>0</v>
      </c>
      <c r="AH293" s="169"/>
      <c r="AI293" s="169"/>
      <c r="AJ293" s="169"/>
      <c r="AK293" s="169"/>
      <c r="AL293" s="169"/>
      <c r="AM293" s="169"/>
      <c r="AN293" s="169"/>
      <c r="AO293" s="169"/>
      <c r="AP293" s="169"/>
      <c r="AQ293" s="169"/>
      <c r="AR293" s="169"/>
      <c r="AS293" s="169"/>
      <c r="AT293" s="169"/>
      <c r="AU293" s="169"/>
      <c r="AV293" s="169"/>
      <c r="AW293" s="169"/>
      <c r="AX293" s="169"/>
      <c r="AY293" s="169"/>
      <c r="AZ293" s="169"/>
      <c r="BA293" s="169"/>
      <c r="BB293" s="169"/>
      <c r="BC293" s="169"/>
      <c r="BD293" s="169"/>
      <c r="BE293" s="169"/>
      <c r="BF293" s="169"/>
      <c r="BG293" s="169"/>
      <c r="BH293" s="169"/>
      <c r="BI293" s="169"/>
      <c r="BJ293" s="169"/>
      <c r="BK293" s="169"/>
      <c r="BL293" s="169"/>
      <c r="BM293" s="169"/>
      <c r="BN293" s="169"/>
      <c r="BO293" s="169"/>
      <c r="BP293" s="169"/>
      <c r="BQ293" s="169"/>
      <c r="BR293" s="169"/>
      <c r="BS293" s="169"/>
      <c r="BT293" s="169"/>
      <c r="BU293" s="169"/>
      <c r="BV293" s="169"/>
      <c r="BW293" s="169"/>
      <c r="BX293" s="169"/>
      <c r="BY293" s="169"/>
      <c r="BZ293" s="169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</row>
    <row r="294" spans="12:91" ht="11.25" customHeight="1">
      <c r="L294" s="150"/>
      <c r="M294" s="516" t="s">
        <v>2104</v>
      </c>
      <c r="N294" s="546" t="s">
        <v>2100</v>
      </c>
      <c r="O294" s="163" t="s">
        <v>195</v>
      </c>
      <c r="AB294" s="251"/>
      <c r="AC294" s="251"/>
      <c r="AD294" s="251"/>
      <c r="AE294" s="247">
        <f t="shared" si="4"/>
        <v>0</v>
      </c>
      <c r="AF294" s="245"/>
      <c r="AG294" s="245"/>
      <c r="AH294" s="169"/>
      <c r="AI294" s="169"/>
      <c r="AJ294" s="169"/>
      <c r="AK294" s="169"/>
      <c r="AL294" s="169"/>
      <c r="AM294" s="169"/>
      <c r="AN294" s="169"/>
      <c r="AO294" s="169"/>
      <c r="AP294" s="169"/>
      <c r="AQ294" s="169"/>
      <c r="AR294" s="169"/>
      <c r="AS294" s="169"/>
      <c r="AT294" s="169"/>
      <c r="AU294" s="169"/>
      <c r="AV294" s="169"/>
      <c r="AW294" s="169"/>
      <c r="AX294" s="169"/>
      <c r="AY294" s="169"/>
      <c r="AZ294" s="169"/>
      <c r="BA294" s="169"/>
      <c r="BB294" s="169"/>
      <c r="BC294" s="169"/>
      <c r="BD294" s="169"/>
      <c r="BE294" s="169"/>
      <c r="BF294" s="169"/>
      <c r="BG294" s="169"/>
      <c r="BH294" s="169"/>
      <c r="BI294" s="169"/>
      <c r="BJ294" s="169"/>
      <c r="BK294" s="169"/>
      <c r="BL294" s="169"/>
      <c r="BM294" s="169"/>
      <c r="BN294" s="169"/>
      <c r="BO294" s="169"/>
      <c r="BP294" s="169"/>
      <c r="BQ294" s="169"/>
      <c r="BR294" s="169"/>
      <c r="BS294" s="169"/>
      <c r="BT294" s="169"/>
      <c r="BU294" s="169"/>
      <c r="BV294" s="169"/>
      <c r="BW294" s="169"/>
      <c r="BX294" s="169"/>
      <c r="BY294" s="169"/>
      <c r="BZ294" s="169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</row>
    <row r="295" spans="12:91" ht="11.25" customHeight="1">
      <c r="L295" s="150"/>
      <c r="M295" s="516" t="s">
        <v>2105</v>
      </c>
      <c r="N295" s="546" t="s">
        <v>2101</v>
      </c>
      <c r="O295" s="163" t="s">
        <v>195</v>
      </c>
      <c r="AB295" s="251"/>
      <c r="AC295" s="251"/>
      <c r="AD295" s="251"/>
      <c r="AE295" s="247">
        <f t="shared" si="4"/>
        <v>0</v>
      </c>
      <c r="AF295" s="245"/>
      <c r="AG295" s="245"/>
      <c r="AH295" s="169"/>
      <c r="AI295" s="169"/>
      <c r="AJ295" s="169"/>
      <c r="AK295" s="169"/>
      <c r="AL295" s="169"/>
      <c r="AM295" s="169"/>
      <c r="AN295" s="169"/>
      <c r="AO295" s="169"/>
      <c r="AP295" s="169"/>
      <c r="AQ295" s="169"/>
      <c r="AR295" s="169"/>
      <c r="AS295" s="169"/>
      <c r="AT295" s="169"/>
      <c r="AU295" s="169"/>
      <c r="AV295" s="169"/>
      <c r="AW295" s="169"/>
      <c r="AX295" s="169"/>
      <c r="AY295" s="169"/>
      <c r="AZ295" s="169"/>
      <c r="BA295" s="169"/>
      <c r="BB295" s="169"/>
      <c r="BC295" s="169"/>
      <c r="BD295" s="169"/>
      <c r="BE295" s="169"/>
      <c r="BF295" s="169"/>
      <c r="BG295" s="169"/>
      <c r="BH295" s="169"/>
      <c r="BI295" s="169"/>
      <c r="BJ295" s="169"/>
      <c r="BK295" s="169"/>
      <c r="BL295" s="169"/>
      <c r="BM295" s="169"/>
      <c r="BN295" s="169"/>
      <c r="BO295" s="169"/>
      <c r="BP295" s="169"/>
      <c r="BQ295" s="169"/>
      <c r="BR295" s="169"/>
      <c r="BS295" s="169"/>
      <c r="BT295" s="169"/>
      <c r="BU295" s="169"/>
      <c r="BV295" s="169"/>
      <c r="BW295" s="169"/>
      <c r="BX295" s="169"/>
      <c r="BY295" s="169"/>
      <c r="BZ295" s="169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</row>
    <row r="296" spans="12:91" ht="11.25" customHeight="1">
      <c r="L296" s="150"/>
      <c r="M296" s="516" t="s">
        <v>2106</v>
      </c>
      <c r="N296" s="546" t="s">
        <v>1025</v>
      </c>
      <c r="O296" s="163" t="s">
        <v>195</v>
      </c>
      <c r="AB296" s="251"/>
      <c r="AC296" s="251"/>
      <c r="AD296" s="251"/>
      <c r="AE296" s="247">
        <f t="shared" si="4"/>
        <v>0</v>
      </c>
      <c r="AF296" s="245"/>
      <c r="AG296" s="245"/>
      <c r="AH296" s="169"/>
      <c r="AI296" s="169"/>
      <c r="AJ296" s="169"/>
      <c r="AK296" s="169"/>
      <c r="AL296" s="169"/>
      <c r="AM296" s="169"/>
      <c r="AN296" s="169"/>
      <c r="AO296" s="169"/>
      <c r="AP296" s="169"/>
      <c r="AQ296" s="169"/>
      <c r="AR296" s="169"/>
      <c r="AS296" s="169"/>
      <c r="AT296" s="169"/>
      <c r="AU296" s="169"/>
      <c r="AV296" s="169"/>
      <c r="AW296" s="169"/>
      <c r="AX296" s="169"/>
      <c r="AY296" s="169"/>
      <c r="AZ296" s="169"/>
      <c r="BA296" s="169"/>
      <c r="BB296" s="169"/>
      <c r="BC296" s="169"/>
      <c r="BD296" s="169"/>
      <c r="BE296" s="169"/>
      <c r="BF296" s="169"/>
      <c r="BG296" s="169"/>
      <c r="BH296" s="169"/>
      <c r="BI296" s="169"/>
      <c r="BJ296" s="169"/>
      <c r="BK296" s="169"/>
      <c r="BL296" s="169"/>
      <c r="BM296" s="169"/>
      <c r="BN296" s="169"/>
      <c r="BO296" s="169"/>
      <c r="BP296" s="169"/>
      <c r="BQ296" s="169"/>
      <c r="BR296" s="169"/>
      <c r="BS296" s="169"/>
      <c r="BT296" s="169"/>
      <c r="BU296" s="169"/>
      <c r="BV296" s="169"/>
      <c r="BW296" s="169"/>
      <c r="BX296" s="169"/>
      <c r="BY296" s="169"/>
      <c r="BZ296" s="169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</row>
    <row r="297" spans="12:91" ht="11.25" customHeight="1">
      <c r="L297" s="150"/>
      <c r="M297" s="490" t="s">
        <v>551</v>
      </c>
      <c r="N297" s="494" t="s">
        <v>1170</v>
      </c>
      <c r="O297" s="443" t="s">
        <v>195</v>
      </c>
      <c r="AB297" s="251"/>
      <c r="AC297" s="251"/>
      <c r="AD297" s="251"/>
      <c r="AE297" s="247">
        <f t="shared" si="4"/>
        <v>0</v>
      </c>
      <c r="AF297" s="245"/>
      <c r="AG297" s="245"/>
      <c r="AH297" s="169"/>
      <c r="AI297" s="169"/>
      <c r="AJ297" s="169"/>
      <c r="AK297" s="169"/>
      <c r="AL297" s="169"/>
      <c r="AM297" s="169"/>
      <c r="AN297" s="169"/>
      <c r="AO297" s="169"/>
      <c r="AP297" s="169"/>
      <c r="AQ297" s="169"/>
      <c r="AR297" s="169"/>
      <c r="AS297" s="169"/>
      <c r="AT297" s="169"/>
      <c r="AU297" s="169"/>
      <c r="AV297" s="169"/>
      <c r="AW297" s="169"/>
      <c r="AX297" s="169"/>
      <c r="AY297" s="169"/>
      <c r="AZ297" s="169"/>
      <c r="BA297" s="169"/>
      <c r="BB297" s="169"/>
      <c r="BC297" s="169"/>
      <c r="BD297" s="169"/>
      <c r="BE297" s="169"/>
      <c r="BF297" s="169"/>
      <c r="BG297" s="169"/>
      <c r="BH297" s="169"/>
      <c r="BI297" s="169"/>
      <c r="BJ297" s="169"/>
      <c r="BK297" s="169"/>
      <c r="BL297" s="169"/>
      <c r="BM297" s="169"/>
      <c r="BN297" s="169"/>
      <c r="BO297" s="169"/>
      <c r="BP297" s="169"/>
      <c r="BQ297" s="169"/>
      <c r="BR297" s="169"/>
      <c r="BS297" s="169"/>
      <c r="BT297" s="169"/>
      <c r="BU297" s="169"/>
      <c r="BV297" s="169"/>
      <c r="BW297" s="169"/>
      <c r="BX297" s="169"/>
      <c r="BY297" s="169"/>
      <c r="BZ297" s="169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</row>
    <row r="298" spans="12:91" ht="11.25" customHeight="1">
      <c r="L298" s="150"/>
      <c r="M298" s="490" t="s">
        <v>552</v>
      </c>
      <c r="N298" s="494" t="s">
        <v>1171</v>
      </c>
      <c r="O298" s="443" t="s">
        <v>195</v>
      </c>
      <c r="AB298" s="251"/>
      <c r="AC298" s="251"/>
      <c r="AD298" s="251"/>
      <c r="AE298" s="247">
        <f t="shared" si="4"/>
        <v>0</v>
      </c>
      <c r="AF298" s="245"/>
      <c r="AG298" s="245"/>
      <c r="AH298" s="169"/>
      <c r="AI298" s="169"/>
      <c r="AJ298" s="169"/>
      <c r="AK298" s="169"/>
      <c r="AL298" s="169"/>
      <c r="AM298" s="169"/>
      <c r="AN298" s="169"/>
      <c r="AO298" s="169"/>
      <c r="AP298" s="169"/>
      <c r="AQ298" s="169"/>
      <c r="AR298" s="169"/>
      <c r="AS298" s="169"/>
      <c r="AT298" s="169"/>
      <c r="AU298" s="169"/>
      <c r="AV298" s="169"/>
      <c r="AW298" s="169"/>
      <c r="AX298" s="169"/>
      <c r="AY298" s="169"/>
      <c r="AZ298" s="169"/>
      <c r="BA298" s="169"/>
      <c r="BB298" s="169"/>
      <c r="BC298" s="169"/>
      <c r="BD298" s="169"/>
      <c r="BE298" s="169"/>
      <c r="BF298" s="169"/>
      <c r="BG298" s="169"/>
      <c r="BH298" s="169"/>
      <c r="BI298" s="169"/>
      <c r="BJ298" s="169"/>
      <c r="BK298" s="169"/>
      <c r="BL298" s="169"/>
      <c r="BM298" s="169"/>
      <c r="BN298" s="169"/>
      <c r="BO298" s="169"/>
      <c r="BP298" s="169"/>
      <c r="BQ298" s="169"/>
      <c r="BR298" s="169"/>
      <c r="BS298" s="169"/>
      <c r="BT298" s="169"/>
      <c r="BU298" s="169"/>
      <c r="BV298" s="169"/>
      <c r="BW298" s="169"/>
      <c r="BX298" s="169"/>
      <c r="BY298" s="169"/>
      <c r="BZ298" s="169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</row>
    <row r="299" spans="12:91" ht="11.25" customHeight="1">
      <c r="L299" s="150"/>
      <c r="M299" s="490" t="s">
        <v>553</v>
      </c>
      <c r="N299" s="494" t="s">
        <v>1172</v>
      </c>
      <c r="O299" s="443" t="s">
        <v>195</v>
      </c>
      <c r="AB299" s="251"/>
      <c r="AC299" s="251"/>
      <c r="AD299" s="251"/>
      <c r="AE299" s="247">
        <f t="shared" si="4"/>
        <v>0</v>
      </c>
      <c r="AF299" s="245"/>
      <c r="AG299" s="245"/>
      <c r="AH299" s="169"/>
      <c r="AI299" s="169"/>
      <c r="AJ299" s="169"/>
      <c r="AK299" s="169"/>
      <c r="AL299" s="169"/>
      <c r="AM299" s="169"/>
      <c r="AN299" s="169"/>
      <c r="AO299" s="169"/>
      <c r="AP299" s="169"/>
      <c r="AQ299" s="169"/>
      <c r="AR299" s="169"/>
      <c r="AS299" s="169"/>
      <c r="AT299" s="169"/>
      <c r="AU299" s="169"/>
      <c r="AV299" s="169"/>
      <c r="AW299" s="169"/>
      <c r="AX299" s="169"/>
      <c r="AY299" s="169"/>
      <c r="AZ299" s="169"/>
      <c r="BA299" s="169"/>
      <c r="BB299" s="169"/>
      <c r="BC299" s="169"/>
      <c r="BD299" s="169"/>
      <c r="BE299" s="169"/>
      <c r="BF299" s="169"/>
      <c r="BG299" s="169"/>
      <c r="BH299" s="169"/>
      <c r="BI299" s="169"/>
      <c r="BJ299" s="169"/>
      <c r="BK299" s="169"/>
      <c r="BL299" s="169"/>
      <c r="BM299" s="169"/>
      <c r="BN299" s="169"/>
      <c r="BO299" s="169"/>
      <c r="BP299" s="169"/>
      <c r="BQ299" s="169"/>
      <c r="BR299" s="169"/>
      <c r="BS299" s="169"/>
      <c r="BT299" s="169"/>
      <c r="BU299" s="169"/>
      <c r="BV299" s="169"/>
      <c r="BW299" s="169"/>
      <c r="BX299" s="169"/>
      <c r="BY299" s="169"/>
      <c r="BZ299" s="16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</row>
    <row r="300" spans="12:91" ht="11.25" customHeight="1">
      <c r="L300" s="150"/>
      <c r="M300" s="490" t="s">
        <v>603</v>
      </c>
      <c r="N300" s="494" t="s">
        <v>1173</v>
      </c>
      <c r="O300" s="443" t="s">
        <v>195</v>
      </c>
      <c r="AB300" s="251"/>
      <c r="AC300" s="251"/>
      <c r="AD300" s="251"/>
      <c r="AE300" s="247">
        <f t="shared" si="4"/>
        <v>0</v>
      </c>
      <c r="AF300" s="245"/>
      <c r="AG300" s="245"/>
      <c r="AH300" s="169"/>
      <c r="AI300" s="169"/>
      <c r="AJ300" s="169"/>
      <c r="AK300" s="169"/>
      <c r="AL300" s="169"/>
      <c r="AM300" s="169"/>
      <c r="AN300" s="169"/>
      <c r="AO300" s="169"/>
      <c r="AP300" s="169"/>
      <c r="AQ300" s="169"/>
      <c r="AR300" s="169"/>
      <c r="AS300" s="169"/>
      <c r="AT300" s="169"/>
      <c r="AU300" s="169"/>
      <c r="AV300" s="169"/>
      <c r="AW300" s="169"/>
      <c r="AX300" s="169"/>
      <c r="AY300" s="169"/>
      <c r="AZ300" s="169"/>
      <c r="BA300" s="169"/>
      <c r="BB300" s="169"/>
      <c r="BC300" s="169"/>
      <c r="BD300" s="169"/>
      <c r="BE300" s="169"/>
      <c r="BF300" s="169"/>
      <c r="BG300" s="169"/>
      <c r="BH300" s="169"/>
      <c r="BI300" s="169"/>
      <c r="BJ300" s="169"/>
      <c r="BK300" s="169"/>
      <c r="BL300" s="169"/>
      <c r="BM300" s="169"/>
      <c r="BN300" s="169"/>
      <c r="BO300" s="169"/>
      <c r="BP300" s="169"/>
      <c r="BQ300" s="169"/>
      <c r="BR300" s="169"/>
      <c r="BS300" s="169"/>
      <c r="BT300" s="169"/>
      <c r="BU300" s="169"/>
      <c r="BV300" s="169"/>
      <c r="BW300" s="169"/>
      <c r="BX300" s="169"/>
      <c r="BY300" s="169"/>
      <c r="BZ300" s="169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</row>
    <row r="301" spans="12:91" ht="11.25" customHeight="1">
      <c r="L301" s="150"/>
      <c r="M301" s="490" t="s">
        <v>606</v>
      </c>
      <c r="N301" s="494" t="s">
        <v>1174</v>
      </c>
      <c r="O301" s="443" t="s">
        <v>195</v>
      </c>
      <c r="AB301" s="251"/>
      <c r="AC301" s="251"/>
      <c r="AD301" s="251"/>
      <c r="AE301" s="247">
        <f t="shared" si="4"/>
        <v>0</v>
      </c>
      <c r="AF301" s="247">
        <f>SUM(AF302,AF303)</f>
        <v>0</v>
      </c>
      <c r="AG301" s="247">
        <f>SUM(AG302,AG303)</f>
        <v>0</v>
      </c>
      <c r="AH301" s="169"/>
      <c r="AI301" s="169"/>
      <c r="AJ301" s="169"/>
      <c r="AK301" s="169"/>
      <c r="AL301" s="169"/>
      <c r="AM301" s="169"/>
      <c r="AN301" s="169"/>
      <c r="AO301" s="169"/>
      <c r="AP301" s="169"/>
      <c r="AQ301" s="169"/>
      <c r="AR301" s="169"/>
      <c r="AS301" s="169"/>
      <c r="AT301" s="169"/>
      <c r="AU301" s="169"/>
      <c r="AV301" s="169"/>
      <c r="AW301" s="169"/>
      <c r="AX301" s="169"/>
      <c r="AY301" s="169"/>
      <c r="AZ301" s="169"/>
      <c r="BA301" s="169"/>
      <c r="BB301" s="169"/>
      <c r="BC301" s="169"/>
      <c r="BD301" s="169"/>
      <c r="BE301" s="169"/>
      <c r="BF301" s="169"/>
      <c r="BG301" s="169"/>
      <c r="BH301" s="169"/>
      <c r="BI301" s="169"/>
      <c r="BJ301" s="169"/>
      <c r="BK301" s="169"/>
      <c r="BL301" s="169"/>
      <c r="BM301" s="169"/>
      <c r="BN301" s="169"/>
      <c r="BO301" s="169"/>
      <c r="BP301" s="169"/>
      <c r="BQ301" s="169"/>
      <c r="BR301" s="169"/>
      <c r="BS301" s="169"/>
      <c r="BT301" s="169"/>
      <c r="BU301" s="169"/>
      <c r="BV301" s="169"/>
      <c r="BW301" s="169"/>
      <c r="BX301" s="169"/>
      <c r="BY301" s="169"/>
      <c r="BZ301" s="169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</row>
    <row r="302" spans="12:91" ht="11.25" customHeight="1">
      <c r="L302" s="150"/>
      <c r="M302" s="505" t="str">
        <f>M301 &amp; ".1"</f>
        <v>20.1</v>
      </c>
      <c r="N302" s="484" t="s">
        <v>939</v>
      </c>
      <c r="O302" s="443" t="s">
        <v>195</v>
      </c>
      <c r="AB302" s="251"/>
      <c r="AC302" s="251"/>
      <c r="AD302" s="251"/>
      <c r="AE302" s="247">
        <f t="shared" si="4"/>
        <v>0</v>
      </c>
      <c r="AF302" s="245"/>
      <c r="AG302" s="245"/>
      <c r="AH302" s="169"/>
      <c r="AI302" s="169"/>
      <c r="AJ302" s="169"/>
      <c r="AK302" s="169"/>
      <c r="AL302" s="169"/>
      <c r="AM302" s="169"/>
      <c r="AN302" s="169"/>
      <c r="AO302" s="169"/>
      <c r="AP302" s="169"/>
      <c r="AQ302" s="169"/>
      <c r="AR302" s="169"/>
      <c r="AS302" s="169"/>
      <c r="AT302" s="169"/>
      <c r="AU302" s="169"/>
      <c r="AV302" s="169"/>
      <c r="AW302" s="169"/>
      <c r="AX302" s="169"/>
      <c r="AY302" s="169"/>
      <c r="AZ302" s="169"/>
      <c r="BA302" s="169"/>
      <c r="BB302" s="169"/>
      <c r="BC302" s="169"/>
      <c r="BD302" s="169"/>
      <c r="BE302" s="169"/>
      <c r="BF302" s="169"/>
      <c r="BG302" s="169"/>
      <c r="BH302" s="169"/>
      <c r="BI302" s="169"/>
      <c r="BJ302" s="169"/>
      <c r="BK302" s="169"/>
      <c r="BL302" s="169"/>
      <c r="BM302" s="169"/>
      <c r="BN302" s="169"/>
      <c r="BO302" s="169"/>
      <c r="BP302" s="169"/>
      <c r="BQ302" s="169"/>
      <c r="BR302" s="169"/>
      <c r="BS302" s="169"/>
      <c r="BT302" s="169"/>
      <c r="BU302" s="169"/>
      <c r="BV302" s="169"/>
      <c r="BW302" s="169"/>
      <c r="BX302" s="169"/>
      <c r="BY302" s="169"/>
      <c r="BZ302" s="169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</row>
    <row r="303" spans="12:91" ht="11.25" customHeight="1">
      <c r="L303" s="150"/>
      <c r="M303" s="505" t="str">
        <f>M301 &amp; ".2"</f>
        <v>20.2</v>
      </c>
      <c r="N303" s="484" t="s">
        <v>1175</v>
      </c>
      <c r="O303" s="443" t="s">
        <v>195</v>
      </c>
      <c r="AB303" s="251"/>
      <c r="AC303" s="251"/>
      <c r="AD303" s="251"/>
      <c r="AE303" s="247">
        <f t="shared" si="4"/>
        <v>0</v>
      </c>
      <c r="AF303" s="245"/>
      <c r="AG303" s="245"/>
      <c r="AH303" s="169"/>
      <c r="AI303" s="169"/>
      <c r="AJ303" s="169"/>
      <c r="AK303" s="169"/>
      <c r="AL303" s="169"/>
      <c r="AM303" s="169"/>
      <c r="AN303" s="169"/>
      <c r="AO303" s="169"/>
      <c r="AP303" s="169"/>
      <c r="AQ303" s="169"/>
      <c r="AR303" s="169"/>
      <c r="AS303" s="169"/>
      <c r="AT303" s="169"/>
      <c r="AU303" s="169"/>
      <c r="AV303" s="169"/>
      <c r="AW303" s="169"/>
      <c r="AX303" s="169"/>
      <c r="AY303" s="169"/>
      <c r="AZ303" s="169"/>
      <c r="BA303" s="169"/>
      <c r="BB303" s="169"/>
      <c r="BC303" s="169"/>
      <c r="BD303" s="169"/>
      <c r="BE303" s="169"/>
      <c r="BF303" s="169"/>
      <c r="BG303" s="169"/>
      <c r="BH303" s="169"/>
      <c r="BI303" s="169"/>
      <c r="BJ303" s="169"/>
      <c r="BK303" s="169"/>
      <c r="BL303" s="169"/>
      <c r="BM303" s="169"/>
      <c r="BN303" s="169"/>
      <c r="BO303" s="169"/>
      <c r="BP303" s="169"/>
      <c r="BQ303" s="169"/>
      <c r="BR303" s="169"/>
      <c r="BS303" s="169"/>
      <c r="BT303" s="169"/>
      <c r="BU303" s="169"/>
      <c r="BV303" s="169"/>
      <c r="BW303" s="169"/>
      <c r="BX303" s="169"/>
      <c r="BY303" s="169"/>
      <c r="BZ303" s="169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</row>
    <row r="304" spans="12:91" ht="11.25" customHeight="1">
      <c r="L304" s="150"/>
      <c r="M304" s="490" t="s">
        <v>607</v>
      </c>
      <c r="N304" s="494" t="s">
        <v>1176</v>
      </c>
      <c r="O304" s="443" t="s">
        <v>195</v>
      </c>
      <c r="AB304" s="251"/>
      <c r="AC304" s="251"/>
      <c r="AD304" s="251"/>
      <c r="AE304" s="247">
        <f t="shared" si="4"/>
        <v>0</v>
      </c>
      <c r="AF304" s="245"/>
      <c r="AG304" s="245"/>
      <c r="AH304" s="169"/>
      <c r="AI304" s="169"/>
      <c r="AJ304" s="169"/>
      <c r="AK304" s="169"/>
      <c r="AL304" s="169"/>
      <c r="AM304" s="169"/>
      <c r="AN304" s="169"/>
      <c r="AO304" s="169"/>
      <c r="AP304" s="169"/>
      <c r="AQ304" s="169"/>
      <c r="AR304" s="169"/>
      <c r="AS304" s="169"/>
      <c r="AT304" s="169"/>
      <c r="AU304" s="169"/>
      <c r="AV304" s="169"/>
      <c r="AW304" s="169"/>
      <c r="AX304" s="169"/>
      <c r="AY304" s="169"/>
      <c r="AZ304" s="169"/>
      <c r="BA304" s="169"/>
      <c r="BB304" s="169"/>
      <c r="BC304" s="169"/>
      <c r="BD304" s="169"/>
      <c r="BE304" s="169"/>
      <c r="BF304" s="169"/>
      <c r="BG304" s="169"/>
      <c r="BH304" s="169"/>
      <c r="BI304" s="169"/>
      <c r="BJ304" s="169"/>
      <c r="BK304" s="169"/>
      <c r="BL304" s="169"/>
      <c r="BM304" s="169"/>
      <c r="BN304" s="169"/>
      <c r="BO304" s="169"/>
      <c r="BP304" s="169"/>
      <c r="BQ304" s="169"/>
      <c r="BR304" s="169"/>
      <c r="BS304" s="169"/>
      <c r="BT304" s="169"/>
      <c r="BU304" s="169"/>
      <c r="BV304" s="169"/>
      <c r="BW304" s="169"/>
      <c r="BX304" s="169"/>
      <c r="BY304" s="169"/>
      <c r="BZ304" s="169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</row>
    <row r="305" spans="12:91" ht="11.25" customHeight="1">
      <c r="L305" s="150"/>
      <c r="M305" s="490" t="s">
        <v>608</v>
      </c>
      <c r="N305" s="494" t="s">
        <v>1177</v>
      </c>
      <c r="O305" s="443" t="s">
        <v>195</v>
      </c>
      <c r="AB305" s="251"/>
      <c r="AC305" s="251"/>
      <c r="AD305" s="251"/>
      <c r="AE305" s="247">
        <f t="shared" si="4"/>
        <v>0</v>
      </c>
      <c r="AF305" s="247">
        <f>SUM(AF306,AF307)</f>
        <v>0</v>
      </c>
      <c r="AG305" s="247">
        <f>SUM(AG306,AG307)</f>
        <v>0</v>
      </c>
      <c r="AH305" s="169"/>
      <c r="AI305" s="169"/>
      <c r="AJ305" s="169"/>
      <c r="AK305" s="169"/>
      <c r="AL305" s="169"/>
      <c r="AM305" s="169"/>
      <c r="AN305" s="169"/>
      <c r="AO305" s="169"/>
      <c r="AP305" s="169"/>
      <c r="AQ305" s="169"/>
      <c r="AR305" s="169"/>
      <c r="AS305" s="169"/>
      <c r="AT305" s="169"/>
      <c r="AU305" s="169"/>
      <c r="AV305" s="169"/>
      <c r="AW305" s="169"/>
      <c r="AX305" s="169"/>
      <c r="AY305" s="169"/>
      <c r="AZ305" s="169"/>
      <c r="BA305" s="169"/>
      <c r="BB305" s="169"/>
      <c r="BC305" s="169"/>
      <c r="BD305" s="169"/>
      <c r="BE305" s="169"/>
      <c r="BF305" s="169"/>
      <c r="BG305" s="169"/>
      <c r="BH305" s="169"/>
      <c r="BI305" s="169"/>
      <c r="BJ305" s="169"/>
      <c r="BK305" s="169"/>
      <c r="BL305" s="169"/>
      <c r="BM305" s="169"/>
      <c r="BN305" s="169"/>
      <c r="BO305" s="169"/>
      <c r="BP305" s="169"/>
      <c r="BQ305" s="169"/>
      <c r="BR305" s="169"/>
      <c r="BS305" s="169"/>
      <c r="BT305" s="169"/>
      <c r="BU305" s="169"/>
      <c r="BV305" s="169"/>
      <c r="BW305" s="169"/>
      <c r="BX305" s="169"/>
      <c r="BY305" s="169"/>
      <c r="BZ305" s="169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</row>
    <row r="306" spans="12:91" ht="11.25" customHeight="1">
      <c r="L306" s="150"/>
      <c r="M306" s="505" t="str">
        <f>M305 &amp; ".1"</f>
        <v>22.1</v>
      </c>
      <c r="N306" s="485" t="s">
        <v>1178</v>
      </c>
      <c r="O306" s="443" t="s">
        <v>195</v>
      </c>
      <c r="AB306" s="251"/>
      <c r="AC306" s="251"/>
      <c r="AD306" s="251"/>
      <c r="AE306" s="247">
        <f t="shared" si="4"/>
        <v>0</v>
      </c>
      <c r="AF306" s="245"/>
      <c r="AG306" s="245"/>
      <c r="AH306" s="169"/>
      <c r="AI306" s="169"/>
      <c r="AJ306" s="169"/>
      <c r="AK306" s="169"/>
      <c r="AL306" s="169"/>
      <c r="AM306" s="169"/>
      <c r="AN306" s="169"/>
      <c r="AO306" s="169"/>
      <c r="AP306" s="169"/>
      <c r="AQ306" s="169"/>
      <c r="AR306" s="169"/>
      <c r="AS306" s="169"/>
      <c r="AT306" s="169"/>
      <c r="AU306" s="169"/>
      <c r="AV306" s="169"/>
      <c r="AW306" s="169"/>
      <c r="AX306" s="169"/>
      <c r="AY306" s="169"/>
      <c r="AZ306" s="169"/>
      <c r="BA306" s="169"/>
      <c r="BB306" s="169"/>
      <c r="BC306" s="169"/>
      <c r="BD306" s="169"/>
      <c r="BE306" s="169"/>
      <c r="BF306" s="169"/>
      <c r="BG306" s="169"/>
      <c r="BH306" s="169"/>
      <c r="BI306" s="169"/>
      <c r="BJ306" s="169"/>
      <c r="BK306" s="169"/>
      <c r="BL306" s="169"/>
      <c r="BM306" s="169"/>
      <c r="BN306" s="169"/>
      <c r="BO306" s="169"/>
      <c r="BP306" s="169"/>
      <c r="BQ306" s="169"/>
      <c r="BR306" s="169"/>
      <c r="BS306" s="169"/>
      <c r="BT306" s="169"/>
      <c r="BU306" s="169"/>
      <c r="BV306" s="169"/>
      <c r="BW306" s="169"/>
      <c r="BX306" s="169"/>
      <c r="BY306" s="169"/>
      <c r="BZ306" s="169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</row>
    <row r="307" spans="12:91" ht="11.25" customHeight="1">
      <c r="L307" s="150"/>
      <c r="M307" s="505" t="str">
        <f>M305 &amp; ".2"</f>
        <v>22.2</v>
      </c>
      <c r="N307" s="485" t="s">
        <v>1179</v>
      </c>
      <c r="O307" s="443" t="s">
        <v>195</v>
      </c>
      <c r="AB307" s="251"/>
      <c r="AC307" s="251"/>
      <c r="AD307" s="251"/>
      <c r="AE307" s="247">
        <f t="shared" si="4"/>
        <v>0</v>
      </c>
      <c r="AF307" s="245"/>
      <c r="AG307" s="245"/>
      <c r="AH307" s="169"/>
      <c r="AI307" s="169"/>
      <c r="AJ307" s="169"/>
      <c r="AK307" s="169"/>
      <c r="AL307" s="169"/>
      <c r="AM307" s="169"/>
      <c r="AN307" s="169"/>
      <c r="AO307" s="169"/>
      <c r="AP307" s="169"/>
      <c r="AQ307" s="169"/>
      <c r="AR307" s="169"/>
      <c r="AS307" s="169"/>
      <c r="AT307" s="169"/>
      <c r="AU307" s="169"/>
      <c r="AV307" s="169"/>
      <c r="AW307" s="169"/>
      <c r="AX307" s="169"/>
      <c r="AY307" s="169"/>
      <c r="AZ307" s="169"/>
      <c r="BA307" s="169"/>
      <c r="BB307" s="169"/>
      <c r="BC307" s="169"/>
      <c r="BD307" s="169"/>
      <c r="BE307" s="169"/>
      <c r="BF307" s="169"/>
      <c r="BG307" s="169"/>
      <c r="BH307" s="169"/>
      <c r="BI307" s="169"/>
      <c r="BJ307" s="169"/>
      <c r="BK307" s="169"/>
      <c r="BL307" s="169"/>
      <c r="BM307" s="169"/>
      <c r="BN307" s="169"/>
      <c r="BO307" s="169"/>
      <c r="BP307" s="169"/>
      <c r="BQ307" s="169"/>
      <c r="BR307" s="169"/>
      <c r="BS307" s="169"/>
      <c r="BT307" s="169"/>
      <c r="BU307" s="169"/>
      <c r="BV307" s="169"/>
      <c r="BW307" s="169"/>
      <c r="BX307" s="169"/>
      <c r="BY307" s="169"/>
      <c r="BZ307" s="169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</row>
    <row r="308" spans="12:91" ht="11.25" customHeight="1">
      <c r="L308" s="150"/>
      <c r="M308" s="490" t="s">
        <v>280</v>
      </c>
      <c r="N308" s="494" t="s">
        <v>1011</v>
      </c>
      <c r="O308" s="443" t="s">
        <v>195</v>
      </c>
      <c r="AB308" s="251"/>
      <c r="AC308" s="251"/>
      <c r="AD308" s="251"/>
      <c r="AE308" s="247">
        <f t="shared" si="4"/>
        <v>0</v>
      </c>
      <c r="AF308" s="245"/>
      <c r="AG308" s="245"/>
      <c r="AH308" s="169"/>
      <c r="AI308" s="169"/>
      <c r="AJ308" s="169"/>
      <c r="AK308" s="169"/>
      <c r="AL308" s="169"/>
      <c r="AM308" s="169"/>
      <c r="AN308" s="169"/>
      <c r="AO308" s="169"/>
      <c r="AP308" s="169"/>
      <c r="AQ308" s="169"/>
      <c r="AR308" s="169"/>
      <c r="AS308" s="169"/>
      <c r="AT308" s="169"/>
      <c r="AU308" s="169"/>
      <c r="AV308" s="169"/>
      <c r="AW308" s="169"/>
      <c r="AX308" s="169"/>
      <c r="AY308" s="169"/>
      <c r="AZ308" s="169"/>
      <c r="BA308" s="169"/>
      <c r="BB308" s="169"/>
      <c r="BC308" s="169"/>
      <c r="BD308" s="169"/>
      <c r="BE308" s="169"/>
      <c r="BF308" s="169"/>
      <c r="BG308" s="169"/>
      <c r="BH308" s="169"/>
      <c r="BI308" s="169"/>
      <c r="BJ308" s="169"/>
      <c r="BK308" s="169"/>
      <c r="BL308" s="169"/>
      <c r="BM308" s="169"/>
      <c r="BN308" s="169"/>
      <c r="BO308" s="169"/>
      <c r="BP308" s="169"/>
      <c r="BQ308" s="169"/>
      <c r="BR308" s="169"/>
      <c r="BS308" s="169"/>
      <c r="BT308" s="169"/>
      <c r="BU308" s="169"/>
      <c r="BV308" s="169"/>
      <c r="BW308" s="169"/>
      <c r="BX308" s="169"/>
      <c r="BY308" s="169"/>
      <c r="BZ308" s="169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</row>
    <row r="309" spans="12:91" ht="11.25" customHeight="1">
      <c r="L309" s="150"/>
      <c r="M309" s="490" t="s">
        <v>281</v>
      </c>
      <c r="N309" s="494" t="s">
        <v>1180</v>
      </c>
      <c r="O309" s="443" t="s">
        <v>195</v>
      </c>
      <c r="AB309" s="251"/>
      <c r="AC309" s="251"/>
      <c r="AD309" s="251"/>
      <c r="AE309" s="247">
        <f t="shared" si="4"/>
        <v>0</v>
      </c>
      <c r="AF309" s="247">
        <f>SUM(AF310,AF311,AF312)</f>
        <v>0</v>
      </c>
      <c r="AG309" s="247">
        <f>SUM(AG310,AG311,AG312)</f>
        <v>0</v>
      </c>
      <c r="AH309" s="169"/>
      <c r="AI309" s="169"/>
      <c r="AJ309" s="169"/>
      <c r="AK309" s="169"/>
      <c r="AL309" s="169"/>
      <c r="AM309" s="169"/>
      <c r="AN309" s="169"/>
      <c r="AO309" s="169"/>
      <c r="AP309" s="169"/>
      <c r="AQ309" s="169"/>
      <c r="AR309" s="169"/>
      <c r="AS309" s="169"/>
      <c r="AT309" s="169"/>
      <c r="AU309" s="169"/>
      <c r="AV309" s="169"/>
      <c r="AW309" s="169"/>
      <c r="AX309" s="169"/>
      <c r="AY309" s="169"/>
      <c r="AZ309" s="169"/>
      <c r="BA309" s="169"/>
      <c r="BB309" s="169"/>
      <c r="BC309" s="169"/>
      <c r="BD309" s="169"/>
      <c r="BE309" s="169"/>
      <c r="BF309" s="169"/>
      <c r="BG309" s="169"/>
      <c r="BH309" s="169"/>
      <c r="BI309" s="169"/>
      <c r="BJ309" s="169"/>
      <c r="BK309" s="169"/>
      <c r="BL309" s="169"/>
      <c r="BM309" s="169"/>
      <c r="BN309" s="169"/>
      <c r="BO309" s="169"/>
      <c r="BP309" s="169"/>
      <c r="BQ309" s="169"/>
      <c r="BR309" s="169"/>
      <c r="BS309" s="169"/>
      <c r="BT309" s="169"/>
      <c r="BU309" s="169"/>
      <c r="BV309" s="169"/>
      <c r="BW309" s="169"/>
      <c r="BX309" s="169"/>
      <c r="BY309" s="169"/>
      <c r="BZ309" s="16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</row>
    <row r="310" spans="12:91" ht="11.25" customHeight="1">
      <c r="L310" s="150"/>
      <c r="M310" s="505" t="str">
        <f>M309 &amp; ".1"</f>
        <v>24.1</v>
      </c>
      <c r="N310" s="485" t="s">
        <v>1181</v>
      </c>
      <c r="O310" s="443" t="s">
        <v>195</v>
      </c>
      <c r="AB310" s="251"/>
      <c r="AC310" s="251"/>
      <c r="AD310" s="251"/>
      <c r="AE310" s="247">
        <f t="shared" si="4"/>
        <v>0</v>
      </c>
      <c r="AF310" s="245"/>
      <c r="AG310" s="245"/>
      <c r="AH310" s="169"/>
      <c r="AI310" s="169"/>
      <c r="AJ310" s="169"/>
      <c r="AK310" s="169"/>
      <c r="AL310" s="169"/>
      <c r="AM310" s="169"/>
      <c r="AN310" s="169"/>
      <c r="AO310" s="169"/>
      <c r="AP310" s="169"/>
      <c r="AQ310" s="169"/>
      <c r="AR310" s="169"/>
      <c r="AS310" s="169"/>
      <c r="AT310" s="169"/>
      <c r="AU310" s="169"/>
      <c r="AV310" s="169"/>
      <c r="AW310" s="169"/>
      <c r="AX310" s="169"/>
      <c r="AY310" s="169"/>
      <c r="AZ310" s="169"/>
      <c r="BA310" s="169"/>
      <c r="BB310" s="169"/>
      <c r="BC310" s="169"/>
      <c r="BD310" s="169"/>
      <c r="BE310" s="169"/>
      <c r="BF310" s="169"/>
      <c r="BG310" s="169"/>
      <c r="BH310" s="169"/>
      <c r="BI310" s="169"/>
      <c r="BJ310" s="169"/>
      <c r="BK310" s="169"/>
      <c r="BL310" s="169"/>
      <c r="BM310" s="169"/>
      <c r="BN310" s="169"/>
      <c r="BO310" s="169"/>
      <c r="BP310" s="169"/>
      <c r="BQ310" s="169"/>
      <c r="BR310" s="169"/>
      <c r="BS310" s="169"/>
      <c r="BT310" s="169"/>
      <c r="BU310" s="169"/>
      <c r="BV310" s="169"/>
      <c r="BW310" s="169"/>
      <c r="BX310" s="169"/>
      <c r="BY310" s="169"/>
      <c r="BZ310" s="169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</row>
    <row r="311" spans="12:91" ht="11.25" customHeight="1">
      <c r="L311" s="150"/>
      <c r="M311" s="505" t="str">
        <f>M309 &amp; ".2"</f>
        <v>24.2</v>
      </c>
      <c r="N311" s="485" t="s">
        <v>1182</v>
      </c>
      <c r="O311" s="443" t="s">
        <v>195</v>
      </c>
      <c r="AB311" s="251"/>
      <c r="AC311" s="251"/>
      <c r="AD311" s="251"/>
      <c r="AE311" s="247">
        <f t="shared" si="4"/>
        <v>0</v>
      </c>
      <c r="AF311" s="245"/>
      <c r="AG311" s="245"/>
      <c r="AH311" s="169"/>
      <c r="AI311" s="169"/>
      <c r="AJ311" s="169"/>
      <c r="AK311" s="169"/>
      <c r="AL311" s="169"/>
      <c r="AM311" s="169"/>
      <c r="AN311" s="169"/>
      <c r="AO311" s="169"/>
      <c r="AP311" s="169"/>
      <c r="AQ311" s="169"/>
      <c r="AR311" s="169"/>
      <c r="AS311" s="169"/>
      <c r="AT311" s="169"/>
      <c r="AU311" s="169"/>
      <c r="AV311" s="169"/>
      <c r="AW311" s="169"/>
      <c r="AX311" s="169"/>
      <c r="AY311" s="169"/>
      <c r="AZ311" s="169"/>
      <c r="BA311" s="169"/>
      <c r="BB311" s="169"/>
      <c r="BC311" s="169"/>
      <c r="BD311" s="169"/>
      <c r="BE311" s="169"/>
      <c r="BF311" s="169"/>
      <c r="BG311" s="169"/>
      <c r="BH311" s="169"/>
      <c r="BI311" s="169"/>
      <c r="BJ311" s="169"/>
      <c r="BK311" s="169"/>
      <c r="BL311" s="169"/>
      <c r="BM311" s="169"/>
      <c r="BN311" s="169"/>
      <c r="BO311" s="169"/>
      <c r="BP311" s="169"/>
      <c r="BQ311" s="169"/>
      <c r="BR311" s="169"/>
      <c r="BS311" s="169"/>
      <c r="BT311" s="169"/>
      <c r="BU311" s="169"/>
      <c r="BV311" s="169"/>
      <c r="BW311" s="169"/>
      <c r="BX311" s="169"/>
      <c r="BY311" s="169"/>
      <c r="BZ311" s="169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</row>
    <row r="312" spans="12:91" ht="11.25" customHeight="1">
      <c r="L312" s="150"/>
      <c r="M312" s="505" t="str">
        <f>M309 &amp; ".3"</f>
        <v>24.3</v>
      </c>
      <c r="N312" s="485" t="s">
        <v>1183</v>
      </c>
      <c r="O312" s="443" t="s">
        <v>195</v>
      </c>
      <c r="AB312" s="251"/>
      <c r="AC312" s="251"/>
      <c r="AD312" s="251"/>
      <c r="AE312" s="247">
        <f t="shared" si="4"/>
        <v>0</v>
      </c>
      <c r="AF312" s="245"/>
      <c r="AG312" s="245"/>
      <c r="AH312" s="169"/>
      <c r="AI312" s="169"/>
      <c r="AJ312" s="169"/>
      <c r="AK312" s="169"/>
      <c r="AL312" s="169"/>
      <c r="AM312" s="169"/>
      <c r="AN312" s="169"/>
      <c r="AO312" s="169"/>
      <c r="AP312" s="169"/>
      <c r="AQ312" s="169"/>
      <c r="AR312" s="169"/>
      <c r="AS312" s="169"/>
      <c r="AT312" s="169"/>
      <c r="AU312" s="169"/>
      <c r="AV312" s="169"/>
      <c r="AW312" s="169"/>
      <c r="AX312" s="169"/>
      <c r="AY312" s="169"/>
      <c r="AZ312" s="169"/>
      <c r="BA312" s="169"/>
      <c r="BB312" s="169"/>
      <c r="BC312" s="169"/>
      <c r="BD312" s="169"/>
      <c r="BE312" s="169"/>
      <c r="BF312" s="169"/>
      <c r="BG312" s="169"/>
      <c r="BH312" s="169"/>
      <c r="BI312" s="169"/>
      <c r="BJ312" s="169"/>
      <c r="BK312" s="169"/>
      <c r="BL312" s="169"/>
      <c r="BM312" s="169"/>
      <c r="BN312" s="169"/>
      <c r="BO312" s="169"/>
      <c r="BP312" s="169"/>
      <c r="BQ312" s="169"/>
      <c r="BR312" s="169"/>
      <c r="BS312" s="169"/>
      <c r="BT312" s="169"/>
      <c r="BU312" s="169"/>
      <c r="BV312" s="169"/>
      <c r="BW312" s="169"/>
      <c r="BX312" s="169"/>
      <c r="BY312" s="169"/>
      <c r="BZ312" s="169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</row>
    <row r="313" spans="12:91" ht="11.25" customHeight="1">
      <c r="L313" s="150"/>
      <c r="M313" s="490" t="s">
        <v>1027</v>
      </c>
      <c r="N313" s="494" t="s">
        <v>1184</v>
      </c>
      <c r="O313" s="443" t="s">
        <v>195</v>
      </c>
      <c r="AB313" s="251"/>
      <c r="AC313" s="251"/>
      <c r="AD313" s="251"/>
      <c r="AE313" s="247">
        <f t="shared" si="4"/>
        <v>0</v>
      </c>
      <c r="AF313" s="247">
        <f>SUM(AF314:AF317)</f>
        <v>0</v>
      </c>
      <c r="AG313" s="247">
        <f>SUM(AG314:AG317)</f>
        <v>0</v>
      </c>
      <c r="AH313" s="169"/>
      <c r="AI313" s="169"/>
      <c r="AJ313" s="169"/>
      <c r="AK313" s="169"/>
      <c r="AL313" s="169"/>
      <c r="AM313" s="169"/>
      <c r="AN313" s="169"/>
      <c r="AO313" s="169"/>
      <c r="AP313" s="169"/>
      <c r="AQ313" s="169"/>
      <c r="AR313" s="169"/>
      <c r="AS313" s="169"/>
      <c r="AT313" s="169"/>
      <c r="AU313" s="169"/>
      <c r="AV313" s="169"/>
      <c r="AW313" s="169"/>
      <c r="AX313" s="169"/>
      <c r="AY313" s="169"/>
      <c r="AZ313" s="169"/>
      <c r="BA313" s="169"/>
      <c r="BB313" s="169"/>
      <c r="BC313" s="169"/>
      <c r="BD313" s="169"/>
      <c r="BE313" s="169"/>
      <c r="BF313" s="169"/>
      <c r="BG313" s="169"/>
      <c r="BH313" s="169"/>
      <c r="BI313" s="169"/>
      <c r="BJ313" s="169"/>
      <c r="BK313" s="169"/>
      <c r="BL313" s="169"/>
      <c r="BM313" s="169"/>
      <c r="BN313" s="169"/>
      <c r="BO313" s="169"/>
      <c r="BP313" s="169"/>
      <c r="BQ313" s="169"/>
      <c r="BR313" s="169"/>
      <c r="BS313" s="169"/>
      <c r="BT313" s="169"/>
      <c r="BU313" s="169"/>
      <c r="BV313" s="169"/>
      <c r="BW313" s="169"/>
      <c r="BX313" s="169"/>
      <c r="BY313" s="169"/>
      <c r="BZ313" s="169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</row>
    <row r="314" spans="12:91" ht="11.25" customHeight="1">
      <c r="L314" s="150"/>
      <c r="M314" s="505" t="str">
        <f>M313 &amp; ".1"</f>
        <v>25.1</v>
      </c>
      <c r="N314" s="486" t="s">
        <v>1185</v>
      </c>
      <c r="O314" s="443" t="s">
        <v>195</v>
      </c>
      <c r="AB314" s="251"/>
      <c r="AC314" s="251"/>
      <c r="AD314" s="251"/>
      <c r="AE314" s="247">
        <f t="shared" si="4"/>
        <v>0</v>
      </c>
      <c r="AF314" s="245"/>
      <c r="AG314" s="245"/>
      <c r="AH314" s="169"/>
      <c r="AI314" s="169"/>
      <c r="AJ314" s="169"/>
      <c r="AK314" s="169"/>
      <c r="AL314" s="169"/>
      <c r="AM314" s="169"/>
      <c r="AN314" s="169"/>
      <c r="AO314" s="169"/>
      <c r="AP314" s="169"/>
      <c r="AQ314" s="169"/>
      <c r="AR314" s="169"/>
      <c r="AS314" s="169"/>
      <c r="AT314" s="169"/>
      <c r="AU314" s="169"/>
      <c r="AV314" s="169"/>
      <c r="AW314" s="169"/>
      <c r="AX314" s="169"/>
      <c r="AY314" s="169"/>
      <c r="AZ314" s="169"/>
      <c r="BA314" s="169"/>
      <c r="BB314" s="169"/>
      <c r="BC314" s="169"/>
      <c r="BD314" s="169"/>
      <c r="BE314" s="169"/>
      <c r="BF314" s="169"/>
      <c r="BG314" s="169"/>
      <c r="BH314" s="169"/>
      <c r="BI314" s="169"/>
      <c r="BJ314" s="169"/>
      <c r="BK314" s="169"/>
      <c r="BL314" s="169"/>
      <c r="BM314" s="169"/>
      <c r="BN314" s="169"/>
      <c r="BO314" s="169"/>
      <c r="BP314" s="169"/>
      <c r="BQ314" s="169"/>
      <c r="BR314" s="169"/>
      <c r="BS314" s="169"/>
      <c r="BT314" s="169"/>
      <c r="BU314" s="169"/>
      <c r="BV314" s="169"/>
      <c r="BW314" s="169"/>
      <c r="BX314" s="169"/>
      <c r="BY314" s="169"/>
      <c r="BZ314" s="169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</row>
    <row r="315" spans="12:91" ht="11.25" customHeight="1">
      <c r="L315" s="150"/>
      <c r="M315" s="505" t="str">
        <f>M313 &amp; ".2"</f>
        <v>25.2</v>
      </c>
      <c r="N315" s="486" t="s">
        <v>1186</v>
      </c>
      <c r="O315" s="443" t="s">
        <v>195</v>
      </c>
      <c r="AB315" s="251"/>
      <c r="AC315" s="251"/>
      <c r="AD315" s="251"/>
      <c r="AE315" s="247">
        <f t="shared" si="4"/>
        <v>0</v>
      </c>
      <c r="AF315" s="245"/>
      <c r="AG315" s="245"/>
      <c r="AH315" s="169"/>
      <c r="AI315" s="169"/>
      <c r="AJ315" s="169"/>
      <c r="AK315" s="169"/>
      <c r="AL315" s="169"/>
      <c r="AM315" s="169"/>
      <c r="AN315" s="169"/>
      <c r="AO315" s="169"/>
      <c r="AP315" s="169"/>
      <c r="AQ315" s="169"/>
      <c r="AR315" s="169"/>
      <c r="AS315" s="169"/>
      <c r="AT315" s="169"/>
      <c r="AU315" s="169"/>
      <c r="AV315" s="169"/>
      <c r="AW315" s="169"/>
      <c r="AX315" s="169"/>
      <c r="AY315" s="169"/>
      <c r="AZ315" s="169"/>
      <c r="BA315" s="169"/>
      <c r="BB315" s="169"/>
      <c r="BC315" s="169"/>
      <c r="BD315" s="169"/>
      <c r="BE315" s="169"/>
      <c r="BF315" s="169"/>
      <c r="BG315" s="169"/>
      <c r="BH315" s="169"/>
      <c r="BI315" s="169"/>
      <c r="BJ315" s="169"/>
      <c r="BK315" s="169"/>
      <c r="BL315" s="169"/>
      <c r="BM315" s="169"/>
      <c r="BN315" s="169"/>
      <c r="BO315" s="169"/>
      <c r="BP315" s="169"/>
      <c r="BQ315" s="169"/>
      <c r="BR315" s="169"/>
      <c r="BS315" s="169"/>
      <c r="BT315" s="169"/>
      <c r="BU315" s="169"/>
      <c r="BV315" s="169"/>
      <c r="BW315" s="169"/>
      <c r="BX315" s="169"/>
      <c r="BY315" s="169"/>
      <c r="BZ315" s="169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</row>
    <row r="316" spans="12:91" ht="11.25" customHeight="1">
      <c r="L316" s="150"/>
      <c r="M316" s="505" t="str">
        <f>M313 &amp; ".3"</f>
        <v>25.3</v>
      </c>
      <c r="N316" s="486" t="s">
        <v>1187</v>
      </c>
      <c r="O316" s="443" t="s">
        <v>195</v>
      </c>
      <c r="AB316" s="251"/>
      <c r="AC316" s="251"/>
      <c r="AD316" s="251"/>
      <c r="AE316" s="247">
        <f t="shared" si="4"/>
        <v>0</v>
      </c>
      <c r="AF316" s="245"/>
      <c r="AG316" s="245"/>
      <c r="AH316" s="169"/>
      <c r="AI316" s="169"/>
      <c r="AJ316" s="169"/>
      <c r="AK316" s="169"/>
      <c r="AL316" s="169"/>
      <c r="AM316" s="169"/>
      <c r="AN316" s="169"/>
      <c r="AO316" s="169"/>
      <c r="AP316" s="169"/>
      <c r="AQ316" s="169"/>
      <c r="AR316" s="169"/>
      <c r="AS316" s="169"/>
      <c r="AT316" s="169"/>
      <c r="AU316" s="169"/>
      <c r="AV316" s="169"/>
      <c r="AW316" s="169"/>
      <c r="AX316" s="169"/>
      <c r="AY316" s="169"/>
      <c r="AZ316" s="169"/>
      <c r="BA316" s="169"/>
      <c r="BB316" s="169"/>
      <c r="BC316" s="169"/>
      <c r="BD316" s="169"/>
      <c r="BE316" s="169"/>
      <c r="BF316" s="169"/>
      <c r="BG316" s="169"/>
      <c r="BH316" s="169"/>
      <c r="BI316" s="169"/>
      <c r="BJ316" s="169"/>
      <c r="BK316" s="169"/>
      <c r="BL316" s="169"/>
      <c r="BM316" s="169"/>
      <c r="BN316" s="169"/>
      <c r="BO316" s="169"/>
      <c r="BP316" s="169"/>
      <c r="BQ316" s="169"/>
      <c r="BR316" s="169"/>
      <c r="BS316" s="169"/>
      <c r="BT316" s="169"/>
      <c r="BU316" s="169"/>
      <c r="BV316" s="169"/>
      <c r="BW316" s="169"/>
      <c r="BX316" s="169"/>
      <c r="BY316" s="169"/>
      <c r="BZ316" s="169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</row>
    <row r="317" spans="12:91" ht="11.25" customHeight="1">
      <c r="L317" s="150"/>
      <c r="M317" s="505" t="str">
        <f>M313 &amp; ".4"</f>
        <v>25.4</v>
      </c>
      <c r="N317" s="485" t="s">
        <v>1188</v>
      </c>
      <c r="O317" s="443" t="s">
        <v>195</v>
      </c>
      <c r="AB317" s="251"/>
      <c r="AC317" s="251"/>
      <c r="AD317" s="251"/>
      <c r="AE317" s="247">
        <f t="shared" si="4"/>
        <v>0</v>
      </c>
      <c r="AF317" s="247">
        <f>SUM(AF318:AF322)</f>
        <v>0</v>
      </c>
      <c r="AG317" s="247">
        <f>SUM(AG318:AG322)</f>
        <v>0</v>
      </c>
      <c r="AH317" s="169"/>
      <c r="AI317" s="169"/>
      <c r="AJ317" s="169"/>
      <c r="AK317" s="169"/>
      <c r="AL317" s="169"/>
      <c r="AM317" s="169"/>
      <c r="AN317" s="169"/>
      <c r="AO317" s="169"/>
      <c r="AP317" s="169"/>
      <c r="AQ317" s="169"/>
      <c r="AR317" s="169"/>
      <c r="AS317" s="169"/>
      <c r="AT317" s="169"/>
      <c r="AU317" s="169"/>
      <c r="AV317" s="169"/>
      <c r="AW317" s="169"/>
      <c r="AX317" s="169"/>
      <c r="AY317" s="169"/>
      <c r="AZ317" s="169"/>
      <c r="BA317" s="169"/>
      <c r="BB317" s="169"/>
      <c r="BC317" s="169"/>
      <c r="BD317" s="169"/>
      <c r="BE317" s="169"/>
      <c r="BF317" s="169"/>
      <c r="BG317" s="169"/>
      <c r="BH317" s="169"/>
      <c r="BI317" s="169"/>
      <c r="BJ317" s="169"/>
      <c r="BK317" s="169"/>
      <c r="BL317" s="169"/>
      <c r="BM317" s="169"/>
      <c r="BN317" s="169"/>
      <c r="BO317" s="169"/>
      <c r="BP317" s="169"/>
      <c r="BQ317" s="169"/>
      <c r="BR317" s="169"/>
      <c r="BS317" s="169"/>
      <c r="BT317" s="169"/>
      <c r="BU317" s="169"/>
      <c r="BV317" s="169"/>
      <c r="BW317" s="169"/>
      <c r="BX317" s="169"/>
      <c r="BY317" s="169"/>
      <c r="BZ317" s="169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</row>
    <row r="318" spans="12:91" ht="11.25" customHeight="1">
      <c r="L318" s="150"/>
      <c r="M318" s="505" t="str">
        <f>M317 &amp; ".1"</f>
        <v>25.4.1</v>
      </c>
      <c r="N318" s="487" t="s">
        <v>1189</v>
      </c>
      <c r="O318" s="443" t="s">
        <v>195</v>
      </c>
      <c r="AB318" s="251"/>
      <c r="AC318" s="251"/>
      <c r="AD318" s="251"/>
      <c r="AE318" s="247">
        <f t="shared" si="4"/>
        <v>0</v>
      </c>
      <c r="AF318" s="245"/>
      <c r="AG318" s="245"/>
      <c r="AH318" s="169"/>
      <c r="AI318" s="169"/>
      <c r="AJ318" s="169"/>
      <c r="AK318" s="169"/>
      <c r="AL318" s="169"/>
      <c r="AM318" s="169"/>
      <c r="AN318" s="169"/>
      <c r="AO318" s="169"/>
      <c r="AP318" s="169"/>
      <c r="AQ318" s="169"/>
      <c r="AR318" s="169"/>
      <c r="AS318" s="169"/>
      <c r="AT318" s="169"/>
      <c r="AU318" s="169"/>
      <c r="AV318" s="169"/>
      <c r="AW318" s="169"/>
      <c r="AX318" s="169"/>
      <c r="AY318" s="169"/>
      <c r="AZ318" s="169"/>
      <c r="BA318" s="169"/>
      <c r="BB318" s="169"/>
      <c r="BC318" s="169"/>
      <c r="BD318" s="169"/>
      <c r="BE318" s="169"/>
      <c r="BF318" s="169"/>
      <c r="BG318" s="169"/>
      <c r="BH318" s="169"/>
      <c r="BI318" s="169"/>
      <c r="BJ318" s="169"/>
      <c r="BK318" s="169"/>
      <c r="BL318" s="169"/>
      <c r="BM318" s="169"/>
      <c r="BN318" s="169"/>
      <c r="BO318" s="169"/>
      <c r="BP318" s="169"/>
      <c r="BQ318" s="169"/>
      <c r="BR318" s="169"/>
      <c r="BS318" s="169"/>
      <c r="BT318" s="169"/>
      <c r="BU318" s="169"/>
      <c r="BV318" s="169"/>
      <c r="BW318" s="169"/>
      <c r="BX318" s="169"/>
      <c r="BY318" s="169"/>
      <c r="BZ318" s="169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</row>
    <row r="319" spans="12:91" ht="11.25" customHeight="1">
      <c r="L319" s="150"/>
      <c r="M319" s="505" t="str">
        <f>M317 &amp; ".2"</f>
        <v>25.4.2</v>
      </c>
      <c r="N319" s="487" t="s">
        <v>1190</v>
      </c>
      <c r="O319" s="443" t="s">
        <v>195</v>
      </c>
      <c r="AB319" s="251"/>
      <c r="AC319" s="251"/>
      <c r="AD319" s="251"/>
      <c r="AE319" s="247">
        <f t="shared" si="4"/>
        <v>0</v>
      </c>
      <c r="AF319" s="245"/>
      <c r="AG319" s="245"/>
      <c r="AH319" s="169"/>
      <c r="AI319" s="169"/>
      <c r="AJ319" s="169"/>
      <c r="AK319" s="169"/>
      <c r="AL319" s="169"/>
      <c r="AM319" s="169"/>
      <c r="AN319" s="169"/>
      <c r="AO319" s="169"/>
      <c r="AP319" s="169"/>
      <c r="AQ319" s="169"/>
      <c r="AR319" s="169"/>
      <c r="AS319" s="169"/>
      <c r="AT319" s="169"/>
      <c r="AU319" s="169"/>
      <c r="AV319" s="169"/>
      <c r="AW319" s="169"/>
      <c r="AX319" s="169"/>
      <c r="AY319" s="169"/>
      <c r="AZ319" s="169"/>
      <c r="BA319" s="169"/>
      <c r="BB319" s="169"/>
      <c r="BC319" s="169"/>
      <c r="BD319" s="169"/>
      <c r="BE319" s="169"/>
      <c r="BF319" s="169"/>
      <c r="BG319" s="169"/>
      <c r="BH319" s="169"/>
      <c r="BI319" s="169"/>
      <c r="BJ319" s="169"/>
      <c r="BK319" s="169"/>
      <c r="BL319" s="169"/>
      <c r="BM319" s="169"/>
      <c r="BN319" s="169"/>
      <c r="BO319" s="169"/>
      <c r="BP319" s="169"/>
      <c r="BQ319" s="169"/>
      <c r="BR319" s="169"/>
      <c r="BS319" s="169"/>
      <c r="BT319" s="169"/>
      <c r="BU319" s="169"/>
      <c r="BV319" s="169"/>
      <c r="BW319" s="169"/>
      <c r="BX319" s="169"/>
      <c r="BY319" s="169"/>
      <c r="BZ319" s="16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</row>
    <row r="320" spans="12:91" ht="11.25" customHeight="1">
      <c r="L320" s="150"/>
      <c r="M320" s="505" t="str">
        <f>M317 &amp; ".3"</f>
        <v>25.4.3</v>
      </c>
      <c r="N320" s="487" t="s">
        <v>1191</v>
      </c>
      <c r="O320" s="443" t="s">
        <v>195</v>
      </c>
      <c r="AB320" s="251"/>
      <c r="AC320" s="251"/>
      <c r="AD320" s="251"/>
      <c r="AE320" s="247">
        <f t="shared" si="4"/>
        <v>0</v>
      </c>
      <c r="AF320" s="245"/>
      <c r="AG320" s="245"/>
      <c r="AH320" s="169"/>
      <c r="AI320" s="169"/>
      <c r="AJ320" s="169"/>
      <c r="AK320" s="169"/>
      <c r="AL320" s="169"/>
      <c r="AM320" s="169"/>
      <c r="AN320" s="169"/>
      <c r="AO320" s="169"/>
      <c r="AP320" s="169"/>
      <c r="AQ320" s="169"/>
      <c r="AR320" s="169"/>
      <c r="AS320" s="169"/>
      <c r="AT320" s="169"/>
      <c r="AU320" s="169"/>
      <c r="AV320" s="169"/>
      <c r="AW320" s="169"/>
      <c r="AX320" s="169"/>
      <c r="AY320" s="169"/>
      <c r="AZ320" s="169"/>
      <c r="BA320" s="169"/>
      <c r="BB320" s="169"/>
      <c r="BC320" s="169"/>
      <c r="BD320" s="169"/>
      <c r="BE320" s="169"/>
      <c r="BF320" s="169"/>
      <c r="BG320" s="169"/>
      <c r="BH320" s="169"/>
      <c r="BI320" s="169"/>
      <c r="BJ320" s="169"/>
      <c r="BK320" s="169"/>
      <c r="BL320" s="169"/>
      <c r="BM320" s="169"/>
      <c r="BN320" s="169"/>
      <c r="BO320" s="169"/>
      <c r="BP320" s="169"/>
      <c r="BQ320" s="169"/>
      <c r="BR320" s="169"/>
      <c r="BS320" s="169"/>
      <c r="BT320" s="169"/>
      <c r="BU320" s="169"/>
      <c r="BV320" s="169"/>
      <c r="BW320" s="169"/>
      <c r="BX320" s="169"/>
      <c r="BY320" s="169"/>
      <c r="BZ320" s="169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</row>
    <row r="321" spans="12:91" ht="11.25" customHeight="1">
      <c r="L321" s="150"/>
      <c r="M321" s="505" t="str">
        <f>M317 &amp; ".4"</f>
        <v>25.4.4</v>
      </c>
      <c r="N321" s="487" t="s">
        <v>597</v>
      </c>
      <c r="O321" s="443" t="s">
        <v>195</v>
      </c>
      <c r="AB321" s="251"/>
      <c r="AC321" s="251"/>
      <c r="AD321" s="251"/>
      <c r="AE321" s="247">
        <f t="shared" si="4"/>
        <v>0</v>
      </c>
      <c r="AF321" s="245"/>
      <c r="AG321" s="245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</row>
    <row r="322" spans="12:91" ht="11.25" customHeight="1">
      <c r="L322" s="150"/>
      <c r="M322" s="505" t="str">
        <f>M317 &amp; ".5"</f>
        <v>25.4.5</v>
      </c>
      <c r="N322" s="487" t="s">
        <v>1192</v>
      </c>
      <c r="O322" s="443" t="s">
        <v>195</v>
      </c>
      <c r="AB322" s="251"/>
      <c r="AC322" s="251"/>
      <c r="AD322" s="251"/>
      <c r="AE322" s="247">
        <f t="shared" si="4"/>
        <v>0</v>
      </c>
      <c r="AF322" s="245"/>
      <c r="AG322" s="245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</row>
    <row r="323" spans="12:91" ht="11.25" customHeight="1">
      <c r="L323" s="150"/>
      <c r="M323" s="490" t="s">
        <v>1028</v>
      </c>
      <c r="N323" s="494" t="s">
        <v>1193</v>
      </c>
      <c r="O323" s="443" t="s">
        <v>195</v>
      </c>
      <c r="AB323" s="251"/>
      <c r="AC323" s="251"/>
      <c r="AD323" s="251"/>
      <c r="AE323" s="247">
        <f t="shared" si="4"/>
        <v>0</v>
      </c>
      <c r="AF323" s="245"/>
      <c r="AG323" s="245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</row>
    <row r="324" spans="12:91" ht="11.25" customHeight="1">
      <c r="L324" s="150"/>
      <c r="M324" s="490" t="s">
        <v>1029</v>
      </c>
      <c r="N324" s="494" t="s">
        <v>1194</v>
      </c>
      <c r="O324" s="443" t="s">
        <v>195</v>
      </c>
      <c r="AB324" s="251"/>
      <c r="AC324" s="251"/>
      <c r="AD324" s="251"/>
      <c r="AE324" s="247">
        <f t="shared" si="4"/>
        <v>0</v>
      </c>
      <c r="AF324" s="247">
        <f>SUM(AF325:AF326)</f>
        <v>0</v>
      </c>
      <c r="AG324" s="247">
        <f>SUM(AG325:AG326)</f>
        <v>0</v>
      </c>
      <c r="CA324"/>
      <c r="CB324"/>
      <c r="CC324"/>
      <c r="CD324"/>
      <c r="CE324"/>
      <c r="CF324"/>
      <c r="CG324"/>
      <c r="CH324"/>
      <c r="CI324"/>
      <c r="CJ324"/>
      <c r="CK324"/>
      <c r="CL324"/>
      <c r="CM324"/>
    </row>
    <row r="325" spans="12:91" ht="11.25" customHeight="1">
      <c r="L325" s="150"/>
      <c r="M325" s="505" t="str">
        <f>M324 &amp; ".1"</f>
        <v>27.1</v>
      </c>
      <c r="N325" s="488" t="s">
        <v>1195</v>
      </c>
      <c r="O325" s="443" t="s">
        <v>195</v>
      </c>
      <c r="AB325" s="251"/>
      <c r="AC325" s="251"/>
      <c r="AD325" s="251"/>
      <c r="AE325" s="247">
        <f t="shared" si="4"/>
        <v>0</v>
      </c>
      <c r="AF325" s="245"/>
      <c r="AG325" s="24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</row>
    <row r="326" spans="12:91" ht="11.25" customHeight="1">
      <c r="L326" s="150"/>
      <c r="M326" s="505" t="str">
        <f>M324 &amp; ".2"</f>
        <v>27.2</v>
      </c>
      <c r="N326" s="488" t="s">
        <v>1196</v>
      </c>
      <c r="O326" s="443" t="s">
        <v>195</v>
      </c>
      <c r="AB326" s="251"/>
      <c r="AC326" s="251"/>
      <c r="AD326" s="251"/>
      <c r="AE326" s="247">
        <f t="shared" si="4"/>
        <v>0</v>
      </c>
      <c r="AF326" s="245"/>
      <c r="AG326" s="245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</row>
    <row r="327" spans="12:91" ht="11.25" customHeight="1">
      <c r="L327" s="150"/>
      <c r="M327" s="490" t="s">
        <v>1135</v>
      </c>
      <c r="N327" s="494" t="s">
        <v>1197</v>
      </c>
      <c r="O327" s="443" t="s">
        <v>195</v>
      </c>
      <c r="AB327" s="251"/>
      <c r="AC327" s="251"/>
      <c r="AD327" s="251"/>
      <c r="AE327" s="247">
        <f t="shared" si="4"/>
        <v>0</v>
      </c>
      <c r="AF327" s="245"/>
      <c r="AG327" s="245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</row>
    <row r="328" spans="12:91" ht="11.25" customHeight="1">
      <c r="L328" s="150"/>
      <c r="M328" s="490" t="s">
        <v>1136</v>
      </c>
      <c r="N328" s="494" t="s">
        <v>1134</v>
      </c>
      <c r="O328" s="443" t="s">
        <v>195</v>
      </c>
      <c r="AB328" s="251"/>
      <c r="AC328" s="251"/>
      <c r="AD328" s="251"/>
      <c r="AE328" s="247">
        <f t="shared" si="4"/>
        <v>0</v>
      </c>
      <c r="AF328" s="245"/>
      <c r="AG328" s="245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</row>
    <row r="329" spans="12:91" ht="11.25" customHeight="1">
      <c r="L329" s="150"/>
      <c r="M329" s="490" t="s">
        <v>628</v>
      </c>
      <c r="N329" s="494" t="s">
        <v>1015</v>
      </c>
      <c r="O329" s="443" t="s">
        <v>195</v>
      </c>
      <c r="AB329" s="251"/>
      <c r="AC329" s="251"/>
      <c r="AD329" s="251"/>
      <c r="AE329" s="247">
        <f t="shared" si="4"/>
        <v>0</v>
      </c>
      <c r="AF329" s="245"/>
      <c r="AG329" s="245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</row>
    <row r="330" spans="12:91" ht="11.25" customHeight="1" thickBot="1">
      <c r="L330" s="150"/>
      <c r="M330" s="506"/>
      <c r="N330" s="507"/>
      <c r="O330" s="444"/>
      <c r="AB330" s="251"/>
      <c r="AC330" s="251"/>
      <c r="AD330" s="251"/>
      <c r="AE330" s="270"/>
      <c r="AF330" s="270"/>
      <c r="AG330" s="27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</row>
    <row r="331" spans="12:91" ht="11.25" customHeight="1" thickTop="1" thickBot="1">
      <c r="L331" s="150"/>
      <c r="M331" s="570" t="s">
        <v>2124</v>
      </c>
      <c r="N331" s="494" t="s">
        <v>545</v>
      </c>
      <c r="O331" s="163" t="s">
        <v>195</v>
      </c>
      <c r="AB331" s="251"/>
      <c r="AC331" s="251"/>
      <c r="AD331" s="251"/>
      <c r="AE331" s="521">
        <f>AF331+AG331</f>
        <v>0</v>
      </c>
      <c r="AF331" s="521">
        <f>SUM(AF36,AF90,AF216,AF248,AF256,AF259,AF262,AF263,AF265,AF273,AF274,AF279,AF297,AF298,AF299,AF300,AF301,AF304,AF305,AF308,AF309,AF313,AF323,AF324,AF327,AF328,AF329)</f>
        <v>0</v>
      </c>
      <c r="AG331" s="521">
        <f>SUM(AG36,AG90,AG216,AG248,AG256,AG259,AG262,AG263,AG265,AG273,AG274,AG279,AG297,AG298,AG299,AG300,AG301,AG304,AG305,AG308,AG309,AG313,AG323,AG324,AG327,AG328,AG329)</f>
        <v>0</v>
      </c>
      <c r="CA331"/>
      <c r="CB331"/>
      <c r="CC331"/>
      <c r="CD331"/>
      <c r="CE331"/>
      <c r="CF331"/>
      <c r="CG331"/>
      <c r="CH331"/>
      <c r="CI331"/>
      <c r="CJ331"/>
      <c r="CK331"/>
      <c r="CL331"/>
      <c r="CM331"/>
    </row>
    <row r="332" spans="12:91" ht="11.25" customHeight="1" thickTop="1" thickBot="1">
      <c r="L332" s="150"/>
      <c r="M332" s="508"/>
      <c r="N332" s="472"/>
      <c r="O332" s="166"/>
      <c r="AB332" s="251"/>
      <c r="AC332" s="251"/>
      <c r="AD332" s="251"/>
      <c r="AE332" s="243"/>
      <c r="AF332" s="243"/>
      <c r="AG332" s="243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</row>
    <row r="333" spans="12:91" ht="11.25" customHeight="1" thickTop="1" thickBot="1">
      <c r="L333" s="150"/>
      <c r="M333" s="570" t="s">
        <v>2123</v>
      </c>
      <c r="N333" s="494" t="s">
        <v>2122</v>
      </c>
      <c r="O333" s="163" t="s">
        <v>195</v>
      </c>
      <c r="AB333" s="251"/>
      <c r="AC333" s="251"/>
      <c r="AD333" s="251"/>
      <c r="AE333" s="521">
        <f>AF333+AG333</f>
        <v>0</v>
      </c>
      <c r="AF333" s="521">
        <f>AF331*AF$372</f>
        <v>0</v>
      </c>
      <c r="AG333" s="521">
        <f>AG331*AG$372</f>
        <v>0</v>
      </c>
      <c r="CA333"/>
      <c r="CB333"/>
      <c r="CC333"/>
      <c r="CD333"/>
      <c r="CE333"/>
      <c r="CF333"/>
      <c r="CG333"/>
      <c r="CH333"/>
      <c r="CI333"/>
      <c r="CJ333"/>
      <c r="CK333"/>
      <c r="CL333"/>
      <c r="CM333"/>
    </row>
    <row r="334" spans="12:91" ht="11.25" customHeight="1" thickTop="1">
      <c r="L334" s="150"/>
      <c r="M334" s="508"/>
      <c r="N334" s="472"/>
      <c r="O334" s="166"/>
      <c r="AB334" s="251"/>
      <c r="AC334" s="251"/>
      <c r="AD334" s="251"/>
      <c r="AE334" s="243"/>
      <c r="AF334" s="243"/>
      <c r="AG334" s="243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</row>
    <row r="335" spans="12:91" ht="11.25" customHeight="1">
      <c r="L335" s="150"/>
      <c r="M335" s="513" t="s">
        <v>2119</v>
      </c>
      <c r="N335" s="513" t="s">
        <v>2131</v>
      </c>
      <c r="O335" s="443" t="s">
        <v>195</v>
      </c>
      <c r="AB335" s="251"/>
      <c r="AC335" s="251"/>
      <c r="AD335" s="251"/>
      <c r="AE335" s="247">
        <f>AF335+AG335</f>
        <v>0</v>
      </c>
      <c r="AF335" s="245"/>
      <c r="AG335" s="24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</row>
    <row r="336" spans="12:91" ht="11.25" customHeight="1">
      <c r="L336" s="150"/>
      <c r="M336" s="514" t="s">
        <v>641</v>
      </c>
      <c r="N336" s="515" t="s">
        <v>598</v>
      </c>
      <c r="O336" s="443" t="s">
        <v>195</v>
      </c>
      <c r="AB336" s="251"/>
      <c r="AC336" s="251"/>
      <c r="AD336" s="251"/>
      <c r="AE336" s="247">
        <f>AF336+AG336</f>
        <v>0</v>
      </c>
      <c r="AF336" s="247">
        <f>SUM(AF338:AF341)</f>
        <v>0</v>
      </c>
      <c r="AG336" s="247">
        <f>SUM(AG338:AG341)</f>
        <v>0</v>
      </c>
      <c r="CA336"/>
      <c r="CB336"/>
      <c r="CC336"/>
      <c r="CD336"/>
      <c r="CE336"/>
      <c r="CF336"/>
      <c r="CG336"/>
      <c r="CH336"/>
      <c r="CI336"/>
      <c r="CJ336"/>
      <c r="CK336"/>
      <c r="CL336"/>
      <c r="CM336"/>
    </row>
    <row r="337" spans="12:91" ht="11.25" customHeight="1">
      <c r="L337" s="150"/>
      <c r="M337" s="508"/>
      <c r="N337" s="472"/>
      <c r="O337" s="166"/>
      <c r="AB337" s="251"/>
      <c r="AC337" s="251"/>
      <c r="AD337" s="251"/>
      <c r="AE337" s="241"/>
      <c r="AF337" s="241"/>
      <c r="AG337" s="241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</row>
    <row r="338" spans="12:91" ht="11.25" customHeight="1">
      <c r="L338" s="150"/>
      <c r="M338" s="558" t="s">
        <v>2127</v>
      </c>
      <c r="N338" s="467" t="s">
        <v>547</v>
      </c>
      <c r="O338" s="445" t="s">
        <v>195</v>
      </c>
      <c r="AB338" s="251"/>
      <c r="AC338" s="251"/>
      <c r="AD338" s="251"/>
      <c r="AE338" s="247">
        <f>AF338+AG338</f>
        <v>0</v>
      </c>
      <c r="AF338" s="245"/>
      <c r="AG338" s="245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</row>
    <row r="339" spans="12:91" ht="11.25" customHeight="1">
      <c r="L339" s="150"/>
      <c r="M339" s="558" t="s">
        <v>2128</v>
      </c>
      <c r="N339" s="467" t="s">
        <v>548</v>
      </c>
      <c r="O339" s="445" t="s">
        <v>195</v>
      </c>
      <c r="AB339" s="251"/>
      <c r="AC339" s="251"/>
      <c r="AD339" s="251"/>
      <c r="AE339" s="247">
        <f>AF339+AG339</f>
        <v>0</v>
      </c>
      <c r="AF339" s="245"/>
      <c r="AG339" s="245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</row>
    <row r="340" spans="12:91" ht="11.25" customHeight="1">
      <c r="L340" s="150"/>
      <c r="M340" s="558" t="s">
        <v>2129</v>
      </c>
      <c r="N340" s="467" t="s">
        <v>549</v>
      </c>
      <c r="O340" s="445" t="s">
        <v>195</v>
      </c>
      <c r="AB340" s="251"/>
      <c r="AC340" s="251"/>
      <c r="AD340" s="251"/>
      <c r="AE340" s="247">
        <f>AF340+AG340</f>
        <v>0</v>
      </c>
      <c r="AF340" s="245"/>
      <c r="AG340" s="245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</row>
    <row r="341" spans="12:91" ht="11.25" customHeight="1">
      <c r="L341" s="150"/>
      <c r="M341" s="558" t="s">
        <v>2130</v>
      </c>
      <c r="N341" s="467" t="s">
        <v>550</v>
      </c>
      <c r="O341" s="445" t="s">
        <v>195</v>
      </c>
      <c r="AB341" s="251"/>
      <c r="AC341" s="251"/>
      <c r="AD341" s="251"/>
      <c r="AE341" s="247">
        <f>AF341+AG341</f>
        <v>0</v>
      </c>
      <c r="AF341" s="245"/>
      <c r="AG341" s="245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</row>
    <row r="342" spans="12:91" ht="11.25" customHeight="1">
      <c r="L342" s="150"/>
      <c r="M342" s="511"/>
      <c r="N342" s="512"/>
      <c r="O342" s="446"/>
      <c r="AB342" s="251"/>
      <c r="AC342" s="251"/>
      <c r="AD342" s="251"/>
      <c r="AE342" s="241"/>
      <c r="AF342" s="241"/>
      <c r="AG342" s="241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</row>
    <row r="343" spans="12:91" ht="11.25" customHeight="1">
      <c r="L343" s="150"/>
      <c r="M343" s="511"/>
      <c r="N343" s="512"/>
      <c r="O343" s="446"/>
      <c r="AB343" s="251"/>
      <c r="AC343" s="251"/>
      <c r="AD343" s="251"/>
      <c r="AE343" s="241"/>
      <c r="AF343" s="241"/>
      <c r="AG343" s="241"/>
      <c r="AH343" s="169"/>
      <c r="AI343" s="169"/>
      <c r="AJ343" s="169"/>
      <c r="AK343" s="169"/>
      <c r="AL343" s="169"/>
      <c r="AM343" s="169"/>
      <c r="AN343" s="169"/>
      <c r="AO343" s="169"/>
      <c r="AP343" s="169"/>
      <c r="AQ343" s="169"/>
      <c r="AR343" s="169"/>
      <c r="AS343" s="169"/>
      <c r="AT343" s="169"/>
      <c r="AU343" s="169"/>
      <c r="AV343" s="169"/>
      <c r="AW343" s="169"/>
      <c r="AX343" s="169"/>
      <c r="AY343" s="169"/>
      <c r="AZ343" s="169"/>
      <c r="BA343" s="169"/>
      <c r="BB343" s="169"/>
      <c r="BC343" s="169"/>
      <c r="BD343" s="169"/>
      <c r="BE343" s="169"/>
      <c r="BF343" s="169"/>
      <c r="BG343" s="169"/>
      <c r="BH343" s="169"/>
      <c r="BI343" s="169"/>
      <c r="BJ343" s="169"/>
      <c r="BK343" s="169"/>
      <c r="BL343" s="169"/>
      <c r="BM343" s="169"/>
      <c r="BN343" s="169"/>
      <c r="BO343" s="169"/>
      <c r="BP343" s="169"/>
      <c r="BQ343" s="169"/>
      <c r="BR343" s="169"/>
      <c r="BS343" s="169"/>
      <c r="BT343" s="169"/>
      <c r="BU343" s="169"/>
      <c r="BV343" s="169"/>
      <c r="BW343" s="169"/>
      <c r="BX343" s="169"/>
      <c r="BY343" s="169"/>
      <c r="BZ343" s="169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</row>
    <row r="344" spans="12:91" ht="11.25" customHeight="1">
      <c r="L344" s="150"/>
      <c r="M344" s="511"/>
      <c r="N344" s="512"/>
      <c r="O344" s="446"/>
      <c r="AB344" s="251"/>
      <c r="AC344" s="251"/>
      <c r="AD344" s="251"/>
      <c r="AE344" s="241"/>
      <c r="AF344" s="241"/>
      <c r="AG344" s="241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</row>
    <row r="345" spans="12:91" ht="11.25" customHeight="1">
      <c r="L345" s="150"/>
      <c r="M345" s="511"/>
      <c r="N345" s="512"/>
      <c r="O345" s="446"/>
      <c r="AB345" s="251"/>
      <c r="AC345" s="251"/>
      <c r="AD345" s="251"/>
      <c r="AE345" s="241"/>
      <c r="AF345" s="241"/>
      <c r="AG345" s="241"/>
      <c r="AH345" s="114"/>
      <c r="AI345" s="114"/>
      <c r="AJ345" s="114"/>
      <c r="AK345" s="114"/>
      <c r="AL345" s="114"/>
      <c r="AM345" s="114"/>
      <c r="AN345" s="114"/>
      <c r="AO345" s="114"/>
      <c r="AP345" s="114"/>
      <c r="AQ345" s="114"/>
      <c r="AR345" s="114"/>
      <c r="AS345" s="114"/>
      <c r="AT345" s="114"/>
      <c r="AU345" s="114"/>
      <c r="AV345" s="114"/>
      <c r="AW345" s="114"/>
      <c r="AX345" s="114"/>
      <c r="AY345" s="114"/>
      <c r="AZ345" s="114"/>
      <c r="BA345" s="114"/>
      <c r="BB345" s="114"/>
      <c r="BC345" s="114"/>
      <c r="BD345" s="114"/>
      <c r="BE345" s="114"/>
      <c r="BF345" s="114"/>
      <c r="BG345" s="114"/>
      <c r="BH345" s="114"/>
      <c r="BI345" s="114"/>
      <c r="BJ345" s="114"/>
      <c r="BK345" s="114"/>
      <c r="BL345" s="114"/>
      <c r="BM345" s="114"/>
      <c r="BN345" s="114"/>
      <c r="BO345" s="114"/>
      <c r="BP345" s="114"/>
      <c r="BQ345" s="114"/>
      <c r="BR345" s="114"/>
      <c r="BS345" s="114"/>
      <c r="BT345" s="114"/>
      <c r="BU345" s="114"/>
      <c r="BV345" s="114"/>
      <c r="BW345" s="114"/>
      <c r="BX345" s="114"/>
      <c r="BY345" s="114"/>
      <c r="BZ345" s="114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</row>
    <row r="346" spans="12:91" ht="11.25" customHeight="1">
      <c r="L346" s="150"/>
      <c r="M346" s="511"/>
      <c r="N346" s="512"/>
      <c r="O346" s="446"/>
      <c r="AB346" s="251"/>
      <c r="AC346" s="251"/>
      <c r="AD346" s="251"/>
      <c r="AE346" s="241"/>
      <c r="AF346" s="241"/>
      <c r="AG346" s="241"/>
      <c r="AH346" s="169"/>
      <c r="AI346" s="169"/>
      <c r="AJ346" s="169"/>
      <c r="AK346" s="169"/>
      <c r="AL346" s="169"/>
      <c r="AM346" s="169"/>
      <c r="AN346" s="169"/>
      <c r="AO346" s="169"/>
      <c r="AP346" s="169"/>
      <c r="AQ346" s="169"/>
      <c r="AR346" s="169"/>
      <c r="AS346" s="169"/>
      <c r="AT346" s="169"/>
      <c r="AU346" s="169"/>
      <c r="AV346" s="169"/>
      <c r="AW346" s="169"/>
      <c r="AX346" s="169"/>
      <c r="AY346" s="169"/>
      <c r="AZ346" s="169"/>
      <c r="BA346" s="169"/>
      <c r="BB346" s="169"/>
      <c r="BC346" s="169"/>
      <c r="BD346" s="169"/>
      <c r="BE346" s="169"/>
      <c r="BF346" s="169"/>
      <c r="BG346" s="169"/>
      <c r="BH346" s="169"/>
      <c r="BI346" s="169"/>
      <c r="BJ346" s="169"/>
      <c r="BK346" s="169"/>
      <c r="BL346" s="169"/>
      <c r="BM346" s="169"/>
      <c r="BN346" s="169"/>
      <c r="BO346" s="169"/>
      <c r="BP346" s="169"/>
      <c r="BQ346" s="169"/>
      <c r="BR346" s="169"/>
      <c r="BS346" s="169"/>
      <c r="BT346" s="169"/>
      <c r="BU346" s="169"/>
      <c r="BV346" s="169"/>
      <c r="BW346" s="169"/>
      <c r="BX346" s="169"/>
      <c r="BY346" s="169"/>
      <c r="BZ346" s="169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</row>
    <row r="347" spans="12:91" ht="11.25" customHeight="1">
      <c r="L347" s="150"/>
      <c r="M347" s="511"/>
      <c r="N347" s="512"/>
      <c r="O347" s="446"/>
      <c r="AB347" s="251"/>
      <c r="AC347" s="251"/>
      <c r="AD347" s="251"/>
      <c r="AE347" s="241"/>
      <c r="AF347" s="241"/>
      <c r="AG347" s="241"/>
      <c r="AH347" s="169"/>
      <c r="AI347" s="169"/>
      <c r="AJ347" s="169"/>
      <c r="AK347" s="169"/>
      <c r="AL347" s="169"/>
      <c r="AM347" s="169"/>
      <c r="AN347" s="169"/>
      <c r="AO347" s="169"/>
      <c r="AP347" s="169"/>
      <c r="AQ347" s="169"/>
      <c r="AR347" s="169"/>
      <c r="AS347" s="169"/>
      <c r="AT347" s="169"/>
      <c r="AU347" s="169"/>
      <c r="AV347" s="169"/>
      <c r="AW347" s="169"/>
      <c r="AX347" s="169"/>
      <c r="AY347" s="169"/>
      <c r="AZ347" s="169"/>
      <c r="BA347" s="169"/>
      <c r="BB347" s="169"/>
      <c r="BC347" s="169"/>
      <c r="BD347" s="169"/>
      <c r="BE347" s="169"/>
      <c r="BF347" s="169"/>
      <c r="BG347" s="169"/>
      <c r="BH347" s="169"/>
      <c r="BI347" s="169"/>
      <c r="BJ347" s="169"/>
      <c r="BK347" s="169"/>
      <c r="BL347" s="169"/>
      <c r="BM347" s="169"/>
      <c r="BN347" s="169"/>
      <c r="BO347" s="169"/>
      <c r="BP347" s="169"/>
      <c r="BQ347" s="169"/>
      <c r="BR347" s="169"/>
      <c r="BS347" s="169"/>
      <c r="BT347" s="169"/>
      <c r="BU347" s="169"/>
      <c r="BV347" s="169"/>
      <c r="BW347" s="169"/>
      <c r="BX347" s="169"/>
      <c r="BY347" s="169"/>
      <c r="BZ347" s="169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</row>
    <row r="348" spans="12:91" ht="11.25" customHeight="1">
      <c r="L348" s="150"/>
      <c r="M348" s="511"/>
      <c r="N348" s="512"/>
      <c r="O348" s="446"/>
      <c r="AB348" s="251"/>
      <c r="AC348" s="251"/>
      <c r="AD348" s="251"/>
      <c r="AE348" s="241"/>
      <c r="AF348" s="241"/>
      <c r="AG348" s="241"/>
      <c r="AH348" s="169"/>
      <c r="AI348" s="169"/>
      <c r="AJ348" s="169"/>
      <c r="AK348" s="169"/>
      <c r="AL348" s="169"/>
      <c r="AM348" s="169"/>
      <c r="AN348" s="169"/>
      <c r="AO348" s="169"/>
      <c r="AP348" s="169"/>
      <c r="AQ348" s="169"/>
      <c r="AR348" s="169"/>
      <c r="AS348" s="169"/>
      <c r="AT348" s="169"/>
      <c r="AU348" s="169"/>
      <c r="AV348" s="169"/>
      <c r="AW348" s="169"/>
      <c r="AX348" s="169"/>
      <c r="AY348" s="169"/>
      <c r="AZ348" s="169"/>
      <c r="BA348" s="169"/>
      <c r="BB348" s="169"/>
      <c r="BC348" s="169"/>
      <c r="BD348" s="169"/>
      <c r="BE348" s="169"/>
      <c r="BF348" s="169"/>
      <c r="BG348" s="169"/>
      <c r="BH348" s="169"/>
      <c r="BI348" s="169"/>
      <c r="BJ348" s="169"/>
      <c r="BK348" s="169"/>
      <c r="BL348" s="169"/>
      <c r="BM348" s="169"/>
      <c r="BN348" s="169"/>
      <c r="BO348" s="169"/>
      <c r="BP348" s="169"/>
      <c r="BQ348" s="169"/>
      <c r="BR348" s="169"/>
      <c r="BS348" s="169"/>
      <c r="BT348" s="169"/>
      <c r="BU348" s="169"/>
      <c r="BV348" s="169"/>
      <c r="BW348" s="169"/>
      <c r="BX348" s="169"/>
      <c r="BY348" s="169"/>
      <c r="BZ348" s="169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</row>
    <row r="349" spans="12:91" ht="11.25" customHeight="1" thickBot="1">
      <c r="L349" s="150"/>
      <c r="M349" s="511"/>
      <c r="N349" s="512"/>
      <c r="O349" s="446"/>
      <c r="AB349" s="251"/>
      <c r="AC349" s="251"/>
      <c r="AD349" s="251"/>
      <c r="AE349" s="241"/>
      <c r="AF349" s="241"/>
      <c r="AG349" s="241"/>
      <c r="AH349" s="169"/>
      <c r="AI349" s="169"/>
      <c r="AJ349" s="169"/>
      <c r="AK349" s="169"/>
      <c r="AL349" s="169"/>
      <c r="AM349" s="169"/>
      <c r="AN349" s="169"/>
      <c r="AO349" s="169"/>
      <c r="AP349" s="169"/>
      <c r="AQ349" s="169"/>
      <c r="AR349" s="169"/>
      <c r="AS349" s="169"/>
      <c r="AT349" s="169"/>
      <c r="AU349" s="169"/>
      <c r="AV349" s="169"/>
      <c r="AW349" s="169"/>
      <c r="AX349" s="169"/>
      <c r="AY349" s="169"/>
      <c r="AZ349" s="169"/>
      <c r="BA349" s="169"/>
      <c r="BB349" s="169"/>
      <c r="BC349" s="169"/>
      <c r="BD349" s="169"/>
      <c r="BE349" s="169"/>
      <c r="BF349" s="169"/>
      <c r="BG349" s="169"/>
      <c r="BH349" s="169"/>
      <c r="BI349" s="169"/>
      <c r="BJ349" s="169"/>
      <c r="BK349" s="169"/>
      <c r="BL349" s="169"/>
      <c r="BM349" s="169"/>
      <c r="BN349" s="169"/>
      <c r="BO349" s="169"/>
      <c r="BP349" s="169"/>
      <c r="BQ349" s="169"/>
      <c r="BR349" s="169"/>
      <c r="BS349" s="169"/>
      <c r="BT349" s="169"/>
      <c r="BU349" s="169"/>
      <c r="BV349" s="169"/>
      <c r="BW349" s="169"/>
      <c r="BX349" s="169"/>
      <c r="BY349" s="169"/>
      <c r="BZ349" s="16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</row>
    <row r="350" spans="12:91" ht="11.25" customHeight="1" thickTop="1" thickBot="1">
      <c r="L350" s="150"/>
      <c r="M350" s="570" t="s">
        <v>2132</v>
      </c>
      <c r="N350" s="494" t="s">
        <v>2133</v>
      </c>
      <c r="O350" s="163" t="s">
        <v>195</v>
      </c>
      <c r="AB350" s="251"/>
      <c r="AC350" s="251"/>
      <c r="AD350" s="251"/>
      <c r="AE350" s="521">
        <f>AF350+AG350</f>
        <v>0</v>
      </c>
      <c r="AF350" s="521">
        <f>AF331+AF336</f>
        <v>0</v>
      </c>
      <c r="AG350" s="521">
        <f>AG331+AG336</f>
        <v>0</v>
      </c>
      <c r="AH350" s="169"/>
      <c r="AI350" s="169"/>
      <c r="AJ350" s="169"/>
      <c r="AK350" s="169"/>
      <c r="AL350" s="169"/>
      <c r="AM350" s="169"/>
      <c r="AN350" s="169"/>
      <c r="AO350" s="169"/>
      <c r="AP350" s="169"/>
      <c r="AQ350" s="169"/>
      <c r="AR350" s="169"/>
      <c r="AS350" s="169"/>
      <c r="AT350" s="169"/>
      <c r="AU350" s="169"/>
      <c r="AV350" s="169"/>
      <c r="AW350" s="169"/>
      <c r="AX350" s="169"/>
      <c r="AY350" s="169"/>
      <c r="AZ350" s="169"/>
      <c r="BA350" s="169"/>
      <c r="BB350" s="169"/>
      <c r="BC350" s="169"/>
      <c r="BD350" s="169"/>
      <c r="BE350" s="169"/>
      <c r="BF350" s="169"/>
      <c r="BG350" s="169"/>
      <c r="BH350" s="169"/>
      <c r="BI350" s="169"/>
      <c r="BJ350" s="169"/>
      <c r="BK350" s="169"/>
      <c r="BL350" s="169"/>
      <c r="BM350" s="169"/>
      <c r="BN350" s="169"/>
      <c r="BO350" s="169"/>
      <c r="BP350" s="169"/>
      <c r="BQ350" s="169"/>
      <c r="BR350" s="169"/>
      <c r="BS350" s="169"/>
      <c r="BT350" s="169"/>
      <c r="BU350" s="169"/>
      <c r="BV350" s="169"/>
      <c r="BW350" s="169"/>
      <c r="BX350" s="169"/>
      <c r="BY350" s="169"/>
      <c r="BZ350" s="169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</row>
    <row r="351" spans="12:91" ht="11.25" customHeight="1" thickTop="1">
      <c r="L351" s="150"/>
      <c r="M351" s="511"/>
      <c r="N351" s="512"/>
      <c r="O351" s="446"/>
      <c r="AB351" s="251"/>
      <c r="AC351" s="251"/>
      <c r="AD351" s="251"/>
      <c r="AE351" s="241"/>
      <c r="AF351" s="241"/>
      <c r="AG351" s="241"/>
      <c r="AH351" s="169"/>
      <c r="AI351" s="169"/>
      <c r="AJ351" s="169"/>
      <c r="AK351" s="169"/>
      <c r="AL351" s="169"/>
      <c r="AM351" s="169"/>
      <c r="AN351" s="169"/>
      <c r="AO351" s="169"/>
      <c r="AP351" s="169"/>
      <c r="AQ351" s="169"/>
      <c r="AR351" s="169"/>
      <c r="AS351" s="169"/>
      <c r="AT351" s="169"/>
      <c r="AU351" s="169"/>
      <c r="AV351" s="169"/>
      <c r="AW351" s="169"/>
      <c r="AX351" s="169"/>
      <c r="AY351" s="169"/>
      <c r="AZ351" s="169"/>
      <c r="BA351" s="169"/>
      <c r="BB351" s="169"/>
      <c r="BC351" s="169"/>
      <c r="BD351" s="169"/>
      <c r="BE351" s="169"/>
      <c r="BF351" s="169"/>
      <c r="BG351" s="169"/>
      <c r="BH351" s="169"/>
      <c r="BI351" s="169"/>
      <c r="BJ351" s="169"/>
      <c r="BK351" s="169"/>
      <c r="BL351" s="169"/>
      <c r="BM351" s="169"/>
      <c r="BN351" s="169"/>
      <c r="BO351" s="169"/>
      <c r="BP351" s="169"/>
      <c r="BQ351" s="169"/>
      <c r="BR351" s="169"/>
      <c r="BS351" s="169"/>
      <c r="BT351" s="169"/>
      <c r="BU351" s="169"/>
      <c r="BV351" s="169"/>
      <c r="BW351" s="169"/>
      <c r="BX351" s="169"/>
      <c r="BY351" s="169"/>
      <c r="BZ351" s="169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</row>
    <row r="352" spans="12:91" ht="11.25" customHeight="1">
      <c r="L352" s="150"/>
      <c r="M352" s="511"/>
      <c r="N352" s="512"/>
      <c r="O352" s="446"/>
      <c r="AB352" s="251"/>
      <c r="AC352" s="251"/>
      <c r="AD352" s="251"/>
      <c r="AE352" s="241"/>
      <c r="AF352" s="241"/>
      <c r="AG352" s="241"/>
      <c r="AH352" s="169"/>
      <c r="AI352" s="169"/>
      <c r="AJ352" s="169"/>
      <c r="AK352" s="169"/>
      <c r="AL352" s="169"/>
      <c r="AM352" s="169"/>
      <c r="AN352" s="169"/>
      <c r="AO352" s="169"/>
      <c r="AP352" s="169"/>
      <c r="AQ352" s="169"/>
      <c r="AR352" s="169"/>
      <c r="AS352" s="169"/>
      <c r="AT352" s="169"/>
      <c r="AU352" s="169"/>
      <c r="AV352" s="169"/>
      <c r="AW352" s="169"/>
      <c r="AX352" s="169"/>
      <c r="AY352" s="169"/>
      <c r="AZ352" s="169"/>
      <c r="BA352" s="169"/>
      <c r="BB352" s="169"/>
      <c r="BC352" s="169"/>
      <c r="BD352" s="169"/>
      <c r="BE352" s="169"/>
      <c r="BF352" s="169"/>
      <c r="BG352" s="169"/>
      <c r="BH352" s="169"/>
      <c r="BI352" s="169"/>
      <c r="BJ352" s="169"/>
      <c r="BK352" s="169"/>
      <c r="BL352" s="169"/>
      <c r="BM352" s="169"/>
      <c r="BN352" s="169"/>
      <c r="BO352" s="169"/>
      <c r="BP352" s="169"/>
      <c r="BQ352" s="169"/>
      <c r="BR352" s="169"/>
      <c r="BS352" s="169"/>
      <c r="BT352" s="169"/>
      <c r="BU352" s="169"/>
      <c r="BV352" s="169"/>
      <c r="BW352" s="169"/>
      <c r="BX352" s="169"/>
      <c r="BY352" s="169"/>
      <c r="BZ352" s="169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</row>
    <row r="353" spans="12:91" ht="11.4">
      <c r="L353" s="150"/>
      <c r="M353" s="511"/>
      <c r="N353" s="512"/>
      <c r="O353" s="446"/>
      <c r="AB353" s="251"/>
      <c r="AC353" s="251"/>
      <c r="AD353" s="251"/>
      <c r="AE353" s="241"/>
      <c r="AF353" s="241"/>
      <c r="AG353" s="241"/>
      <c r="AH353" s="169"/>
      <c r="AI353" s="169"/>
      <c r="AJ353" s="169"/>
      <c r="AK353" s="169"/>
      <c r="AL353" s="169"/>
      <c r="AM353" s="169"/>
      <c r="AN353" s="169"/>
      <c r="AO353" s="169"/>
      <c r="AP353" s="169"/>
      <c r="AQ353" s="169"/>
      <c r="AR353" s="169"/>
      <c r="AS353" s="169"/>
      <c r="AT353" s="169"/>
      <c r="AU353" s="169"/>
      <c r="AV353" s="169"/>
      <c r="AW353" s="169"/>
      <c r="AX353" s="169"/>
      <c r="AY353" s="169"/>
      <c r="AZ353" s="169"/>
      <c r="BA353" s="169"/>
      <c r="BB353" s="169"/>
      <c r="BC353" s="169"/>
      <c r="BD353" s="169"/>
      <c r="BE353" s="169"/>
      <c r="BF353" s="169"/>
      <c r="BG353" s="169"/>
      <c r="BH353" s="169"/>
      <c r="BI353" s="169"/>
      <c r="BJ353" s="169"/>
      <c r="BK353" s="169"/>
      <c r="BL353" s="169"/>
      <c r="BM353" s="169"/>
      <c r="BN353" s="169"/>
      <c r="BO353" s="169"/>
      <c r="BP353" s="169"/>
      <c r="BQ353" s="169"/>
      <c r="BR353" s="169"/>
      <c r="BS353" s="169"/>
      <c r="BT353" s="169"/>
      <c r="BU353" s="169"/>
      <c r="BV353" s="169"/>
      <c r="BW353" s="169"/>
      <c r="BX353" s="169"/>
      <c r="BY353" s="169"/>
      <c r="BZ353" s="169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</row>
    <row r="354" spans="12:91" ht="11.4">
      <c r="L354" s="150"/>
      <c r="M354" s="511"/>
      <c r="N354" s="512"/>
      <c r="O354" s="446"/>
      <c r="AB354" s="251"/>
      <c r="AC354" s="251"/>
      <c r="AD354" s="251"/>
      <c r="AE354" s="241"/>
      <c r="AF354" s="241"/>
      <c r="AG354" s="241"/>
      <c r="AH354" s="169"/>
      <c r="AI354" s="169"/>
      <c r="AJ354" s="169"/>
      <c r="AK354" s="169"/>
      <c r="AL354" s="169"/>
      <c r="AM354" s="169"/>
      <c r="AN354" s="169"/>
      <c r="AO354" s="169"/>
      <c r="AP354" s="169"/>
      <c r="AQ354" s="169"/>
      <c r="AR354" s="169"/>
      <c r="AS354" s="169"/>
      <c r="AT354" s="169"/>
      <c r="AU354" s="169"/>
      <c r="AV354" s="169"/>
      <c r="AW354" s="169"/>
      <c r="AX354" s="169"/>
      <c r="AY354" s="169"/>
      <c r="AZ354" s="169"/>
      <c r="BA354" s="169"/>
      <c r="BB354" s="169"/>
      <c r="BC354" s="169"/>
      <c r="BD354" s="169"/>
      <c r="BE354" s="169"/>
      <c r="BF354" s="169"/>
      <c r="BG354" s="169"/>
      <c r="BH354" s="169"/>
      <c r="BI354" s="169"/>
      <c r="BJ354" s="169"/>
      <c r="BK354" s="169"/>
      <c r="BL354" s="169"/>
      <c r="BM354" s="169"/>
      <c r="BN354" s="169"/>
      <c r="BO354" s="169"/>
      <c r="BP354" s="169"/>
      <c r="BQ354" s="169"/>
      <c r="BR354" s="169"/>
      <c r="BS354" s="169"/>
      <c r="BT354" s="169"/>
      <c r="BU354" s="169"/>
      <c r="BV354" s="169"/>
      <c r="BW354" s="169"/>
      <c r="BX354" s="169"/>
      <c r="BY354" s="169"/>
      <c r="BZ354" s="169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</row>
    <row r="355" spans="12:91" ht="11.4">
      <c r="L355" s="150"/>
      <c r="M355" s="511"/>
      <c r="N355" s="512"/>
      <c r="O355" s="446"/>
      <c r="AB355" s="251"/>
      <c r="AC355" s="251"/>
      <c r="AD355" s="251"/>
      <c r="AE355" s="241"/>
      <c r="AF355" s="241"/>
      <c r="AG355" s="241"/>
      <c r="AH355" s="169"/>
      <c r="AI355" s="169"/>
      <c r="AJ355" s="169"/>
      <c r="AK355" s="169"/>
      <c r="AL355" s="169"/>
      <c r="AM355" s="169"/>
      <c r="AN355" s="169"/>
      <c r="AO355" s="169"/>
      <c r="AP355" s="169"/>
      <c r="AQ355" s="169"/>
      <c r="AR355" s="169"/>
      <c r="AS355" s="169"/>
      <c r="AT355" s="169"/>
      <c r="AU355" s="169"/>
      <c r="AV355" s="169"/>
      <c r="AW355" s="169"/>
      <c r="AX355" s="169"/>
      <c r="AY355" s="169"/>
      <c r="AZ355" s="169"/>
      <c r="BA355" s="169"/>
      <c r="BB355" s="169"/>
      <c r="BC355" s="169"/>
      <c r="BD355" s="169"/>
      <c r="BE355" s="169"/>
      <c r="BF355" s="169"/>
      <c r="BG355" s="169"/>
      <c r="BH355" s="169"/>
      <c r="BI355" s="169"/>
      <c r="BJ355" s="169"/>
      <c r="BK355" s="169"/>
      <c r="BL355" s="169"/>
      <c r="BM355" s="169"/>
      <c r="BN355" s="169"/>
      <c r="BO355" s="169"/>
      <c r="BP355" s="169"/>
      <c r="BQ355" s="169"/>
      <c r="BR355" s="169"/>
      <c r="BS355" s="169"/>
      <c r="BT355" s="169"/>
      <c r="BU355" s="169"/>
      <c r="BV355" s="169"/>
      <c r="BW355" s="169"/>
      <c r="BX355" s="169"/>
      <c r="BY355" s="169"/>
      <c r="BZ355" s="169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</row>
    <row r="356" spans="12:91" ht="11.4">
      <c r="L356" s="150"/>
      <c r="M356" s="511"/>
      <c r="N356" s="512"/>
      <c r="O356" s="446"/>
      <c r="AB356" s="251"/>
      <c r="AC356" s="251"/>
      <c r="AD356" s="251"/>
      <c r="AE356" s="241"/>
      <c r="AF356" s="241"/>
      <c r="AG356" s="241"/>
      <c r="AH356" s="169"/>
      <c r="AI356" s="169"/>
      <c r="AJ356" s="169"/>
      <c r="AK356" s="169"/>
      <c r="AL356" s="169"/>
      <c r="AM356" s="169"/>
      <c r="AN356" s="169"/>
      <c r="AO356" s="169"/>
      <c r="AP356" s="169"/>
      <c r="AQ356" s="169"/>
      <c r="AR356" s="169"/>
      <c r="AS356" s="169"/>
      <c r="AT356" s="169"/>
      <c r="AU356" s="169"/>
      <c r="AV356" s="169"/>
      <c r="AW356" s="169"/>
      <c r="AX356" s="169"/>
      <c r="AY356" s="169"/>
      <c r="AZ356" s="169"/>
      <c r="BA356" s="169"/>
      <c r="BB356" s="169"/>
      <c r="BC356" s="169"/>
      <c r="BD356" s="169"/>
      <c r="BE356" s="169"/>
      <c r="BF356" s="169"/>
      <c r="BG356" s="169"/>
      <c r="BH356" s="169"/>
      <c r="BI356" s="169"/>
      <c r="BJ356" s="169"/>
      <c r="BK356" s="169"/>
      <c r="BL356" s="169"/>
      <c r="BM356" s="169"/>
      <c r="BN356" s="169"/>
      <c r="BO356" s="169"/>
      <c r="BP356" s="169"/>
      <c r="BQ356" s="169"/>
      <c r="BR356" s="169"/>
      <c r="BS356" s="169"/>
      <c r="BT356" s="169"/>
      <c r="BU356" s="169"/>
      <c r="BV356" s="169"/>
      <c r="BW356" s="169"/>
      <c r="BX356" s="169"/>
      <c r="BY356" s="169"/>
      <c r="BZ356" s="169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</row>
    <row r="357" spans="12:91" ht="11.4">
      <c r="L357" s="150"/>
      <c r="M357" s="511"/>
      <c r="N357" s="512"/>
      <c r="O357" s="446"/>
      <c r="AB357" s="251"/>
      <c r="AC357" s="251"/>
      <c r="AD357" s="251"/>
      <c r="AE357" s="241"/>
      <c r="AF357" s="241"/>
      <c r="AG357" s="241"/>
      <c r="AH357" s="169"/>
      <c r="AI357" s="169"/>
      <c r="AJ357" s="169"/>
      <c r="AK357" s="169"/>
      <c r="AL357" s="169"/>
      <c r="AM357" s="169"/>
      <c r="AN357" s="169"/>
      <c r="AO357" s="169"/>
      <c r="AP357" s="169"/>
      <c r="AQ357" s="169"/>
      <c r="AR357" s="169"/>
      <c r="AS357" s="169"/>
      <c r="AT357" s="169"/>
      <c r="AU357" s="169"/>
      <c r="AV357" s="169"/>
      <c r="AW357" s="169"/>
      <c r="AX357" s="169"/>
      <c r="AY357" s="169"/>
      <c r="AZ357" s="169"/>
      <c r="BA357" s="169"/>
      <c r="BB357" s="169"/>
      <c r="BC357" s="169"/>
      <c r="BD357" s="169"/>
      <c r="BE357" s="169"/>
      <c r="BF357" s="169"/>
      <c r="BG357" s="169"/>
      <c r="BH357" s="169"/>
      <c r="BI357" s="169"/>
      <c r="BJ357" s="169"/>
      <c r="BK357" s="169"/>
      <c r="BL357" s="169"/>
      <c r="BM357" s="169"/>
      <c r="BN357" s="169"/>
      <c r="BO357" s="169"/>
      <c r="BP357" s="169"/>
      <c r="BQ357" s="169"/>
      <c r="BR357" s="169"/>
      <c r="BS357" s="169"/>
      <c r="BT357" s="169"/>
      <c r="BU357" s="169"/>
      <c r="BV357" s="169"/>
      <c r="BW357" s="169"/>
      <c r="BX357" s="169"/>
      <c r="BY357" s="169"/>
      <c r="BZ357" s="169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</row>
    <row r="358" spans="12:91" ht="11.4">
      <c r="L358" s="150"/>
      <c r="M358" s="511"/>
      <c r="N358" s="512"/>
      <c r="O358" s="446"/>
      <c r="AB358" s="251"/>
      <c r="AC358" s="251"/>
      <c r="AD358" s="251"/>
      <c r="AE358" s="241"/>
      <c r="AF358" s="241"/>
      <c r="AG358" s="241"/>
      <c r="AH358" s="169"/>
      <c r="AI358" s="169"/>
      <c r="AJ358" s="169"/>
      <c r="AK358" s="169"/>
      <c r="AL358" s="169"/>
      <c r="AM358" s="169"/>
      <c r="AN358" s="169"/>
      <c r="AO358" s="169"/>
      <c r="AP358" s="169"/>
      <c r="AQ358" s="169"/>
      <c r="AR358" s="169"/>
      <c r="AS358" s="169"/>
      <c r="AT358" s="169"/>
      <c r="AU358" s="169"/>
      <c r="AV358" s="169"/>
      <c r="AW358" s="169"/>
      <c r="AX358" s="169"/>
      <c r="AY358" s="169"/>
      <c r="AZ358" s="169"/>
      <c r="BA358" s="169"/>
      <c r="BB358" s="169"/>
      <c r="BC358" s="169"/>
      <c r="BD358" s="169"/>
      <c r="BE358" s="169"/>
      <c r="BF358" s="169"/>
      <c r="BG358" s="169"/>
      <c r="BH358" s="169"/>
      <c r="BI358" s="169"/>
      <c r="BJ358" s="169"/>
      <c r="BK358" s="169"/>
      <c r="BL358" s="169"/>
      <c r="BM358" s="169"/>
      <c r="BN358" s="169"/>
      <c r="BO358" s="169"/>
      <c r="BP358" s="169"/>
      <c r="BQ358" s="169"/>
      <c r="BR358" s="169"/>
      <c r="BS358" s="169"/>
      <c r="BT358" s="169"/>
      <c r="BU358" s="169"/>
      <c r="BV358" s="169"/>
      <c r="BW358" s="169"/>
      <c r="BX358" s="169"/>
      <c r="BY358" s="169"/>
      <c r="BZ358" s="169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</row>
    <row r="359" spans="12:91" ht="11.4">
      <c r="L359" s="150"/>
      <c r="M359" s="511"/>
      <c r="N359" s="512"/>
      <c r="O359" s="446"/>
      <c r="AB359" s="251"/>
      <c r="AC359" s="251"/>
      <c r="AD359" s="251"/>
      <c r="AE359" s="241"/>
      <c r="AF359" s="241"/>
      <c r="AG359" s="241"/>
      <c r="AH359" s="169"/>
      <c r="AI359" s="169"/>
      <c r="AJ359" s="169"/>
      <c r="AK359" s="169"/>
      <c r="AL359" s="169"/>
      <c r="AM359" s="169"/>
      <c r="AN359" s="169"/>
      <c r="AO359" s="169"/>
      <c r="AP359" s="169"/>
      <c r="AQ359" s="169"/>
      <c r="AR359" s="169"/>
      <c r="AS359" s="169"/>
      <c r="AT359" s="169"/>
      <c r="AU359" s="169"/>
      <c r="AV359" s="169"/>
      <c r="AW359" s="169"/>
      <c r="AX359" s="169"/>
      <c r="AY359" s="169"/>
      <c r="AZ359" s="169"/>
      <c r="BA359" s="169"/>
      <c r="BB359" s="169"/>
      <c r="BC359" s="169"/>
      <c r="BD359" s="169"/>
      <c r="BE359" s="169"/>
      <c r="BF359" s="169"/>
      <c r="BG359" s="169"/>
      <c r="BH359" s="169"/>
      <c r="BI359" s="169"/>
      <c r="BJ359" s="169"/>
      <c r="BK359" s="169"/>
      <c r="BL359" s="169"/>
      <c r="BM359" s="169"/>
      <c r="BN359" s="169"/>
      <c r="BO359" s="169"/>
      <c r="BP359" s="169"/>
      <c r="BQ359" s="169"/>
      <c r="BR359" s="169"/>
      <c r="BS359" s="169"/>
      <c r="BT359" s="169"/>
      <c r="BU359" s="169"/>
      <c r="BV359" s="169"/>
      <c r="BW359" s="169"/>
      <c r="BX359" s="169"/>
      <c r="BY359" s="169"/>
      <c r="BZ359" s="16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</row>
    <row r="360" spans="12:91" ht="11.4">
      <c r="L360" s="150"/>
      <c r="M360" s="511"/>
      <c r="N360" s="512"/>
      <c r="O360" s="446"/>
      <c r="AB360" s="251"/>
      <c r="AC360" s="251"/>
      <c r="AD360" s="251"/>
      <c r="AE360" s="241"/>
      <c r="AF360" s="241"/>
      <c r="AG360" s="241"/>
      <c r="AH360" s="169"/>
      <c r="AI360" s="169"/>
      <c r="AJ360" s="169"/>
      <c r="AK360" s="169"/>
      <c r="AL360" s="169"/>
      <c r="AM360" s="169"/>
      <c r="AN360" s="169"/>
      <c r="AO360" s="169"/>
      <c r="AP360" s="169"/>
      <c r="AQ360" s="169"/>
      <c r="AR360" s="169"/>
      <c r="AS360" s="169"/>
      <c r="AT360" s="169"/>
      <c r="AU360" s="169"/>
      <c r="AV360" s="169"/>
      <c r="AW360" s="169"/>
      <c r="AX360" s="169"/>
      <c r="AY360" s="169"/>
      <c r="AZ360" s="169"/>
      <c r="BA360" s="169"/>
      <c r="BB360" s="169"/>
      <c r="BC360" s="169"/>
      <c r="BD360" s="169"/>
      <c r="BE360" s="169"/>
      <c r="BF360" s="169"/>
      <c r="BG360" s="169"/>
      <c r="BH360" s="169"/>
      <c r="BI360" s="169"/>
      <c r="BJ360" s="169"/>
      <c r="BK360" s="169"/>
      <c r="BL360" s="169"/>
      <c r="BM360" s="169"/>
      <c r="BN360" s="169"/>
      <c r="BO360" s="169"/>
      <c r="BP360" s="169"/>
      <c r="BQ360" s="169"/>
      <c r="BR360" s="169"/>
      <c r="BS360" s="169"/>
      <c r="BT360" s="169"/>
      <c r="BU360" s="169"/>
      <c r="BV360" s="169"/>
      <c r="BW360" s="169"/>
      <c r="BX360" s="169"/>
      <c r="BY360" s="169"/>
      <c r="BZ360" s="169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</row>
    <row r="361" spans="12:91" ht="11.4">
      <c r="L361" s="150"/>
      <c r="M361" s="511"/>
      <c r="N361" s="512"/>
      <c r="O361" s="446"/>
      <c r="AB361" s="251"/>
      <c r="AC361" s="251"/>
      <c r="AD361" s="251"/>
      <c r="AE361" s="241"/>
      <c r="AF361" s="241"/>
      <c r="AG361" s="241"/>
      <c r="AH361" s="169"/>
      <c r="AI361" s="169"/>
      <c r="AJ361" s="169"/>
      <c r="AK361" s="169"/>
      <c r="AL361" s="169"/>
      <c r="AM361" s="169"/>
      <c r="AN361" s="169"/>
      <c r="AO361" s="169"/>
      <c r="AP361" s="169"/>
      <c r="AQ361" s="169"/>
      <c r="AR361" s="169"/>
      <c r="AS361" s="169"/>
      <c r="AT361" s="169"/>
      <c r="AU361" s="169"/>
      <c r="AV361" s="169"/>
      <c r="AW361" s="169"/>
      <c r="AX361" s="169"/>
      <c r="AY361" s="169"/>
      <c r="AZ361" s="169"/>
      <c r="BA361" s="169"/>
      <c r="BB361" s="169"/>
      <c r="BC361" s="169"/>
      <c r="BD361" s="169"/>
      <c r="BE361" s="169"/>
      <c r="BF361" s="169"/>
      <c r="BG361" s="169"/>
      <c r="BH361" s="169"/>
      <c r="BI361" s="169"/>
      <c r="BJ361" s="169"/>
      <c r="BK361" s="169"/>
      <c r="BL361" s="169"/>
      <c r="BM361" s="169"/>
      <c r="BN361" s="169"/>
      <c r="BO361" s="169"/>
      <c r="BP361" s="169"/>
      <c r="BQ361" s="169"/>
      <c r="BR361" s="169"/>
      <c r="BS361" s="169"/>
      <c r="BT361" s="169"/>
      <c r="BU361" s="169"/>
      <c r="BV361" s="169"/>
      <c r="BW361" s="169"/>
      <c r="BX361" s="169"/>
      <c r="BY361" s="169"/>
      <c r="BZ361" s="169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</row>
    <row r="362" spans="12:91" ht="11.4">
      <c r="L362" s="150"/>
      <c r="M362" s="511"/>
      <c r="N362" s="512"/>
      <c r="O362" s="446"/>
      <c r="AB362" s="251"/>
      <c r="AC362" s="251"/>
      <c r="AD362" s="251"/>
      <c r="AE362" s="241"/>
      <c r="AF362" s="241"/>
      <c r="AG362" s="241"/>
      <c r="AH362" s="169"/>
      <c r="AI362" s="169"/>
      <c r="AJ362" s="169"/>
      <c r="AK362" s="169"/>
      <c r="AL362" s="169"/>
      <c r="AM362" s="169"/>
      <c r="AN362" s="169"/>
      <c r="AO362" s="169"/>
      <c r="AP362" s="169"/>
      <c r="AQ362" s="169"/>
      <c r="AR362" s="169"/>
      <c r="AS362" s="169"/>
      <c r="AT362" s="169"/>
      <c r="AU362" s="169"/>
      <c r="AV362" s="169"/>
      <c r="AW362" s="169"/>
      <c r="AX362" s="169"/>
      <c r="AY362" s="169"/>
      <c r="AZ362" s="169"/>
      <c r="BA362" s="169"/>
      <c r="BB362" s="169"/>
      <c r="BC362" s="169"/>
      <c r="BD362" s="169"/>
      <c r="BE362" s="169"/>
      <c r="BF362" s="169"/>
      <c r="BG362" s="169"/>
      <c r="BH362" s="169"/>
      <c r="BI362" s="169"/>
      <c r="BJ362" s="169"/>
      <c r="BK362" s="169"/>
      <c r="BL362" s="169"/>
      <c r="BM362" s="169"/>
      <c r="BN362" s="169"/>
      <c r="BO362" s="169"/>
      <c r="BP362" s="169"/>
      <c r="BQ362" s="169"/>
      <c r="BR362" s="169"/>
      <c r="BS362" s="169"/>
      <c r="BT362" s="169"/>
      <c r="BU362" s="169"/>
      <c r="BV362" s="169"/>
      <c r="BW362" s="169"/>
      <c r="BX362" s="169"/>
      <c r="BY362" s="169"/>
      <c r="BZ362" s="169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</row>
    <row r="363" spans="12:91" ht="11.4">
      <c r="L363" s="150"/>
      <c r="M363" s="511"/>
      <c r="N363" s="512"/>
      <c r="O363" s="446"/>
      <c r="AB363" s="251"/>
      <c r="AC363" s="251"/>
      <c r="AD363" s="251"/>
      <c r="AE363" s="241"/>
      <c r="AF363" s="241"/>
      <c r="AG363" s="241"/>
      <c r="AH363" s="169"/>
      <c r="AI363" s="169"/>
      <c r="AJ363" s="169"/>
      <c r="AK363" s="169"/>
      <c r="AL363" s="169"/>
      <c r="AM363" s="169"/>
      <c r="AN363" s="169"/>
      <c r="AO363" s="169"/>
      <c r="AP363" s="169"/>
      <c r="AQ363" s="169"/>
      <c r="AR363" s="169"/>
      <c r="AS363" s="169"/>
      <c r="AT363" s="169"/>
      <c r="AU363" s="169"/>
      <c r="AV363" s="169"/>
      <c r="AW363" s="169"/>
      <c r="AX363" s="169"/>
      <c r="AY363" s="169"/>
      <c r="AZ363" s="169"/>
      <c r="BA363" s="169"/>
      <c r="BB363" s="169"/>
      <c r="BC363" s="169"/>
      <c r="BD363" s="169"/>
      <c r="BE363" s="169"/>
      <c r="BF363" s="169"/>
      <c r="BG363" s="169"/>
      <c r="BH363" s="169"/>
      <c r="BI363" s="169"/>
      <c r="BJ363" s="169"/>
      <c r="BK363" s="169"/>
      <c r="BL363" s="169"/>
      <c r="BM363" s="169"/>
      <c r="BN363" s="169"/>
      <c r="BO363" s="169"/>
      <c r="BP363" s="169"/>
      <c r="BQ363" s="169"/>
      <c r="BR363" s="169"/>
      <c r="BS363" s="169"/>
      <c r="BT363" s="169"/>
      <c r="BU363" s="169"/>
      <c r="BV363" s="169"/>
      <c r="BW363" s="169"/>
      <c r="BX363" s="169"/>
      <c r="BY363" s="169"/>
      <c r="BZ363" s="169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</row>
    <row r="364" spans="12:91" ht="11.4">
      <c r="L364" s="150"/>
      <c r="M364" s="511"/>
      <c r="N364" s="512"/>
      <c r="O364" s="446"/>
      <c r="AB364" s="251"/>
      <c r="AC364" s="251"/>
      <c r="AD364" s="251"/>
      <c r="AE364" s="241"/>
      <c r="AF364" s="241"/>
      <c r="AG364" s="241"/>
      <c r="AH364" s="169"/>
      <c r="AI364" s="169"/>
      <c r="AJ364" s="169"/>
      <c r="AK364" s="169"/>
      <c r="AL364" s="169"/>
      <c r="AM364" s="169"/>
      <c r="AN364" s="169"/>
      <c r="AO364" s="169"/>
      <c r="AP364" s="169"/>
      <c r="AQ364" s="169"/>
      <c r="AR364" s="169"/>
      <c r="AS364" s="169"/>
      <c r="AT364" s="169"/>
      <c r="AU364" s="169"/>
      <c r="AV364" s="169"/>
      <c r="AW364" s="169"/>
      <c r="AX364" s="169"/>
      <c r="AY364" s="169"/>
      <c r="AZ364" s="169"/>
      <c r="BA364" s="169"/>
      <c r="BB364" s="169"/>
      <c r="BC364" s="169"/>
      <c r="BD364" s="169"/>
      <c r="BE364" s="169"/>
      <c r="BF364" s="169"/>
      <c r="BG364" s="169"/>
      <c r="BH364" s="169"/>
      <c r="BI364" s="169"/>
      <c r="BJ364" s="169"/>
      <c r="BK364" s="169"/>
      <c r="BL364" s="169"/>
      <c r="BM364" s="169"/>
      <c r="BN364" s="169"/>
      <c r="BO364" s="169"/>
      <c r="BP364" s="169"/>
      <c r="BQ364" s="169"/>
      <c r="BR364" s="169"/>
      <c r="BS364" s="169"/>
      <c r="BT364" s="169"/>
      <c r="BU364" s="169"/>
      <c r="BV364" s="169"/>
      <c r="BW364" s="169"/>
      <c r="BX364" s="169"/>
      <c r="BY364" s="169"/>
      <c r="BZ364" s="169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</row>
    <row r="365" spans="12:91" ht="11.4">
      <c r="L365" s="150"/>
      <c r="M365" s="511"/>
      <c r="N365" s="512"/>
      <c r="O365" s="446"/>
      <c r="AB365" s="251"/>
      <c r="AC365" s="251"/>
      <c r="AD365" s="251"/>
      <c r="AE365" s="241"/>
      <c r="AF365" s="241"/>
      <c r="AG365" s="241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</row>
    <row r="366" spans="12:91" ht="11.25" customHeight="1">
      <c r="L366" s="150"/>
      <c r="M366" s="511"/>
      <c r="N366" s="512"/>
      <c r="O366" s="446"/>
      <c r="AB366" s="251"/>
      <c r="AC366" s="251"/>
      <c r="AD366" s="251"/>
      <c r="AE366" s="241"/>
      <c r="AF366" s="241"/>
      <c r="AG366" s="241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</row>
    <row r="367" spans="12:91" ht="11.25" customHeight="1">
      <c r="L367" s="150"/>
      <c r="M367" s="511"/>
      <c r="N367" s="512"/>
      <c r="O367" s="446"/>
      <c r="AB367" s="251"/>
      <c r="AC367" s="251"/>
      <c r="AD367" s="251"/>
      <c r="AE367" s="241"/>
      <c r="AF367" s="241"/>
      <c r="AG367" s="241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</row>
    <row r="368" spans="12:91" ht="11.25" customHeight="1">
      <c r="L368" s="150"/>
      <c r="M368" s="511"/>
      <c r="N368" s="512"/>
      <c r="O368" s="446"/>
      <c r="AB368" s="251"/>
      <c r="AC368" s="251"/>
      <c r="AD368" s="251"/>
      <c r="AE368" s="241"/>
      <c r="AF368" s="241"/>
      <c r="AG368" s="241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</row>
    <row r="369" spans="12:91" ht="11.25" customHeight="1">
      <c r="L369" s="150"/>
      <c r="M369" s="511"/>
      <c r="N369" s="512"/>
      <c r="O369" s="446"/>
      <c r="AB369" s="251"/>
      <c r="AC369" s="251"/>
      <c r="AD369" s="251"/>
      <c r="AE369" s="241"/>
      <c r="AF369" s="241"/>
      <c r="AG369" s="241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</row>
    <row r="370" spans="12:91" ht="11.25" customHeight="1">
      <c r="L370" s="150"/>
      <c r="M370" s="516" t="s">
        <v>1056</v>
      </c>
      <c r="N370" s="489" t="s">
        <v>2137</v>
      </c>
      <c r="O370" s="163" t="s">
        <v>149</v>
      </c>
      <c r="AB370" s="251"/>
      <c r="AC370" s="251"/>
      <c r="AD370" s="251"/>
      <c r="AE370" s="247">
        <f>AF370+AG370</f>
        <v>0</v>
      </c>
      <c r="AF370" s="262">
        <f>SUMIF(БПр!$BA$131:$BA$160,AF$17 &amp; ".0-" &amp; AF$9,БПр!$M$131:$M$160)-SUMIF(БПр!$BA$131:$BA$160,AF$17 &amp; ".0-" &amp; AF$9,БПр!$Q$131:$Q$160)-SUMIF(БПр!$BA$131:$BA$160,AF$17 &amp; ".0-" &amp; AF$9,БПр!$V$131:$V$160)+SUMIF(БПр!$BA$131:$BA$160,AF$17 &amp; ".0-" &amp; AF$9,БПр!$AO$131:$AO$160)+SUMIF(БТр!$BA$131:$BA$160,AF$17 &amp; ".0-" &amp; AF$9,БТр!$M$131:$M$160)</f>
        <v>0</v>
      </c>
      <c r="AG370" s="262">
        <f>SUMIF(БПр!$BA$131:$BA$160,AG$17 &amp; ".0-" &amp; AG$9,БПр!$M$131:$M$160)-SUMIF(БПр!$BA$131:$BA$160,AG$17 &amp; ".0-" &amp; AG$9,БПр!$Q$131:$Q$160)-SUMIF(БПр!$BA$131:$BA$160,AG$17 &amp; ".0-" &amp; AG$9,БПр!$V$131:$V$160)+SUMIF(БПр!$BA$131:$BA$160,AG$17 &amp; ".0-" &amp; AG$9,БПр!$AO$131:$AO$160)+SUMIF(БТр!$BA$131:$BA$160,AG$17 &amp; ".0-" &amp; AG$9,БТр!$M$131:$M$160)</f>
        <v>0</v>
      </c>
      <c r="CA370"/>
      <c r="CB370"/>
      <c r="CC370"/>
    </row>
    <row r="371" spans="12:91" ht="11.25" customHeight="1">
      <c r="L371" s="150"/>
      <c r="M371" s="516" t="s">
        <v>1057</v>
      </c>
      <c r="N371" s="519" t="s">
        <v>2139</v>
      </c>
      <c r="O371" s="163" t="s">
        <v>149</v>
      </c>
      <c r="AB371" s="251"/>
      <c r="AC371" s="251"/>
      <c r="AD371" s="251"/>
      <c r="AE371" s="247">
        <f>AF371+AG371</f>
        <v>0</v>
      </c>
      <c r="AF371" s="262">
        <f>SUMIF(БПр!$BA$131:$BA$160,AF$17 &amp; ".0-" &amp; AF$9,БПр!$R$131:$R$160)+SUMIF(БПр!$BA$131:$BA$160,AF$17 &amp; ".0-" &amp; AF$9,БПр!$S$131:$S$160)+SUMIF(БПр!$BA$131:$BA$160,AF$17 &amp; ".0-" &amp; AF$9,БПр!$T$131:$T$160)+SUMIF(БПр!$BA$131:$BA$160,AF$17 &amp; ".0-" &amp; AF$9,БПр!$U$131:$U$160)+SUMIF(БПр!$BA$131:$BA$160,AF$17 &amp; ".0-" &amp; AF$9,БПр!$AT$131:$AT$160)+SUMIF(БПр!$BA$131:$BA$160,AF$17 &amp; ".0-" &amp; AF$9,БПр!$AU$131:$AU$160)+SUMIF(БТр!$BA$131:$BA$160,AF$17 &amp; ".0-" &amp; AF$9,БТр!$Q$131:$Q$160)+SUMIF(БТр!$BA$131:$BA$160,AF$17 &amp; ".0-" &amp; AF$9,БТр!$R$131:$R$160)+SUMIF(БТр!$BA$131:$BA$160,AF$17 &amp; ".0-" &amp; AF$9,БТр!$S$131:$S$160)+SUMIF(БТр!$BA$131:$BA$160,AF$17 &amp; ".0-" &amp; AF$9,БТр!$T$131:$T$160)</f>
        <v>0</v>
      </c>
      <c r="AG371" s="262">
        <f>SUMIF(БПр!$BA$131:$BA$160,AG$17 &amp; ".0-" &amp; AG$9,БПр!$R$131:$R$160)+SUMIF(БПр!$BA$131:$BA$160,AG$17 &amp; ".0-" &amp; AG$9,БПр!$S$131:$S$160)+SUMIF(БПр!$BA$131:$BA$160,AG$17 &amp; ".0-" &amp; AG$9,БПр!$T$131:$T$160)+SUMIF(БПр!$BA$131:$BA$160,AG$17 &amp; ".0-" &amp; AG$9,БПр!$U$131:$U$160)+SUMIF(БПр!$BA$131:$BA$160,AG$17 &amp; ".0-" &amp; AG$9,БПр!$AT$131:$AT$160)+SUMIF(БПр!$BA$131:$BA$160,AG$17 &amp; ".0-" &amp; AG$9,БПр!$AU$131:$AU$160)+SUMIF(БТр!$BA$131:$BA$160,AG$17 &amp; ".0-" &amp; AG$9,БТр!$Q$131:$Q$160)+SUMIF(БТр!$BA$131:$BA$160,AG$17 &amp; ".0-" &amp; AG$9,БТр!$R$131:$R$160)+SUMIF(БТр!$BA$131:$BA$160,AG$17 &amp; ".0-" &amp; AG$9,БТр!$S$131:$S$160)+SUMIF(БТр!$BA$131:$BA$160,AG$17 &amp; ".0-" &amp; AG$9,БТр!$T$131:$T$160)</f>
        <v>0</v>
      </c>
      <c r="CA371"/>
      <c r="CB371"/>
      <c r="CC371"/>
    </row>
    <row r="372" spans="12:91" ht="11.25" customHeight="1">
      <c r="L372" s="150"/>
      <c r="M372" s="516" t="s">
        <v>1058</v>
      </c>
      <c r="N372" s="489" t="s">
        <v>312</v>
      </c>
      <c r="O372" s="163"/>
      <c r="AB372" s="251"/>
      <c r="AC372" s="251"/>
      <c r="AD372" s="251"/>
      <c r="AE372" s="247">
        <f>IF(AE370=0,0,AE371/AE370)</f>
        <v>0</v>
      </c>
      <c r="AF372" s="247">
        <f>IF(AF370=0,0,AF371/AF370)</f>
        <v>0</v>
      </c>
      <c r="AG372" s="247">
        <f>IF(AG370=0,0,AG371/AG370)</f>
        <v>0</v>
      </c>
      <c r="CA372"/>
      <c r="CB372"/>
      <c r="CC372"/>
    </row>
    <row r="373" spans="12:91" ht="11.25" customHeight="1">
      <c r="L373" s="150"/>
      <c r="M373" s="516" t="s">
        <v>1059</v>
      </c>
      <c r="N373" s="594" t="s">
        <v>2138</v>
      </c>
      <c r="O373" s="163" t="s">
        <v>149</v>
      </c>
      <c r="AB373" s="251"/>
      <c r="AC373" s="251"/>
      <c r="AD373" s="251"/>
      <c r="AE373" s="247">
        <f>AF373+AG373</f>
        <v>0</v>
      </c>
      <c r="AF373" s="262">
        <f>SUMIF(БПр!$BA$131:$BA$160,AF$17 &amp; ".0-" &amp; AF$9,БПр!$R$131:$R$160)+SUMIF(БПр!$BA$131:$BA$160,AF$17 &amp; ".0-" &amp; AF$9,БПр!$S$131:$S$160)+SUMIF(БПр!$BA$131:$BA$160,AF$17 &amp; ".0-" &amp; AF$9,БПр!$T$131:$T$160)+SUMIF(БПр!$BA$131:$BA$160,AF$17 &amp; ".0-" &amp; AF$9,БПр!$AU$131:$AU$160)+SUMIF(БТр!$BA$131:$BA$160,AF$17 &amp; ".0-" &amp; AF$9,БТр!$R$131:$R$160)+SUMIF(БТр!$BA$131:$BA$160,AF$17 &amp; ".0-" &amp; AF$9,БТр!$S$131:$S$160)+SUMIF(БТр!$BA$131:$BA$160,AF$17 &amp; ".0-" &amp; AF$9,БТр!$T$131:$T$160)</f>
        <v>0</v>
      </c>
      <c r="AG373" s="262">
        <f>SUMIF(БПр!$BA$131:$BA$160,AG$17 &amp; ".0-" &amp; AG$9,БПр!$R$131:$R$160)+SUMIF(БПр!$BA$131:$BA$160,AG$17 &amp; ".0-" &amp; AG$9,БПр!$S$131:$S$160)+SUMIF(БПр!$BA$131:$BA$160,AG$17 &amp; ".0-" &amp; AG$9,БПр!$T$131:$T$160)+SUMIF(БПр!$BA$131:$BA$160,AG$17 &amp; ".0-" &amp; AG$9,БПр!$AU$131:$AU$160)+SUMIF(БТр!$BA$131:$BA$160,AG$17 &amp; ".0-" &amp; AG$9,БТр!$R$131:$R$160)+SUMIF(БТр!$BA$131:$BA$160,AG$17 &amp; ".0-" &amp; AG$9,БТр!$S$131:$S$160)+SUMIF(БТр!$BA$131:$BA$160,AG$17 &amp; ".0-" &amp; AG$9,БТр!$T$131:$T$160)</f>
        <v>0</v>
      </c>
      <c r="CA373"/>
      <c r="CB373"/>
      <c r="CC373"/>
    </row>
    <row r="374" spans="12:91" ht="11.25" customHeight="1">
      <c r="L374" s="150"/>
      <c r="M374" s="511"/>
      <c r="N374" s="595"/>
      <c r="O374" s="446"/>
      <c r="AB374" s="251"/>
      <c r="AC374" s="251"/>
      <c r="AD374" s="251"/>
      <c r="AE374" s="241"/>
      <c r="AF374" s="241"/>
      <c r="AG374" s="241"/>
      <c r="CA374"/>
      <c r="CB374"/>
      <c r="CC374"/>
    </row>
    <row r="375" spans="12:91" ht="11.25" customHeight="1">
      <c r="L375" s="150"/>
      <c r="M375" s="516" t="s">
        <v>1143</v>
      </c>
      <c r="N375" s="494" t="s">
        <v>629</v>
      </c>
      <c r="O375" s="163" t="s">
        <v>755</v>
      </c>
      <c r="AB375" s="251"/>
      <c r="AC375" s="251"/>
      <c r="AD375" s="251"/>
      <c r="AE375" s="414">
        <f>IF(AE331=0,0,(AE336-AE335)/AE331*100)</f>
        <v>0</v>
      </c>
      <c r="AF375" s="414">
        <f>IF(AF331=0,0,(AF336-AF335)/AF331*100)</f>
        <v>0</v>
      </c>
      <c r="AG375" s="414">
        <f>IF(AG331=0,0,(AG336-AG335)/AG331*100)</f>
        <v>0</v>
      </c>
      <c r="CA375"/>
      <c r="CB375"/>
      <c r="CC375"/>
    </row>
    <row r="376" spans="12:91" ht="11.25" customHeight="1">
      <c r="L376" s="150"/>
      <c r="M376" s="511"/>
      <c r="N376" s="595"/>
      <c r="O376" s="446"/>
      <c r="AB376" s="251"/>
      <c r="AC376" s="251"/>
      <c r="AD376" s="251"/>
      <c r="AE376" s="241"/>
      <c r="AF376" s="241"/>
      <c r="AG376" s="241"/>
      <c r="CA376"/>
      <c r="CB376"/>
      <c r="CC376"/>
    </row>
    <row r="377" spans="12:91" ht="11.25" customHeight="1">
      <c r="L377" s="150"/>
      <c r="M377" s="511"/>
      <c r="N377" s="512"/>
      <c r="O377" s="446"/>
      <c r="AB377" s="251"/>
      <c r="AC377" s="251"/>
      <c r="AD377" s="251"/>
      <c r="AE377" s="241"/>
      <c r="AF377" s="241"/>
      <c r="AG377" s="241"/>
      <c r="AH377" s="169"/>
      <c r="AI377" s="169"/>
      <c r="AJ377" s="169"/>
      <c r="AK377" s="169"/>
      <c r="AL377" s="169"/>
      <c r="AM377" s="169"/>
      <c r="AN377" s="169"/>
      <c r="AO377" s="169"/>
      <c r="AP377" s="169"/>
      <c r="AQ377" s="169"/>
      <c r="AR377" s="169"/>
      <c r="AS377" s="169"/>
      <c r="AT377" s="169"/>
      <c r="AU377" s="169"/>
      <c r="AV377" s="169"/>
      <c r="AW377" s="169"/>
      <c r="AX377" s="169"/>
      <c r="AY377" s="169"/>
      <c r="AZ377" s="169"/>
      <c r="BA377" s="169"/>
      <c r="BB377" s="169"/>
      <c r="BC377" s="169"/>
      <c r="BD377" s="169"/>
      <c r="BE377" s="169"/>
      <c r="BF377" s="169"/>
      <c r="BG377" s="169"/>
      <c r="BH377" s="169"/>
      <c r="BI377" s="169"/>
      <c r="BJ377" s="169"/>
      <c r="BK377" s="169"/>
      <c r="BL377" s="169"/>
      <c r="BM377" s="169"/>
      <c r="BN377" s="169"/>
      <c r="BO377" s="169"/>
      <c r="BP377" s="169"/>
      <c r="BQ377" s="169"/>
      <c r="BR377" s="169"/>
      <c r="BS377" s="169"/>
      <c r="BT377" s="169"/>
      <c r="BU377" s="169"/>
      <c r="BV377" s="169"/>
      <c r="BW377" s="169"/>
      <c r="BX377" s="169"/>
      <c r="BY377" s="169"/>
      <c r="BZ377" s="169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</row>
    <row r="378" spans="12:91" ht="11.4">
      <c r="L378" s="150"/>
      <c r="M378" s="511"/>
      <c r="N378" s="512"/>
      <c r="O378" s="446"/>
      <c r="AB378" s="251"/>
      <c r="AC378" s="251"/>
      <c r="AD378" s="251"/>
      <c r="AE378" s="241"/>
      <c r="AF378" s="241"/>
      <c r="AG378" s="241"/>
      <c r="AH378" s="169"/>
      <c r="AI378" s="169"/>
      <c r="AJ378" s="169"/>
      <c r="AK378" s="169"/>
      <c r="AL378" s="169"/>
      <c r="AM378" s="169"/>
      <c r="AN378" s="169"/>
      <c r="AO378" s="169"/>
      <c r="AP378" s="169"/>
      <c r="AQ378" s="169"/>
      <c r="AR378" s="169"/>
      <c r="AS378" s="169"/>
      <c r="AT378" s="169"/>
      <c r="AU378" s="169"/>
      <c r="AV378" s="169"/>
      <c r="AW378" s="169"/>
      <c r="AX378" s="169"/>
      <c r="AY378" s="169"/>
      <c r="AZ378" s="169"/>
      <c r="BA378" s="169"/>
      <c r="BB378" s="169"/>
      <c r="BC378" s="169"/>
      <c r="BD378" s="169"/>
      <c r="BE378" s="169"/>
      <c r="BF378" s="169"/>
      <c r="BG378" s="169"/>
      <c r="BH378" s="169"/>
      <c r="BI378" s="169"/>
      <c r="BJ378" s="169"/>
      <c r="BK378" s="169"/>
      <c r="BL378" s="169"/>
      <c r="BM378" s="169"/>
      <c r="BN378" s="169"/>
      <c r="BO378" s="169"/>
      <c r="BP378" s="169"/>
      <c r="BQ378" s="169"/>
      <c r="BR378" s="169"/>
      <c r="BS378" s="169"/>
      <c r="BT378" s="169"/>
      <c r="BU378" s="169"/>
      <c r="BV378" s="169"/>
      <c r="BW378" s="169"/>
      <c r="BX378" s="169"/>
      <c r="BY378" s="169"/>
      <c r="BZ378" s="169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</row>
    <row r="379" spans="12:91" ht="11.4">
      <c r="L379" s="150"/>
      <c r="M379" s="511"/>
      <c r="N379" s="512"/>
      <c r="O379" s="446"/>
      <c r="AB379" s="251"/>
      <c r="AC379" s="251"/>
      <c r="AD379" s="251"/>
      <c r="AE379" s="241"/>
      <c r="AF379" s="241"/>
      <c r="AG379" s="241"/>
      <c r="AH379" s="169"/>
      <c r="AI379" s="169"/>
      <c r="AJ379" s="169"/>
      <c r="AK379" s="169"/>
      <c r="AL379" s="169"/>
      <c r="AM379" s="169"/>
      <c r="AN379" s="169"/>
      <c r="AO379" s="169"/>
      <c r="AP379" s="169"/>
      <c r="AQ379" s="169"/>
      <c r="AR379" s="169"/>
      <c r="AS379" s="169"/>
      <c r="AT379" s="169"/>
      <c r="AU379" s="169"/>
      <c r="AV379" s="169"/>
      <c r="AW379" s="169"/>
      <c r="AX379" s="169"/>
      <c r="AY379" s="169"/>
      <c r="AZ379" s="169"/>
      <c r="BA379" s="169"/>
      <c r="BB379" s="169"/>
      <c r="BC379" s="169"/>
      <c r="BD379" s="169"/>
      <c r="BE379" s="169"/>
      <c r="BF379" s="169"/>
      <c r="BG379" s="169"/>
      <c r="BH379" s="169"/>
      <c r="BI379" s="169"/>
      <c r="BJ379" s="169"/>
      <c r="BK379" s="169"/>
      <c r="BL379" s="169"/>
      <c r="BM379" s="169"/>
      <c r="BN379" s="169"/>
      <c r="BO379" s="169"/>
      <c r="BP379" s="169"/>
      <c r="BQ379" s="169"/>
      <c r="BR379" s="169"/>
      <c r="BS379" s="169"/>
      <c r="BT379" s="169"/>
      <c r="BU379" s="169"/>
      <c r="BV379" s="169"/>
      <c r="BW379" s="169"/>
      <c r="BX379" s="169"/>
      <c r="BY379" s="169"/>
      <c r="BZ379" s="16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</row>
    <row r="380" spans="12:91" ht="11.4">
      <c r="L380" s="150"/>
      <c r="M380" s="511"/>
      <c r="N380" s="512"/>
      <c r="O380" s="446"/>
      <c r="AB380" s="251"/>
      <c r="AC380" s="251"/>
      <c r="AD380" s="251"/>
      <c r="AE380" s="241"/>
      <c r="AF380" s="241"/>
      <c r="AG380" s="241"/>
      <c r="AH380" s="169"/>
      <c r="AI380" s="169"/>
      <c r="AJ380" s="169"/>
      <c r="AK380" s="169"/>
      <c r="AL380" s="169"/>
      <c r="AM380" s="169"/>
      <c r="AN380" s="169"/>
      <c r="AO380" s="169"/>
      <c r="AP380" s="169"/>
      <c r="AQ380" s="169"/>
      <c r="AR380" s="169"/>
      <c r="AS380" s="169"/>
      <c r="AT380" s="169"/>
      <c r="AU380" s="169"/>
      <c r="AV380" s="169"/>
      <c r="AW380" s="169"/>
      <c r="AX380" s="169"/>
      <c r="AY380" s="169"/>
      <c r="AZ380" s="169"/>
      <c r="BA380" s="169"/>
      <c r="BB380" s="169"/>
      <c r="BC380" s="169"/>
      <c r="BD380" s="169"/>
      <c r="BE380" s="169"/>
      <c r="BF380" s="169"/>
      <c r="BG380" s="169"/>
      <c r="BH380" s="169"/>
      <c r="BI380" s="169"/>
      <c r="BJ380" s="169"/>
      <c r="BK380" s="169"/>
      <c r="BL380" s="169"/>
      <c r="BM380" s="169"/>
      <c r="BN380" s="169"/>
      <c r="BO380" s="169"/>
      <c r="BP380" s="169"/>
      <c r="BQ380" s="169"/>
      <c r="BR380" s="169"/>
      <c r="BS380" s="169"/>
      <c r="BT380" s="169"/>
      <c r="BU380" s="169"/>
      <c r="BV380" s="169"/>
      <c r="BW380" s="169"/>
      <c r="BX380" s="169"/>
      <c r="BY380" s="169"/>
      <c r="BZ380" s="169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</row>
    <row r="381" spans="12:91" ht="11.4">
      <c r="L381" s="150"/>
      <c r="M381" s="511"/>
      <c r="N381" s="512"/>
      <c r="O381" s="446"/>
      <c r="AB381" s="251"/>
      <c r="AC381" s="251"/>
      <c r="AD381" s="251"/>
      <c r="AE381" s="241"/>
      <c r="AF381" s="241"/>
      <c r="AG381" s="241"/>
      <c r="AH381" s="169"/>
      <c r="AI381" s="169"/>
      <c r="AJ381" s="169"/>
      <c r="AK381" s="169"/>
      <c r="AL381" s="169"/>
      <c r="AM381" s="169"/>
      <c r="AN381" s="169"/>
      <c r="AO381" s="169"/>
      <c r="AP381" s="169"/>
      <c r="AQ381" s="169"/>
      <c r="AR381" s="169"/>
      <c r="AS381" s="169"/>
      <c r="AT381" s="169"/>
      <c r="AU381" s="169"/>
      <c r="AV381" s="169"/>
      <c r="AW381" s="169"/>
      <c r="AX381" s="169"/>
      <c r="AY381" s="169"/>
      <c r="AZ381" s="169"/>
      <c r="BA381" s="169"/>
      <c r="BB381" s="169"/>
      <c r="BC381" s="169"/>
      <c r="BD381" s="169"/>
      <c r="BE381" s="169"/>
      <c r="BF381" s="169"/>
      <c r="BG381" s="169"/>
      <c r="BH381" s="169"/>
      <c r="BI381" s="169"/>
      <c r="BJ381" s="169"/>
      <c r="BK381" s="169"/>
      <c r="BL381" s="169"/>
      <c r="BM381" s="169"/>
      <c r="BN381" s="169"/>
      <c r="BO381" s="169"/>
      <c r="BP381" s="169"/>
      <c r="BQ381" s="169"/>
      <c r="BR381" s="169"/>
      <c r="BS381" s="169"/>
      <c r="BT381" s="169"/>
      <c r="BU381" s="169"/>
      <c r="BV381" s="169"/>
      <c r="BW381" s="169"/>
      <c r="BX381" s="169"/>
      <c r="BY381" s="169"/>
      <c r="BZ381" s="169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</row>
    <row r="382" spans="12:91" ht="11.4">
      <c r="L382" s="150"/>
      <c r="M382" s="511"/>
      <c r="N382" s="512"/>
      <c r="O382" s="446"/>
      <c r="AB382" s="251"/>
      <c r="AC382" s="251"/>
      <c r="AD382" s="251"/>
      <c r="AE382" s="241"/>
      <c r="AF382" s="241"/>
      <c r="AG382" s="241"/>
      <c r="AH382" s="169"/>
      <c r="AI382" s="169"/>
      <c r="AJ382" s="169"/>
      <c r="AK382" s="169"/>
      <c r="AL382" s="169"/>
      <c r="AM382" s="169"/>
      <c r="AN382" s="169"/>
      <c r="AO382" s="169"/>
      <c r="AP382" s="169"/>
      <c r="AQ382" s="169"/>
      <c r="AR382" s="169"/>
      <c r="AS382" s="169"/>
      <c r="AT382" s="169"/>
      <c r="AU382" s="169"/>
      <c r="AV382" s="169"/>
      <c r="AW382" s="169"/>
      <c r="AX382" s="169"/>
      <c r="AY382" s="169"/>
      <c r="AZ382" s="169"/>
      <c r="BA382" s="169"/>
      <c r="BB382" s="169"/>
      <c r="BC382" s="169"/>
      <c r="BD382" s="169"/>
      <c r="BE382" s="169"/>
      <c r="BF382" s="169"/>
      <c r="BG382" s="169"/>
      <c r="BH382" s="169"/>
      <c r="BI382" s="169"/>
      <c r="BJ382" s="169"/>
      <c r="BK382" s="169"/>
      <c r="BL382" s="169"/>
      <c r="BM382" s="169"/>
      <c r="BN382" s="169"/>
      <c r="BO382" s="169"/>
      <c r="BP382" s="169"/>
      <c r="BQ382" s="169"/>
      <c r="BR382" s="169"/>
      <c r="BS382" s="169"/>
      <c r="BT382" s="169"/>
      <c r="BU382" s="169"/>
      <c r="BV382" s="169"/>
      <c r="BW382" s="169"/>
      <c r="BX382" s="169"/>
      <c r="BY382" s="169"/>
      <c r="BZ382" s="169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</row>
    <row r="383" spans="12:91" ht="11.4">
      <c r="L383" s="150"/>
      <c r="M383" s="511"/>
      <c r="N383" s="512"/>
      <c r="O383" s="446"/>
      <c r="AB383" s="251"/>
      <c r="AC383" s="251"/>
      <c r="AD383" s="251"/>
      <c r="AE383" s="241"/>
      <c r="AF383" s="241"/>
      <c r="AG383" s="241"/>
      <c r="AH383" s="169"/>
      <c r="AI383" s="169"/>
      <c r="AJ383" s="169"/>
      <c r="AK383" s="169"/>
      <c r="AL383" s="169"/>
      <c r="AM383" s="169"/>
      <c r="AN383" s="169"/>
      <c r="AO383" s="169"/>
      <c r="AP383" s="169"/>
      <c r="AQ383" s="169"/>
      <c r="AR383" s="169"/>
      <c r="AS383" s="169"/>
      <c r="AT383" s="169"/>
      <c r="AU383" s="169"/>
      <c r="AV383" s="169"/>
      <c r="AW383" s="169"/>
      <c r="AX383" s="169"/>
      <c r="AY383" s="169"/>
      <c r="AZ383" s="169"/>
      <c r="BA383" s="169"/>
      <c r="BB383" s="169"/>
      <c r="BC383" s="169"/>
      <c r="BD383" s="169"/>
      <c r="BE383" s="169"/>
      <c r="BF383" s="169"/>
      <c r="BG383" s="169"/>
      <c r="BH383" s="169"/>
      <c r="BI383" s="169"/>
      <c r="BJ383" s="169"/>
      <c r="BK383" s="169"/>
      <c r="BL383" s="169"/>
      <c r="BM383" s="169"/>
      <c r="BN383" s="169"/>
      <c r="BO383" s="169"/>
      <c r="BP383" s="169"/>
      <c r="BQ383" s="169"/>
      <c r="BR383" s="169"/>
      <c r="BS383" s="169"/>
      <c r="BT383" s="169"/>
      <c r="BU383" s="169"/>
      <c r="BV383" s="169"/>
      <c r="BW383" s="169"/>
      <c r="BX383" s="169"/>
      <c r="BY383" s="169"/>
      <c r="BZ383" s="169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</row>
    <row r="384" spans="12:91" ht="11.4">
      <c r="L384" s="150"/>
      <c r="M384" s="511"/>
      <c r="N384" s="512"/>
      <c r="O384" s="446"/>
      <c r="AB384" s="251"/>
      <c r="AC384" s="251"/>
      <c r="AD384" s="251"/>
      <c r="AE384" s="241"/>
      <c r="AF384" s="241"/>
      <c r="AG384" s="241"/>
      <c r="AH384" s="169"/>
      <c r="AI384" s="169"/>
      <c r="AJ384" s="169"/>
      <c r="AK384" s="169"/>
      <c r="AL384" s="169"/>
      <c r="AM384" s="169"/>
      <c r="AN384" s="169"/>
      <c r="AO384" s="169"/>
      <c r="AP384" s="169"/>
      <c r="AQ384" s="169"/>
      <c r="AR384" s="169"/>
      <c r="AS384" s="169"/>
      <c r="AT384" s="169"/>
      <c r="AU384" s="169"/>
      <c r="AV384" s="169"/>
      <c r="AW384" s="169"/>
      <c r="AX384" s="169"/>
      <c r="AY384" s="169"/>
      <c r="AZ384" s="169"/>
      <c r="BA384" s="169"/>
      <c r="BB384" s="169"/>
      <c r="BC384" s="169"/>
      <c r="BD384" s="169"/>
      <c r="BE384" s="169"/>
      <c r="BF384" s="169"/>
      <c r="BG384" s="169"/>
      <c r="BH384" s="169"/>
      <c r="BI384" s="169"/>
      <c r="BJ384" s="169"/>
      <c r="BK384" s="169"/>
      <c r="BL384" s="169"/>
      <c r="BM384" s="169"/>
      <c r="BN384" s="169"/>
      <c r="BO384" s="169"/>
      <c r="BP384" s="169"/>
      <c r="BQ384" s="169"/>
      <c r="BR384" s="169"/>
      <c r="BS384" s="169"/>
      <c r="BT384" s="169"/>
      <c r="BU384" s="169"/>
      <c r="BV384" s="169"/>
      <c r="BW384" s="169"/>
      <c r="BX384" s="169"/>
      <c r="BY384" s="169"/>
      <c r="BZ384" s="169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</row>
    <row r="385" spans="12:91" ht="11.4">
      <c r="L385" s="150"/>
      <c r="M385" s="511"/>
      <c r="N385" s="512"/>
      <c r="O385" s="446"/>
      <c r="AB385" s="251"/>
      <c r="AC385" s="251"/>
      <c r="AD385" s="251"/>
      <c r="AE385" s="241"/>
      <c r="AF385" s="241"/>
      <c r="AG385" s="241"/>
      <c r="AH385" s="169"/>
      <c r="AI385" s="169"/>
      <c r="AJ385" s="169"/>
      <c r="AK385" s="169"/>
      <c r="AL385" s="169"/>
      <c r="AM385" s="169"/>
      <c r="AN385" s="169"/>
      <c r="AO385" s="169"/>
      <c r="AP385" s="169"/>
      <c r="AQ385" s="169"/>
      <c r="AR385" s="169"/>
      <c r="AS385" s="169"/>
      <c r="AT385" s="169"/>
      <c r="AU385" s="169"/>
      <c r="AV385" s="169"/>
      <c r="AW385" s="169"/>
      <c r="AX385" s="169"/>
      <c r="AY385" s="169"/>
      <c r="AZ385" s="169"/>
      <c r="BA385" s="169"/>
      <c r="BB385" s="169"/>
      <c r="BC385" s="169"/>
      <c r="BD385" s="169"/>
      <c r="BE385" s="169"/>
      <c r="BF385" s="169"/>
      <c r="BG385" s="169"/>
      <c r="BH385" s="169"/>
      <c r="BI385" s="169"/>
      <c r="BJ385" s="169"/>
      <c r="BK385" s="169"/>
      <c r="BL385" s="169"/>
      <c r="BM385" s="169"/>
      <c r="BN385" s="169"/>
      <c r="BO385" s="169"/>
      <c r="BP385" s="169"/>
      <c r="BQ385" s="169"/>
      <c r="BR385" s="169"/>
      <c r="BS385" s="169"/>
      <c r="BT385" s="169"/>
      <c r="BU385" s="169"/>
      <c r="BV385" s="169"/>
      <c r="BW385" s="169"/>
      <c r="BX385" s="169"/>
      <c r="BY385" s="169"/>
      <c r="BZ385" s="169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</row>
    <row r="386" spans="12:91" ht="11.4">
      <c r="L386" s="150"/>
      <c r="M386" s="511"/>
      <c r="N386" s="512"/>
      <c r="O386" s="446"/>
      <c r="AB386" s="251"/>
      <c r="AC386" s="251"/>
      <c r="AD386" s="251"/>
      <c r="AE386" s="241"/>
      <c r="AF386" s="241"/>
      <c r="AG386" s="241"/>
      <c r="AH386" s="169"/>
      <c r="AI386" s="169"/>
      <c r="AJ386" s="169"/>
      <c r="AK386" s="169"/>
      <c r="AL386" s="169"/>
      <c r="AM386" s="169"/>
      <c r="AN386" s="169"/>
      <c r="AO386" s="169"/>
      <c r="AP386" s="169"/>
      <c r="AQ386" s="169"/>
      <c r="AR386" s="169"/>
      <c r="AS386" s="169"/>
      <c r="AT386" s="169"/>
      <c r="AU386" s="169"/>
      <c r="AV386" s="169"/>
      <c r="AW386" s="169"/>
      <c r="AX386" s="169"/>
      <c r="AY386" s="169"/>
      <c r="AZ386" s="169"/>
      <c r="BA386" s="169"/>
      <c r="BB386" s="169"/>
      <c r="BC386" s="169"/>
      <c r="BD386" s="169"/>
      <c r="BE386" s="169"/>
      <c r="BF386" s="169"/>
      <c r="BG386" s="169"/>
      <c r="BH386" s="169"/>
      <c r="BI386" s="169"/>
      <c r="BJ386" s="169"/>
      <c r="BK386" s="169"/>
      <c r="BL386" s="169"/>
      <c r="BM386" s="169"/>
      <c r="BN386" s="169"/>
      <c r="BO386" s="169"/>
      <c r="BP386" s="169"/>
      <c r="BQ386" s="169"/>
      <c r="BR386" s="169"/>
      <c r="BS386" s="169"/>
      <c r="BT386" s="169"/>
      <c r="BU386" s="169"/>
      <c r="BV386" s="169"/>
      <c r="BW386" s="169"/>
      <c r="BX386" s="169"/>
      <c r="BY386" s="169"/>
      <c r="BZ386" s="169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</row>
    <row r="387" spans="12:91" ht="11.4">
      <c r="L387" s="150"/>
      <c r="M387" s="511"/>
      <c r="N387" s="512"/>
      <c r="O387" s="446"/>
      <c r="AB387" s="251"/>
      <c r="AC387" s="251"/>
      <c r="AD387" s="251"/>
      <c r="AE387" s="241"/>
      <c r="AF387" s="241"/>
      <c r="AG387" s="241"/>
      <c r="AH387" s="169"/>
      <c r="AI387" s="169"/>
      <c r="AJ387" s="169"/>
      <c r="AK387" s="169"/>
      <c r="AL387" s="169"/>
      <c r="AM387" s="169"/>
      <c r="AN387" s="169"/>
      <c r="AO387" s="169"/>
      <c r="AP387" s="169"/>
      <c r="AQ387" s="169"/>
      <c r="AR387" s="169"/>
      <c r="AS387" s="169"/>
      <c r="AT387" s="169"/>
      <c r="AU387" s="169"/>
      <c r="AV387" s="169"/>
      <c r="AW387" s="169"/>
      <c r="AX387" s="169"/>
      <c r="AY387" s="169"/>
      <c r="AZ387" s="169"/>
      <c r="BA387" s="169"/>
      <c r="BB387" s="169"/>
      <c r="BC387" s="169"/>
      <c r="BD387" s="169"/>
      <c r="BE387" s="169"/>
      <c r="BF387" s="169"/>
      <c r="BG387" s="169"/>
      <c r="BH387" s="169"/>
      <c r="BI387" s="169"/>
      <c r="BJ387" s="169"/>
      <c r="BK387" s="169"/>
      <c r="BL387" s="169"/>
      <c r="BM387" s="169"/>
      <c r="BN387" s="169"/>
      <c r="BO387" s="169"/>
      <c r="BP387" s="169"/>
      <c r="BQ387" s="169"/>
      <c r="BR387" s="169"/>
      <c r="BS387" s="169"/>
      <c r="BT387" s="169"/>
      <c r="BU387" s="169"/>
      <c r="BV387" s="169"/>
      <c r="BW387" s="169"/>
      <c r="BX387" s="169"/>
      <c r="BY387" s="169"/>
      <c r="BZ387" s="169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</row>
    <row r="388" spans="12:91" ht="11.25" customHeight="1">
      <c r="L388" s="150"/>
      <c r="M388" s="511"/>
      <c r="N388" s="512"/>
      <c r="O388" s="446"/>
      <c r="AB388" s="251"/>
      <c r="AC388" s="251"/>
      <c r="AD388" s="251"/>
      <c r="AE388" s="241"/>
      <c r="AF388" s="241"/>
      <c r="AG388" s="241"/>
      <c r="AH388" s="169"/>
      <c r="AI388" s="169"/>
      <c r="AJ388" s="169"/>
      <c r="AK388" s="169"/>
      <c r="AL388" s="169"/>
      <c r="AM388" s="169"/>
      <c r="AN388" s="169"/>
      <c r="AO388" s="169"/>
      <c r="AP388" s="169"/>
      <c r="AQ388" s="169"/>
      <c r="AR388" s="169"/>
      <c r="AS388" s="169"/>
      <c r="AT388" s="169"/>
      <c r="AU388" s="169"/>
      <c r="AV388" s="169"/>
      <c r="AW388" s="169"/>
      <c r="AX388" s="169"/>
      <c r="AY388" s="169"/>
      <c r="AZ388" s="169"/>
      <c r="BA388" s="169"/>
      <c r="BB388" s="169"/>
      <c r="BC388" s="169"/>
      <c r="BD388" s="169"/>
      <c r="BE388" s="169"/>
      <c r="BF388" s="169"/>
      <c r="BG388" s="169"/>
      <c r="BH388" s="169"/>
      <c r="BI388" s="169"/>
      <c r="BJ388" s="169"/>
      <c r="BK388" s="169"/>
      <c r="BL388" s="169"/>
      <c r="BM388" s="169"/>
      <c r="BN388" s="169"/>
      <c r="BO388" s="169"/>
      <c r="BP388" s="169"/>
      <c r="BQ388" s="169"/>
      <c r="BR388" s="169"/>
      <c r="BS388" s="169"/>
      <c r="BT388" s="169"/>
      <c r="BU388" s="169"/>
      <c r="BV388" s="169"/>
      <c r="BW388" s="169"/>
      <c r="BX388" s="169"/>
      <c r="BY388" s="169"/>
      <c r="BZ388" s="169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</row>
    <row r="389" spans="12:91" ht="11.4">
      <c r="L389" s="150"/>
      <c r="M389" s="511"/>
      <c r="N389" s="512"/>
      <c r="O389" s="446"/>
      <c r="AB389" s="251"/>
      <c r="AC389" s="251"/>
      <c r="AD389" s="251"/>
      <c r="AE389" s="241"/>
      <c r="AF389" s="241"/>
      <c r="AG389" s="241"/>
      <c r="AH389" s="169"/>
      <c r="AI389" s="169"/>
      <c r="AJ389" s="169"/>
      <c r="AK389" s="169"/>
      <c r="AL389" s="169"/>
      <c r="AM389" s="169"/>
      <c r="AN389" s="169"/>
      <c r="AO389" s="169"/>
      <c r="AP389" s="169"/>
      <c r="AQ389" s="169"/>
      <c r="AR389" s="169"/>
      <c r="AS389" s="169"/>
      <c r="AT389" s="169"/>
      <c r="AU389" s="169"/>
      <c r="AV389" s="169"/>
      <c r="AW389" s="169"/>
      <c r="AX389" s="169"/>
      <c r="AY389" s="169"/>
      <c r="AZ389" s="169"/>
      <c r="BA389" s="169"/>
      <c r="BB389" s="169"/>
      <c r="BC389" s="169"/>
      <c r="BD389" s="169"/>
      <c r="BE389" s="169"/>
      <c r="BF389" s="169"/>
      <c r="BG389" s="169"/>
      <c r="BH389" s="169"/>
      <c r="BI389" s="169"/>
      <c r="BJ389" s="169"/>
      <c r="BK389" s="169"/>
      <c r="BL389" s="169"/>
      <c r="BM389" s="169"/>
      <c r="BN389" s="169"/>
      <c r="BO389" s="169"/>
      <c r="BP389" s="169"/>
      <c r="BQ389" s="169"/>
      <c r="BR389" s="169"/>
      <c r="BS389" s="169"/>
      <c r="BT389" s="169"/>
      <c r="BU389" s="169"/>
      <c r="BV389" s="169"/>
      <c r="BW389" s="169"/>
      <c r="BX389" s="169"/>
      <c r="BY389" s="169"/>
      <c r="BZ389" s="16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</row>
    <row r="390" spans="12:91" ht="11.4">
      <c r="L390" s="150"/>
      <c r="M390" s="511"/>
      <c r="N390" s="512"/>
      <c r="O390" s="446"/>
      <c r="AB390" s="251"/>
      <c r="AC390" s="251"/>
      <c r="AD390" s="251"/>
      <c r="AE390" s="241"/>
      <c r="AF390" s="241"/>
      <c r="AG390" s="241"/>
      <c r="AH390" s="169"/>
      <c r="AI390" s="169"/>
      <c r="AJ390" s="169"/>
      <c r="AK390" s="169"/>
      <c r="AL390" s="169"/>
      <c r="AM390" s="169"/>
      <c r="AN390" s="169"/>
      <c r="AO390" s="169"/>
      <c r="AP390" s="169"/>
      <c r="AQ390" s="169"/>
      <c r="AR390" s="169"/>
      <c r="AS390" s="169"/>
      <c r="AT390" s="169"/>
      <c r="AU390" s="169"/>
      <c r="AV390" s="169"/>
      <c r="AW390" s="169"/>
      <c r="AX390" s="169"/>
      <c r="AY390" s="169"/>
      <c r="AZ390" s="169"/>
      <c r="BA390" s="169"/>
      <c r="BB390" s="169"/>
      <c r="BC390" s="169"/>
      <c r="BD390" s="169"/>
      <c r="BE390" s="169"/>
      <c r="BF390" s="169"/>
      <c r="BG390" s="169"/>
      <c r="BH390" s="169"/>
      <c r="BI390" s="169"/>
      <c r="BJ390" s="169"/>
      <c r="BK390" s="169"/>
      <c r="BL390" s="169"/>
      <c r="BM390" s="169"/>
      <c r="BN390" s="169"/>
      <c r="BO390" s="169"/>
      <c r="BP390" s="169"/>
      <c r="BQ390" s="169"/>
      <c r="BR390" s="169"/>
      <c r="BS390" s="169"/>
      <c r="BT390" s="169"/>
      <c r="BU390" s="169"/>
      <c r="BV390" s="169"/>
      <c r="BW390" s="169"/>
      <c r="BX390" s="169"/>
      <c r="BY390" s="169"/>
      <c r="BZ390" s="169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</row>
    <row r="391" spans="12:91" ht="11.4">
      <c r="L391" s="150"/>
      <c r="M391" s="511"/>
      <c r="N391" s="512"/>
      <c r="O391" s="446"/>
      <c r="AB391" s="251"/>
      <c r="AC391" s="251"/>
      <c r="AD391" s="251"/>
      <c r="AE391" s="241"/>
      <c r="AF391" s="241"/>
      <c r="AG391" s="241"/>
      <c r="AH391" s="169"/>
      <c r="AI391" s="169"/>
      <c r="AJ391" s="169"/>
      <c r="AK391" s="169"/>
      <c r="AL391" s="169"/>
      <c r="AM391" s="169"/>
      <c r="AN391" s="169"/>
      <c r="AO391" s="169"/>
      <c r="AP391" s="169"/>
      <c r="AQ391" s="169"/>
      <c r="AR391" s="169"/>
      <c r="AS391" s="169"/>
      <c r="AT391" s="169"/>
      <c r="AU391" s="169"/>
      <c r="AV391" s="169"/>
      <c r="AW391" s="169"/>
      <c r="AX391" s="169"/>
      <c r="AY391" s="169"/>
      <c r="AZ391" s="169"/>
      <c r="BA391" s="169"/>
      <c r="BB391" s="169"/>
      <c r="BC391" s="169"/>
      <c r="BD391" s="169"/>
      <c r="BE391" s="169"/>
      <c r="BF391" s="169"/>
      <c r="BG391" s="169"/>
      <c r="BH391" s="169"/>
      <c r="BI391" s="169"/>
      <c r="BJ391" s="169"/>
      <c r="BK391" s="169"/>
      <c r="BL391" s="169"/>
      <c r="BM391" s="169"/>
      <c r="BN391" s="169"/>
      <c r="BO391" s="169"/>
      <c r="BP391" s="169"/>
      <c r="BQ391" s="169"/>
      <c r="BR391" s="169"/>
      <c r="BS391" s="169"/>
      <c r="BT391" s="169"/>
      <c r="BU391" s="169"/>
      <c r="BV391" s="169"/>
      <c r="BW391" s="169"/>
      <c r="BX391" s="169"/>
      <c r="BY391" s="169"/>
      <c r="BZ391" s="169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</row>
    <row r="392" spans="12:91" ht="11.4">
      <c r="L392" s="150"/>
      <c r="M392" s="511"/>
      <c r="N392" s="512"/>
      <c r="O392" s="446"/>
      <c r="AB392" s="251"/>
      <c r="AC392" s="251"/>
      <c r="AD392" s="251"/>
      <c r="AE392" s="241"/>
      <c r="AF392" s="241"/>
      <c r="AG392" s="241"/>
      <c r="AH392" s="169"/>
      <c r="AI392" s="169"/>
      <c r="AJ392" s="169"/>
      <c r="AK392" s="169"/>
      <c r="AL392" s="169"/>
      <c r="AM392" s="169"/>
      <c r="AN392" s="169"/>
      <c r="AO392" s="169"/>
      <c r="AP392" s="169"/>
      <c r="AQ392" s="169"/>
      <c r="AR392" s="169"/>
      <c r="AS392" s="169"/>
      <c r="AT392" s="169"/>
      <c r="AU392" s="169"/>
      <c r="AV392" s="169"/>
      <c r="AW392" s="169"/>
      <c r="AX392" s="169"/>
      <c r="AY392" s="169"/>
      <c r="AZ392" s="169"/>
      <c r="BA392" s="169"/>
      <c r="BB392" s="169"/>
      <c r="BC392" s="169"/>
      <c r="BD392" s="169"/>
      <c r="BE392" s="169"/>
      <c r="BF392" s="169"/>
      <c r="BG392" s="169"/>
      <c r="BH392" s="169"/>
      <c r="BI392" s="169"/>
      <c r="BJ392" s="169"/>
      <c r="BK392" s="169"/>
      <c r="BL392" s="169"/>
      <c r="BM392" s="169"/>
      <c r="BN392" s="169"/>
      <c r="BO392" s="169"/>
      <c r="BP392" s="169"/>
      <c r="BQ392" s="169"/>
      <c r="BR392" s="169"/>
      <c r="BS392" s="169"/>
      <c r="BT392" s="169"/>
      <c r="BU392" s="169"/>
      <c r="BV392" s="169"/>
      <c r="BW392" s="169"/>
      <c r="BX392" s="169"/>
      <c r="BY392" s="169"/>
      <c r="BZ392" s="169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</row>
    <row r="393" spans="12:91" ht="11.4">
      <c r="L393" s="150"/>
      <c r="M393" s="511"/>
      <c r="N393" s="512"/>
      <c r="O393" s="446"/>
      <c r="AB393" s="251"/>
      <c r="AC393" s="251"/>
      <c r="AD393" s="251"/>
      <c r="AE393" s="241"/>
      <c r="AF393" s="241"/>
      <c r="AG393" s="241"/>
      <c r="AH393" s="169"/>
      <c r="AI393" s="169"/>
      <c r="AJ393" s="169"/>
      <c r="AK393" s="169"/>
      <c r="AL393" s="169"/>
      <c r="AM393" s="169"/>
      <c r="AN393" s="169"/>
      <c r="AO393" s="169"/>
      <c r="AP393" s="169"/>
      <c r="AQ393" s="169"/>
      <c r="AR393" s="169"/>
      <c r="AS393" s="169"/>
      <c r="AT393" s="169"/>
      <c r="AU393" s="169"/>
      <c r="AV393" s="169"/>
      <c r="AW393" s="169"/>
      <c r="AX393" s="169"/>
      <c r="AY393" s="169"/>
      <c r="AZ393" s="169"/>
      <c r="BA393" s="169"/>
      <c r="BB393" s="169"/>
      <c r="BC393" s="169"/>
      <c r="BD393" s="169"/>
      <c r="BE393" s="169"/>
      <c r="BF393" s="169"/>
      <c r="BG393" s="169"/>
      <c r="BH393" s="169"/>
      <c r="BI393" s="169"/>
      <c r="BJ393" s="169"/>
      <c r="BK393" s="169"/>
      <c r="BL393" s="169"/>
      <c r="BM393" s="169"/>
      <c r="BN393" s="169"/>
      <c r="BO393" s="169"/>
      <c r="BP393" s="169"/>
      <c r="BQ393" s="169"/>
      <c r="BR393" s="169"/>
      <c r="BS393" s="169"/>
      <c r="BT393" s="169"/>
      <c r="BU393" s="169"/>
      <c r="BV393" s="169"/>
      <c r="BW393" s="169"/>
      <c r="BX393" s="169"/>
      <c r="BY393" s="169"/>
      <c r="BZ393" s="169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</row>
    <row r="394" spans="12:91" ht="11.4">
      <c r="L394" s="150"/>
      <c r="M394" s="511"/>
      <c r="N394" s="512"/>
      <c r="O394" s="446"/>
      <c r="AB394" s="251"/>
      <c r="AC394" s="251"/>
      <c r="AD394" s="251"/>
      <c r="AE394" s="241"/>
      <c r="AF394" s="241"/>
      <c r="AG394" s="241"/>
      <c r="AH394" s="169"/>
      <c r="AI394" s="169"/>
      <c r="AJ394" s="169"/>
      <c r="AK394" s="169"/>
      <c r="AL394" s="169"/>
      <c r="AM394" s="169"/>
      <c r="AN394" s="169"/>
      <c r="AO394" s="169"/>
      <c r="AP394" s="169"/>
      <c r="AQ394" s="169"/>
      <c r="AR394" s="169"/>
      <c r="AS394" s="169"/>
      <c r="AT394" s="169"/>
      <c r="AU394" s="169"/>
      <c r="AV394" s="169"/>
      <c r="AW394" s="169"/>
      <c r="AX394" s="169"/>
      <c r="AY394" s="169"/>
      <c r="AZ394" s="169"/>
      <c r="BA394" s="169"/>
      <c r="BB394" s="169"/>
      <c r="BC394" s="169"/>
      <c r="BD394" s="169"/>
      <c r="BE394" s="169"/>
      <c r="BF394" s="169"/>
      <c r="BG394" s="169"/>
      <c r="BH394" s="169"/>
      <c r="BI394" s="169"/>
      <c r="BJ394" s="169"/>
      <c r="BK394" s="169"/>
      <c r="BL394" s="169"/>
      <c r="BM394" s="169"/>
      <c r="BN394" s="169"/>
      <c r="BO394" s="169"/>
      <c r="BP394" s="169"/>
      <c r="BQ394" s="169"/>
      <c r="BR394" s="169"/>
      <c r="BS394" s="169"/>
      <c r="BT394" s="169"/>
      <c r="BU394" s="169"/>
      <c r="BV394" s="169"/>
      <c r="BW394" s="169"/>
      <c r="BX394" s="169"/>
      <c r="BY394" s="169"/>
      <c r="BZ394" s="169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</row>
    <row r="395" spans="12:91" ht="11.4">
      <c r="L395" s="150"/>
      <c r="M395" s="511"/>
      <c r="N395" s="512"/>
      <c r="O395" s="446"/>
      <c r="AB395" s="251"/>
      <c r="AC395" s="251"/>
      <c r="AD395" s="251"/>
      <c r="AE395" s="241"/>
      <c r="AF395" s="241"/>
      <c r="AG395" s="241"/>
      <c r="AH395" s="169"/>
      <c r="AI395" s="169"/>
      <c r="AJ395" s="169"/>
      <c r="AK395" s="169"/>
      <c r="AL395" s="169"/>
      <c r="AM395" s="169"/>
      <c r="AN395" s="169"/>
      <c r="AO395" s="169"/>
      <c r="AP395" s="169"/>
      <c r="AQ395" s="169"/>
      <c r="AR395" s="169"/>
      <c r="AS395" s="169"/>
      <c r="AT395" s="169"/>
      <c r="AU395" s="169"/>
      <c r="AV395" s="169"/>
      <c r="AW395" s="169"/>
      <c r="AX395" s="169"/>
      <c r="AY395" s="169"/>
      <c r="AZ395" s="169"/>
      <c r="BA395" s="169"/>
      <c r="BB395" s="169"/>
      <c r="BC395" s="169"/>
      <c r="BD395" s="169"/>
      <c r="BE395" s="169"/>
      <c r="BF395" s="169"/>
      <c r="BG395" s="169"/>
      <c r="BH395" s="169"/>
      <c r="BI395" s="169"/>
      <c r="BJ395" s="169"/>
      <c r="BK395" s="169"/>
      <c r="BL395" s="169"/>
      <c r="BM395" s="169"/>
      <c r="BN395" s="169"/>
      <c r="BO395" s="169"/>
      <c r="BP395" s="169"/>
      <c r="BQ395" s="169"/>
      <c r="BR395" s="169"/>
      <c r="BS395" s="169"/>
      <c r="BT395" s="169"/>
      <c r="BU395" s="169"/>
      <c r="BV395" s="169"/>
      <c r="BW395" s="169"/>
      <c r="BX395" s="169"/>
      <c r="BY395" s="169"/>
      <c r="BZ395" s="169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</row>
    <row r="396" spans="12:91" ht="11.4">
      <c r="L396" s="150"/>
      <c r="M396" s="511"/>
      <c r="N396" s="512"/>
      <c r="O396" s="446"/>
      <c r="AB396" s="251"/>
      <c r="AC396" s="251"/>
      <c r="AD396" s="251"/>
      <c r="AE396" s="241"/>
      <c r="AF396" s="241"/>
      <c r="AG396" s="241"/>
      <c r="AH396" s="169"/>
      <c r="AI396" s="169"/>
      <c r="AJ396" s="169"/>
      <c r="AK396" s="169"/>
      <c r="AL396" s="169"/>
      <c r="AM396" s="169"/>
      <c r="AN396" s="169"/>
      <c r="AO396" s="169"/>
      <c r="AP396" s="169"/>
      <c r="AQ396" s="169"/>
      <c r="AR396" s="169"/>
      <c r="AS396" s="169"/>
      <c r="AT396" s="169"/>
      <c r="AU396" s="169"/>
      <c r="AV396" s="169"/>
      <c r="AW396" s="169"/>
      <c r="AX396" s="169"/>
      <c r="AY396" s="169"/>
      <c r="AZ396" s="169"/>
      <c r="BA396" s="169"/>
      <c r="BB396" s="169"/>
      <c r="BC396" s="169"/>
      <c r="BD396" s="169"/>
      <c r="BE396" s="169"/>
      <c r="BF396" s="169"/>
      <c r="BG396" s="169"/>
      <c r="BH396" s="169"/>
      <c r="BI396" s="169"/>
      <c r="BJ396" s="169"/>
      <c r="BK396" s="169"/>
      <c r="BL396" s="169"/>
      <c r="BM396" s="169"/>
      <c r="BN396" s="169"/>
      <c r="BO396" s="169"/>
      <c r="BP396" s="169"/>
      <c r="BQ396" s="169"/>
      <c r="BR396" s="169"/>
      <c r="BS396" s="169"/>
      <c r="BT396" s="169"/>
      <c r="BU396" s="169"/>
      <c r="BV396" s="169"/>
      <c r="BW396" s="169"/>
      <c r="BX396" s="169"/>
      <c r="BY396" s="169"/>
      <c r="BZ396" s="169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</row>
    <row r="397" spans="12:91" ht="11.4">
      <c r="L397" s="150"/>
      <c r="M397" s="511"/>
      <c r="N397" s="512"/>
      <c r="O397" s="446"/>
      <c r="AB397" s="251"/>
      <c r="AC397" s="251"/>
      <c r="AD397" s="251"/>
      <c r="AE397" s="241"/>
      <c r="AF397" s="241"/>
      <c r="AG397" s="241"/>
      <c r="AH397" s="169"/>
      <c r="AI397" s="169"/>
      <c r="AJ397" s="169"/>
      <c r="AK397" s="169"/>
      <c r="AL397" s="169"/>
      <c r="AM397" s="169"/>
      <c r="AN397" s="169"/>
      <c r="AO397" s="169"/>
      <c r="AP397" s="169"/>
      <c r="AQ397" s="169"/>
      <c r="AR397" s="169"/>
      <c r="AS397" s="169"/>
      <c r="AT397" s="169"/>
      <c r="AU397" s="169"/>
      <c r="AV397" s="169"/>
      <c r="AW397" s="169"/>
      <c r="AX397" s="169"/>
      <c r="AY397" s="169"/>
      <c r="AZ397" s="169"/>
      <c r="BA397" s="169"/>
      <c r="BB397" s="169"/>
      <c r="BC397" s="169"/>
      <c r="BD397" s="169"/>
      <c r="BE397" s="169"/>
      <c r="BF397" s="169"/>
      <c r="BG397" s="169"/>
      <c r="BH397" s="169"/>
      <c r="BI397" s="169"/>
      <c r="BJ397" s="169"/>
      <c r="BK397" s="169"/>
      <c r="BL397" s="169"/>
      <c r="BM397" s="169"/>
      <c r="BN397" s="169"/>
      <c r="BO397" s="169"/>
      <c r="BP397" s="169"/>
      <c r="BQ397" s="169"/>
      <c r="BR397" s="169"/>
      <c r="BS397" s="169"/>
      <c r="BT397" s="169"/>
      <c r="BU397" s="169"/>
      <c r="BV397" s="169"/>
      <c r="BW397" s="169"/>
      <c r="BX397" s="169"/>
      <c r="BY397" s="169"/>
      <c r="BZ397" s="169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</row>
    <row r="398" spans="12:91" ht="11.25" customHeight="1">
      <c r="L398" s="150"/>
      <c r="M398" s="511"/>
      <c r="N398" s="512"/>
      <c r="O398" s="446"/>
      <c r="AB398" s="251"/>
      <c r="AC398" s="251"/>
      <c r="AD398" s="251"/>
      <c r="AE398" s="241"/>
      <c r="AF398" s="241"/>
      <c r="AG398" s="241"/>
      <c r="AH398" s="169"/>
      <c r="AI398" s="169"/>
      <c r="AJ398" s="169"/>
      <c r="AK398" s="169"/>
      <c r="AL398" s="169"/>
      <c r="AM398" s="169"/>
      <c r="AN398" s="169"/>
      <c r="AO398" s="169"/>
      <c r="AP398" s="169"/>
      <c r="AQ398" s="169"/>
      <c r="AR398" s="169"/>
      <c r="AS398" s="169"/>
      <c r="AT398" s="169"/>
      <c r="AU398" s="169"/>
      <c r="AV398" s="169"/>
      <c r="AW398" s="169"/>
      <c r="AX398" s="169"/>
      <c r="AY398" s="169"/>
      <c r="AZ398" s="169"/>
      <c r="BA398" s="169"/>
      <c r="BB398" s="169"/>
      <c r="BC398" s="169"/>
      <c r="BD398" s="169"/>
      <c r="BE398" s="169"/>
      <c r="BF398" s="169"/>
      <c r="BG398" s="169"/>
      <c r="BH398" s="169"/>
      <c r="BI398" s="169"/>
      <c r="BJ398" s="169"/>
      <c r="BK398" s="169"/>
      <c r="BL398" s="169"/>
      <c r="BM398" s="169"/>
      <c r="BN398" s="169"/>
      <c r="BO398" s="169"/>
      <c r="BP398" s="169"/>
      <c r="BQ398" s="169"/>
      <c r="BR398" s="169"/>
      <c r="BS398" s="169"/>
      <c r="BT398" s="169"/>
      <c r="BU398" s="169"/>
      <c r="BV398" s="169"/>
      <c r="BW398" s="169"/>
      <c r="BX398" s="169"/>
      <c r="BY398" s="169"/>
      <c r="BZ398" s="169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</row>
    <row r="399" spans="12:91" ht="11.4">
      <c r="L399" s="150"/>
      <c r="M399" s="511"/>
      <c r="N399" s="512"/>
      <c r="O399" s="446"/>
      <c r="AB399" s="251"/>
      <c r="AC399" s="251"/>
      <c r="AD399" s="251"/>
      <c r="AE399" s="241"/>
      <c r="AF399" s="241"/>
      <c r="AG399" s="241"/>
      <c r="AH399" s="169"/>
      <c r="AI399" s="169"/>
      <c r="AJ399" s="169"/>
      <c r="AK399" s="169"/>
      <c r="AL399" s="169"/>
      <c r="AM399" s="169"/>
      <c r="AN399" s="169"/>
      <c r="AO399" s="169"/>
      <c r="AP399" s="169"/>
      <c r="AQ399" s="169"/>
      <c r="AR399" s="169"/>
      <c r="AS399" s="169"/>
      <c r="AT399" s="169"/>
      <c r="AU399" s="169"/>
      <c r="AV399" s="169"/>
      <c r="AW399" s="169"/>
      <c r="AX399" s="169"/>
      <c r="AY399" s="169"/>
      <c r="AZ399" s="169"/>
      <c r="BA399" s="169"/>
      <c r="BB399" s="169"/>
      <c r="BC399" s="169"/>
      <c r="BD399" s="169"/>
      <c r="BE399" s="169"/>
      <c r="BF399" s="169"/>
      <c r="BG399" s="169"/>
      <c r="BH399" s="169"/>
      <c r="BI399" s="169"/>
      <c r="BJ399" s="169"/>
      <c r="BK399" s="169"/>
      <c r="BL399" s="169"/>
      <c r="BM399" s="169"/>
      <c r="BN399" s="169"/>
      <c r="BO399" s="169"/>
      <c r="BP399" s="169"/>
      <c r="BQ399" s="169"/>
      <c r="BR399" s="169"/>
      <c r="BS399" s="169"/>
      <c r="BT399" s="169"/>
      <c r="BU399" s="169"/>
      <c r="BV399" s="169"/>
      <c r="BW399" s="169"/>
      <c r="BX399" s="169"/>
      <c r="BY399" s="169"/>
      <c r="BZ399" s="16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</row>
    <row r="400" spans="12:91" ht="11.4">
      <c r="L400" s="150"/>
      <c r="M400" s="511"/>
      <c r="N400" s="512"/>
      <c r="O400" s="446"/>
      <c r="AB400" s="251"/>
      <c r="AC400" s="251"/>
      <c r="AD400" s="251"/>
      <c r="AE400" s="241"/>
      <c r="AF400" s="241"/>
      <c r="AG400" s="241"/>
      <c r="AH400" s="169"/>
      <c r="AI400" s="169"/>
      <c r="AJ400" s="169"/>
      <c r="AK400" s="169"/>
      <c r="AL400" s="169"/>
      <c r="AM400" s="169"/>
      <c r="AN400" s="169"/>
      <c r="AO400" s="169"/>
      <c r="AP400" s="169"/>
      <c r="AQ400" s="169"/>
      <c r="AR400" s="169"/>
      <c r="AS400" s="169"/>
      <c r="AT400" s="169"/>
      <c r="AU400" s="169"/>
      <c r="AV400" s="169"/>
      <c r="AW400" s="169"/>
      <c r="AX400" s="169"/>
      <c r="AY400" s="169"/>
      <c r="AZ400" s="169"/>
      <c r="BA400" s="169"/>
      <c r="BB400" s="169"/>
      <c r="BC400" s="169"/>
      <c r="BD400" s="169"/>
      <c r="BE400" s="169"/>
      <c r="BF400" s="169"/>
      <c r="BG400" s="169"/>
      <c r="BH400" s="169"/>
      <c r="BI400" s="169"/>
      <c r="BJ400" s="169"/>
      <c r="BK400" s="169"/>
      <c r="BL400" s="169"/>
      <c r="BM400" s="169"/>
      <c r="BN400" s="169"/>
      <c r="BO400" s="169"/>
      <c r="BP400" s="169"/>
      <c r="BQ400" s="169"/>
      <c r="BR400" s="169"/>
      <c r="BS400" s="169"/>
      <c r="BT400" s="169"/>
      <c r="BU400" s="169"/>
      <c r="BV400" s="169"/>
      <c r="BW400" s="169"/>
      <c r="BX400" s="169"/>
      <c r="BY400" s="169"/>
      <c r="BZ400" s="169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</row>
    <row r="401" spans="12:91" ht="11.4">
      <c r="L401" s="150"/>
      <c r="M401" s="511"/>
      <c r="N401" s="512"/>
      <c r="O401" s="446"/>
      <c r="AB401" s="251"/>
      <c r="AC401" s="251"/>
      <c r="AD401" s="251"/>
      <c r="AE401" s="241"/>
      <c r="AF401" s="241"/>
      <c r="AG401" s="241"/>
      <c r="AH401" s="169"/>
      <c r="AI401" s="169"/>
      <c r="AJ401" s="169"/>
      <c r="AK401" s="169"/>
      <c r="AL401" s="169"/>
      <c r="AM401" s="169"/>
      <c r="AN401" s="169"/>
      <c r="AO401" s="169"/>
      <c r="AP401" s="169"/>
      <c r="AQ401" s="169"/>
      <c r="AR401" s="169"/>
      <c r="AS401" s="169"/>
      <c r="AT401" s="169"/>
      <c r="AU401" s="169"/>
      <c r="AV401" s="169"/>
      <c r="AW401" s="169"/>
      <c r="AX401" s="169"/>
      <c r="AY401" s="169"/>
      <c r="AZ401" s="169"/>
      <c r="BA401" s="169"/>
      <c r="BB401" s="169"/>
      <c r="BC401" s="169"/>
      <c r="BD401" s="169"/>
      <c r="BE401" s="169"/>
      <c r="BF401" s="169"/>
      <c r="BG401" s="169"/>
      <c r="BH401" s="169"/>
      <c r="BI401" s="169"/>
      <c r="BJ401" s="169"/>
      <c r="BK401" s="169"/>
      <c r="BL401" s="169"/>
      <c r="BM401" s="169"/>
      <c r="BN401" s="169"/>
      <c r="BO401" s="169"/>
      <c r="BP401" s="169"/>
      <c r="BQ401" s="169"/>
      <c r="BR401" s="169"/>
      <c r="BS401" s="169"/>
      <c r="BT401" s="169"/>
      <c r="BU401" s="169"/>
      <c r="BV401" s="169"/>
      <c r="BW401" s="169"/>
      <c r="BX401" s="169"/>
      <c r="BY401" s="169"/>
      <c r="BZ401" s="169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</row>
    <row r="402" spans="12:91" ht="11.4">
      <c r="L402" s="150"/>
      <c r="M402" s="511"/>
      <c r="N402" s="512"/>
      <c r="O402" s="446"/>
      <c r="AB402" s="251"/>
      <c r="AC402" s="251"/>
      <c r="AD402" s="251"/>
      <c r="AE402" s="241"/>
      <c r="AF402" s="241"/>
      <c r="AG402" s="241"/>
      <c r="AH402" s="169"/>
      <c r="AI402" s="169"/>
      <c r="AJ402" s="169"/>
      <c r="AK402" s="169"/>
      <c r="AL402" s="169"/>
      <c r="AM402" s="169"/>
      <c r="AN402" s="169"/>
      <c r="AO402" s="169"/>
      <c r="AP402" s="169"/>
      <c r="AQ402" s="169"/>
      <c r="AR402" s="169"/>
      <c r="AS402" s="169"/>
      <c r="AT402" s="169"/>
      <c r="AU402" s="169"/>
      <c r="AV402" s="169"/>
      <c r="AW402" s="169"/>
      <c r="AX402" s="169"/>
      <c r="AY402" s="169"/>
      <c r="AZ402" s="169"/>
      <c r="BA402" s="169"/>
      <c r="BB402" s="169"/>
      <c r="BC402" s="169"/>
      <c r="BD402" s="169"/>
      <c r="BE402" s="169"/>
      <c r="BF402" s="169"/>
      <c r="BG402" s="169"/>
      <c r="BH402" s="169"/>
      <c r="BI402" s="169"/>
      <c r="BJ402" s="169"/>
      <c r="BK402" s="169"/>
      <c r="BL402" s="169"/>
      <c r="BM402" s="169"/>
      <c r="BN402" s="169"/>
      <c r="BO402" s="169"/>
      <c r="BP402" s="169"/>
      <c r="BQ402" s="169"/>
      <c r="BR402" s="169"/>
      <c r="BS402" s="169"/>
      <c r="BT402" s="169"/>
      <c r="BU402" s="169"/>
      <c r="BV402" s="169"/>
      <c r="BW402" s="169"/>
      <c r="BX402" s="169"/>
      <c r="BY402" s="169"/>
      <c r="BZ402" s="169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</row>
    <row r="403" spans="12:91" ht="11.4">
      <c r="L403" s="150"/>
      <c r="M403" s="511"/>
      <c r="N403" s="512"/>
      <c r="O403" s="446"/>
      <c r="AB403" s="251"/>
      <c r="AC403" s="251"/>
      <c r="AD403" s="251"/>
      <c r="AE403" s="241"/>
      <c r="AF403" s="241"/>
      <c r="AG403" s="241"/>
      <c r="AH403" s="169"/>
      <c r="AI403" s="169"/>
      <c r="AJ403" s="169"/>
      <c r="AK403" s="169"/>
      <c r="AL403" s="169"/>
      <c r="AM403" s="169"/>
      <c r="AN403" s="169"/>
      <c r="AO403" s="169"/>
      <c r="AP403" s="169"/>
      <c r="AQ403" s="169"/>
      <c r="AR403" s="169"/>
      <c r="AS403" s="169"/>
      <c r="AT403" s="169"/>
      <c r="AU403" s="169"/>
      <c r="AV403" s="169"/>
      <c r="AW403" s="169"/>
      <c r="AX403" s="169"/>
      <c r="AY403" s="169"/>
      <c r="AZ403" s="169"/>
      <c r="BA403" s="169"/>
      <c r="BB403" s="169"/>
      <c r="BC403" s="169"/>
      <c r="BD403" s="169"/>
      <c r="BE403" s="169"/>
      <c r="BF403" s="169"/>
      <c r="BG403" s="169"/>
      <c r="BH403" s="169"/>
      <c r="BI403" s="169"/>
      <c r="BJ403" s="169"/>
      <c r="BK403" s="169"/>
      <c r="BL403" s="169"/>
      <c r="BM403" s="169"/>
      <c r="BN403" s="169"/>
      <c r="BO403" s="169"/>
      <c r="BP403" s="169"/>
      <c r="BQ403" s="169"/>
      <c r="BR403" s="169"/>
      <c r="BS403" s="169"/>
      <c r="BT403" s="169"/>
      <c r="BU403" s="169"/>
      <c r="BV403" s="169"/>
      <c r="BW403" s="169"/>
      <c r="BX403" s="169"/>
      <c r="BY403" s="169"/>
      <c r="BZ403" s="169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</row>
    <row r="404" spans="12:91" ht="11.4">
      <c r="L404" s="150"/>
      <c r="M404" s="511"/>
      <c r="N404" s="512"/>
      <c r="O404" s="446"/>
      <c r="AB404" s="251"/>
      <c r="AC404" s="251"/>
      <c r="AD404" s="251"/>
      <c r="AE404" s="241"/>
      <c r="AF404" s="241"/>
      <c r="AG404" s="241"/>
      <c r="AH404" s="169"/>
      <c r="AI404" s="169"/>
      <c r="AJ404" s="169"/>
      <c r="AK404" s="169"/>
      <c r="AL404" s="169"/>
      <c r="AM404" s="169"/>
      <c r="AN404" s="169"/>
      <c r="AO404" s="169"/>
      <c r="AP404" s="169"/>
      <c r="AQ404" s="169"/>
      <c r="AR404" s="169"/>
      <c r="AS404" s="169"/>
      <c r="AT404" s="169"/>
      <c r="AU404" s="169"/>
      <c r="AV404" s="169"/>
      <c r="AW404" s="169"/>
      <c r="AX404" s="169"/>
      <c r="AY404" s="169"/>
      <c r="AZ404" s="169"/>
      <c r="BA404" s="169"/>
      <c r="BB404" s="169"/>
      <c r="BC404" s="169"/>
      <c r="BD404" s="169"/>
      <c r="BE404" s="169"/>
      <c r="BF404" s="169"/>
      <c r="BG404" s="169"/>
      <c r="BH404" s="169"/>
      <c r="BI404" s="169"/>
      <c r="BJ404" s="169"/>
      <c r="BK404" s="169"/>
      <c r="BL404" s="169"/>
      <c r="BM404" s="169"/>
      <c r="BN404" s="169"/>
      <c r="BO404" s="169"/>
      <c r="BP404" s="169"/>
      <c r="BQ404" s="169"/>
      <c r="BR404" s="169"/>
      <c r="BS404" s="169"/>
      <c r="BT404" s="169"/>
      <c r="BU404" s="169"/>
      <c r="BV404" s="169"/>
      <c r="BW404" s="169"/>
      <c r="BX404" s="169"/>
      <c r="BY404" s="169"/>
      <c r="BZ404" s="169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</row>
    <row r="405" spans="12:91" ht="11.4">
      <c r="L405" s="150"/>
      <c r="M405" s="511"/>
      <c r="N405" s="512"/>
      <c r="O405" s="446"/>
      <c r="AB405" s="251"/>
      <c r="AC405" s="251"/>
      <c r="AD405" s="251"/>
      <c r="AE405" s="241"/>
      <c r="AF405" s="241"/>
      <c r="AG405" s="241"/>
      <c r="AH405" s="169"/>
      <c r="AI405" s="169"/>
      <c r="AJ405" s="169"/>
      <c r="AK405" s="169"/>
      <c r="AL405" s="169"/>
      <c r="AM405" s="169"/>
      <c r="AN405" s="169"/>
      <c r="AO405" s="169"/>
      <c r="AP405" s="169"/>
      <c r="AQ405" s="169"/>
      <c r="AR405" s="169"/>
      <c r="AS405" s="169"/>
      <c r="AT405" s="169"/>
      <c r="AU405" s="169"/>
      <c r="AV405" s="169"/>
      <c r="AW405" s="169"/>
      <c r="AX405" s="169"/>
      <c r="AY405" s="169"/>
      <c r="AZ405" s="169"/>
      <c r="BA405" s="169"/>
      <c r="BB405" s="169"/>
      <c r="BC405" s="169"/>
      <c r="BD405" s="169"/>
      <c r="BE405" s="169"/>
      <c r="BF405" s="169"/>
      <c r="BG405" s="169"/>
      <c r="BH405" s="169"/>
      <c r="BI405" s="169"/>
      <c r="BJ405" s="169"/>
      <c r="BK405" s="169"/>
      <c r="BL405" s="169"/>
      <c r="BM405" s="169"/>
      <c r="BN405" s="169"/>
      <c r="BO405" s="169"/>
      <c r="BP405" s="169"/>
      <c r="BQ405" s="169"/>
      <c r="BR405" s="169"/>
      <c r="BS405" s="169"/>
      <c r="BT405" s="169"/>
      <c r="BU405" s="169"/>
      <c r="BV405" s="169"/>
      <c r="BW405" s="169"/>
      <c r="BX405" s="169"/>
      <c r="BY405" s="169"/>
      <c r="BZ405" s="169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</row>
    <row r="406" spans="12:91" ht="11.4">
      <c r="L406" s="150"/>
      <c r="M406" s="511"/>
      <c r="N406" s="512"/>
      <c r="O406" s="446"/>
      <c r="AB406" s="251"/>
      <c r="AC406" s="251"/>
      <c r="AD406" s="251"/>
      <c r="AE406" s="241"/>
      <c r="AF406" s="241"/>
      <c r="AG406" s="241"/>
      <c r="AH406" s="169"/>
      <c r="AI406" s="169"/>
      <c r="AJ406" s="169"/>
      <c r="AK406" s="169"/>
      <c r="AL406" s="169"/>
      <c r="AM406" s="169"/>
      <c r="AN406" s="169"/>
      <c r="AO406" s="169"/>
      <c r="AP406" s="169"/>
      <c r="AQ406" s="169"/>
      <c r="AR406" s="169"/>
      <c r="AS406" s="169"/>
      <c r="AT406" s="169"/>
      <c r="AU406" s="169"/>
      <c r="AV406" s="169"/>
      <c r="AW406" s="169"/>
      <c r="AX406" s="169"/>
      <c r="AY406" s="169"/>
      <c r="AZ406" s="169"/>
      <c r="BA406" s="169"/>
      <c r="BB406" s="169"/>
      <c r="BC406" s="169"/>
      <c r="BD406" s="169"/>
      <c r="BE406" s="169"/>
      <c r="BF406" s="169"/>
      <c r="BG406" s="169"/>
      <c r="BH406" s="169"/>
      <c r="BI406" s="169"/>
      <c r="BJ406" s="169"/>
      <c r="BK406" s="169"/>
      <c r="BL406" s="169"/>
      <c r="BM406" s="169"/>
      <c r="BN406" s="169"/>
      <c r="BO406" s="169"/>
      <c r="BP406" s="169"/>
      <c r="BQ406" s="169"/>
      <c r="BR406" s="169"/>
      <c r="BS406" s="169"/>
      <c r="BT406" s="169"/>
      <c r="BU406" s="169"/>
      <c r="BV406" s="169"/>
      <c r="BW406" s="169"/>
      <c r="BX406" s="169"/>
      <c r="BY406" s="169"/>
      <c r="BZ406" s="169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</row>
    <row r="407" spans="12:91" ht="11.4">
      <c r="L407" s="150"/>
      <c r="M407" s="511"/>
      <c r="N407" s="512"/>
      <c r="O407" s="446"/>
      <c r="AB407" s="251"/>
      <c r="AC407" s="251"/>
      <c r="AD407" s="251"/>
      <c r="AE407" s="241"/>
      <c r="AF407" s="241"/>
      <c r="AG407" s="241"/>
      <c r="AH407" s="169"/>
      <c r="AI407" s="169"/>
      <c r="AJ407" s="169"/>
      <c r="AK407" s="169"/>
      <c r="AL407" s="169"/>
      <c r="AM407" s="169"/>
      <c r="AN407" s="169"/>
      <c r="AO407" s="169"/>
      <c r="AP407" s="169"/>
      <c r="AQ407" s="169"/>
      <c r="AR407" s="169"/>
      <c r="AS407" s="169"/>
      <c r="AT407" s="169"/>
      <c r="AU407" s="169"/>
      <c r="AV407" s="169"/>
      <c r="AW407" s="169"/>
      <c r="AX407" s="169"/>
      <c r="AY407" s="169"/>
      <c r="AZ407" s="169"/>
      <c r="BA407" s="169"/>
      <c r="BB407" s="169"/>
      <c r="BC407" s="169"/>
      <c r="BD407" s="169"/>
      <c r="BE407" s="169"/>
      <c r="BF407" s="169"/>
      <c r="BG407" s="169"/>
      <c r="BH407" s="169"/>
      <c r="BI407" s="169"/>
      <c r="BJ407" s="169"/>
      <c r="BK407" s="169"/>
      <c r="BL407" s="169"/>
      <c r="BM407" s="169"/>
      <c r="BN407" s="169"/>
      <c r="BO407" s="169"/>
      <c r="BP407" s="169"/>
      <c r="BQ407" s="169"/>
      <c r="BR407" s="169"/>
      <c r="BS407" s="169"/>
      <c r="BT407" s="169"/>
      <c r="BU407" s="169"/>
      <c r="BV407" s="169"/>
      <c r="BW407" s="169"/>
      <c r="BX407" s="169"/>
      <c r="BY407" s="169"/>
      <c r="BZ407" s="169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</row>
    <row r="408" spans="12:91" ht="11.25" customHeight="1">
      <c r="L408" s="150"/>
      <c r="M408" s="511"/>
      <c r="N408" s="512"/>
      <c r="O408" s="446"/>
      <c r="AB408" s="251"/>
      <c r="AC408" s="251"/>
      <c r="AD408" s="251"/>
      <c r="AE408" s="241"/>
      <c r="AF408" s="241"/>
      <c r="AG408" s="241"/>
      <c r="AH408" s="169"/>
      <c r="AI408" s="169"/>
      <c r="AJ408" s="169"/>
      <c r="AK408" s="169"/>
      <c r="AL408" s="169"/>
      <c r="AM408" s="169"/>
      <c r="AN408" s="169"/>
      <c r="AO408" s="169"/>
      <c r="AP408" s="169"/>
      <c r="AQ408" s="169"/>
      <c r="AR408" s="169"/>
      <c r="AS408" s="169"/>
      <c r="AT408" s="169"/>
      <c r="AU408" s="169"/>
      <c r="AV408" s="169"/>
      <c r="AW408" s="169"/>
      <c r="AX408" s="169"/>
      <c r="AY408" s="169"/>
      <c r="AZ408" s="169"/>
      <c r="BA408" s="169"/>
      <c r="BB408" s="169"/>
      <c r="BC408" s="169"/>
      <c r="BD408" s="169"/>
      <c r="BE408" s="169"/>
      <c r="BF408" s="169"/>
      <c r="BG408" s="169"/>
      <c r="BH408" s="169"/>
      <c r="BI408" s="169"/>
      <c r="BJ408" s="169"/>
      <c r="BK408" s="169"/>
      <c r="BL408" s="169"/>
      <c r="BM408" s="169"/>
      <c r="BN408" s="169"/>
      <c r="BO408" s="169"/>
      <c r="BP408" s="169"/>
      <c r="BQ408" s="169"/>
      <c r="BR408" s="169"/>
      <c r="BS408" s="169"/>
      <c r="BT408" s="169"/>
      <c r="BU408" s="169"/>
      <c r="BV408" s="169"/>
      <c r="BW408" s="169"/>
      <c r="BX408" s="169"/>
      <c r="BY408" s="169"/>
      <c r="BZ408" s="169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</row>
    <row r="409" spans="12:91" ht="11.4">
      <c r="L409" s="150"/>
      <c r="M409" s="511"/>
      <c r="N409" s="512"/>
      <c r="O409" s="446"/>
      <c r="AB409" s="251"/>
      <c r="AC409" s="251"/>
      <c r="AD409" s="251"/>
      <c r="AE409" s="241"/>
      <c r="AF409" s="241"/>
      <c r="AG409" s="241"/>
      <c r="AH409" s="169"/>
      <c r="AI409" s="169"/>
      <c r="AJ409" s="169"/>
      <c r="AK409" s="169"/>
      <c r="AL409" s="169"/>
      <c r="AM409" s="169"/>
      <c r="AN409" s="169"/>
      <c r="AO409" s="169"/>
      <c r="AP409" s="169"/>
      <c r="AQ409" s="169"/>
      <c r="AR409" s="169"/>
      <c r="AS409" s="169"/>
      <c r="AT409" s="169"/>
      <c r="AU409" s="169"/>
      <c r="AV409" s="169"/>
      <c r="AW409" s="169"/>
      <c r="AX409" s="169"/>
      <c r="AY409" s="169"/>
      <c r="AZ409" s="169"/>
      <c r="BA409" s="169"/>
      <c r="BB409" s="169"/>
      <c r="BC409" s="169"/>
      <c r="BD409" s="169"/>
      <c r="BE409" s="169"/>
      <c r="BF409" s="169"/>
      <c r="BG409" s="169"/>
      <c r="BH409" s="169"/>
      <c r="BI409" s="169"/>
      <c r="BJ409" s="169"/>
      <c r="BK409" s="169"/>
      <c r="BL409" s="169"/>
      <c r="BM409" s="169"/>
      <c r="BN409" s="169"/>
      <c r="BO409" s="169"/>
      <c r="BP409" s="169"/>
      <c r="BQ409" s="169"/>
      <c r="BR409" s="169"/>
      <c r="BS409" s="169"/>
      <c r="BT409" s="169"/>
      <c r="BU409" s="169"/>
      <c r="BV409" s="169"/>
      <c r="BW409" s="169"/>
      <c r="BX409" s="169"/>
      <c r="BY409" s="169"/>
      <c r="BZ409" s="16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</row>
    <row r="410" spans="12:91" ht="11.4">
      <c r="L410" s="150"/>
      <c r="M410" s="511"/>
      <c r="N410" s="512"/>
      <c r="O410" s="446"/>
      <c r="AB410" s="251"/>
      <c r="AC410" s="251"/>
      <c r="AD410" s="251"/>
      <c r="AE410" s="241"/>
      <c r="AF410" s="241"/>
      <c r="AG410" s="241"/>
      <c r="AH410" s="169"/>
      <c r="AI410" s="169"/>
      <c r="AJ410" s="169"/>
      <c r="AK410" s="169"/>
      <c r="AL410" s="169"/>
      <c r="AM410" s="169"/>
      <c r="AN410" s="169"/>
      <c r="AO410" s="169"/>
      <c r="AP410" s="169"/>
      <c r="AQ410" s="169"/>
      <c r="AR410" s="169"/>
      <c r="AS410" s="169"/>
      <c r="AT410" s="169"/>
      <c r="AU410" s="169"/>
      <c r="AV410" s="169"/>
      <c r="AW410" s="169"/>
      <c r="AX410" s="169"/>
      <c r="AY410" s="169"/>
      <c r="AZ410" s="169"/>
      <c r="BA410" s="169"/>
      <c r="BB410" s="169"/>
      <c r="BC410" s="169"/>
      <c r="BD410" s="169"/>
      <c r="BE410" s="169"/>
      <c r="BF410" s="169"/>
      <c r="BG410" s="169"/>
      <c r="BH410" s="169"/>
      <c r="BI410" s="169"/>
      <c r="BJ410" s="169"/>
      <c r="BK410" s="169"/>
      <c r="BL410" s="169"/>
      <c r="BM410" s="169"/>
      <c r="BN410" s="169"/>
      <c r="BO410" s="169"/>
      <c r="BP410" s="169"/>
      <c r="BQ410" s="169"/>
      <c r="BR410" s="169"/>
      <c r="BS410" s="169"/>
      <c r="BT410" s="169"/>
      <c r="BU410" s="169"/>
      <c r="BV410" s="169"/>
      <c r="BW410" s="169"/>
      <c r="BX410" s="169"/>
      <c r="BY410" s="169"/>
      <c r="BZ410" s="169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</row>
    <row r="411" spans="12:91" ht="11.4">
      <c r="L411" s="150"/>
      <c r="M411" s="511"/>
      <c r="N411" s="512"/>
      <c r="O411" s="446"/>
      <c r="AB411" s="251"/>
      <c r="AC411" s="251"/>
      <c r="AD411" s="251"/>
      <c r="AE411" s="241"/>
      <c r="AF411" s="241"/>
      <c r="AG411" s="241"/>
      <c r="AH411" s="169"/>
      <c r="AI411" s="169"/>
      <c r="AJ411" s="169"/>
      <c r="AK411" s="169"/>
      <c r="AL411" s="169"/>
      <c r="AM411" s="169"/>
      <c r="AN411" s="169"/>
      <c r="AO411" s="169"/>
      <c r="AP411" s="169"/>
      <c r="AQ411" s="169"/>
      <c r="AR411" s="169"/>
      <c r="AS411" s="169"/>
      <c r="AT411" s="169"/>
      <c r="AU411" s="169"/>
      <c r="AV411" s="169"/>
      <c r="AW411" s="169"/>
      <c r="AX411" s="169"/>
      <c r="AY411" s="169"/>
      <c r="AZ411" s="169"/>
      <c r="BA411" s="169"/>
      <c r="BB411" s="169"/>
      <c r="BC411" s="169"/>
      <c r="BD411" s="169"/>
      <c r="BE411" s="169"/>
      <c r="BF411" s="169"/>
      <c r="BG411" s="169"/>
      <c r="BH411" s="169"/>
      <c r="BI411" s="169"/>
      <c r="BJ411" s="169"/>
      <c r="BK411" s="169"/>
      <c r="BL411" s="169"/>
      <c r="BM411" s="169"/>
      <c r="BN411" s="169"/>
      <c r="BO411" s="169"/>
      <c r="BP411" s="169"/>
      <c r="BQ411" s="169"/>
      <c r="BR411" s="169"/>
      <c r="BS411" s="169"/>
      <c r="BT411" s="169"/>
      <c r="BU411" s="169"/>
      <c r="BV411" s="169"/>
      <c r="BW411" s="169"/>
      <c r="BX411" s="169"/>
      <c r="BY411" s="169"/>
      <c r="BZ411" s="169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</row>
    <row r="412" spans="12:91" ht="11.4">
      <c r="L412" s="150"/>
      <c r="M412" s="511"/>
      <c r="N412" s="512"/>
      <c r="O412" s="446"/>
      <c r="AB412" s="251"/>
      <c r="AC412" s="251"/>
      <c r="AD412" s="251"/>
      <c r="AE412" s="241"/>
      <c r="AF412" s="241"/>
      <c r="AG412" s="241"/>
      <c r="AH412" s="169"/>
      <c r="AI412" s="169"/>
      <c r="AJ412" s="169"/>
      <c r="AK412" s="169"/>
      <c r="AL412" s="169"/>
      <c r="AM412" s="169"/>
      <c r="AN412" s="169"/>
      <c r="AO412" s="169"/>
      <c r="AP412" s="169"/>
      <c r="AQ412" s="169"/>
      <c r="AR412" s="169"/>
      <c r="AS412" s="169"/>
      <c r="AT412" s="169"/>
      <c r="AU412" s="169"/>
      <c r="AV412" s="169"/>
      <c r="AW412" s="169"/>
      <c r="AX412" s="169"/>
      <c r="AY412" s="169"/>
      <c r="AZ412" s="169"/>
      <c r="BA412" s="169"/>
      <c r="BB412" s="169"/>
      <c r="BC412" s="169"/>
      <c r="BD412" s="169"/>
      <c r="BE412" s="169"/>
      <c r="BF412" s="169"/>
      <c r="BG412" s="169"/>
      <c r="BH412" s="169"/>
      <c r="BI412" s="169"/>
      <c r="BJ412" s="169"/>
      <c r="BK412" s="169"/>
      <c r="BL412" s="169"/>
      <c r="BM412" s="169"/>
      <c r="BN412" s="169"/>
      <c r="BO412" s="169"/>
      <c r="BP412" s="169"/>
      <c r="BQ412" s="169"/>
      <c r="BR412" s="169"/>
      <c r="BS412" s="169"/>
      <c r="BT412" s="169"/>
      <c r="BU412" s="169"/>
      <c r="BV412" s="169"/>
      <c r="BW412" s="169"/>
      <c r="BX412" s="169"/>
      <c r="BY412" s="169"/>
      <c r="BZ412" s="169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</row>
    <row r="413" spans="12:91" ht="11.4">
      <c r="L413" s="150"/>
      <c r="M413" s="511"/>
      <c r="N413" s="512"/>
      <c r="O413" s="446"/>
      <c r="AB413" s="251"/>
      <c r="AC413" s="251"/>
      <c r="AD413" s="251"/>
      <c r="AE413" s="241"/>
      <c r="AF413" s="241"/>
      <c r="AG413" s="241"/>
      <c r="AH413" s="169"/>
      <c r="AI413" s="169"/>
      <c r="AJ413" s="169"/>
      <c r="AK413" s="169"/>
      <c r="AL413" s="169"/>
      <c r="AM413" s="169"/>
      <c r="AN413" s="169"/>
      <c r="AO413" s="169"/>
      <c r="AP413" s="169"/>
      <c r="AQ413" s="169"/>
      <c r="AR413" s="169"/>
      <c r="AS413" s="169"/>
      <c r="AT413" s="169"/>
      <c r="AU413" s="169"/>
      <c r="AV413" s="169"/>
      <c r="AW413" s="169"/>
      <c r="AX413" s="169"/>
      <c r="AY413" s="169"/>
      <c r="AZ413" s="169"/>
      <c r="BA413" s="169"/>
      <c r="BB413" s="169"/>
      <c r="BC413" s="169"/>
      <c r="BD413" s="169"/>
      <c r="BE413" s="169"/>
      <c r="BF413" s="169"/>
      <c r="BG413" s="169"/>
      <c r="BH413" s="169"/>
      <c r="BI413" s="169"/>
      <c r="BJ413" s="169"/>
      <c r="BK413" s="169"/>
      <c r="BL413" s="169"/>
      <c r="BM413" s="169"/>
      <c r="BN413" s="169"/>
      <c r="BO413" s="169"/>
      <c r="BP413" s="169"/>
      <c r="BQ413" s="169"/>
      <c r="BR413" s="169"/>
      <c r="BS413" s="169"/>
      <c r="BT413" s="169"/>
      <c r="BU413" s="169"/>
      <c r="BV413" s="169"/>
      <c r="BW413" s="169"/>
      <c r="BX413" s="169"/>
      <c r="BY413" s="169"/>
      <c r="BZ413" s="169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</row>
    <row r="414" spans="12:91" ht="11.4">
      <c r="L414" s="150"/>
      <c r="M414" s="511"/>
      <c r="N414" s="512"/>
      <c r="O414" s="446"/>
      <c r="AB414" s="251"/>
      <c r="AC414" s="251"/>
      <c r="AD414" s="251"/>
      <c r="AE414" s="241"/>
      <c r="AF414" s="241"/>
      <c r="AG414" s="241"/>
      <c r="AH414" s="169"/>
      <c r="AI414" s="169"/>
      <c r="AJ414" s="169"/>
      <c r="AK414" s="169"/>
      <c r="AL414" s="169"/>
      <c r="AM414" s="169"/>
      <c r="AN414" s="169"/>
      <c r="AO414" s="169"/>
      <c r="AP414" s="169"/>
      <c r="AQ414" s="169"/>
      <c r="AR414" s="169"/>
      <c r="AS414" s="169"/>
      <c r="AT414" s="169"/>
      <c r="AU414" s="169"/>
      <c r="AV414" s="169"/>
      <c r="AW414" s="169"/>
      <c r="AX414" s="169"/>
      <c r="AY414" s="169"/>
      <c r="AZ414" s="169"/>
      <c r="BA414" s="169"/>
      <c r="BB414" s="169"/>
      <c r="BC414" s="169"/>
      <c r="BD414" s="169"/>
      <c r="BE414" s="169"/>
      <c r="BF414" s="169"/>
      <c r="BG414" s="169"/>
      <c r="BH414" s="169"/>
      <c r="BI414" s="169"/>
      <c r="BJ414" s="169"/>
      <c r="BK414" s="169"/>
      <c r="BL414" s="169"/>
      <c r="BM414" s="169"/>
      <c r="BN414" s="169"/>
      <c r="BO414" s="169"/>
      <c r="BP414" s="169"/>
      <c r="BQ414" s="169"/>
      <c r="BR414" s="169"/>
      <c r="BS414" s="169"/>
      <c r="BT414" s="169"/>
      <c r="BU414" s="169"/>
      <c r="BV414" s="169"/>
      <c r="BW414" s="169"/>
      <c r="BX414" s="169"/>
      <c r="BY414" s="169"/>
      <c r="BZ414" s="169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</row>
    <row r="415" spans="12:91" ht="11.4">
      <c r="L415" s="150"/>
      <c r="M415" s="511"/>
      <c r="N415" s="512"/>
      <c r="O415" s="446"/>
      <c r="AB415" s="251"/>
      <c r="AC415" s="251"/>
      <c r="AD415" s="251"/>
      <c r="AE415" s="241"/>
      <c r="AF415" s="241"/>
      <c r="AG415" s="241"/>
      <c r="AH415" s="169"/>
      <c r="AI415" s="169"/>
      <c r="AJ415" s="169"/>
      <c r="AK415" s="169"/>
      <c r="AL415" s="169"/>
      <c r="AM415" s="169"/>
      <c r="AN415" s="169"/>
      <c r="AO415" s="169"/>
      <c r="AP415" s="169"/>
      <c r="AQ415" s="169"/>
      <c r="AR415" s="169"/>
      <c r="AS415" s="169"/>
      <c r="AT415" s="169"/>
      <c r="AU415" s="169"/>
      <c r="AV415" s="169"/>
      <c r="AW415" s="169"/>
      <c r="AX415" s="169"/>
      <c r="AY415" s="169"/>
      <c r="AZ415" s="169"/>
      <c r="BA415" s="169"/>
      <c r="BB415" s="169"/>
      <c r="BC415" s="169"/>
      <c r="BD415" s="169"/>
      <c r="BE415" s="169"/>
      <c r="BF415" s="169"/>
      <c r="BG415" s="169"/>
      <c r="BH415" s="169"/>
      <c r="BI415" s="169"/>
      <c r="BJ415" s="169"/>
      <c r="BK415" s="169"/>
      <c r="BL415" s="169"/>
      <c r="BM415" s="169"/>
      <c r="BN415" s="169"/>
      <c r="BO415" s="169"/>
      <c r="BP415" s="169"/>
      <c r="BQ415" s="169"/>
      <c r="BR415" s="169"/>
      <c r="BS415" s="169"/>
      <c r="BT415" s="169"/>
      <c r="BU415" s="169"/>
      <c r="BV415" s="169"/>
      <c r="BW415" s="169"/>
      <c r="BX415" s="169"/>
      <c r="BY415" s="169"/>
      <c r="BZ415" s="169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</row>
    <row r="416" spans="12:91" ht="11.4">
      <c r="L416" s="150"/>
      <c r="M416" s="511"/>
      <c r="N416" s="512"/>
      <c r="O416" s="446"/>
      <c r="AB416" s="251"/>
      <c r="AC416" s="251"/>
      <c r="AD416" s="251"/>
      <c r="AE416" s="241"/>
      <c r="AF416" s="241"/>
      <c r="AG416" s="241"/>
      <c r="AH416" s="169"/>
      <c r="AI416" s="169"/>
      <c r="AJ416" s="169"/>
      <c r="AK416" s="169"/>
      <c r="AL416" s="169"/>
      <c r="AM416" s="169"/>
      <c r="AN416" s="169"/>
      <c r="AO416" s="169"/>
      <c r="AP416" s="169"/>
      <c r="AQ416" s="169"/>
      <c r="AR416" s="169"/>
      <c r="AS416" s="169"/>
      <c r="AT416" s="169"/>
      <c r="AU416" s="169"/>
      <c r="AV416" s="169"/>
      <c r="AW416" s="169"/>
      <c r="AX416" s="169"/>
      <c r="AY416" s="169"/>
      <c r="AZ416" s="169"/>
      <c r="BA416" s="169"/>
      <c r="BB416" s="169"/>
      <c r="BC416" s="169"/>
      <c r="BD416" s="169"/>
      <c r="BE416" s="169"/>
      <c r="BF416" s="169"/>
      <c r="BG416" s="169"/>
      <c r="BH416" s="169"/>
      <c r="BI416" s="169"/>
      <c r="BJ416" s="169"/>
      <c r="BK416" s="169"/>
      <c r="BL416" s="169"/>
      <c r="BM416" s="169"/>
      <c r="BN416" s="169"/>
      <c r="BO416" s="169"/>
      <c r="BP416" s="169"/>
      <c r="BQ416" s="169"/>
      <c r="BR416" s="169"/>
      <c r="BS416" s="169"/>
      <c r="BT416" s="169"/>
      <c r="BU416" s="169"/>
      <c r="BV416" s="169"/>
      <c r="BW416" s="169"/>
      <c r="BX416" s="169"/>
      <c r="BY416" s="169"/>
      <c r="BZ416" s="169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</row>
    <row r="417" spans="12:91" ht="11.4">
      <c r="L417" s="150"/>
      <c r="M417" s="511"/>
      <c r="N417" s="512"/>
      <c r="O417" s="446"/>
      <c r="AB417" s="251"/>
      <c r="AC417" s="251"/>
      <c r="AD417" s="251"/>
      <c r="AE417" s="241"/>
      <c r="AF417" s="241"/>
      <c r="AG417" s="241"/>
      <c r="AH417" s="169"/>
      <c r="AI417" s="169"/>
      <c r="AJ417" s="169"/>
      <c r="AK417" s="169"/>
      <c r="AL417" s="169"/>
      <c r="AM417" s="169"/>
      <c r="AN417" s="169"/>
      <c r="AO417" s="169"/>
      <c r="AP417" s="169"/>
      <c r="AQ417" s="169"/>
      <c r="AR417" s="169"/>
      <c r="AS417" s="169"/>
      <c r="AT417" s="169"/>
      <c r="AU417" s="169"/>
      <c r="AV417" s="169"/>
      <c r="AW417" s="169"/>
      <c r="AX417" s="169"/>
      <c r="AY417" s="169"/>
      <c r="AZ417" s="169"/>
      <c r="BA417" s="169"/>
      <c r="BB417" s="169"/>
      <c r="BC417" s="169"/>
      <c r="BD417" s="169"/>
      <c r="BE417" s="169"/>
      <c r="BF417" s="169"/>
      <c r="BG417" s="169"/>
      <c r="BH417" s="169"/>
      <c r="BI417" s="169"/>
      <c r="BJ417" s="169"/>
      <c r="BK417" s="169"/>
      <c r="BL417" s="169"/>
      <c r="BM417" s="169"/>
      <c r="BN417" s="169"/>
      <c r="BO417" s="169"/>
      <c r="BP417" s="169"/>
      <c r="BQ417" s="169"/>
      <c r="BR417" s="169"/>
      <c r="BS417" s="169"/>
      <c r="BT417" s="169"/>
      <c r="BU417" s="169"/>
      <c r="BV417" s="169"/>
      <c r="BW417" s="169"/>
      <c r="BX417" s="169"/>
      <c r="BY417" s="169"/>
      <c r="BZ417" s="169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</row>
    <row r="418" spans="12:91" ht="11.25" customHeight="1">
      <c r="L418" s="150"/>
      <c r="M418" s="501" t="s">
        <v>1144</v>
      </c>
      <c r="N418" s="494" t="s">
        <v>2125</v>
      </c>
      <c r="O418" s="163" t="s">
        <v>195</v>
      </c>
      <c r="AB418" s="251"/>
      <c r="AC418" s="251"/>
      <c r="AD418" s="251"/>
      <c r="AE418" s="263">
        <f>AF418+AG418</f>
        <v>0</v>
      </c>
      <c r="AF418" s="263">
        <f>AF419-(AF333+AF336-AF335)</f>
        <v>0</v>
      </c>
      <c r="AG418" s="263">
        <f>AG419-(AG333+AG336-AG335)</f>
        <v>0</v>
      </c>
      <c r="CA418"/>
      <c r="CB418"/>
      <c r="CC418"/>
    </row>
    <row r="419" spans="12:91" ht="11.25" customHeight="1">
      <c r="L419" s="150"/>
      <c r="M419" s="503" t="str">
        <f>M418 &amp; ".0.1"</f>
        <v>D.0.1</v>
      </c>
      <c r="N419" s="497" t="s">
        <v>2120</v>
      </c>
      <c r="O419" s="163" t="s">
        <v>195</v>
      </c>
      <c r="AB419" s="251"/>
      <c r="AC419" s="251"/>
      <c r="AD419" s="251"/>
      <c r="AE419" s="247">
        <f>AF419+AG419</f>
        <v>0</v>
      </c>
      <c r="AF419" s="247">
        <f>AF421+AF424+AF427+AF430+AF433+AF434</f>
        <v>0</v>
      </c>
      <c r="AG419" s="247">
        <f>AG421+AG424+AG427+AG430+AG433+AG434</f>
        <v>0</v>
      </c>
      <c r="CA419"/>
      <c r="CB419"/>
      <c r="CC419"/>
    </row>
    <row r="420" spans="12:91" ht="11.25" customHeight="1">
      <c r="L420" s="150"/>
      <c r="M420" s="503" t="str">
        <f>M418 &amp; ".0.2"</f>
        <v>D.0.2</v>
      </c>
      <c r="N420" s="520" t="s">
        <v>44</v>
      </c>
      <c r="O420" s="163" t="s">
        <v>149</v>
      </c>
      <c r="AB420" s="251"/>
      <c r="AC420" s="251"/>
      <c r="AD420" s="251"/>
      <c r="AE420" s="247">
        <f>AF420+AG420</f>
        <v>0</v>
      </c>
      <c r="AF420" s="247">
        <f>AF423+AF426+AF429+AF432</f>
        <v>0</v>
      </c>
      <c r="AG420" s="247">
        <f>AG423+AG426+AG429+AG432</f>
        <v>0</v>
      </c>
      <c r="CA420"/>
      <c r="CB420"/>
      <c r="CC420"/>
    </row>
    <row r="421" spans="12:91" ht="11.25" customHeight="1">
      <c r="L421" s="150"/>
      <c r="M421" s="503" t="str">
        <f>M418 &amp; ".1"</f>
        <v>D.1</v>
      </c>
      <c r="N421" s="497" t="s">
        <v>45</v>
      </c>
      <c r="O421" s="163" t="s">
        <v>195</v>
      </c>
      <c r="AB421" s="251"/>
      <c r="AC421" s="251"/>
      <c r="AD421" s="251"/>
      <c r="AE421" s="247">
        <f>AF421+AG421</f>
        <v>0</v>
      </c>
      <c r="AF421" s="247">
        <f>AF422*AF423/1000</f>
        <v>0</v>
      </c>
      <c r="AG421" s="247">
        <f>AG422*AG423/1000</f>
        <v>0</v>
      </c>
      <c r="CA421"/>
      <c r="CB421"/>
      <c r="CC421"/>
    </row>
    <row r="422" spans="12:91" ht="11.25" customHeight="1">
      <c r="L422" s="150"/>
      <c r="M422" s="501" t="str">
        <f>M421 &amp; ".1"</f>
        <v>D.1.1</v>
      </c>
      <c r="N422" s="596" t="s">
        <v>398</v>
      </c>
      <c r="O422" s="163" t="s">
        <v>288</v>
      </c>
      <c r="AB422" s="251"/>
      <c r="AC422" s="251"/>
      <c r="AD422" s="251"/>
      <c r="AE422" s="244">
        <f>IF(AE423=0,0,AE421*1000/AE423)</f>
        <v>0</v>
      </c>
      <c r="AF422" s="680"/>
      <c r="AG422" s="680"/>
      <c r="CA422"/>
      <c r="CB422"/>
      <c r="CC422"/>
    </row>
    <row r="423" spans="12:91" ht="11.25" customHeight="1">
      <c r="L423" s="150"/>
      <c r="M423" s="501" t="str">
        <f>M421 &amp; ".2"</f>
        <v>D.1.2</v>
      </c>
      <c r="N423" s="596" t="s">
        <v>283</v>
      </c>
      <c r="O423" s="163" t="s">
        <v>149</v>
      </c>
      <c r="AB423" s="251"/>
      <c r="AC423" s="251"/>
      <c r="AD423" s="251"/>
      <c r="AE423" s="247">
        <f>AF423+AG423</f>
        <v>0</v>
      </c>
      <c r="AF423" s="262">
        <f>SUMIF(БПр!$BA$131:$BA$160,AF$17 &amp; ".0-" &amp; AF$9,БПр!$U$131:$U$160)+SUMIF(БПр!$BA$131:$BA$160,AF$17 &amp; ".0-" &amp; AF$9,БПр!$AT$131:$AT$160)+IF(AF$16&amp;"::"&amp;VDET="TRANSPORT::руб/Гкал/час в мес::Передача",IF(SUMIF(БТр!$BA$131:$BA$160,AF$17 &amp; ".0-" &amp; AF$9,БТр!$Q$131:$Q$160)=0,0,SUMIF(БТр!$BB$131:$BB$160,AF$17 &amp; ".0.YEAR",БТр!$I$131:$I$160))*AF$6,SUMIF(БТр!$BA$131:$BA$160,AF$17 &amp; ".0-" &amp; AF$9,БТр!$Q$131:$Q$160))</f>
        <v>0</v>
      </c>
      <c r="AG423" s="262">
        <f>SUMIF(БПр!$BA$131:$BA$160,AG$17 &amp; ".0-" &amp; AG$9,БПр!$U$131:$U$160)+SUMIF(БПр!$BA$131:$BA$160,AG$17 &amp; ".0-" &amp; AG$9,БПр!$AT$131:$AT$160)+IF(AG$16&amp;"::"&amp;VDET="TRANSPORT::руб/Гкал/час в мес::Передача",IF(SUMIF(БТр!$BA$131:$BA$160,AG$17 &amp; ".0-" &amp; AG$9,БТр!$Q$131:$Q$160)=0,0,SUMIF(БТр!$BB$131:$BB$160,AG$17 &amp; ".0.YEAR",БТр!$I$131:$I$160))*AG$6,SUMIF(БТр!$BA$131:$BA$160,AG$17 &amp; ".0-" &amp; AG$9,БТр!$Q$131:$Q$160))</f>
        <v>0</v>
      </c>
      <c r="CA423"/>
      <c r="CB423"/>
      <c r="CC423"/>
    </row>
    <row r="424" spans="12:91" ht="11.25" customHeight="1">
      <c r="L424" s="150"/>
      <c r="M424" s="503" t="str">
        <f>M418 &amp; ".2"</f>
        <v>D.2</v>
      </c>
      <c r="N424" s="497" t="s">
        <v>161</v>
      </c>
      <c r="O424" s="163" t="s">
        <v>195</v>
      </c>
      <c r="AB424" s="251"/>
      <c r="AC424" s="251"/>
      <c r="AD424" s="251"/>
      <c r="AE424" s="247">
        <f>AF424+AG424</f>
        <v>0</v>
      </c>
      <c r="AF424" s="247">
        <f>AF425*AF426/1000</f>
        <v>0</v>
      </c>
      <c r="AG424" s="247">
        <f>AG425*AG426/1000</f>
        <v>0</v>
      </c>
      <c r="CA424"/>
      <c r="CB424"/>
      <c r="CC424"/>
    </row>
    <row r="425" spans="12:91" ht="11.25" customHeight="1">
      <c r="L425" s="150"/>
      <c r="M425" s="501" t="str">
        <f>M424 &amp; ".1"</f>
        <v>D.2.1</v>
      </c>
      <c r="N425" s="596" t="s">
        <v>398</v>
      </c>
      <c r="O425" s="163" t="s">
        <v>288</v>
      </c>
      <c r="AB425" s="251"/>
      <c r="AC425" s="251"/>
      <c r="AD425" s="251"/>
      <c r="AE425" s="244">
        <f>IF(AE426=0,0,AE424*1000/AE426)</f>
        <v>0</v>
      </c>
      <c r="AF425" s="680"/>
      <c r="AG425" s="680"/>
      <c r="CA425"/>
      <c r="CB425"/>
      <c r="CC425"/>
    </row>
    <row r="426" spans="12:91" ht="11.25" customHeight="1">
      <c r="L426" s="150"/>
      <c r="M426" s="501" t="str">
        <f>M424 &amp; ".2"</f>
        <v>D.2.2</v>
      </c>
      <c r="N426" s="596" t="s">
        <v>283</v>
      </c>
      <c r="O426" s="163" t="s">
        <v>149</v>
      </c>
      <c r="AB426" s="251"/>
      <c r="AC426" s="251"/>
      <c r="AD426" s="251"/>
      <c r="AE426" s="247">
        <f>AF426+AG426</f>
        <v>0</v>
      </c>
      <c r="AF426" s="262">
        <f>SUMIF(БПр!$BA$131:$BA$160,AF$17 &amp; ".0-" &amp; AF$9,БПр!$R$131:$R$160)+SUMIF(БПр!$BA$131:$BA$160,AF$17 &amp; ".0-" &amp; AF$9,БПр!$AV$131:$AV$160)+IF(AF$16&amp;"::"&amp;VDET="TRANSPORT::руб/Гкал/час в мес::Передача",IF(SUMIF(БТр!$BA$131:$BA$160,AF$17 &amp; ".0-" &amp; AF$9,БТр!$R$131:$R$160)=0,0,SUMIF(БТр!$BB$131:$BB$160,AF$17 &amp; ".0.YEAR",БТр!$I$131:$I$160))*AF$6,SUMIF(БТр!$BA$131:$BA$160,AF$17 &amp; ".0-" &amp; AF$9,БТр!$R$131:$R$160))</f>
        <v>0</v>
      </c>
      <c r="AG426" s="262">
        <f>SUMIF(БПр!$BA$131:$BA$160,AG$17 &amp; ".0-" &amp; AG$9,БПр!$R$131:$R$160)+SUMIF(БПр!$BA$131:$BA$160,AG$17 &amp; ".0-" &amp; AG$9,БПр!$AV$131:$AV$160)+IF(AG$16&amp;"::"&amp;VDET="TRANSPORT::руб/Гкал/час в мес::Передача",IF(SUMIF(БТр!$BA$131:$BA$160,AG$17 &amp; ".0-" &amp; AG$9,БТр!$R$131:$R$160)=0,0,SUMIF(БТр!$BB$131:$BB$160,AG$17 &amp; ".0.YEAR",БТр!$I$131:$I$160))*AG$6,SUMIF(БТр!$BA$131:$BA$160,AG$17 &amp; ".0-" &amp; AG$9,БТр!$R$131:$R$160))</f>
        <v>0</v>
      </c>
      <c r="CA426"/>
      <c r="CB426"/>
      <c r="CC426"/>
    </row>
    <row r="427" spans="12:91" ht="11.25" customHeight="1">
      <c r="L427" s="150"/>
      <c r="M427" s="503" t="str">
        <f>M418 &amp; ".3"</f>
        <v>D.3</v>
      </c>
      <c r="N427" s="497" t="s">
        <v>162</v>
      </c>
      <c r="O427" s="163" t="s">
        <v>195</v>
      </c>
      <c r="AB427" s="251"/>
      <c r="AC427" s="251"/>
      <c r="AD427" s="251"/>
      <c r="AE427" s="247">
        <f>AF427+AG427</f>
        <v>0</v>
      </c>
      <c r="AF427" s="247">
        <f>AF428*AF429/1000</f>
        <v>0</v>
      </c>
      <c r="AG427" s="247">
        <f>AG428*AG429/1000</f>
        <v>0</v>
      </c>
      <c r="CA427"/>
      <c r="CB427"/>
      <c r="CC427"/>
    </row>
    <row r="428" spans="12:91" ht="11.25" customHeight="1">
      <c r="L428" s="150"/>
      <c r="M428" s="501" t="str">
        <f>M427 &amp; ".1"</f>
        <v>D.3.1</v>
      </c>
      <c r="N428" s="596" t="s">
        <v>398</v>
      </c>
      <c r="O428" s="163" t="s">
        <v>288</v>
      </c>
      <c r="AB428" s="251"/>
      <c r="AC428" s="251"/>
      <c r="AD428" s="251"/>
      <c r="AE428" s="244">
        <f>IF(AE429=0,0,AE427*1000/AE429)</f>
        <v>0</v>
      </c>
      <c r="AF428" s="680"/>
      <c r="AG428" s="680"/>
      <c r="CA428"/>
      <c r="CB428"/>
      <c r="CC428"/>
    </row>
    <row r="429" spans="12:91" ht="11.25" customHeight="1">
      <c r="L429" s="150"/>
      <c r="M429" s="501" t="str">
        <f>M427 &amp; ".2"</f>
        <v>D.3.2</v>
      </c>
      <c r="N429" s="596" t="s">
        <v>283</v>
      </c>
      <c r="O429" s="163" t="s">
        <v>149</v>
      </c>
      <c r="AB429" s="251"/>
      <c r="AC429" s="251"/>
      <c r="AD429" s="251"/>
      <c r="AE429" s="247">
        <f>AF429+AG429</f>
        <v>0</v>
      </c>
      <c r="AF429" s="262">
        <f>SUMIF(БПр!$BA$131:$BA$160,AF$17 &amp; ".0-" &amp; AF$9,БПр!$S$131:$S$160)+SUMIF(БПр!$BA$131:$BA$160,AF$17 &amp; ".0-" &amp; AF$9,БПр!$AW$131:$AW$160)+IF(AF$16&amp;"::"&amp;VDET="TRANSPORT::руб/Гкал/час в мес::Передача",IF(SUMIF(БТр!$BA$131:$BA$160,AF$17 &amp; ".0-" &amp; AF$9,БТр!$S$131:$S$160)=0,0,SUMIF(БТр!$BB$131:$BB$160,AF$17 &amp; ".0.YEAR",БТр!$I$131:$I$160))*AF$6,SUMIF(БТр!$BA$131:$BA$160,AF$17 &amp; ".0-" &amp; AF$9,БТр!$S$131:$S$160))</f>
        <v>0</v>
      </c>
      <c r="AG429" s="262">
        <f>SUMIF(БПр!$BA$131:$BA$160,AG$17 &amp; ".0-" &amp; AG$9,БПр!$S$131:$S$160)+SUMIF(БПр!$BA$131:$BA$160,AG$17 &amp; ".0-" &amp; AG$9,БПр!$AW$131:$AW$160)+IF(AG$16&amp;"::"&amp;VDET="TRANSPORT::руб/Гкал/час в мес::Передача",IF(SUMIF(БТр!$BA$131:$BA$160,AG$17 &amp; ".0-" &amp; AG$9,БТр!$S$131:$S$160)=0,0,SUMIF(БТр!$BB$131:$BB$160,AG$17 &amp; ".0.YEAR",БТр!$I$131:$I$160))*AG$6,SUMIF(БТр!$BA$131:$BA$160,AG$17 &amp; ".0-" &amp; AG$9,БТр!$S$131:$S$160))</f>
        <v>0</v>
      </c>
      <c r="CA429"/>
      <c r="CB429"/>
      <c r="CC429"/>
    </row>
    <row r="430" spans="12:91" ht="11.25" customHeight="1">
      <c r="L430" s="150"/>
      <c r="M430" s="503" t="str">
        <f>M418 &amp; ".4"</f>
        <v>D.4</v>
      </c>
      <c r="N430" s="497" t="s">
        <v>169</v>
      </c>
      <c r="O430" s="163" t="s">
        <v>195</v>
      </c>
      <c r="AB430" s="251"/>
      <c r="AC430" s="251"/>
      <c r="AD430" s="251"/>
      <c r="AE430" s="247">
        <f>AF430+AG430</f>
        <v>0</v>
      </c>
      <c r="AF430" s="247">
        <f>AF431*AF432/1000</f>
        <v>0</v>
      </c>
      <c r="AG430" s="247">
        <f>AG431*AG432/1000</f>
        <v>0</v>
      </c>
      <c r="CA430"/>
      <c r="CB430"/>
      <c r="CC430"/>
    </row>
    <row r="431" spans="12:91" ht="11.25" customHeight="1">
      <c r="L431" s="150"/>
      <c r="M431" s="501" t="str">
        <f>M430 &amp; ".1"</f>
        <v>D.4.1</v>
      </c>
      <c r="N431" s="596" t="s">
        <v>398</v>
      </c>
      <c r="O431" s="163" t="s">
        <v>288</v>
      </c>
      <c r="AB431" s="251"/>
      <c r="AC431" s="251"/>
      <c r="AD431" s="251"/>
      <c r="AE431" s="244">
        <f>IF(AE432=0,0,AE430*1000/AE432)</f>
        <v>0</v>
      </c>
      <c r="AF431" s="680"/>
      <c r="AG431" s="680"/>
      <c r="CA431"/>
      <c r="CB431"/>
      <c r="CC431"/>
    </row>
    <row r="432" spans="12:91" ht="11.25" customHeight="1">
      <c r="L432" s="150"/>
      <c r="M432" s="501" t="str">
        <f>M430 &amp; ".2"</f>
        <v>D.4.2</v>
      </c>
      <c r="N432" s="596" t="s">
        <v>283</v>
      </c>
      <c r="O432" s="163" t="s">
        <v>149</v>
      </c>
      <c r="AB432" s="251"/>
      <c r="AC432" s="251"/>
      <c r="AD432" s="251"/>
      <c r="AE432" s="247">
        <f>AF432+AG432</f>
        <v>0</v>
      </c>
      <c r="AF432" s="262">
        <f>SUMIF(БПр!$BA$131:$BA$160,AF$17 &amp; ".0-" &amp; AF$9,БПр!$T$131:$T$160)+SUMIF(БПр!$BA$131:$BA$160,AF$17 &amp; ".0-" &amp; AF$9,БПр!$AX$131:$AX$160)+IF(AF$16&amp;"::"&amp;VDET="TRANSPORT::руб/Гкал/час в мес::Передача",IF(SUMIF(БТр!$BA$131:$BA$160,AF$17 &amp; ".0-" &amp; AF$9,БТр!$T$131:$T$160)=0,0,SUMIF(БТр!$BB$131:$BB$160,AF$17 &amp; ".0.YEAR",БТр!$I$131:$I$160))*AF$6,SUMIF(БТр!$BA$131:$BA$160,AF$17 &amp; ".0-" &amp; AF$9,БТр!$T$131:$T$160))</f>
        <v>0</v>
      </c>
      <c r="AG432" s="262">
        <f>SUMIF(БПр!$BA$131:$BA$160,AG$17 &amp; ".0-" &amp; AG$9,БПр!$T$131:$T$160)+SUMIF(БПр!$BA$131:$BA$160,AG$17 &amp; ".0-" &amp; AG$9,БПр!$AX$131:$AX$160)+IF(AG$16&amp;"::"&amp;VDET="TRANSPORT::руб/Гкал/час в мес::Передача",IF(SUMIF(БТр!$BA$131:$BA$160,AG$17 &amp; ".0-" &amp; AG$9,БТр!$T$131:$T$160)=0,0,SUMIF(БТр!$BB$131:$BB$160,AG$17 &amp; ".0.YEAR",БТр!$I$131:$I$160))*AG$6,SUMIF(БТр!$BA$131:$BA$160,AG$17 &amp; ".0-" &amp; AG$9,БТр!$T$131:$T$160))</f>
        <v>0</v>
      </c>
      <c r="CA432"/>
      <c r="CB432"/>
      <c r="CC432"/>
    </row>
    <row r="433" spans="12:93" ht="11.25" customHeight="1">
      <c r="L433" s="150"/>
      <c r="M433" s="503" t="str">
        <f>M418 &amp; ".5"</f>
        <v>D.5</v>
      </c>
      <c r="N433" s="497" t="s">
        <v>2121</v>
      </c>
      <c r="O433" s="163" t="s">
        <v>195</v>
      </c>
      <c r="AB433" s="251"/>
      <c r="AC433" s="251"/>
      <c r="AD433" s="251"/>
      <c r="AE433" s="247">
        <f>AF433+AG433</f>
        <v>0</v>
      </c>
      <c r="AF433" s="245"/>
      <c r="AG433" s="245"/>
      <c r="CA433"/>
      <c r="CB433"/>
      <c r="CC433"/>
    </row>
    <row r="434" spans="12:93" ht="11.25" customHeight="1">
      <c r="L434" s="150"/>
      <c r="M434" s="620" t="str">
        <f>M418 &amp; ".6"</f>
        <v>D.6</v>
      </c>
      <c r="N434" s="621" t="s">
        <v>2175</v>
      </c>
      <c r="O434" s="616" t="s">
        <v>195</v>
      </c>
      <c r="AB434" s="251"/>
      <c r="AC434" s="251"/>
      <c r="AD434" s="251"/>
      <c r="AE434" s="247">
        <f>AF434+AG434</f>
        <v>0</v>
      </c>
      <c r="AF434" s="245"/>
      <c r="AG434" s="245"/>
      <c r="CA434"/>
      <c r="CB434"/>
      <c r="CC434"/>
    </row>
    <row r="435" spans="12:93" ht="11.25" customHeight="1">
      <c r="L435"/>
      <c r="M435" s="500"/>
      <c r="N435" s="622"/>
      <c r="O435" s="166"/>
      <c r="AB435" s="251"/>
      <c r="AC435" s="251"/>
      <c r="AD435" s="251"/>
      <c r="AE435" s="241"/>
      <c r="AF435" s="241"/>
      <c r="AG435" s="241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</row>
    <row r="436" spans="12:93" customFormat="1" ht="11.25" customHeight="1">
      <c r="M436" s="500"/>
      <c r="N436" s="622"/>
      <c r="O436" s="166"/>
      <c r="AB436" s="251"/>
      <c r="AC436" s="251"/>
      <c r="AD436" s="251"/>
      <c r="AE436" s="241"/>
      <c r="AF436" s="241"/>
      <c r="AG436" s="241"/>
    </row>
    <row r="437" spans="12:93" customFormat="1" ht="11.25" customHeight="1">
      <c r="M437" s="500"/>
      <c r="N437" s="622"/>
      <c r="O437" s="166"/>
      <c r="AB437" s="251"/>
      <c r="AC437" s="251"/>
      <c r="AD437" s="251"/>
      <c r="AE437" s="241"/>
      <c r="AF437" s="241"/>
      <c r="AG437" s="241"/>
    </row>
    <row r="438" spans="12:93" customFormat="1" ht="11.25" customHeight="1">
      <c r="M438" s="500"/>
      <c r="N438" s="622"/>
      <c r="O438" s="166"/>
      <c r="AB438" s="251"/>
      <c r="AC438" s="251"/>
      <c r="AD438" s="251"/>
      <c r="AE438" s="241"/>
      <c r="AF438" s="241"/>
      <c r="AG438" s="241"/>
    </row>
    <row r="439" spans="12:93" customFormat="1" ht="11.25" customHeight="1">
      <c r="M439" s="500"/>
      <c r="N439" s="622"/>
      <c r="O439" s="166"/>
      <c r="AB439" s="251"/>
      <c r="AC439" s="251"/>
      <c r="AD439" s="251"/>
      <c r="AE439" s="241"/>
      <c r="AF439" s="241"/>
      <c r="AG439" s="241"/>
    </row>
    <row r="440" spans="12:93" customFormat="1" ht="11.25" customHeight="1">
      <c r="M440" s="500"/>
      <c r="N440" s="622"/>
      <c r="O440" s="166"/>
      <c r="AB440" s="251"/>
      <c r="AC440" s="251"/>
      <c r="AD440" s="251"/>
      <c r="AE440" s="241"/>
      <c r="AF440" s="241"/>
      <c r="AG440" s="241"/>
    </row>
    <row r="441" spans="12:93" customFormat="1" ht="11.25" customHeight="1">
      <c r="M441" s="623"/>
      <c r="N441" s="627" t="s">
        <v>2261</v>
      </c>
      <c r="O441" s="166"/>
      <c r="AB441" s="251"/>
      <c r="AC441" s="251"/>
      <c r="AD441" s="251"/>
      <c r="AE441" s="241"/>
      <c r="AF441" s="241"/>
      <c r="AG441" s="241"/>
    </row>
    <row r="442" spans="12:93" customFormat="1" ht="11.25" customHeight="1">
      <c r="M442" s="623"/>
      <c r="N442" s="627" t="s">
        <v>787</v>
      </c>
      <c r="O442" s="166"/>
      <c r="AB442" s="251"/>
      <c r="AC442" s="251"/>
      <c r="AD442" s="251"/>
      <c r="AE442" s="241"/>
      <c r="AF442" s="241"/>
      <c r="AG442" s="241"/>
    </row>
    <row r="443" spans="12:93" customFormat="1" ht="11.25" customHeight="1">
      <c r="M443" s="624"/>
      <c r="N443" s="503" t="str">
        <f>"Стоимость основных средств, относимых на источники производства " &amp; RESOURCE_IDENTIFIER</f>
        <v>Стоимость основных средств, относимых на источники производства ТЭ</v>
      </c>
      <c r="O443" s="163" t="s">
        <v>195</v>
      </c>
      <c r="AB443" s="251"/>
      <c r="AC443" s="251"/>
      <c r="AD443" s="251"/>
      <c r="AE443" s="241"/>
      <c r="AF443" s="241"/>
      <c r="AG443" s="241"/>
    </row>
    <row r="444" spans="12:93" customFormat="1" ht="11.25" customHeight="1">
      <c r="M444" s="624"/>
      <c r="N444" s="503" t="s">
        <v>2262</v>
      </c>
      <c r="O444" s="163" t="s">
        <v>755</v>
      </c>
      <c r="AB444" s="251"/>
      <c r="AC444" s="251"/>
      <c r="AD444" s="251"/>
      <c r="AE444" s="241"/>
      <c r="AF444" s="241"/>
      <c r="AG444" s="241"/>
    </row>
    <row r="445" spans="12:93" customFormat="1" ht="11.25" customHeight="1">
      <c r="M445" s="623"/>
      <c r="N445" s="627" t="s">
        <v>130</v>
      </c>
      <c r="O445" s="166"/>
      <c r="AB445" s="251"/>
      <c r="AC445" s="251"/>
      <c r="AD445" s="251"/>
      <c r="AE445" s="241"/>
      <c r="AF445" s="241"/>
      <c r="AG445" s="241"/>
    </row>
    <row r="446" spans="12:93" customFormat="1" ht="11.25" customHeight="1">
      <c r="M446" s="624"/>
      <c r="N446" s="503" t="str">
        <f>"Стоимость основных средств, относимых на передачу " &amp; RESOURCE_IDENTIFIER</f>
        <v>Стоимость основных средств, относимых на передачу ТЭ</v>
      </c>
      <c r="O446" s="163" t="s">
        <v>195</v>
      </c>
      <c r="AB446" s="251"/>
      <c r="AC446" s="251"/>
      <c r="AD446" s="251"/>
      <c r="AE446" s="241"/>
      <c r="AF446" s="241"/>
      <c r="AG446" s="241"/>
    </row>
    <row r="447" spans="12:93" customFormat="1" ht="11.25" customHeight="1">
      <c r="M447" s="624"/>
      <c r="N447" s="503" t="s">
        <v>2277</v>
      </c>
      <c r="O447" s="163" t="s">
        <v>2267</v>
      </c>
      <c r="AB447" s="251"/>
      <c r="AC447" s="251"/>
      <c r="AD447" s="251"/>
      <c r="AE447" s="241"/>
      <c r="AF447" s="241"/>
      <c r="AG447" s="241"/>
    </row>
    <row r="448" spans="12:93" customFormat="1" ht="11.25" customHeight="1">
      <c r="M448" s="624"/>
      <c r="N448" s="503" t="s">
        <v>2268</v>
      </c>
      <c r="O448" s="163" t="s">
        <v>2267</v>
      </c>
      <c r="AB448" s="251"/>
      <c r="AC448" s="251"/>
      <c r="AD448" s="251"/>
      <c r="AE448" s="241"/>
      <c r="AF448" s="241"/>
      <c r="AG448" s="241"/>
    </row>
    <row r="449" spans="13:33" customFormat="1" ht="11.25" customHeight="1">
      <c r="M449" s="623"/>
      <c r="N449" s="627" t="s">
        <v>788</v>
      </c>
      <c r="O449" s="166"/>
      <c r="AB449" s="251"/>
      <c r="AC449" s="251"/>
      <c r="AD449" s="251"/>
      <c r="AE449" s="241"/>
      <c r="AF449" s="241"/>
      <c r="AG449" s="241"/>
    </row>
    <row r="450" spans="13:33" customFormat="1" ht="11.25" customHeight="1">
      <c r="M450" s="624"/>
      <c r="N450" s="503" t="s">
        <v>2274</v>
      </c>
      <c r="O450" s="163" t="s">
        <v>149</v>
      </c>
      <c r="AB450" s="251"/>
      <c r="AC450" s="251"/>
      <c r="AD450" s="251"/>
      <c r="AE450" s="241"/>
      <c r="AF450" s="241"/>
      <c r="AG450" s="241"/>
    </row>
    <row r="451" spans="13:33" customFormat="1" ht="11.25" customHeight="1">
      <c r="M451" s="624"/>
      <c r="N451" s="503" t="s">
        <v>2270</v>
      </c>
      <c r="O451" s="163" t="s">
        <v>2271</v>
      </c>
      <c r="AB451" s="251"/>
      <c r="AC451" s="251"/>
      <c r="AD451" s="251"/>
      <c r="AE451" s="241"/>
      <c r="AF451" s="241"/>
      <c r="AG451" s="241"/>
    </row>
    <row r="452" spans="13:33" customFormat="1" ht="11.25" customHeight="1">
      <c r="M452" s="624"/>
      <c r="N452" s="503" t="s">
        <v>2272</v>
      </c>
      <c r="O452" s="163" t="s">
        <v>2273</v>
      </c>
      <c r="AB452" s="251"/>
      <c r="AC452" s="251"/>
      <c r="AD452" s="251"/>
      <c r="AE452" s="241"/>
      <c r="AF452" s="241"/>
      <c r="AG452" s="241"/>
    </row>
    <row r="453" spans="13:33" customFormat="1" ht="11.25" customHeight="1">
      <c r="M453" s="500"/>
      <c r="N453" s="622"/>
      <c r="O453" s="166"/>
      <c r="AB453" s="251"/>
      <c r="AC453" s="251"/>
      <c r="AD453" s="251"/>
      <c r="AE453" s="241"/>
      <c r="AF453" s="241"/>
      <c r="AG453" s="241"/>
    </row>
    <row r="454" spans="13:33" customFormat="1" ht="11.25" customHeight="1">
      <c r="M454" s="500"/>
      <c r="N454" s="622"/>
      <c r="O454" s="166"/>
      <c r="AB454" s="251"/>
      <c r="AC454" s="251"/>
      <c r="AD454" s="251"/>
      <c r="AE454" s="241"/>
      <c r="AF454" s="241"/>
      <c r="AG454" s="241"/>
    </row>
    <row r="455" spans="13:33" customFormat="1" ht="11.25" customHeight="1">
      <c r="M455" s="500"/>
      <c r="N455" s="622"/>
      <c r="O455" s="166"/>
      <c r="AB455" s="251"/>
      <c r="AC455" s="251"/>
      <c r="AD455" s="251"/>
      <c r="AE455" s="241"/>
      <c r="AF455" s="241"/>
      <c r="AG455" s="241"/>
    </row>
    <row r="456" spans="13:33" customFormat="1" ht="11.25" customHeight="1">
      <c r="M456" s="500"/>
      <c r="N456" s="622"/>
      <c r="O456" s="166"/>
      <c r="AB456" s="251"/>
      <c r="AC456" s="251"/>
      <c r="AD456" s="251"/>
      <c r="AE456" s="241"/>
      <c r="AF456" s="241"/>
      <c r="AG456" s="241"/>
    </row>
    <row r="457" spans="13:33" customFormat="1" ht="11.25" customHeight="1">
      <c r="M457" s="500"/>
      <c r="N457" s="622"/>
      <c r="O457" s="166"/>
      <c r="AB457" s="251"/>
      <c r="AC457" s="251"/>
      <c r="AD457" s="251"/>
      <c r="AE457" s="241"/>
      <c r="AF457" s="241"/>
      <c r="AG457" s="241"/>
    </row>
    <row r="458" spans="13:33" customFormat="1" ht="11.25" customHeight="1">
      <c r="M458" s="500"/>
      <c r="N458" s="622"/>
      <c r="O458" s="166"/>
      <c r="AB458" s="251"/>
      <c r="AC458" s="251"/>
      <c r="AD458" s="251"/>
      <c r="AE458" s="241"/>
      <c r="AF458" s="241"/>
      <c r="AG458" s="241"/>
    </row>
    <row r="459" spans="13:33" customFormat="1" ht="11.25" customHeight="1">
      <c r="M459" s="500"/>
      <c r="N459" s="622"/>
      <c r="O459" s="166"/>
      <c r="AB459" s="251"/>
      <c r="AC459" s="251"/>
      <c r="AD459" s="251"/>
      <c r="AE459" s="241"/>
      <c r="AF459" s="241"/>
      <c r="AG459" s="241"/>
    </row>
    <row r="460" spans="13:33" customFormat="1" ht="11.25" customHeight="1">
      <c r="M460" s="500"/>
      <c r="N460" s="622"/>
      <c r="O460" s="166"/>
      <c r="AB460" s="251"/>
      <c r="AC460" s="251"/>
      <c r="AD460" s="251"/>
      <c r="AE460" s="241"/>
      <c r="AF460" s="241"/>
      <c r="AG460" s="241"/>
    </row>
    <row r="461" spans="13:33" customFormat="1" ht="11.25" customHeight="1">
      <c r="M461" s="509" t="s">
        <v>3002</v>
      </c>
      <c r="N461" s="736" t="s">
        <v>3003</v>
      </c>
      <c r="O461" s="443" t="s">
        <v>195</v>
      </c>
      <c r="AB461" s="251"/>
      <c r="AC461" s="251"/>
      <c r="AD461" s="251"/>
      <c r="AE461" s="256">
        <f>AF461+AG461</f>
        <v>0</v>
      </c>
      <c r="AF461" s="245"/>
      <c r="AG461" s="245"/>
    </row>
    <row r="462" spans="13:33" customFormat="1" ht="11.25" customHeight="1">
      <c r="M462" s="510" t="str">
        <f>M461 &amp; ".1"</f>
        <v>Э.1.1.1</v>
      </c>
      <c r="N462" s="737" t="s">
        <v>3004</v>
      </c>
      <c r="O462" s="443" t="s">
        <v>195</v>
      </c>
      <c r="AB462" s="251"/>
      <c r="AC462" s="251"/>
      <c r="AD462" s="251"/>
      <c r="AE462" s="256">
        <f>AF462+AG462</f>
        <v>0</v>
      </c>
      <c r="AF462" s="245"/>
      <c r="AG462" s="245"/>
    </row>
    <row r="463" spans="13:33" customFormat="1" ht="11.25" customHeight="1">
      <c r="M463" s="509" t="s">
        <v>3005</v>
      </c>
      <c r="N463" s="736" t="s">
        <v>3006</v>
      </c>
      <c r="O463" s="443" t="s">
        <v>195</v>
      </c>
      <c r="AB463" s="251"/>
      <c r="AC463" s="251"/>
      <c r="AD463" s="251"/>
      <c r="AE463" s="256">
        <f>AF463+AG463</f>
        <v>0</v>
      </c>
      <c r="AF463" s="245"/>
      <c r="AG463" s="245"/>
    </row>
    <row r="464" spans="13:33" customFormat="1" ht="11.25" customHeight="1">
      <c r="M464" s="500"/>
      <c r="N464" s="472"/>
      <c r="O464" s="442"/>
      <c r="AB464" s="251"/>
      <c r="AC464" s="251"/>
      <c r="AD464" s="251"/>
      <c r="AE464" s="241"/>
      <c r="AF464" s="241"/>
      <c r="AG464" s="241"/>
    </row>
    <row r="465" spans="13:33" customFormat="1" ht="11.25" customHeight="1">
      <c r="M465" s="509" t="s">
        <v>3007</v>
      </c>
      <c r="N465" s="736" t="s">
        <v>3008</v>
      </c>
      <c r="O465" s="687" t="s">
        <v>195</v>
      </c>
      <c r="AB465" s="251"/>
      <c r="AC465" s="251"/>
      <c r="AD465" s="251"/>
      <c r="AE465" s="256">
        <f t="shared" ref="AE465:AE480" si="5">AF465+AG465</f>
        <v>0</v>
      </c>
      <c r="AF465" s="245"/>
      <c r="AG465" s="245"/>
    </row>
    <row r="466" spans="13:33" customFormat="1" ht="11.25" customHeight="1">
      <c r="M466" s="510" t="str">
        <f>M465 &amp; ".1"</f>
        <v>Э.1.3.1</v>
      </c>
      <c r="N466" s="737" t="s">
        <v>3004</v>
      </c>
      <c r="O466" s="687" t="s">
        <v>195</v>
      </c>
      <c r="AB466" s="251"/>
      <c r="AC466" s="251"/>
      <c r="AD466" s="251"/>
      <c r="AE466" s="256">
        <f t="shared" si="5"/>
        <v>0</v>
      </c>
      <c r="AF466" s="245"/>
      <c r="AG466" s="245"/>
    </row>
    <row r="467" spans="13:33" customFormat="1" ht="11.25" customHeight="1">
      <c r="M467" s="509" t="s">
        <v>3009</v>
      </c>
      <c r="N467" s="736" t="s">
        <v>3010</v>
      </c>
      <c r="O467" s="687" t="s">
        <v>195</v>
      </c>
      <c r="AB467" s="251"/>
      <c r="AC467" s="251"/>
      <c r="AD467" s="251"/>
      <c r="AE467" s="256">
        <f t="shared" si="5"/>
        <v>0</v>
      </c>
      <c r="AF467" s="245"/>
      <c r="AG467" s="245"/>
    </row>
    <row r="468" spans="13:33" customFormat="1" ht="11.25" customHeight="1">
      <c r="M468" s="510" t="str">
        <f>M467 &amp; ".1"</f>
        <v>Э.1.4.1</v>
      </c>
      <c r="N468" s="737" t="s">
        <v>3004</v>
      </c>
      <c r="O468" s="687" t="s">
        <v>195</v>
      </c>
      <c r="AB468" s="251"/>
      <c r="AC468" s="251"/>
      <c r="AD468" s="251"/>
      <c r="AE468" s="256">
        <f t="shared" si="5"/>
        <v>0</v>
      </c>
      <c r="AF468" s="245"/>
      <c r="AG468" s="245"/>
    </row>
    <row r="469" spans="13:33" customFormat="1" ht="11.25" customHeight="1">
      <c r="M469" s="509" t="s">
        <v>3011</v>
      </c>
      <c r="N469" s="736" t="s">
        <v>3012</v>
      </c>
      <c r="O469" s="687" t="s">
        <v>195</v>
      </c>
      <c r="AB469" s="251"/>
      <c r="AC469" s="251"/>
      <c r="AD469" s="251"/>
      <c r="AE469" s="256">
        <f t="shared" si="5"/>
        <v>0</v>
      </c>
      <c r="AF469" s="245"/>
      <c r="AG469" s="245"/>
    </row>
    <row r="470" spans="13:33" customFormat="1" ht="11.25" customHeight="1">
      <c r="M470" s="510" t="str">
        <f>M469 &amp; ".1"</f>
        <v>Э.1.5.1</v>
      </c>
      <c r="N470" s="737" t="s">
        <v>3004</v>
      </c>
      <c r="O470" s="687" t="s">
        <v>195</v>
      </c>
      <c r="AB470" s="251"/>
      <c r="AC470" s="251"/>
      <c r="AD470" s="251"/>
      <c r="AE470" s="256">
        <f t="shared" si="5"/>
        <v>0</v>
      </c>
      <c r="AF470" s="245"/>
      <c r="AG470" s="245"/>
    </row>
    <row r="471" spans="13:33" customFormat="1" ht="11.25" customHeight="1">
      <c r="M471" s="509" t="s">
        <v>3013</v>
      </c>
      <c r="N471" s="736" t="s">
        <v>3014</v>
      </c>
      <c r="O471" s="687" t="s">
        <v>195</v>
      </c>
      <c r="AB471" s="251"/>
      <c r="AC471" s="251"/>
      <c r="AD471" s="251"/>
      <c r="AE471" s="256">
        <f t="shared" si="5"/>
        <v>0</v>
      </c>
      <c r="AF471" s="245"/>
      <c r="AG471" s="245"/>
    </row>
    <row r="472" spans="13:33" customFormat="1" ht="11.25" customHeight="1">
      <c r="M472" s="510" t="str">
        <f>M471 &amp; ".1"</f>
        <v>Э.1.6.1</v>
      </c>
      <c r="N472" s="737" t="s">
        <v>3004</v>
      </c>
      <c r="O472" s="687" t="s">
        <v>195</v>
      </c>
      <c r="AB472" s="251"/>
      <c r="AC472" s="251"/>
      <c r="AD472" s="251"/>
      <c r="AE472" s="256">
        <f t="shared" si="5"/>
        <v>0</v>
      </c>
      <c r="AF472" s="245"/>
      <c r="AG472" s="245"/>
    </row>
    <row r="473" spans="13:33" customFormat="1" ht="11.25" customHeight="1">
      <c r="M473" s="509" t="s">
        <v>3015</v>
      </c>
      <c r="N473" s="736" t="s">
        <v>3016</v>
      </c>
      <c r="O473" s="687" t="s">
        <v>195</v>
      </c>
      <c r="AB473" s="251"/>
      <c r="AC473" s="251"/>
      <c r="AD473" s="251"/>
      <c r="AE473" s="256">
        <f t="shared" si="5"/>
        <v>0</v>
      </c>
      <c r="AF473" s="245"/>
      <c r="AG473" s="245"/>
    </row>
    <row r="474" spans="13:33" customFormat="1" ht="11.25" customHeight="1">
      <c r="M474" s="510" t="str">
        <f>M473 &amp; ".1"</f>
        <v>Э.1.7.1</v>
      </c>
      <c r="N474" s="737" t="s">
        <v>3004</v>
      </c>
      <c r="O474" s="687" t="s">
        <v>195</v>
      </c>
      <c r="AB474" s="251"/>
      <c r="AC474" s="251"/>
      <c r="AD474" s="251"/>
      <c r="AE474" s="256">
        <f t="shared" si="5"/>
        <v>0</v>
      </c>
      <c r="AF474" s="245"/>
      <c r="AG474" s="245"/>
    </row>
    <row r="475" spans="13:33" customFormat="1" ht="11.25" customHeight="1">
      <c r="M475" s="509" t="s">
        <v>3017</v>
      </c>
      <c r="N475" s="736" t="s">
        <v>3018</v>
      </c>
      <c r="O475" s="687" t="s">
        <v>195</v>
      </c>
      <c r="AB475" s="251"/>
      <c r="AC475" s="251"/>
      <c r="AD475" s="251"/>
      <c r="AE475" s="256">
        <f t="shared" si="5"/>
        <v>0</v>
      </c>
      <c r="AF475" s="245"/>
      <c r="AG475" s="245"/>
    </row>
    <row r="476" spans="13:33" customFormat="1" ht="11.25" customHeight="1">
      <c r="M476" s="510" t="str">
        <f>M475 &amp; ".1"</f>
        <v>Э.1.8.1</v>
      </c>
      <c r="N476" s="737" t="s">
        <v>3004</v>
      </c>
      <c r="O476" s="687" t="s">
        <v>195</v>
      </c>
      <c r="AB476" s="251"/>
      <c r="AC476" s="251"/>
      <c r="AD476" s="251"/>
      <c r="AE476" s="256">
        <f t="shared" si="5"/>
        <v>0</v>
      </c>
      <c r="AF476" s="245"/>
      <c r="AG476" s="245"/>
    </row>
    <row r="477" spans="13:33" customFormat="1" ht="11.25" customHeight="1">
      <c r="M477" s="509" t="s">
        <v>3019</v>
      </c>
      <c r="N477" s="736" t="s">
        <v>3020</v>
      </c>
      <c r="O477" s="687" t="s">
        <v>195</v>
      </c>
      <c r="AB477" s="251"/>
      <c r="AC477" s="251"/>
      <c r="AD477" s="251"/>
      <c r="AE477" s="256">
        <f t="shared" si="5"/>
        <v>0</v>
      </c>
      <c r="AF477" s="245"/>
      <c r="AG477" s="245"/>
    </row>
    <row r="478" spans="13:33" customFormat="1" ht="11.25" customHeight="1">
      <c r="M478" s="510" t="str">
        <f>M477 &amp; ".1"</f>
        <v>Э.1.9.1</v>
      </c>
      <c r="N478" s="737" t="s">
        <v>3004</v>
      </c>
      <c r="O478" s="687" t="s">
        <v>195</v>
      </c>
      <c r="AB478" s="251"/>
      <c r="AC478" s="251"/>
      <c r="AD478" s="251"/>
      <c r="AE478" s="256">
        <f t="shared" si="5"/>
        <v>0</v>
      </c>
      <c r="AF478" s="245"/>
      <c r="AG478" s="245"/>
    </row>
    <row r="479" spans="13:33" customFormat="1" ht="11.25" customHeight="1">
      <c r="M479" s="509" t="s">
        <v>3021</v>
      </c>
      <c r="N479" s="738" t="str">
        <f>"Экономия инвестиционных расходов, сложившаяся в " &amp; PERIOD &amp; " году, предусмотренная в абзаце 6 пункта 66 Основ ценообразования"</f>
        <v>Экономия инвестиционных расходов, сложившаяся в 2024 году, предусмотренная в абзаце 6 пункта 66 Основ ценообразования</v>
      </c>
      <c r="O479" s="687" t="s">
        <v>195</v>
      </c>
      <c r="AB479" s="251"/>
      <c r="AC479" s="251"/>
      <c r="AD479" s="251"/>
      <c r="AE479" s="256">
        <f t="shared" si="5"/>
        <v>0</v>
      </c>
      <c r="AF479" s="245"/>
      <c r="AG479" s="245"/>
    </row>
    <row r="480" spans="13:33" customFormat="1" ht="11.25" customHeight="1">
      <c r="M480" s="509" t="s">
        <v>3022</v>
      </c>
      <c r="N480" s="739" t="s">
        <v>3023</v>
      </c>
      <c r="O480" s="687" t="s">
        <v>195</v>
      </c>
      <c r="AB480" s="251"/>
      <c r="AC480" s="251"/>
      <c r="AD480" s="251"/>
      <c r="AE480" s="256">
        <f t="shared" si="5"/>
        <v>0</v>
      </c>
      <c r="AF480" s="245"/>
      <c r="AG480" s="245"/>
    </row>
    <row r="481" spans="13:33" customFormat="1" ht="11.25" customHeight="1">
      <c r="M481" s="509" t="s">
        <v>3024</v>
      </c>
      <c r="N481" s="739" t="s">
        <v>3023</v>
      </c>
      <c r="O481" s="687" t="s">
        <v>755</v>
      </c>
      <c r="AB481" s="251"/>
      <c r="AC481" s="251"/>
      <c r="AD481" s="251"/>
      <c r="AE481" s="245"/>
      <c r="AF481" s="245"/>
      <c r="AG481" s="245"/>
    </row>
    <row r="482" spans="13:33" customFormat="1" ht="11.25" customHeight="1">
      <c r="M482" s="509" t="s">
        <v>3025</v>
      </c>
      <c r="N482" s="739" t="s">
        <v>3026</v>
      </c>
      <c r="O482" s="687" t="s">
        <v>195</v>
      </c>
      <c r="AB482" s="251"/>
      <c r="AC482" s="251"/>
      <c r="AD482" s="251"/>
      <c r="AE482" s="688">
        <f>AE479-AE480</f>
        <v>0</v>
      </c>
      <c r="AF482" s="688">
        <f>AF479-AF480</f>
        <v>0</v>
      </c>
      <c r="AG482" s="688">
        <f>AG479-AG480</f>
        <v>0</v>
      </c>
    </row>
    <row r="483" spans="13:33" customFormat="1" ht="11.25" customHeight="1">
      <c r="M483" s="509" t="s">
        <v>3027</v>
      </c>
      <c r="N483" s="739" t="s">
        <v>3026</v>
      </c>
      <c r="O483" s="687" t="s">
        <v>755</v>
      </c>
      <c r="AB483" s="251"/>
      <c r="AC483" s="251"/>
      <c r="AD483" s="251"/>
      <c r="AE483" s="245"/>
      <c r="AF483" s="245"/>
      <c r="AG483" s="245"/>
    </row>
    <row r="484" spans="13:33" customFormat="1" ht="11.25" customHeight="1">
      <c r="M484" s="510" t="str">
        <f>M479 &amp; ".1"</f>
        <v>Э.1.10.1</v>
      </c>
      <c r="N484" s="737" t="s">
        <v>3004</v>
      </c>
      <c r="O484" s="687" t="s">
        <v>195</v>
      </c>
      <c r="AB484" s="251"/>
      <c r="AC484" s="251"/>
      <c r="AD484" s="251"/>
      <c r="AE484" s="256">
        <f>AF484+AG484</f>
        <v>0</v>
      </c>
      <c r="AF484" s="245"/>
      <c r="AG484" s="245"/>
    </row>
    <row r="485" spans="13:33" customFormat="1" ht="11.25" customHeight="1">
      <c r="M485" s="509" t="s">
        <v>3028</v>
      </c>
      <c r="N485" s="738" t="str">
        <f>"Экономия инвестиционных расходов, сложившаяся в " &amp; PERIOD &amp; " году, предусмотренная в абзаце 7 пункта 66 Основ ценообразования"</f>
        <v>Экономия инвестиционных расходов, сложившаяся в 2024 году, предусмотренная в абзаце 7 пункта 66 Основ ценообразования</v>
      </c>
      <c r="O485" s="687" t="s">
        <v>195</v>
      </c>
      <c r="AB485" s="251"/>
      <c r="AC485" s="251"/>
      <c r="AD485" s="251"/>
      <c r="AE485" s="256">
        <f>AF485+AG485</f>
        <v>0</v>
      </c>
      <c r="AF485" s="245"/>
      <c r="AG485" s="245"/>
    </row>
    <row r="486" spans="13:33" customFormat="1" ht="11.25" customHeight="1">
      <c r="M486" s="510" t="str">
        <f>M485 &amp; ".1"</f>
        <v>Э.1.11.1</v>
      </c>
      <c r="N486" s="737" t="s">
        <v>3004</v>
      </c>
      <c r="O486" s="687" t="s">
        <v>195</v>
      </c>
      <c r="AB486" s="251"/>
      <c r="AC486" s="251"/>
      <c r="AD486" s="251"/>
      <c r="AE486" s="256">
        <f>AF486+AG486</f>
        <v>0</v>
      </c>
      <c r="AF486" s="245"/>
      <c r="AG486" s="245"/>
    </row>
    <row r="487" spans="13:33" customFormat="1" ht="11.25" customHeight="1">
      <c r="M487" s="500"/>
      <c r="N487" s="622"/>
      <c r="O487" s="166"/>
      <c r="AB487" s="251"/>
      <c r="AC487" s="251"/>
      <c r="AD487" s="251"/>
      <c r="AE487" s="241"/>
      <c r="AF487" s="241"/>
      <c r="AG487" s="241"/>
    </row>
    <row r="488" spans="13:33" customFormat="1" ht="11.25" customHeight="1">
      <c r="M488" s="500"/>
      <c r="N488" s="622"/>
      <c r="O488" s="166"/>
      <c r="AB488" s="251"/>
      <c r="AC488" s="251"/>
      <c r="AD488" s="251"/>
      <c r="AE488" s="241"/>
      <c r="AF488" s="241"/>
      <c r="AG488" s="241"/>
    </row>
    <row r="489" spans="13:33" customFormat="1" ht="11.25" customHeight="1">
      <c r="M489" s="500"/>
      <c r="N489" s="622"/>
      <c r="O489" s="166"/>
      <c r="AB489" s="251"/>
      <c r="AC489" s="251"/>
      <c r="AD489" s="251"/>
      <c r="AE489" s="241"/>
      <c r="AF489" s="241"/>
      <c r="AG489" s="241"/>
    </row>
    <row r="490" spans="13:33" customFormat="1" ht="11.25" customHeight="1">
      <c r="M490" s="500"/>
      <c r="N490" s="622"/>
      <c r="O490" s="166"/>
      <c r="AB490" s="251"/>
      <c r="AC490" s="251"/>
      <c r="AD490" s="251"/>
      <c r="AE490" s="241"/>
      <c r="AF490" s="241"/>
      <c r="AG490" s="241"/>
    </row>
    <row r="491" spans="13:33" customFormat="1" ht="11.25" customHeight="1">
      <c r="M491" s="500"/>
      <c r="N491" s="622"/>
      <c r="O491" s="166"/>
      <c r="AB491" s="251"/>
      <c r="AC491" s="251"/>
      <c r="AD491" s="251"/>
      <c r="AE491" s="241"/>
      <c r="AF491" s="241"/>
      <c r="AG491" s="241"/>
    </row>
    <row r="492" spans="13:33" customFormat="1" ht="11.25" customHeight="1">
      <c r="AE492" s="2"/>
    </row>
  </sheetData>
  <sheetProtection formatColumns="0" formatRows="0"/>
  <mergeCells count="12">
    <mergeCell ref="AH22:AV22"/>
    <mergeCell ref="AB2:AD2"/>
    <mergeCell ref="AB19:AD19"/>
    <mergeCell ref="AB18:AD18"/>
    <mergeCell ref="AB21:AD21"/>
    <mergeCell ref="AB14:AD14"/>
    <mergeCell ref="AH21:AV21"/>
    <mergeCell ref="M19:M20"/>
    <mergeCell ref="N19:N20"/>
    <mergeCell ref="O19:O20"/>
    <mergeCell ref="AB22:AD22"/>
    <mergeCell ref="AB20:AD20"/>
  </mergeCells>
  <phoneticPr fontId="3" type="noConversion"/>
  <dataValidations disablePrompts="1" count="1">
    <dataValidation type="textLength" operator="lessThanOrEqual" allowBlank="1" showInputMessage="1" showErrorMessage="1" errorTitle="Ошибка" error="Допускается ввод не более 900 символов!" sqref="N302:N303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1">
    <tabColor indexed="47"/>
  </sheetPr>
  <dimension ref="A1:BD1295"/>
  <sheetViews>
    <sheetView showGridLines="0" zoomScale="80" zoomScaleNormal="80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45" width="8.75" style="2" customWidth="1"/>
    <col min="46" max="54" width="2.75" style="2" customWidth="1"/>
    <col min="55" max="55" width="3.625" style="2" customWidth="1"/>
    <col min="56" max="56" width="5.75" style="2" customWidth="1"/>
    <col min="57" max="57" width="17.75" style="2" customWidth="1"/>
    <col min="58" max="59" width="5.75" style="2" customWidth="1"/>
    <col min="60" max="60" width="17.75" style="2" customWidth="1"/>
    <col min="61" max="62" width="9.125" style="2"/>
    <col min="63" max="63" width="17.75" style="2" customWidth="1"/>
    <col min="64" max="65" width="9.125" style="2"/>
    <col min="66" max="66" width="17.75" style="2" customWidth="1"/>
    <col min="67" max="16384" width="9.125" style="2"/>
  </cols>
  <sheetData>
    <row r="1" spans="12:55" ht="11.25" customHeight="1">
      <c r="L1"/>
      <c r="M1"/>
      <c r="N1"/>
      <c r="O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</row>
    <row r="2" spans="12:55" ht="11.25" customHeight="1">
      <c r="AB2" s="916" t="s">
        <v>396</v>
      </c>
      <c r="AC2" s="916"/>
      <c r="AD2" s="916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2"/>
    </row>
    <row r="3" spans="12:55" customFormat="1" ht="11.25" customHeight="1"/>
    <row r="4" spans="12:55" customFormat="1" ht="11.25" customHeight="1"/>
    <row r="5" spans="12:55" ht="11.25" customHeight="1">
      <c r="AB5" s="689"/>
      <c r="AC5" s="689"/>
      <c r="AD5" s="689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2:55" ht="11.25" customHeight="1">
      <c r="AB6" s="689">
        <v>12</v>
      </c>
      <c r="AC6" s="689">
        <v>6</v>
      </c>
      <c r="AD6" s="689">
        <v>6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2:55" ht="11.25" customHeight="1">
      <c r="AB7" s="690"/>
      <c r="AC7" s="690"/>
      <c r="AD7" s="690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2:55" customFormat="1" ht="11.25" customHeight="1">
      <c r="AB8" s="691"/>
      <c r="AC8" s="691"/>
      <c r="AD8" s="691"/>
      <c r="AT8" s="77"/>
      <c r="AU8" s="77"/>
      <c r="AV8" s="77"/>
      <c r="AW8" s="77"/>
      <c r="AX8" s="77"/>
      <c r="AY8" s="77"/>
      <c r="AZ8" s="77"/>
      <c r="BA8" s="77"/>
      <c r="BB8" s="77"/>
    </row>
    <row r="9" spans="12:55" customFormat="1" ht="11.25" customHeight="1">
      <c r="AB9" s="4" t="s">
        <v>275</v>
      </c>
      <c r="AC9" s="4" t="s">
        <v>194</v>
      </c>
      <c r="AD9" s="4" t="s">
        <v>609</v>
      </c>
      <c r="AT9" s="77"/>
      <c r="AU9" s="77"/>
      <c r="AV9" s="77"/>
      <c r="AW9" s="77"/>
      <c r="AX9" s="77"/>
      <c r="AY9" s="77"/>
      <c r="AZ9" s="77"/>
      <c r="BA9" s="77"/>
      <c r="BB9" s="77"/>
    </row>
    <row r="10" spans="12:55" customFormat="1" ht="11.25" customHeight="1">
      <c r="AB10" s="692"/>
      <c r="AC10" s="692"/>
      <c r="AD10" s="692"/>
      <c r="AT10" s="77"/>
      <c r="AU10" s="77"/>
      <c r="AV10" s="77"/>
      <c r="AW10" s="77"/>
      <c r="AX10" s="77"/>
      <c r="AY10" s="77"/>
      <c r="AZ10" s="77"/>
      <c r="BA10" s="77"/>
      <c r="BB10" s="77"/>
    </row>
    <row r="11" spans="12:55" customFormat="1" ht="11.25" customHeight="1">
      <c r="AB11" s="4" t="s">
        <v>275</v>
      </c>
      <c r="AC11" s="4" t="s">
        <v>194</v>
      </c>
      <c r="AD11" s="4" t="s">
        <v>609</v>
      </c>
      <c r="AT11" s="77"/>
      <c r="AU11" s="77"/>
      <c r="AV11" s="77"/>
      <c r="AW11" s="77"/>
      <c r="AX11" s="77"/>
      <c r="AY11" s="77"/>
      <c r="AZ11" s="77"/>
      <c r="BA11" s="77"/>
      <c r="BB11" s="77"/>
    </row>
    <row r="12" spans="12:55" customFormat="1" ht="11.25" customHeight="1">
      <c r="AB12" s="690"/>
      <c r="AC12" s="690"/>
      <c r="AD12" s="690"/>
      <c r="AT12" s="77"/>
      <c r="AU12" s="77"/>
      <c r="AV12" s="77"/>
      <c r="AW12" s="77"/>
      <c r="AX12" s="77"/>
      <c r="AY12" s="77"/>
      <c r="AZ12" s="77"/>
      <c r="BA12" s="77"/>
      <c r="BB12" s="77"/>
    </row>
    <row r="13" spans="12:55" customFormat="1" ht="11.25" customHeight="1">
      <c r="AB13" s="214" t="s">
        <v>20</v>
      </c>
      <c r="AC13" s="214" t="s">
        <v>273</v>
      </c>
      <c r="AD13" s="214" t="s">
        <v>274</v>
      </c>
      <c r="AT13" s="77"/>
      <c r="AU13" s="77"/>
      <c r="AV13" s="77"/>
      <c r="AW13" s="77"/>
      <c r="AX13" s="77"/>
      <c r="AY13" s="77"/>
      <c r="AZ13" s="77"/>
      <c r="BA13" s="77"/>
      <c r="BB13" s="77"/>
    </row>
    <row r="14" spans="12:55" ht="11.25" customHeight="1">
      <c r="AB14" s="919"/>
      <c r="AC14" s="920"/>
      <c r="AD14" s="920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 s="78"/>
      <c r="AU14" s="78"/>
      <c r="AV14" s="78"/>
      <c r="AW14" s="78"/>
      <c r="AX14" s="78"/>
      <c r="AY14" s="78"/>
      <c r="AZ14" s="78"/>
      <c r="BA14" s="78"/>
      <c r="BB14" s="78"/>
    </row>
    <row r="15" spans="12:55" ht="11.25" customHeight="1">
      <c r="AB15" s="693" t="str">
        <f>AB17 &amp; "_" &amp; AB9</f>
        <v>0_Y</v>
      </c>
      <c r="AC15" s="693" t="str">
        <f>AC17 &amp; "_" &amp; AC9</f>
        <v>0_I</v>
      </c>
      <c r="AD15" s="693" t="str">
        <f>AD17 &amp; "_" &amp; AD9</f>
        <v>0_II</v>
      </c>
      <c r="AE15"/>
      <c r="AF15"/>
      <c r="AG15"/>
      <c r="AH15"/>
      <c r="AI15"/>
      <c r="AJ15"/>
      <c r="AN15"/>
      <c r="AO15"/>
      <c r="AP15"/>
      <c r="AQ15"/>
      <c r="AR15"/>
      <c r="AS15"/>
      <c r="AT15" s="79"/>
      <c r="AU15" s="79"/>
      <c r="AV15" s="79"/>
      <c r="AW15" s="79"/>
      <c r="AX15" s="79"/>
      <c r="AY15" s="79"/>
      <c r="AZ15" s="79"/>
      <c r="BA15" s="79"/>
      <c r="BB15" s="79"/>
      <c r="BC15" s="20"/>
    </row>
    <row r="16" spans="12:55" customFormat="1" ht="11.25" customHeight="1">
      <c r="AB16" s="158"/>
      <c r="AC16" s="158"/>
      <c r="AD16" s="158"/>
      <c r="AK16" s="2"/>
      <c r="AL16" s="2"/>
      <c r="AM16" s="2"/>
    </row>
    <row r="17" spans="12:56" customFormat="1" ht="11.25" customHeight="1">
      <c r="AB17" s="693">
        <f>AB19</f>
        <v>0</v>
      </c>
      <c r="AC17" s="693">
        <f>AB19</f>
        <v>0</v>
      </c>
      <c r="AD17" s="693">
        <f>AB19</f>
        <v>0</v>
      </c>
      <c r="AK17" s="2"/>
      <c r="AL17" s="2"/>
      <c r="AM17" s="2"/>
      <c r="AN17" s="2"/>
      <c r="AO17" s="2"/>
      <c r="AP17" s="2"/>
    </row>
    <row r="18" spans="12:56" customFormat="1" ht="11.25" customHeight="1">
      <c r="AB18" s="923" t="s">
        <v>134</v>
      </c>
      <c r="AC18" s="923"/>
      <c r="AD18" s="923"/>
      <c r="AK18" s="916" t="s">
        <v>591</v>
      </c>
      <c r="AL18" s="916"/>
      <c r="AM18" s="916"/>
      <c r="AN18" s="2"/>
      <c r="AO18" s="2"/>
      <c r="AP18" s="2"/>
    </row>
    <row r="19" spans="12:56" ht="11.25" customHeight="1">
      <c r="L19" s="118"/>
      <c r="M19" s="908" t="s">
        <v>104</v>
      </c>
      <c r="N19" s="910" t="s">
        <v>196</v>
      </c>
      <c r="O19" s="912" t="s">
        <v>683</v>
      </c>
      <c r="AB19" s="919"/>
      <c r="AC19" s="920"/>
      <c r="AD19" s="924"/>
      <c r="AE19"/>
      <c r="AF19"/>
      <c r="AG19"/>
      <c r="AH19"/>
      <c r="AI19"/>
      <c r="AJ19"/>
      <c r="AK19" s="916" t="s">
        <v>404</v>
      </c>
      <c r="AL19" s="916"/>
      <c r="AM19" s="916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2:56" ht="11.25" customHeight="1">
      <c r="L20" s="118"/>
      <c r="M20" s="909"/>
      <c r="N20" s="911"/>
      <c r="O20" s="913"/>
      <c r="AB20" s="914"/>
      <c r="AC20" s="915"/>
      <c r="AD20" s="915"/>
      <c r="AE20"/>
      <c r="AF20"/>
      <c r="AG20"/>
      <c r="AH20"/>
      <c r="AI20"/>
      <c r="AJ20"/>
      <c r="AK20" s="916" t="s">
        <v>1826</v>
      </c>
      <c r="AL20" s="916"/>
      <c r="AM20" s="916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2:56" ht="11.25" customHeight="1">
      <c r="L21" s="9"/>
      <c r="M21" s="175"/>
      <c r="N21" s="176" t="s">
        <v>197</v>
      </c>
      <c r="O21" s="177"/>
      <c r="AB21" s="914"/>
      <c r="AC21" s="915"/>
      <c r="AD21" s="915"/>
      <c r="AE21"/>
      <c r="AF21"/>
      <c r="AG21"/>
      <c r="AH21"/>
      <c r="AI21"/>
      <c r="AJ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2:56" ht="11.25" hidden="1" customHeight="1">
      <c r="L22" s="9"/>
      <c r="M22" s="175"/>
      <c r="N22" s="180" t="str">
        <f>IF(CALC_IDENTIFIER="","",CALC_IDENTIFIER)</f>
        <v/>
      </c>
      <c r="O22" s="192"/>
      <c r="AB22" s="921"/>
      <c r="AC22" s="922"/>
      <c r="AD22" s="922"/>
      <c r="AE22"/>
      <c r="AF22"/>
      <c r="AG22"/>
      <c r="AH22"/>
      <c r="AI22"/>
      <c r="AJ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2:56" customFormat="1" ht="11.25" hidden="1" customHeight="1">
      <c r="M23" s="126"/>
      <c r="N23" s="126"/>
      <c r="O23" s="193"/>
      <c r="AB23" s="115"/>
      <c r="AC23" s="115"/>
      <c r="AD23" s="115"/>
      <c r="AE23" s="115"/>
      <c r="AF23" s="115"/>
      <c r="AG23" s="115"/>
      <c r="AH23" s="115"/>
      <c r="AI23" s="115"/>
      <c r="AJ23" s="115"/>
      <c r="AK23" s="115"/>
      <c r="AL23" s="115"/>
      <c r="AM23" s="115"/>
      <c r="AN23" s="115"/>
      <c r="AO23" s="115"/>
      <c r="AP23" s="115"/>
      <c r="AQ23" s="115"/>
      <c r="AR23" s="115"/>
      <c r="AS23" s="115"/>
    </row>
    <row r="24" spans="12:56" customFormat="1" ht="11.25" hidden="1" customHeight="1">
      <c r="M24" s="126"/>
      <c r="N24" s="126"/>
      <c r="O24" s="193"/>
      <c r="AB24" s="115"/>
      <c r="AC24" s="115"/>
      <c r="AD24" s="115"/>
      <c r="AE24" s="115"/>
      <c r="AF24" s="115"/>
      <c r="AG24" s="115"/>
      <c r="AH24" s="115"/>
      <c r="AI24" s="115"/>
      <c r="AJ24" s="115"/>
      <c r="AK24" s="115"/>
      <c r="AL24" s="115"/>
      <c r="AM24" s="115"/>
      <c r="AN24" s="115"/>
      <c r="AO24" s="115"/>
      <c r="AP24" s="115"/>
      <c r="AQ24" s="115"/>
      <c r="AR24" s="115"/>
      <c r="AS24" s="115"/>
    </row>
    <row r="25" spans="12:56" customFormat="1" ht="11.25" hidden="1" customHeight="1">
      <c r="M25" s="126"/>
      <c r="N25" s="126"/>
      <c r="O25" s="193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</row>
    <row r="26" spans="12:56" customFormat="1" ht="11.25" hidden="1" customHeight="1">
      <c r="M26" s="126"/>
      <c r="N26" s="126"/>
      <c r="O26" s="193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</row>
    <row r="27" spans="12:56" customFormat="1" ht="11.25" hidden="1" customHeight="1">
      <c r="M27" s="126"/>
      <c r="N27" s="126"/>
      <c r="O27" s="193"/>
      <c r="AB27" s="115"/>
      <c r="AC27" s="115"/>
      <c r="AD27" s="115"/>
      <c r="AE27" s="115"/>
      <c r="AF27" s="115"/>
      <c r="AG27" s="115"/>
      <c r="AH27" s="115"/>
      <c r="AI27" s="115"/>
      <c r="AJ27" s="115"/>
      <c r="AK27" s="115"/>
      <c r="AL27" s="115"/>
      <c r="AM27" s="115"/>
      <c r="AN27" s="115"/>
      <c r="AO27" s="115"/>
      <c r="AP27" s="115"/>
      <c r="AQ27" s="115"/>
      <c r="AR27" s="115"/>
      <c r="AS27" s="115"/>
    </row>
    <row r="28" spans="12:56" customFormat="1" ht="11.25" hidden="1" customHeight="1">
      <c r="M28" s="126"/>
      <c r="N28" s="126"/>
      <c r="O28" s="193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</row>
    <row r="29" spans="12:56" customFormat="1" ht="11.25" hidden="1" customHeight="1">
      <c r="M29" s="126"/>
      <c r="N29" s="126"/>
      <c r="O29" s="193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5"/>
      <c r="AP29" s="115"/>
      <c r="AQ29" s="115"/>
      <c r="AR29" s="115"/>
      <c r="AS29" s="115"/>
    </row>
    <row r="30" spans="12:56" customFormat="1" ht="11.25" hidden="1" customHeight="1">
      <c r="M30" s="126"/>
      <c r="N30" s="126"/>
      <c r="O30" s="193"/>
      <c r="AB30" s="115"/>
      <c r="AC30" s="115"/>
      <c r="AD30" s="115"/>
      <c r="AE30" s="115"/>
      <c r="AF30" s="115"/>
      <c r="AG30" s="115"/>
      <c r="AH30" s="115"/>
      <c r="AI30" s="115"/>
      <c r="AJ30" s="115"/>
      <c r="AK30" s="115"/>
      <c r="AL30" s="115"/>
      <c r="AM30" s="115"/>
      <c r="AN30" s="115"/>
      <c r="AO30" s="115"/>
      <c r="AP30" s="115"/>
      <c r="AQ30" s="115"/>
      <c r="AR30" s="115"/>
      <c r="AS30" s="115"/>
    </row>
    <row r="31" spans="12:56" customFormat="1" ht="11.25" hidden="1" customHeight="1">
      <c r="M31" s="126"/>
      <c r="N31" s="126"/>
      <c r="O31" s="193"/>
      <c r="AB31" s="115"/>
      <c r="AC31" s="115"/>
      <c r="AD31" s="115"/>
      <c r="AE31" s="115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</row>
    <row r="32" spans="12:56" customFormat="1" ht="11.25" hidden="1" customHeight="1">
      <c r="M32" s="126"/>
      <c r="N32" s="126"/>
      <c r="O32" s="193"/>
      <c r="AB32" s="115"/>
      <c r="AC32" s="115"/>
      <c r="AD32" s="115"/>
      <c r="AE32" s="115"/>
      <c r="AF32" s="115"/>
      <c r="AG32" s="115"/>
      <c r="AH32" s="115"/>
      <c r="AI32" s="115"/>
      <c r="AJ32" s="115"/>
      <c r="AK32" s="115"/>
      <c r="AL32" s="115"/>
      <c r="AM32" s="115"/>
      <c r="AN32" s="115"/>
      <c r="AO32" s="115"/>
      <c r="AP32" s="115"/>
      <c r="AQ32" s="115"/>
      <c r="AR32" s="115"/>
      <c r="AS32" s="115"/>
    </row>
    <row r="33" spans="13:45" customFormat="1" ht="11.25" hidden="1" customHeight="1">
      <c r="M33" s="126"/>
      <c r="N33" s="126"/>
      <c r="O33" s="193"/>
      <c r="AB33" s="115"/>
      <c r="AC33" s="115"/>
      <c r="AD33" s="115"/>
      <c r="AE33" s="115"/>
      <c r="AF33" s="115"/>
      <c r="AG33" s="115"/>
      <c r="AH33" s="115"/>
      <c r="AI33" s="115"/>
      <c r="AJ33" s="115"/>
      <c r="AK33" s="115"/>
      <c r="AL33" s="115"/>
      <c r="AM33" s="115"/>
      <c r="AN33" s="115"/>
      <c r="AO33" s="115"/>
      <c r="AP33" s="115"/>
      <c r="AQ33" s="115"/>
      <c r="AR33" s="115"/>
      <c r="AS33" s="115"/>
    </row>
    <row r="34" spans="13:45" customFormat="1" ht="11.25" hidden="1" customHeight="1">
      <c r="M34" s="126"/>
      <c r="N34" s="126"/>
      <c r="O34" s="193"/>
      <c r="AB34" s="115"/>
      <c r="AC34" s="115"/>
      <c r="AD34" s="115"/>
      <c r="AE34" s="115"/>
      <c r="AF34" s="115"/>
      <c r="AG34" s="115"/>
      <c r="AH34" s="115"/>
      <c r="AI34" s="115"/>
      <c r="AJ34" s="115"/>
      <c r="AK34" s="115"/>
      <c r="AL34" s="115"/>
      <c r="AM34" s="115"/>
      <c r="AN34" s="115"/>
      <c r="AO34" s="115"/>
      <c r="AP34" s="115"/>
      <c r="AQ34" s="115"/>
      <c r="AR34" s="115"/>
      <c r="AS34" s="115"/>
    </row>
    <row r="35" spans="13:45" customFormat="1" ht="11.25" hidden="1" customHeight="1">
      <c r="M35" s="126"/>
      <c r="N35" s="126"/>
      <c r="O35" s="191"/>
      <c r="AB35" s="115"/>
      <c r="AC35" s="115"/>
      <c r="AD35" s="115"/>
      <c r="AE35" s="115"/>
      <c r="AF35" s="115"/>
      <c r="AG35" s="115"/>
      <c r="AH35" s="115"/>
      <c r="AI35" s="694"/>
      <c r="AJ35" s="694"/>
      <c r="AK35" s="694"/>
      <c r="AL35" s="694"/>
      <c r="AM35" s="694"/>
      <c r="AN35" s="694"/>
      <c r="AO35" s="694"/>
      <c r="AP35" s="694"/>
      <c r="AQ35" s="694"/>
      <c r="AR35" s="694"/>
      <c r="AS35" s="694"/>
    </row>
    <row r="36" spans="13:45" customFormat="1" ht="11.25" customHeight="1">
      <c r="M36" s="490" t="s">
        <v>166</v>
      </c>
      <c r="N36" s="494" t="s">
        <v>3000</v>
      </c>
      <c r="O36" s="695" t="s">
        <v>195</v>
      </c>
      <c r="AB36" s="248"/>
      <c r="AC36" s="248"/>
      <c r="AD36" s="248"/>
      <c r="AE36" s="263">
        <f>SUM(AE37,AE41:AE46,AE47,AE52,AE59,AE60,AE78:AE87)</f>
        <v>0</v>
      </c>
      <c r="AF36" s="263">
        <f>SUM(AF37,AF41:AF46,AF47,AF52,AF59,AF60,AF78:AF87)</f>
        <v>0</v>
      </c>
      <c r="AG36" s="263">
        <f>SUM(AG37,AG41:AG46,AG47,AG52,AG59,AG60,AG78:AG87)</f>
        <v>0</v>
      </c>
      <c r="AH36" s="248"/>
      <c r="AI36" s="248"/>
      <c r="AJ36" s="248"/>
      <c r="AK36" s="263">
        <f>SUM(AK37,AK41:AK46,AK47,AK52,AK59,AK60,AK78:AK87)</f>
        <v>0</v>
      </c>
      <c r="AL36" s="263">
        <f>SUM(AL37,AL41:AL46,AL47,AL52,AL59,AL60,AL78:AL87)</f>
        <v>0</v>
      </c>
      <c r="AM36" s="263">
        <f>SUM(AM37,AM41:AM46,AM47,AM52,AM59,AM60,AM78:AM87)</f>
        <v>0</v>
      </c>
      <c r="AN36" s="310"/>
      <c r="AO36" s="310"/>
      <c r="AP36" s="310"/>
      <c r="AQ36" s="36"/>
      <c r="AR36" s="310"/>
      <c r="AS36" s="310"/>
    </row>
    <row r="37" spans="13:45" customFormat="1" ht="11.25" customHeight="1">
      <c r="M37" s="696" t="s">
        <v>1376</v>
      </c>
      <c r="N37" s="697" t="s">
        <v>1304</v>
      </c>
      <c r="O37" s="189" t="s">
        <v>195</v>
      </c>
      <c r="AB37" s="248"/>
      <c r="AC37" s="248"/>
      <c r="AD37" s="248"/>
      <c r="AE37" s="462"/>
      <c r="AF37" s="462"/>
      <c r="AG37" s="462"/>
      <c r="AH37" s="248"/>
      <c r="AI37" s="248"/>
      <c r="AJ37" s="248"/>
      <c r="AK37" s="183">
        <f>SUM(AK38:AK40)</f>
        <v>0</v>
      </c>
      <c r="AL37" s="183">
        <f>SUM(AL38:AL40)</f>
        <v>0</v>
      </c>
      <c r="AM37" s="183">
        <f>SUM(AM38:AM40)</f>
        <v>0</v>
      </c>
      <c r="AN37" s="310"/>
      <c r="AO37" s="310"/>
      <c r="AP37" s="310"/>
      <c r="AQ37" s="698" t="s">
        <v>1328</v>
      </c>
      <c r="AR37" s="310"/>
      <c r="AS37" s="310"/>
    </row>
    <row r="38" spans="13:45" customFormat="1" ht="11.25" customHeight="1">
      <c r="M38" s="696" t="s">
        <v>1377</v>
      </c>
      <c r="N38" s="699" t="s">
        <v>713</v>
      </c>
      <c r="O38" s="189" t="s">
        <v>195</v>
      </c>
      <c r="AB38" s="248"/>
      <c r="AC38" s="248"/>
      <c r="AD38" s="248"/>
      <c r="AE38" s="462"/>
      <c r="AF38" s="462"/>
      <c r="AG38" s="462"/>
      <c r="AH38" s="248"/>
      <c r="AI38" s="248"/>
      <c r="AJ38" s="248"/>
      <c r="AK38" s="240">
        <f>AK474+AK543+AK551+AK559</f>
        <v>0</v>
      </c>
      <c r="AL38" s="240">
        <f>AL474+AL543+AL551+AL559</f>
        <v>0</v>
      </c>
      <c r="AM38" s="240">
        <f>AM474+AM543+AM551+AM559</f>
        <v>0</v>
      </c>
      <c r="AN38" s="310"/>
      <c r="AO38" s="310"/>
      <c r="AP38" s="310"/>
      <c r="AQ38" s="698" t="s">
        <v>1329</v>
      </c>
      <c r="AR38" s="310"/>
      <c r="AS38" s="310"/>
    </row>
    <row r="39" spans="13:45" customFormat="1" ht="11.25" customHeight="1">
      <c r="M39" s="696" t="s">
        <v>1378</v>
      </c>
      <c r="N39" s="699" t="s">
        <v>715</v>
      </c>
      <c r="O39" s="189" t="s">
        <v>195</v>
      </c>
      <c r="AB39" s="248"/>
      <c r="AC39" s="248"/>
      <c r="AD39" s="248"/>
      <c r="AE39" s="462"/>
      <c r="AF39" s="462"/>
      <c r="AG39" s="462"/>
      <c r="AH39" s="248"/>
      <c r="AI39" s="248"/>
      <c r="AJ39" s="248"/>
      <c r="AK39" s="240">
        <f>AK475+AK578+AK586+AK594</f>
        <v>0</v>
      </c>
      <c r="AL39" s="240">
        <f>AL475+AL578+AL586+AL594</f>
        <v>0</v>
      </c>
      <c r="AM39" s="240">
        <f>AM475+AM578+AM586+AM594</f>
        <v>0</v>
      </c>
      <c r="AN39" s="310"/>
      <c r="AO39" s="310"/>
      <c r="AP39" s="310"/>
      <c r="AQ39" s="698" t="s">
        <v>1330</v>
      </c>
      <c r="AR39" s="310"/>
      <c r="AS39" s="310"/>
    </row>
    <row r="40" spans="13:45" customFormat="1" ht="11.25" customHeight="1">
      <c r="M40" s="696" t="s">
        <v>1379</v>
      </c>
      <c r="N40" s="699" t="s">
        <v>716</v>
      </c>
      <c r="O40" s="189" t="s">
        <v>195</v>
      </c>
      <c r="AB40" s="248"/>
      <c r="AC40" s="248"/>
      <c r="AD40" s="248"/>
      <c r="AE40" s="462"/>
      <c r="AF40" s="462"/>
      <c r="AG40" s="462"/>
      <c r="AH40" s="248"/>
      <c r="AI40" s="248"/>
      <c r="AJ40" s="248"/>
      <c r="AK40" s="240">
        <f>AK476</f>
        <v>0</v>
      </c>
      <c r="AL40" s="240">
        <f>AL476</f>
        <v>0</v>
      </c>
      <c r="AM40" s="240">
        <f>AM476</f>
        <v>0</v>
      </c>
      <c r="AN40" s="310"/>
      <c r="AO40" s="310"/>
      <c r="AP40" s="310"/>
      <c r="AQ40" s="698" t="s">
        <v>1331</v>
      </c>
      <c r="AR40" s="310"/>
      <c r="AS40" s="310"/>
    </row>
    <row r="41" spans="13:45" customFormat="1" ht="11.25" customHeight="1">
      <c r="M41" s="696" t="s">
        <v>1380</v>
      </c>
      <c r="N41" s="700" t="s">
        <v>1305</v>
      </c>
      <c r="O41" s="189" t="s">
        <v>195</v>
      </c>
      <c r="AB41" s="248"/>
      <c r="AC41" s="248"/>
      <c r="AD41" s="248"/>
      <c r="AE41" s="462"/>
      <c r="AF41" s="462"/>
      <c r="AG41" s="462"/>
      <c r="AH41" s="248"/>
      <c r="AI41" s="248"/>
      <c r="AJ41" s="248"/>
      <c r="AK41" s="183">
        <f t="shared" ref="AK41:AM56" si="0">AK477+AK706+AK862+AK1018</f>
        <v>0</v>
      </c>
      <c r="AL41" s="183">
        <f t="shared" si="0"/>
        <v>0</v>
      </c>
      <c r="AM41" s="183">
        <f t="shared" si="0"/>
        <v>0</v>
      </c>
      <c r="AN41" s="310"/>
      <c r="AO41" s="310"/>
      <c r="AP41" s="310"/>
      <c r="AQ41" s="698" t="s">
        <v>1340</v>
      </c>
      <c r="AR41" s="310"/>
      <c r="AS41" s="310"/>
    </row>
    <row r="42" spans="13:45" customFormat="1" ht="11.25" customHeight="1">
      <c r="M42" s="696" t="s">
        <v>1381</v>
      </c>
      <c r="N42" s="700" t="s">
        <v>1306</v>
      </c>
      <c r="O42" s="189" t="s">
        <v>195</v>
      </c>
      <c r="AB42" s="248"/>
      <c r="AC42" s="248"/>
      <c r="AD42" s="248"/>
      <c r="AE42" s="462"/>
      <c r="AF42" s="462"/>
      <c r="AG42" s="462"/>
      <c r="AH42" s="248"/>
      <c r="AI42" s="248"/>
      <c r="AJ42" s="248"/>
      <c r="AK42" s="183">
        <f t="shared" si="0"/>
        <v>0</v>
      </c>
      <c r="AL42" s="183">
        <f t="shared" si="0"/>
        <v>0</v>
      </c>
      <c r="AM42" s="183">
        <f t="shared" si="0"/>
        <v>0</v>
      </c>
      <c r="AN42" s="310"/>
      <c r="AO42" s="310"/>
      <c r="AP42" s="310"/>
      <c r="AQ42" s="698" t="s">
        <v>1341</v>
      </c>
      <c r="AR42" s="310"/>
      <c r="AS42" s="310"/>
    </row>
    <row r="43" spans="13:45" customFormat="1" ht="11.25" customHeight="1">
      <c r="M43" s="696" t="s">
        <v>1382</v>
      </c>
      <c r="N43" s="700" t="s">
        <v>1307</v>
      </c>
      <c r="O43" s="189" t="s">
        <v>195</v>
      </c>
      <c r="AB43" s="248"/>
      <c r="AC43" s="248"/>
      <c r="AD43" s="248"/>
      <c r="AE43" s="462"/>
      <c r="AF43" s="462"/>
      <c r="AG43" s="462"/>
      <c r="AH43" s="248"/>
      <c r="AI43" s="248"/>
      <c r="AJ43" s="248"/>
      <c r="AK43" s="183">
        <f t="shared" si="0"/>
        <v>0</v>
      </c>
      <c r="AL43" s="183">
        <f t="shared" si="0"/>
        <v>0</v>
      </c>
      <c r="AM43" s="183">
        <f t="shared" si="0"/>
        <v>0</v>
      </c>
      <c r="AN43" s="310"/>
      <c r="AO43" s="310"/>
      <c r="AP43" s="310"/>
      <c r="AQ43" s="698" t="s">
        <v>1342</v>
      </c>
      <c r="AR43" s="310"/>
      <c r="AS43" s="310"/>
    </row>
    <row r="44" spans="13:45" customFormat="1" ht="11.25" customHeight="1">
      <c r="M44" s="696" t="s">
        <v>1383</v>
      </c>
      <c r="N44" s="700" t="s">
        <v>1308</v>
      </c>
      <c r="O44" s="189" t="s">
        <v>195</v>
      </c>
      <c r="AB44" s="248"/>
      <c r="AC44" s="248"/>
      <c r="AD44" s="248"/>
      <c r="AE44" s="462"/>
      <c r="AF44" s="462"/>
      <c r="AG44" s="462"/>
      <c r="AH44" s="248"/>
      <c r="AI44" s="248"/>
      <c r="AJ44" s="248"/>
      <c r="AK44" s="183">
        <f t="shared" si="0"/>
        <v>0</v>
      </c>
      <c r="AL44" s="183">
        <f t="shared" si="0"/>
        <v>0</v>
      </c>
      <c r="AM44" s="183">
        <f t="shared" si="0"/>
        <v>0</v>
      </c>
      <c r="AN44" s="310"/>
      <c r="AO44" s="310"/>
      <c r="AP44" s="310"/>
      <c r="AQ44" s="698" t="s">
        <v>1339</v>
      </c>
      <c r="AR44" s="310"/>
      <c r="AS44" s="310"/>
    </row>
    <row r="45" spans="13:45" customFormat="1" ht="11.25" customHeight="1">
      <c r="M45" s="696" t="s">
        <v>1384</v>
      </c>
      <c r="N45" s="701" t="s">
        <v>684</v>
      </c>
      <c r="O45" s="189" t="s">
        <v>195</v>
      </c>
      <c r="AB45" s="248"/>
      <c r="AC45" s="248"/>
      <c r="AD45" s="248"/>
      <c r="AE45" s="462"/>
      <c r="AF45" s="462"/>
      <c r="AG45" s="462"/>
      <c r="AH45" s="248"/>
      <c r="AI45" s="248"/>
      <c r="AJ45" s="248"/>
      <c r="AK45" s="183">
        <f t="shared" si="0"/>
        <v>0</v>
      </c>
      <c r="AL45" s="183">
        <f t="shared" si="0"/>
        <v>0</v>
      </c>
      <c r="AM45" s="183">
        <f t="shared" si="0"/>
        <v>0</v>
      </c>
      <c r="AN45" s="310"/>
      <c r="AO45" s="310"/>
      <c r="AP45" s="310"/>
      <c r="AQ45" s="698" t="s">
        <v>1332</v>
      </c>
      <c r="AR45" s="310"/>
      <c r="AS45" s="310"/>
    </row>
    <row r="46" spans="13:45" customFormat="1" ht="11.25" customHeight="1">
      <c r="M46" s="696" t="s">
        <v>1385</v>
      </c>
      <c r="N46" s="702" t="s">
        <v>718</v>
      </c>
      <c r="O46" s="189" t="s">
        <v>195</v>
      </c>
      <c r="AB46" s="248"/>
      <c r="AC46" s="248"/>
      <c r="AD46" s="248"/>
      <c r="AE46" s="462"/>
      <c r="AF46" s="462"/>
      <c r="AG46" s="462"/>
      <c r="AH46" s="248"/>
      <c r="AI46" s="248"/>
      <c r="AJ46" s="248"/>
      <c r="AK46" s="183">
        <f t="shared" si="0"/>
        <v>0</v>
      </c>
      <c r="AL46" s="183">
        <f t="shared" si="0"/>
        <v>0</v>
      </c>
      <c r="AM46" s="183">
        <f t="shared" si="0"/>
        <v>0</v>
      </c>
      <c r="AN46" s="310"/>
      <c r="AO46" s="310"/>
      <c r="AP46" s="310"/>
      <c r="AQ46" s="698" t="s">
        <v>1333</v>
      </c>
      <c r="AR46" s="310"/>
      <c r="AS46" s="310"/>
    </row>
    <row r="47" spans="13:45" customFormat="1" ht="11.25" customHeight="1">
      <c r="M47" s="696" t="s">
        <v>1386</v>
      </c>
      <c r="N47" s="703" t="s">
        <v>722</v>
      </c>
      <c r="O47" s="189" t="s">
        <v>195</v>
      </c>
      <c r="AB47" s="248"/>
      <c r="AC47" s="248"/>
      <c r="AD47" s="248"/>
      <c r="AE47" s="462"/>
      <c r="AF47" s="462"/>
      <c r="AG47" s="462"/>
      <c r="AH47" s="248"/>
      <c r="AI47" s="248"/>
      <c r="AJ47" s="248"/>
      <c r="AK47" s="183">
        <f t="shared" si="0"/>
        <v>0</v>
      </c>
      <c r="AL47" s="183">
        <f t="shared" si="0"/>
        <v>0</v>
      </c>
      <c r="AM47" s="183">
        <f t="shared" si="0"/>
        <v>0</v>
      </c>
      <c r="AN47" s="310"/>
      <c r="AO47" s="310"/>
      <c r="AP47" s="310"/>
      <c r="AQ47" s="698" t="s">
        <v>1334</v>
      </c>
      <c r="AR47" s="310"/>
      <c r="AS47" s="310"/>
    </row>
    <row r="48" spans="13:45" customFormat="1" ht="11.25" customHeight="1">
      <c r="M48" s="696" t="s">
        <v>1387</v>
      </c>
      <c r="N48" s="704" t="s">
        <v>1309</v>
      </c>
      <c r="O48" s="189" t="s">
        <v>195</v>
      </c>
      <c r="AB48" s="248"/>
      <c r="AC48" s="248"/>
      <c r="AD48" s="248"/>
      <c r="AE48" s="462"/>
      <c r="AF48" s="462"/>
      <c r="AG48" s="462"/>
      <c r="AH48" s="248"/>
      <c r="AI48" s="248"/>
      <c r="AJ48" s="248"/>
      <c r="AK48" s="183">
        <f t="shared" si="0"/>
        <v>0</v>
      </c>
      <c r="AL48" s="183">
        <f t="shared" si="0"/>
        <v>0</v>
      </c>
      <c r="AM48" s="183">
        <f t="shared" si="0"/>
        <v>0</v>
      </c>
      <c r="AN48" s="310"/>
      <c r="AO48" s="310"/>
      <c r="AP48" s="310"/>
      <c r="AQ48" s="698" t="s">
        <v>1335</v>
      </c>
      <c r="AR48" s="310"/>
      <c r="AS48" s="310"/>
    </row>
    <row r="49" spans="13:45" customFormat="1" ht="11.25" customHeight="1">
      <c r="M49" s="696" t="s">
        <v>1388</v>
      </c>
      <c r="N49" s="704" t="s">
        <v>1310</v>
      </c>
      <c r="O49" s="189" t="s">
        <v>195</v>
      </c>
      <c r="AB49" s="248"/>
      <c r="AC49" s="248"/>
      <c r="AD49" s="248"/>
      <c r="AE49" s="462"/>
      <c r="AF49" s="462"/>
      <c r="AG49" s="462"/>
      <c r="AH49" s="248"/>
      <c r="AI49" s="248"/>
      <c r="AJ49" s="248"/>
      <c r="AK49" s="183">
        <f t="shared" si="0"/>
        <v>0</v>
      </c>
      <c r="AL49" s="183">
        <f t="shared" si="0"/>
        <v>0</v>
      </c>
      <c r="AM49" s="183">
        <f t="shared" si="0"/>
        <v>0</v>
      </c>
      <c r="AN49" s="310"/>
      <c r="AO49" s="310"/>
      <c r="AP49" s="310"/>
      <c r="AQ49" s="698" t="s">
        <v>1336</v>
      </c>
      <c r="AR49" s="310"/>
      <c r="AS49" s="310"/>
    </row>
    <row r="50" spans="13:45" customFormat="1" ht="11.25" customHeight="1">
      <c r="M50" s="696" t="s">
        <v>1389</v>
      </c>
      <c r="N50" s="704" t="s">
        <v>1311</v>
      </c>
      <c r="O50" s="189" t="s">
        <v>195</v>
      </c>
      <c r="AB50" s="248"/>
      <c r="AC50" s="248"/>
      <c r="AD50" s="248"/>
      <c r="AE50" s="462"/>
      <c r="AF50" s="462"/>
      <c r="AG50" s="462"/>
      <c r="AH50" s="248"/>
      <c r="AI50" s="248"/>
      <c r="AJ50" s="248"/>
      <c r="AK50" s="183">
        <f t="shared" si="0"/>
        <v>0</v>
      </c>
      <c r="AL50" s="183">
        <f t="shared" si="0"/>
        <v>0</v>
      </c>
      <c r="AM50" s="183">
        <f t="shared" si="0"/>
        <v>0</v>
      </c>
      <c r="AN50" s="310"/>
      <c r="AO50" s="310"/>
      <c r="AP50" s="310"/>
      <c r="AQ50" s="698" t="s">
        <v>1337</v>
      </c>
      <c r="AR50" s="310"/>
      <c r="AS50" s="310"/>
    </row>
    <row r="51" spans="13:45" customFormat="1" ht="11.25" customHeight="1">
      <c r="M51" s="696" t="s">
        <v>1390</v>
      </c>
      <c r="N51" s="704" t="s">
        <v>1312</v>
      </c>
      <c r="O51" s="189" t="s">
        <v>195</v>
      </c>
      <c r="AB51" s="248"/>
      <c r="AC51" s="248"/>
      <c r="AD51" s="248"/>
      <c r="AE51" s="462"/>
      <c r="AF51" s="462"/>
      <c r="AG51" s="462"/>
      <c r="AH51" s="248"/>
      <c r="AI51" s="248"/>
      <c r="AJ51" s="248"/>
      <c r="AK51" s="183">
        <f t="shared" si="0"/>
        <v>0</v>
      </c>
      <c r="AL51" s="183">
        <f t="shared" si="0"/>
        <v>0</v>
      </c>
      <c r="AM51" s="183">
        <f t="shared" si="0"/>
        <v>0</v>
      </c>
      <c r="AN51" s="310"/>
      <c r="AO51" s="310"/>
      <c r="AP51" s="310"/>
      <c r="AQ51" s="698" t="s">
        <v>1338</v>
      </c>
      <c r="AR51" s="310"/>
      <c r="AS51" s="310"/>
    </row>
    <row r="52" spans="13:45" customFormat="1" ht="11.25" customHeight="1">
      <c r="M52" s="696" t="s">
        <v>1391</v>
      </c>
      <c r="N52" s="705" t="s">
        <v>720</v>
      </c>
      <c r="O52" s="189" t="s">
        <v>195</v>
      </c>
      <c r="AB52" s="248"/>
      <c r="AC52" s="248"/>
      <c r="AD52" s="248"/>
      <c r="AE52" s="462"/>
      <c r="AF52" s="462"/>
      <c r="AG52" s="462"/>
      <c r="AH52" s="248"/>
      <c r="AI52" s="248"/>
      <c r="AJ52" s="248"/>
      <c r="AK52" s="183">
        <f t="shared" si="0"/>
        <v>0</v>
      </c>
      <c r="AL52" s="183">
        <f t="shared" si="0"/>
        <v>0</v>
      </c>
      <c r="AM52" s="183">
        <f t="shared" si="0"/>
        <v>0</v>
      </c>
      <c r="AN52" s="310"/>
      <c r="AO52" s="310"/>
      <c r="AP52" s="310"/>
      <c r="AQ52" s="698" t="s">
        <v>1343</v>
      </c>
      <c r="AR52" s="310"/>
      <c r="AS52" s="310"/>
    </row>
    <row r="53" spans="13:45" customFormat="1" ht="11.25" customHeight="1">
      <c r="M53" s="696" t="s">
        <v>1865</v>
      </c>
      <c r="N53" s="706" t="s">
        <v>1313</v>
      </c>
      <c r="O53" s="189" t="s">
        <v>195</v>
      </c>
      <c r="AB53" s="248"/>
      <c r="AC53" s="248"/>
      <c r="AD53" s="248"/>
      <c r="AE53" s="462"/>
      <c r="AF53" s="462"/>
      <c r="AG53" s="462"/>
      <c r="AH53" s="248"/>
      <c r="AI53" s="248"/>
      <c r="AJ53" s="248"/>
      <c r="AK53" s="183">
        <f t="shared" si="0"/>
        <v>0</v>
      </c>
      <c r="AL53" s="183">
        <f t="shared" si="0"/>
        <v>0</v>
      </c>
      <c r="AM53" s="183">
        <f t="shared" si="0"/>
        <v>0</v>
      </c>
      <c r="AN53" s="310"/>
      <c r="AO53" s="310"/>
      <c r="AP53" s="310"/>
      <c r="AQ53" s="698" t="s">
        <v>1866</v>
      </c>
      <c r="AR53" s="310"/>
      <c r="AS53" s="310"/>
    </row>
    <row r="54" spans="13:45" customFormat="1" ht="11.25" customHeight="1">
      <c r="M54" s="696" t="s">
        <v>1846</v>
      </c>
      <c r="N54" s="706" t="s">
        <v>1314</v>
      </c>
      <c r="O54" s="189" t="s">
        <v>195</v>
      </c>
      <c r="AB54" s="248"/>
      <c r="AC54" s="248"/>
      <c r="AD54" s="248"/>
      <c r="AE54" s="462"/>
      <c r="AF54" s="462"/>
      <c r="AG54" s="462"/>
      <c r="AH54" s="248"/>
      <c r="AI54" s="248"/>
      <c r="AJ54" s="248"/>
      <c r="AK54" s="183">
        <f t="shared" si="0"/>
        <v>0</v>
      </c>
      <c r="AL54" s="183">
        <f t="shared" si="0"/>
        <v>0</v>
      </c>
      <c r="AM54" s="183">
        <f t="shared" si="0"/>
        <v>0</v>
      </c>
      <c r="AN54" s="310"/>
      <c r="AO54" s="310"/>
      <c r="AP54" s="310"/>
      <c r="AQ54" s="698" t="s">
        <v>1847</v>
      </c>
      <c r="AR54" s="310"/>
      <c r="AS54" s="310"/>
    </row>
    <row r="55" spans="13:45" customFormat="1" ht="11.25" customHeight="1">
      <c r="M55" s="696" t="s">
        <v>1828</v>
      </c>
      <c r="N55" s="706" t="s">
        <v>1315</v>
      </c>
      <c r="O55" s="189" t="s">
        <v>195</v>
      </c>
      <c r="AB55" s="248"/>
      <c r="AC55" s="248"/>
      <c r="AD55" s="248"/>
      <c r="AE55" s="462"/>
      <c r="AF55" s="462"/>
      <c r="AG55" s="462"/>
      <c r="AH55" s="248"/>
      <c r="AI55" s="248"/>
      <c r="AJ55" s="248"/>
      <c r="AK55" s="183">
        <f t="shared" si="0"/>
        <v>0</v>
      </c>
      <c r="AL55" s="183">
        <f t="shared" si="0"/>
        <v>0</v>
      </c>
      <c r="AM55" s="183">
        <f t="shared" si="0"/>
        <v>0</v>
      </c>
      <c r="AN55" s="310"/>
      <c r="AO55" s="310"/>
      <c r="AP55" s="310"/>
      <c r="AQ55" s="698" t="s">
        <v>1827</v>
      </c>
      <c r="AR55" s="310"/>
      <c r="AS55" s="310"/>
    </row>
    <row r="56" spans="13:45" customFormat="1" ht="11.25" customHeight="1">
      <c r="M56" s="696" t="s">
        <v>1392</v>
      </c>
      <c r="N56" s="706" t="s">
        <v>1316</v>
      </c>
      <c r="O56" s="189" t="s">
        <v>195</v>
      </c>
      <c r="AB56" s="248"/>
      <c r="AC56" s="248"/>
      <c r="AD56" s="248"/>
      <c r="AE56" s="462"/>
      <c r="AF56" s="462"/>
      <c r="AG56" s="462"/>
      <c r="AH56" s="248"/>
      <c r="AI56" s="248"/>
      <c r="AJ56" s="248"/>
      <c r="AK56" s="183">
        <f t="shared" si="0"/>
        <v>0</v>
      </c>
      <c r="AL56" s="183">
        <f t="shared" si="0"/>
        <v>0</v>
      </c>
      <c r="AM56" s="183">
        <f t="shared" si="0"/>
        <v>0</v>
      </c>
      <c r="AN56" s="310"/>
      <c r="AO56" s="310"/>
      <c r="AP56" s="310"/>
      <c r="AQ56" s="698" t="s">
        <v>1344</v>
      </c>
      <c r="AR56" s="310"/>
      <c r="AS56" s="310"/>
    </row>
    <row r="57" spans="13:45" customFormat="1" ht="11.25" customHeight="1">
      <c r="M57" s="696" t="s">
        <v>1393</v>
      </c>
      <c r="N57" s="706" t="s">
        <v>1317</v>
      </c>
      <c r="O57" s="189" t="s">
        <v>195</v>
      </c>
      <c r="AB57" s="248"/>
      <c r="AC57" s="248"/>
      <c r="AD57" s="248"/>
      <c r="AE57" s="462"/>
      <c r="AF57" s="462"/>
      <c r="AG57" s="462"/>
      <c r="AH57" s="248"/>
      <c r="AI57" s="248"/>
      <c r="AJ57" s="248"/>
      <c r="AK57" s="183">
        <f t="shared" ref="AK57:AM72" si="1">AK493+AK722+AK878+AK1034</f>
        <v>0</v>
      </c>
      <c r="AL57" s="183">
        <f t="shared" si="1"/>
        <v>0</v>
      </c>
      <c r="AM57" s="183">
        <f t="shared" si="1"/>
        <v>0</v>
      </c>
      <c r="AN57" s="310"/>
      <c r="AO57" s="310"/>
      <c r="AP57" s="310"/>
      <c r="AQ57" s="698" t="s">
        <v>1345</v>
      </c>
      <c r="AR57" s="310"/>
      <c r="AS57" s="310"/>
    </row>
    <row r="58" spans="13:45" customFormat="1" ht="11.25" customHeight="1">
      <c r="M58" s="696" t="s">
        <v>1394</v>
      </c>
      <c r="N58" s="706" t="s">
        <v>1318</v>
      </c>
      <c r="O58" s="189" t="s">
        <v>195</v>
      </c>
      <c r="AB58" s="248"/>
      <c r="AC58" s="248"/>
      <c r="AD58" s="248"/>
      <c r="AE58" s="462"/>
      <c r="AF58" s="462"/>
      <c r="AG58" s="462"/>
      <c r="AH58" s="248"/>
      <c r="AI58" s="248"/>
      <c r="AJ58" s="248"/>
      <c r="AK58" s="183">
        <f t="shared" si="1"/>
        <v>0</v>
      </c>
      <c r="AL58" s="183">
        <f t="shared" si="1"/>
        <v>0</v>
      </c>
      <c r="AM58" s="183">
        <f t="shared" si="1"/>
        <v>0</v>
      </c>
      <c r="AN58" s="310"/>
      <c r="AO58" s="310"/>
      <c r="AP58" s="310"/>
      <c r="AQ58" s="698" t="s">
        <v>1346</v>
      </c>
      <c r="AR58" s="310"/>
      <c r="AS58" s="310"/>
    </row>
    <row r="59" spans="13:45" customFormat="1" ht="11.25" customHeight="1">
      <c r="M59" s="696" t="s">
        <v>1395</v>
      </c>
      <c r="N59" s="707" t="s">
        <v>721</v>
      </c>
      <c r="O59" s="189" t="s">
        <v>195</v>
      </c>
      <c r="AB59" s="248"/>
      <c r="AC59" s="248"/>
      <c r="AD59" s="248"/>
      <c r="AE59" s="462"/>
      <c r="AF59" s="462"/>
      <c r="AG59" s="462"/>
      <c r="AH59" s="248"/>
      <c r="AI59" s="248"/>
      <c r="AJ59" s="248"/>
      <c r="AK59" s="183">
        <f t="shared" si="1"/>
        <v>0</v>
      </c>
      <c r="AL59" s="183">
        <f t="shared" si="1"/>
        <v>0</v>
      </c>
      <c r="AM59" s="183">
        <f t="shared" si="1"/>
        <v>0</v>
      </c>
      <c r="AN59" s="310"/>
      <c r="AO59" s="310"/>
      <c r="AP59" s="310"/>
      <c r="AQ59" s="698" t="s">
        <v>1347</v>
      </c>
      <c r="AR59" s="310"/>
      <c r="AS59" s="310"/>
    </row>
    <row r="60" spans="13:45" customFormat="1" ht="11.25" customHeight="1">
      <c r="M60" s="696" t="s">
        <v>1396</v>
      </c>
      <c r="N60" s="708" t="s">
        <v>712</v>
      </c>
      <c r="O60" s="189" t="s">
        <v>195</v>
      </c>
      <c r="AB60" s="248"/>
      <c r="AC60" s="248"/>
      <c r="AD60" s="248"/>
      <c r="AE60" s="462"/>
      <c r="AF60" s="462"/>
      <c r="AG60" s="462"/>
      <c r="AH60" s="248"/>
      <c r="AI60" s="248"/>
      <c r="AJ60" s="248"/>
      <c r="AK60" s="183">
        <f t="shared" si="1"/>
        <v>0</v>
      </c>
      <c r="AL60" s="183">
        <f t="shared" si="1"/>
        <v>0</v>
      </c>
      <c r="AM60" s="183">
        <f t="shared" si="1"/>
        <v>0</v>
      </c>
      <c r="AN60" s="310"/>
      <c r="AO60" s="310"/>
      <c r="AP60" s="310"/>
      <c r="AQ60" s="698" t="s">
        <v>1348</v>
      </c>
      <c r="AR60" s="310"/>
      <c r="AS60" s="310"/>
    </row>
    <row r="61" spans="13:45" customFormat="1" ht="11.25" customHeight="1">
      <c r="M61" s="696" t="s">
        <v>2611</v>
      </c>
      <c r="N61" s="709" t="s">
        <v>1319</v>
      </c>
      <c r="O61" s="189" t="s">
        <v>195</v>
      </c>
      <c r="AB61" s="248"/>
      <c r="AC61" s="248"/>
      <c r="AD61" s="248"/>
      <c r="AE61" s="462"/>
      <c r="AF61" s="462"/>
      <c r="AG61" s="462"/>
      <c r="AH61" s="248"/>
      <c r="AI61" s="248"/>
      <c r="AJ61" s="248"/>
      <c r="AK61" s="183">
        <f t="shared" si="1"/>
        <v>0</v>
      </c>
      <c r="AL61" s="183">
        <f t="shared" si="1"/>
        <v>0</v>
      </c>
      <c r="AM61" s="183">
        <f t="shared" si="1"/>
        <v>0</v>
      </c>
      <c r="AN61" s="310"/>
      <c r="AO61" s="310"/>
      <c r="AP61" s="310"/>
      <c r="AQ61" s="698" t="s">
        <v>2612</v>
      </c>
      <c r="AR61" s="310"/>
      <c r="AS61" s="310"/>
    </row>
    <row r="62" spans="13:45" customFormat="1" ht="11.25" customHeight="1">
      <c r="M62" s="696" t="s">
        <v>2613</v>
      </c>
      <c r="N62" s="709" t="s">
        <v>1320</v>
      </c>
      <c r="O62" s="189" t="s">
        <v>195</v>
      </c>
      <c r="AB62" s="248"/>
      <c r="AC62" s="248"/>
      <c r="AD62" s="248"/>
      <c r="AE62" s="462"/>
      <c r="AF62" s="462"/>
      <c r="AG62" s="462"/>
      <c r="AH62" s="248"/>
      <c r="AI62" s="248"/>
      <c r="AJ62" s="248"/>
      <c r="AK62" s="183">
        <f t="shared" si="1"/>
        <v>0</v>
      </c>
      <c r="AL62" s="183">
        <f t="shared" si="1"/>
        <v>0</v>
      </c>
      <c r="AM62" s="183">
        <f t="shared" si="1"/>
        <v>0</v>
      </c>
      <c r="AN62" s="310"/>
      <c r="AO62" s="310"/>
      <c r="AP62" s="310"/>
      <c r="AQ62" s="698" t="s">
        <v>2614</v>
      </c>
      <c r="AR62" s="310"/>
      <c r="AS62" s="310"/>
    </row>
    <row r="63" spans="13:45" customFormat="1" ht="11.25" customHeight="1">
      <c r="M63" s="696" t="s">
        <v>2615</v>
      </c>
      <c r="N63" s="709" t="s">
        <v>1321</v>
      </c>
      <c r="O63" s="189" t="s">
        <v>195</v>
      </c>
      <c r="AB63" s="248"/>
      <c r="AC63" s="248"/>
      <c r="AD63" s="248"/>
      <c r="AE63" s="462"/>
      <c r="AF63" s="462"/>
      <c r="AG63" s="462"/>
      <c r="AH63" s="248"/>
      <c r="AI63" s="248"/>
      <c r="AJ63" s="248"/>
      <c r="AK63" s="183">
        <f t="shared" si="1"/>
        <v>0</v>
      </c>
      <c r="AL63" s="183">
        <f t="shared" si="1"/>
        <v>0</v>
      </c>
      <c r="AM63" s="183">
        <f t="shared" si="1"/>
        <v>0</v>
      </c>
      <c r="AN63" s="310"/>
      <c r="AO63" s="310"/>
      <c r="AP63" s="310"/>
      <c r="AQ63" s="698" t="s">
        <v>2616</v>
      </c>
      <c r="AR63" s="310"/>
      <c r="AS63" s="310"/>
    </row>
    <row r="64" spans="13:45" customFormat="1" ht="11.25" customHeight="1">
      <c r="M64" s="696" t="s">
        <v>2617</v>
      </c>
      <c r="N64" s="709" t="s">
        <v>2618</v>
      </c>
      <c r="O64" s="189" t="s">
        <v>195</v>
      </c>
      <c r="AB64" s="248"/>
      <c r="AC64" s="248"/>
      <c r="AD64" s="248"/>
      <c r="AE64" s="462"/>
      <c r="AF64" s="462"/>
      <c r="AG64" s="462"/>
      <c r="AH64" s="248"/>
      <c r="AI64" s="248"/>
      <c r="AJ64" s="248"/>
      <c r="AK64" s="183">
        <f t="shared" si="1"/>
        <v>0</v>
      </c>
      <c r="AL64" s="183">
        <f t="shared" si="1"/>
        <v>0</v>
      </c>
      <c r="AM64" s="183">
        <f t="shared" si="1"/>
        <v>0</v>
      </c>
      <c r="AN64" s="310"/>
      <c r="AO64" s="310"/>
      <c r="AP64" s="310"/>
      <c r="AQ64" s="698" t="s">
        <v>2619</v>
      </c>
      <c r="AR64" s="310"/>
      <c r="AS64" s="310"/>
    </row>
    <row r="65" spans="13:45" customFormat="1" ht="11.25" customHeight="1">
      <c r="M65" s="696" t="s">
        <v>2620</v>
      </c>
      <c r="N65" s="709" t="s">
        <v>2621</v>
      </c>
      <c r="O65" s="189" t="s">
        <v>195</v>
      </c>
      <c r="AB65" s="248"/>
      <c r="AC65" s="248"/>
      <c r="AD65" s="248"/>
      <c r="AE65" s="462"/>
      <c r="AF65" s="462"/>
      <c r="AG65" s="462"/>
      <c r="AH65" s="248"/>
      <c r="AI65" s="248"/>
      <c r="AJ65" s="248"/>
      <c r="AK65" s="183">
        <f t="shared" si="1"/>
        <v>0</v>
      </c>
      <c r="AL65" s="183">
        <f t="shared" si="1"/>
        <v>0</v>
      </c>
      <c r="AM65" s="183">
        <f t="shared" si="1"/>
        <v>0</v>
      </c>
      <c r="AN65" s="310"/>
      <c r="AO65" s="310"/>
      <c r="AP65" s="310"/>
      <c r="AQ65" s="698" t="s">
        <v>2622</v>
      </c>
      <c r="AR65" s="310"/>
      <c r="AS65" s="310"/>
    </row>
    <row r="66" spans="13:45" customFormat="1" ht="11.25" customHeight="1">
      <c r="M66" s="696" t="s">
        <v>2623</v>
      </c>
      <c r="N66" s="709" t="s">
        <v>1322</v>
      </c>
      <c r="O66" s="189" t="s">
        <v>195</v>
      </c>
      <c r="AB66" s="248"/>
      <c r="AC66" s="248"/>
      <c r="AD66" s="248"/>
      <c r="AE66" s="462"/>
      <c r="AF66" s="462"/>
      <c r="AG66" s="462"/>
      <c r="AH66" s="248"/>
      <c r="AI66" s="248"/>
      <c r="AJ66" s="248"/>
      <c r="AK66" s="183">
        <f t="shared" si="1"/>
        <v>0</v>
      </c>
      <c r="AL66" s="183">
        <f t="shared" si="1"/>
        <v>0</v>
      </c>
      <c r="AM66" s="183">
        <f t="shared" si="1"/>
        <v>0</v>
      </c>
      <c r="AN66" s="310"/>
      <c r="AO66" s="310"/>
      <c r="AP66" s="310"/>
      <c r="AQ66" s="698" t="s">
        <v>2624</v>
      </c>
      <c r="AR66" s="310"/>
      <c r="AS66" s="310"/>
    </row>
    <row r="67" spans="13:45" customFormat="1" ht="11.25" customHeight="1">
      <c r="M67" s="696" t="s">
        <v>2625</v>
      </c>
      <c r="N67" s="709" t="s">
        <v>2626</v>
      </c>
      <c r="O67" s="189" t="s">
        <v>195</v>
      </c>
      <c r="AB67" s="248"/>
      <c r="AC67" s="248"/>
      <c r="AD67" s="248"/>
      <c r="AE67" s="462"/>
      <c r="AF67" s="462"/>
      <c r="AG67" s="462"/>
      <c r="AH67" s="248"/>
      <c r="AI67" s="248"/>
      <c r="AJ67" s="248"/>
      <c r="AK67" s="183">
        <f t="shared" si="1"/>
        <v>0</v>
      </c>
      <c r="AL67" s="183">
        <f t="shared" si="1"/>
        <v>0</v>
      </c>
      <c r="AM67" s="183">
        <f t="shared" si="1"/>
        <v>0</v>
      </c>
      <c r="AN67" s="310"/>
      <c r="AO67" s="310"/>
      <c r="AP67" s="310"/>
      <c r="AQ67" s="698" t="s">
        <v>2627</v>
      </c>
      <c r="AR67" s="310"/>
      <c r="AS67" s="310"/>
    </row>
    <row r="68" spans="13:45" customFormat="1" ht="11.25" customHeight="1">
      <c r="M68" s="696" t="s">
        <v>2628</v>
      </c>
      <c r="N68" s="709" t="s">
        <v>1323</v>
      </c>
      <c r="O68" s="189" t="s">
        <v>195</v>
      </c>
      <c r="AB68" s="248"/>
      <c r="AC68" s="248"/>
      <c r="AD68" s="248"/>
      <c r="AE68" s="462"/>
      <c r="AF68" s="462"/>
      <c r="AG68" s="462"/>
      <c r="AH68" s="248"/>
      <c r="AI68" s="248"/>
      <c r="AJ68" s="248"/>
      <c r="AK68" s="183">
        <f t="shared" si="1"/>
        <v>0</v>
      </c>
      <c r="AL68" s="183">
        <f t="shared" si="1"/>
        <v>0</v>
      </c>
      <c r="AM68" s="183">
        <f t="shared" si="1"/>
        <v>0</v>
      </c>
      <c r="AN68" s="310"/>
      <c r="AO68" s="310"/>
      <c r="AP68" s="310"/>
      <c r="AQ68" s="698" t="s">
        <v>2629</v>
      </c>
      <c r="AR68" s="310"/>
      <c r="AS68" s="310"/>
    </row>
    <row r="69" spans="13:45" customFormat="1" ht="11.25" customHeight="1">
      <c r="M69" s="696" t="s">
        <v>2630</v>
      </c>
      <c r="N69" s="709" t="s">
        <v>1324</v>
      </c>
      <c r="O69" s="189" t="s">
        <v>195</v>
      </c>
      <c r="AB69" s="248"/>
      <c r="AC69" s="248"/>
      <c r="AD69" s="248"/>
      <c r="AE69" s="462"/>
      <c r="AF69" s="462"/>
      <c r="AG69" s="462"/>
      <c r="AH69" s="248"/>
      <c r="AI69" s="248"/>
      <c r="AJ69" s="248"/>
      <c r="AK69" s="183">
        <f t="shared" si="1"/>
        <v>0</v>
      </c>
      <c r="AL69" s="183">
        <f t="shared" si="1"/>
        <v>0</v>
      </c>
      <c r="AM69" s="183">
        <f t="shared" si="1"/>
        <v>0</v>
      </c>
      <c r="AN69" s="310"/>
      <c r="AO69" s="310"/>
      <c r="AP69" s="310"/>
      <c r="AQ69" s="698" t="s">
        <v>2631</v>
      </c>
      <c r="AR69" s="310"/>
      <c r="AS69" s="310"/>
    </row>
    <row r="70" spans="13:45" customFormat="1" ht="11.25" customHeight="1">
      <c r="M70" s="696" t="s">
        <v>2632</v>
      </c>
      <c r="N70" s="709" t="s">
        <v>2633</v>
      </c>
      <c r="O70" s="189" t="s">
        <v>195</v>
      </c>
      <c r="AB70" s="248"/>
      <c r="AC70" s="248"/>
      <c r="AD70" s="248"/>
      <c r="AE70" s="462"/>
      <c r="AF70" s="462"/>
      <c r="AG70" s="462"/>
      <c r="AH70" s="248"/>
      <c r="AI70" s="248"/>
      <c r="AJ70" s="248"/>
      <c r="AK70" s="183">
        <f t="shared" si="1"/>
        <v>0</v>
      </c>
      <c r="AL70" s="183">
        <f t="shared" si="1"/>
        <v>0</v>
      </c>
      <c r="AM70" s="183">
        <f t="shared" si="1"/>
        <v>0</v>
      </c>
      <c r="AN70" s="310"/>
      <c r="AO70" s="310"/>
      <c r="AP70" s="310"/>
      <c r="AQ70" s="698" t="s">
        <v>2634</v>
      </c>
      <c r="AR70" s="310"/>
      <c r="AS70" s="310"/>
    </row>
    <row r="71" spans="13:45" customFormat="1" ht="11.25" customHeight="1">
      <c r="M71" s="696" t="s">
        <v>2635</v>
      </c>
      <c r="N71" s="709" t="s">
        <v>2636</v>
      </c>
      <c r="O71" s="189" t="s">
        <v>195</v>
      </c>
      <c r="AB71" s="248"/>
      <c r="AC71" s="248"/>
      <c r="AD71" s="248"/>
      <c r="AE71" s="462"/>
      <c r="AF71" s="462"/>
      <c r="AG71" s="462"/>
      <c r="AH71" s="248"/>
      <c r="AI71" s="248"/>
      <c r="AJ71" s="248"/>
      <c r="AK71" s="183">
        <f t="shared" si="1"/>
        <v>0</v>
      </c>
      <c r="AL71" s="183">
        <f t="shared" si="1"/>
        <v>0</v>
      </c>
      <c r="AM71" s="183">
        <f t="shared" si="1"/>
        <v>0</v>
      </c>
      <c r="AN71" s="310"/>
      <c r="AO71" s="310"/>
      <c r="AP71" s="310"/>
      <c r="AQ71" s="698" t="s">
        <v>2637</v>
      </c>
      <c r="AR71" s="310"/>
      <c r="AS71" s="310"/>
    </row>
    <row r="72" spans="13:45" customFormat="1" ht="11.25" customHeight="1">
      <c r="M72" s="696" t="s">
        <v>2638</v>
      </c>
      <c r="N72" s="709" t="s">
        <v>2639</v>
      </c>
      <c r="O72" s="189" t="s">
        <v>195</v>
      </c>
      <c r="AB72" s="248"/>
      <c r="AC72" s="248"/>
      <c r="AD72" s="248"/>
      <c r="AE72" s="462"/>
      <c r="AF72" s="462"/>
      <c r="AG72" s="462"/>
      <c r="AH72" s="248"/>
      <c r="AI72" s="248"/>
      <c r="AJ72" s="248"/>
      <c r="AK72" s="183">
        <f t="shared" si="1"/>
        <v>0</v>
      </c>
      <c r="AL72" s="183">
        <f t="shared" si="1"/>
        <v>0</v>
      </c>
      <c r="AM72" s="183">
        <f t="shared" si="1"/>
        <v>0</v>
      </c>
      <c r="AN72" s="310"/>
      <c r="AO72" s="310"/>
      <c r="AP72" s="310"/>
      <c r="AQ72" s="698" t="s">
        <v>2640</v>
      </c>
      <c r="AR72" s="310"/>
      <c r="AS72" s="310"/>
    </row>
    <row r="73" spans="13:45" customFormat="1" ht="11.25" customHeight="1">
      <c r="M73" s="696" t="s">
        <v>2641</v>
      </c>
      <c r="N73" s="709" t="s">
        <v>2642</v>
      </c>
      <c r="O73" s="189" t="s">
        <v>195</v>
      </c>
      <c r="AB73" s="248"/>
      <c r="AC73" s="248"/>
      <c r="AD73" s="248"/>
      <c r="AE73" s="462"/>
      <c r="AF73" s="462"/>
      <c r="AG73" s="462"/>
      <c r="AH73" s="248"/>
      <c r="AI73" s="248"/>
      <c r="AJ73" s="248"/>
      <c r="AK73" s="183">
        <f t="shared" ref="AK73:AM77" si="2">AK509+AK738+AK894+AK1050</f>
        <v>0</v>
      </c>
      <c r="AL73" s="183">
        <f t="shared" si="2"/>
        <v>0</v>
      </c>
      <c r="AM73" s="183">
        <f t="shared" si="2"/>
        <v>0</v>
      </c>
      <c r="AN73" s="310"/>
      <c r="AO73" s="310"/>
      <c r="AP73" s="310"/>
      <c r="AQ73" s="698" t="s">
        <v>2643</v>
      </c>
      <c r="AR73" s="310"/>
      <c r="AS73" s="310"/>
    </row>
    <row r="74" spans="13:45" customFormat="1" ht="11.25" customHeight="1">
      <c r="M74" s="696" t="s">
        <v>2644</v>
      </c>
      <c r="N74" s="709" t="s">
        <v>2645</v>
      </c>
      <c r="O74" s="189" t="s">
        <v>195</v>
      </c>
      <c r="AB74" s="248"/>
      <c r="AC74" s="248"/>
      <c r="AD74" s="248"/>
      <c r="AE74" s="462"/>
      <c r="AF74" s="462"/>
      <c r="AG74" s="462"/>
      <c r="AH74" s="248"/>
      <c r="AI74" s="248"/>
      <c r="AJ74" s="248"/>
      <c r="AK74" s="183">
        <f t="shared" si="2"/>
        <v>0</v>
      </c>
      <c r="AL74" s="183">
        <f t="shared" si="2"/>
        <v>0</v>
      </c>
      <c r="AM74" s="183">
        <f t="shared" si="2"/>
        <v>0</v>
      </c>
      <c r="AN74" s="310"/>
      <c r="AO74" s="310"/>
      <c r="AP74" s="310"/>
      <c r="AQ74" s="698" t="s">
        <v>2646</v>
      </c>
      <c r="AR74" s="310"/>
      <c r="AS74" s="310"/>
    </row>
    <row r="75" spans="13:45" customFormat="1" ht="11.25" customHeight="1">
      <c r="M75" s="696" t="s">
        <v>2647</v>
      </c>
      <c r="N75" s="709" t="s">
        <v>1325</v>
      </c>
      <c r="O75" s="189" t="s">
        <v>195</v>
      </c>
      <c r="AB75" s="248"/>
      <c r="AC75" s="248"/>
      <c r="AD75" s="248"/>
      <c r="AE75" s="462"/>
      <c r="AF75" s="462"/>
      <c r="AG75" s="462"/>
      <c r="AH75" s="248"/>
      <c r="AI75" s="248"/>
      <c r="AJ75" s="248"/>
      <c r="AK75" s="183">
        <f t="shared" si="2"/>
        <v>0</v>
      </c>
      <c r="AL75" s="183">
        <f t="shared" si="2"/>
        <v>0</v>
      </c>
      <c r="AM75" s="183">
        <f t="shared" si="2"/>
        <v>0</v>
      </c>
      <c r="AN75" s="310"/>
      <c r="AO75" s="310"/>
      <c r="AP75" s="310"/>
      <c r="AQ75" s="698" t="s">
        <v>2648</v>
      </c>
      <c r="AR75" s="310"/>
      <c r="AS75" s="310"/>
    </row>
    <row r="76" spans="13:45" customFormat="1" ht="11.25" customHeight="1">
      <c r="M76" s="696" t="s">
        <v>2649</v>
      </c>
      <c r="N76" s="709" t="s">
        <v>1326</v>
      </c>
      <c r="O76" s="189" t="s">
        <v>195</v>
      </c>
      <c r="AB76" s="248"/>
      <c r="AC76" s="248"/>
      <c r="AD76" s="248"/>
      <c r="AE76" s="462"/>
      <c r="AF76" s="462"/>
      <c r="AG76" s="462"/>
      <c r="AH76" s="248"/>
      <c r="AI76" s="248"/>
      <c r="AJ76" s="248"/>
      <c r="AK76" s="183">
        <f t="shared" si="2"/>
        <v>0</v>
      </c>
      <c r="AL76" s="183">
        <f t="shared" si="2"/>
        <v>0</v>
      </c>
      <c r="AM76" s="183">
        <f t="shared" si="2"/>
        <v>0</v>
      </c>
      <c r="AN76" s="310"/>
      <c r="AO76" s="310"/>
      <c r="AP76" s="310"/>
      <c r="AQ76" s="698" t="s">
        <v>2650</v>
      </c>
      <c r="AR76" s="310"/>
      <c r="AS76" s="310"/>
    </row>
    <row r="77" spans="13:45" customFormat="1" ht="11.25" customHeight="1">
      <c r="M77" s="696" t="s">
        <v>2651</v>
      </c>
      <c r="N77" s="709" t="s">
        <v>2652</v>
      </c>
      <c r="O77" s="189" t="s">
        <v>195</v>
      </c>
      <c r="AB77" s="248"/>
      <c r="AC77" s="248"/>
      <c r="AD77" s="248"/>
      <c r="AE77" s="462"/>
      <c r="AF77" s="462"/>
      <c r="AG77" s="462"/>
      <c r="AH77" s="248"/>
      <c r="AI77" s="248"/>
      <c r="AJ77" s="248"/>
      <c r="AK77" s="183">
        <f t="shared" si="2"/>
        <v>0</v>
      </c>
      <c r="AL77" s="183">
        <f t="shared" si="2"/>
        <v>0</v>
      </c>
      <c r="AM77" s="183">
        <f t="shared" si="2"/>
        <v>0</v>
      </c>
      <c r="AN77" s="310"/>
      <c r="AO77" s="310"/>
      <c r="AP77" s="310"/>
      <c r="AQ77" s="698" t="s">
        <v>2653</v>
      </c>
      <c r="AR77" s="310"/>
      <c r="AS77" s="310"/>
    </row>
    <row r="78" spans="13:45" customFormat="1" ht="11.25" customHeight="1">
      <c r="M78" s="696" t="s">
        <v>1397</v>
      </c>
      <c r="N78" s="710" t="s">
        <v>1364</v>
      </c>
      <c r="O78" s="189" t="s">
        <v>195</v>
      </c>
      <c r="AB78" s="248"/>
      <c r="AC78" s="248"/>
      <c r="AD78" s="248"/>
      <c r="AE78" s="462"/>
      <c r="AF78" s="462"/>
      <c r="AG78" s="462"/>
      <c r="AH78" s="248"/>
      <c r="AI78" s="248"/>
      <c r="AJ78" s="248"/>
      <c r="AK78" s="240">
        <f>SUM(AK1070,AK1076,AK1082,AK1088)</f>
        <v>0</v>
      </c>
      <c r="AL78" s="240">
        <f>SUM(AL1070,AL1076,AL1082,AL1088)</f>
        <v>0</v>
      </c>
      <c r="AM78" s="240">
        <f>SUM(AM1070,AM1076,AM1082,AM1088)</f>
        <v>0</v>
      </c>
      <c r="AN78" s="310"/>
      <c r="AO78" s="310"/>
      <c r="AP78" s="310"/>
      <c r="AQ78" s="698" t="s">
        <v>1366</v>
      </c>
      <c r="AR78" s="310"/>
      <c r="AS78" s="310"/>
    </row>
    <row r="79" spans="13:45" customFormat="1" ht="11.25" customHeight="1">
      <c r="M79" s="696" t="s">
        <v>1398</v>
      </c>
      <c r="N79" s="710" t="s">
        <v>1365</v>
      </c>
      <c r="O79" s="189" t="s">
        <v>195</v>
      </c>
      <c r="AB79" s="248"/>
      <c r="AC79" s="248"/>
      <c r="AD79" s="248"/>
      <c r="AE79" s="462"/>
      <c r="AF79" s="462"/>
      <c r="AG79" s="462"/>
      <c r="AH79" s="248"/>
      <c r="AI79" s="248"/>
      <c r="AJ79" s="248"/>
      <c r="AK79" s="240">
        <f>SUM(AK1073,AK1079,AK1085,AK1091)</f>
        <v>0</v>
      </c>
      <c r="AL79" s="240">
        <f>SUM(AL1073,AL1079,AL1085,AL1091)</f>
        <v>0</v>
      </c>
      <c r="AM79" s="240">
        <f>SUM(AM1073,AM1079,AM1085,AM1091)</f>
        <v>0</v>
      </c>
      <c r="AN79" s="310"/>
      <c r="AO79" s="310"/>
      <c r="AP79" s="310"/>
      <c r="AQ79" s="698" t="s">
        <v>1367</v>
      </c>
      <c r="AR79" s="310"/>
      <c r="AS79" s="310"/>
    </row>
    <row r="80" spans="13:45" customFormat="1" ht="11.25" customHeight="1">
      <c r="M80" s="696" t="s">
        <v>1399</v>
      </c>
      <c r="N80" s="711" t="s">
        <v>1327</v>
      </c>
      <c r="O80" s="189" t="s">
        <v>195</v>
      </c>
      <c r="AB80" s="248"/>
      <c r="AC80" s="248"/>
      <c r="AD80" s="248"/>
      <c r="AE80" s="462"/>
      <c r="AF80" s="462"/>
      <c r="AG80" s="462"/>
      <c r="AH80" s="248"/>
      <c r="AI80" s="248"/>
      <c r="AJ80" s="248"/>
      <c r="AK80" s="183">
        <f t="shared" ref="AK80:AM86" si="3">AK516+AK745+AK901+AK1057</f>
        <v>0</v>
      </c>
      <c r="AL80" s="183">
        <f t="shared" si="3"/>
        <v>0</v>
      </c>
      <c r="AM80" s="183">
        <f t="shared" si="3"/>
        <v>0</v>
      </c>
      <c r="AN80" s="310"/>
      <c r="AO80" s="310"/>
      <c r="AP80" s="310"/>
      <c r="AQ80" s="698" t="s">
        <v>1357</v>
      </c>
      <c r="AR80" s="310"/>
      <c r="AS80" s="310"/>
    </row>
    <row r="81" spans="13:45" customFormat="1" ht="11.25" customHeight="1">
      <c r="M81" s="696" t="s">
        <v>1400</v>
      </c>
      <c r="N81" s="712" t="s">
        <v>723</v>
      </c>
      <c r="O81" s="189" t="s">
        <v>195</v>
      </c>
      <c r="AB81" s="248"/>
      <c r="AC81" s="248"/>
      <c r="AD81" s="248"/>
      <c r="AE81" s="462"/>
      <c r="AF81" s="462"/>
      <c r="AG81" s="462"/>
      <c r="AH81" s="248"/>
      <c r="AI81" s="248"/>
      <c r="AJ81" s="248"/>
      <c r="AK81" s="183">
        <f t="shared" si="3"/>
        <v>0</v>
      </c>
      <c r="AL81" s="183">
        <f t="shared" si="3"/>
        <v>0</v>
      </c>
      <c r="AM81" s="183">
        <f t="shared" si="3"/>
        <v>0</v>
      </c>
      <c r="AN81" s="310"/>
      <c r="AO81" s="310"/>
      <c r="AP81" s="310"/>
      <c r="AQ81" s="698" t="s">
        <v>1350</v>
      </c>
      <c r="AR81" s="310"/>
      <c r="AS81" s="310"/>
    </row>
    <row r="82" spans="13:45" customFormat="1" ht="11.25" customHeight="1">
      <c r="M82" s="696" t="s">
        <v>1401</v>
      </c>
      <c r="N82" s="713" t="s">
        <v>748</v>
      </c>
      <c r="O82" s="189" t="s">
        <v>195</v>
      </c>
      <c r="AB82" s="248"/>
      <c r="AC82" s="248"/>
      <c r="AD82" s="248"/>
      <c r="AE82" s="462"/>
      <c r="AF82" s="462"/>
      <c r="AG82" s="462"/>
      <c r="AH82" s="248"/>
      <c r="AI82" s="248"/>
      <c r="AJ82" s="248"/>
      <c r="AK82" s="183">
        <f t="shared" si="3"/>
        <v>0</v>
      </c>
      <c r="AL82" s="183">
        <f t="shared" si="3"/>
        <v>0</v>
      </c>
      <c r="AM82" s="183">
        <f t="shared" si="3"/>
        <v>0</v>
      </c>
      <c r="AN82" s="310"/>
      <c r="AO82" s="310"/>
      <c r="AP82" s="310"/>
      <c r="AQ82" s="698" t="s">
        <v>1351</v>
      </c>
      <c r="AR82" s="310"/>
      <c r="AS82" s="310"/>
    </row>
    <row r="83" spans="13:45" customFormat="1" ht="11.25" customHeight="1">
      <c r="M83" s="696" t="s">
        <v>1402</v>
      </c>
      <c r="N83" s="714" t="s">
        <v>315</v>
      </c>
      <c r="O83" s="189" t="s">
        <v>195</v>
      </c>
      <c r="AB83" s="248"/>
      <c r="AC83" s="248"/>
      <c r="AD83" s="248"/>
      <c r="AE83" s="462"/>
      <c r="AF83" s="462"/>
      <c r="AG83" s="462"/>
      <c r="AH83" s="248"/>
      <c r="AI83" s="248"/>
      <c r="AJ83" s="248"/>
      <c r="AK83" s="183">
        <f t="shared" si="3"/>
        <v>0</v>
      </c>
      <c r="AL83" s="183">
        <f t="shared" si="3"/>
        <v>0</v>
      </c>
      <c r="AM83" s="183">
        <f t="shared" si="3"/>
        <v>0</v>
      </c>
      <c r="AN83" s="310"/>
      <c r="AO83" s="310"/>
      <c r="AP83" s="310"/>
      <c r="AQ83" s="698" t="s">
        <v>1352</v>
      </c>
      <c r="AR83" s="310"/>
      <c r="AS83" s="310"/>
    </row>
    <row r="84" spans="13:45" customFormat="1" ht="11.25" customHeight="1">
      <c r="M84" s="696" t="s">
        <v>1403</v>
      </c>
      <c r="N84" s="715" t="s">
        <v>316</v>
      </c>
      <c r="O84" s="189" t="s">
        <v>195</v>
      </c>
      <c r="AB84" s="248"/>
      <c r="AC84" s="248"/>
      <c r="AD84" s="248"/>
      <c r="AE84" s="462"/>
      <c r="AF84" s="462"/>
      <c r="AG84" s="462"/>
      <c r="AH84" s="248"/>
      <c r="AI84" s="248"/>
      <c r="AJ84" s="248"/>
      <c r="AK84" s="183">
        <f t="shared" si="3"/>
        <v>0</v>
      </c>
      <c r="AL84" s="183">
        <f t="shared" si="3"/>
        <v>0</v>
      </c>
      <c r="AM84" s="183">
        <f t="shared" si="3"/>
        <v>0</v>
      </c>
      <c r="AN84" s="310"/>
      <c r="AO84" s="310"/>
      <c r="AP84" s="310"/>
      <c r="AQ84" s="698" t="s">
        <v>1354</v>
      </c>
      <c r="AR84" s="310"/>
      <c r="AS84" s="310"/>
    </row>
    <row r="85" spans="13:45" customFormat="1" ht="11.25" customHeight="1">
      <c r="M85" s="696" t="s">
        <v>1404</v>
      </c>
      <c r="N85" s="716" t="s">
        <v>317</v>
      </c>
      <c r="O85" s="189" t="s">
        <v>195</v>
      </c>
      <c r="AB85" s="248"/>
      <c r="AC85" s="248"/>
      <c r="AD85" s="248"/>
      <c r="AE85" s="462"/>
      <c r="AF85" s="462"/>
      <c r="AG85" s="462"/>
      <c r="AH85" s="248"/>
      <c r="AI85" s="248"/>
      <c r="AJ85" s="248"/>
      <c r="AK85" s="183">
        <f t="shared" si="3"/>
        <v>0</v>
      </c>
      <c r="AL85" s="183">
        <f t="shared" si="3"/>
        <v>0</v>
      </c>
      <c r="AM85" s="183">
        <f t="shared" si="3"/>
        <v>0</v>
      </c>
      <c r="AN85" s="310"/>
      <c r="AO85" s="310"/>
      <c r="AP85" s="310"/>
      <c r="AQ85" s="698" t="s">
        <v>1353</v>
      </c>
      <c r="AR85" s="310"/>
      <c r="AS85" s="310"/>
    </row>
    <row r="86" spans="13:45" customFormat="1" ht="11.25" customHeight="1">
      <c r="M86" s="696" t="s">
        <v>1405</v>
      </c>
      <c r="N86" s="701" t="s">
        <v>318</v>
      </c>
      <c r="O86" s="189" t="s">
        <v>195</v>
      </c>
      <c r="AB86" s="248"/>
      <c r="AC86" s="248"/>
      <c r="AD86" s="248"/>
      <c r="AE86" s="462"/>
      <c r="AF86" s="462"/>
      <c r="AG86" s="462"/>
      <c r="AH86" s="248"/>
      <c r="AI86" s="248"/>
      <c r="AJ86" s="248"/>
      <c r="AK86" s="183">
        <f t="shared" si="3"/>
        <v>0</v>
      </c>
      <c r="AL86" s="183">
        <f t="shared" si="3"/>
        <v>0</v>
      </c>
      <c r="AM86" s="183">
        <f t="shared" si="3"/>
        <v>0</v>
      </c>
      <c r="AN86" s="310"/>
      <c r="AO86" s="310"/>
      <c r="AP86" s="310"/>
      <c r="AQ86" s="698" t="s">
        <v>1355</v>
      </c>
      <c r="AR86" s="310"/>
      <c r="AS86" s="310"/>
    </row>
    <row r="87" spans="13:45" customFormat="1" ht="11.25" customHeight="1">
      <c r="M87" s="696" t="s">
        <v>1406</v>
      </c>
      <c r="N87" s="717" t="s">
        <v>321</v>
      </c>
      <c r="O87" s="189" t="s">
        <v>195</v>
      </c>
      <c r="AB87" s="248"/>
      <c r="AC87" s="248"/>
      <c r="AD87" s="248"/>
      <c r="AE87" s="462"/>
      <c r="AF87" s="462"/>
      <c r="AG87" s="462"/>
      <c r="AH87" s="248"/>
      <c r="AI87" s="248"/>
      <c r="AJ87" s="248"/>
      <c r="AK87" s="240">
        <f>AK1095</f>
        <v>0</v>
      </c>
      <c r="AL87" s="240">
        <f>AL1095</f>
        <v>0</v>
      </c>
      <c r="AM87" s="240">
        <f>AM1095</f>
        <v>0</v>
      </c>
      <c r="AN87" s="310"/>
      <c r="AO87" s="310"/>
      <c r="AP87" s="310"/>
      <c r="AQ87" s="698" t="s">
        <v>1356</v>
      </c>
      <c r="AR87" s="310"/>
      <c r="AS87" s="310"/>
    </row>
    <row r="88" spans="13:45" customFormat="1" ht="11.25" customHeight="1">
      <c r="M88" s="490" t="s">
        <v>1358</v>
      </c>
      <c r="N88" s="463" t="s">
        <v>749</v>
      </c>
      <c r="O88" s="189" t="s">
        <v>1301</v>
      </c>
      <c r="AB88" s="248"/>
      <c r="AC88" s="248"/>
      <c r="AD88" s="248"/>
      <c r="AE88" s="183">
        <f>IF(AE192=0,0,AE36/AE192)</f>
        <v>0</v>
      </c>
      <c r="AF88" s="183">
        <f>IF(AF192=0,0,AF36/AF192)</f>
        <v>0</v>
      </c>
      <c r="AG88" s="183">
        <f>IF(AG192=0,0,AG36/AG192)</f>
        <v>0</v>
      </c>
      <c r="AH88" s="248"/>
      <c r="AI88" s="248"/>
      <c r="AJ88" s="248"/>
      <c r="AK88" s="183">
        <f t="shared" ref="AK88:AM103" si="4">IF(AK192=0,0,AK36/AK192)</f>
        <v>0</v>
      </c>
      <c r="AL88" s="183">
        <f t="shared" si="4"/>
        <v>0</v>
      </c>
      <c r="AM88" s="183">
        <f t="shared" si="4"/>
        <v>0</v>
      </c>
      <c r="AN88" s="310"/>
      <c r="AO88" s="310"/>
      <c r="AP88" s="310"/>
      <c r="AQ88" s="36"/>
      <c r="AR88" s="310"/>
      <c r="AS88" s="310"/>
    </row>
    <row r="89" spans="13:45" customFormat="1" ht="11.25" customHeight="1">
      <c r="M89" s="696" t="s">
        <v>1407</v>
      </c>
      <c r="N89" s="697" t="s">
        <v>1304</v>
      </c>
      <c r="O89" s="189" t="s">
        <v>1301</v>
      </c>
      <c r="AB89" s="248"/>
      <c r="AC89" s="248"/>
      <c r="AD89" s="248"/>
      <c r="AE89" s="462"/>
      <c r="AF89" s="462"/>
      <c r="AG89" s="462"/>
      <c r="AH89" s="248"/>
      <c r="AI89" s="248"/>
      <c r="AJ89" s="248"/>
      <c r="AK89" s="183">
        <f t="shared" si="4"/>
        <v>0</v>
      </c>
      <c r="AL89" s="183">
        <f t="shared" si="4"/>
        <v>0</v>
      </c>
      <c r="AM89" s="183">
        <f t="shared" si="4"/>
        <v>0</v>
      </c>
      <c r="AN89" s="310"/>
      <c r="AO89" s="310"/>
      <c r="AP89" s="310"/>
      <c r="AQ89" s="698" t="s">
        <v>1328</v>
      </c>
      <c r="AR89" s="310"/>
      <c r="AS89" s="310"/>
    </row>
    <row r="90" spans="13:45" customFormat="1" ht="11.25" customHeight="1">
      <c r="M90" s="696" t="s">
        <v>1408</v>
      </c>
      <c r="N90" s="699" t="s">
        <v>713</v>
      </c>
      <c r="O90" s="189" t="s">
        <v>1301</v>
      </c>
      <c r="AB90" s="248"/>
      <c r="AC90" s="248"/>
      <c r="AD90" s="248"/>
      <c r="AE90" s="462"/>
      <c r="AF90" s="462"/>
      <c r="AG90" s="462"/>
      <c r="AH90" s="248"/>
      <c r="AI90" s="248"/>
      <c r="AJ90" s="248"/>
      <c r="AK90" s="183">
        <f t="shared" si="4"/>
        <v>0</v>
      </c>
      <c r="AL90" s="183">
        <f t="shared" si="4"/>
        <v>0</v>
      </c>
      <c r="AM90" s="183">
        <f t="shared" si="4"/>
        <v>0</v>
      </c>
      <c r="AN90" s="310"/>
      <c r="AO90" s="310"/>
      <c r="AP90" s="310"/>
      <c r="AQ90" s="698" t="s">
        <v>1329</v>
      </c>
      <c r="AR90" s="310"/>
      <c r="AS90" s="310"/>
    </row>
    <row r="91" spans="13:45" customFormat="1" ht="11.25" customHeight="1">
      <c r="M91" s="696" t="s">
        <v>1409</v>
      </c>
      <c r="N91" s="699" t="s">
        <v>715</v>
      </c>
      <c r="O91" s="189" t="s">
        <v>1301</v>
      </c>
      <c r="AB91" s="248"/>
      <c r="AC91" s="248"/>
      <c r="AD91" s="248"/>
      <c r="AE91" s="462"/>
      <c r="AF91" s="462"/>
      <c r="AG91" s="462"/>
      <c r="AH91" s="248"/>
      <c r="AI91" s="248"/>
      <c r="AJ91" s="248"/>
      <c r="AK91" s="183">
        <f t="shared" si="4"/>
        <v>0</v>
      </c>
      <c r="AL91" s="183">
        <f t="shared" si="4"/>
        <v>0</v>
      </c>
      <c r="AM91" s="183">
        <f t="shared" si="4"/>
        <v>0</v>
      </c>
      <c r="AN91" s="310"/>
      <c r="AO91" s="310"/>
      <c r="AP91" s="310"/>
      <c r="AQ91" s="698" t="s">
        <v>1330</v>
      </c>
      <c r="AR91" s="310"/>
      <c r="AS91" s="310"/>
    </row>
    <row r="92" spans="13:45" customFormat="1" ht="11.25" customHeight="1">
      <c r="M92" s="696" t="s">
        <v>1410</v>
      </c>
      <c r="N92" s="699" t="s">
        <v>716</v>
      </c>
      <c r="O92" s="189" t="s">
        <v>1301</v>
      </c>
      <c r="AB92" s="248"/>
      <c r="AC92" s="248"/>
      <c r="AD92" s="248"/>
      <c r="AE92" s="462"/>
      <c r="AF92" s="462"/>
      <c r="AG92" s="462"/>
      <c r="AH92" s="248"/>
      <c r="AI92" s="248"/>
      <c r="AJ92" s="248"/>
      <c r="AK92" s="183">
        <f t="shared" si="4"/>
        <v>0</v>
      </c>
      <c r="AL92" s="183">
        <f t="shared" si="4"/>
        <v>0</v>
      </c>
      <c r="AM92" s="183">
        <f t="shared" si="4"/>
        <v>0</v>
      </c>
      <c r="AN92" s="310"/>
      <c r="AO92" s="310"/>
      <c r="AP92" s="310"/>
      <c r="AQ92" s="698" t="s">
        <v>1331</v>
      </c>
      <c r="AR92" s="310"/>
      <c r="AS92" s="310"/>
    </row>
    <row r="93" spans="13:45" customFormat="1" ht="11.25" customHeight="1">
      <c r="M93" s="696" t="s">
        <v>1411</v>
      </c>
      <c r="N93" s="700" t="s">
        <v>1305</v>
      </c>
      <c r="O93" s="189" t="s">
        <v>1301</v>
      </c>
      <c r="AB93" s="248"/>
      <c r="AC93" s="248"/>
      <c r="AD93" s="248"/>
      <c r="AE93" s="462"/>
      <c r="AF93" s="462"/>
      <c r="AG93" s="462"/>
      <c r="AH93" s="248"/>
      <c r="AI93" s="248"/>
      <c r="AJ93" s="248"/>
      <c r="AK93" s="183">
        <f t="shared" si="4"/>
        <v>0</v>
      </c>
      <c r="AL93" s="183">
        <f t="shared" si="4"/>
        <v>0</v>
      </c>
      <c r="AM93" s="183">
        <f t="shared" si="4"/>
        <v>0</v>
      </c>
      <c r="AN93" s="310"/>
      <c r="AO93" s="310"/>
      <c r="AP93" s="310"/>
      <c r="AQ93" s="698" t="s">
        <v>1340</v>
      </c>
      <c r="AR93" s="310"/>
      <c r="AS93" s="310"/>
    </row>
    <row r="94" spans="13:45" customFormat="1" ht="11.25" customHeight="1">
      <c r="M94" s="696" t="s">
        <v>1412</v>
      </c>
      <c r="N94" s="700" t="s">
        <v>1306</v>
      </c>
      <c r="O94" s="189" t="s">
        <v>1301</v>
      </c>
      <c r="AB94" s="248"/>
      <c r="AC94" s="248"/>
      <c r="AD94" s="248"/>
      <c r="AE94" s="462"/>
      <c r="AF94" s="462"/>
      <c r="AG94" s="462"/>
      <c r="AH94" s="248"/>
      <c r="AI94" s="248"/>
      <c r="AJ94" s="248"/>
      <c r="AK94" s="183">
        <f t="shared" si="4"/>
        <v>0</v>
      </c>
      <c r="AL94" s="183">
        <f t="shared" si="4"/>
        <v>0</v>
      </c>
      <c r="AM94" s="183">
        <f t="shared" si="4"/>
        <v>0</v>
      </c>
      <c r="AN94" s="310"/>
      <c r="AO94" s="310"/>
      <c r="AP94" s="310"/>
      <c r="AQ94" s="698" t="s">
        <v>1341</v>
      </c>
      <c r="AR94" s="310"/>
      <c r="AS94" s="310"/>
    </row>
    <row r="95" spans="13:45" customFormat="1" ht="11.25" customHeight="1">
      <c r="M95" s="696" t="s">
        <v>1413</v>
      </c>
      <c r="N95" s="700" t="s">
        <v>1307</v>
      </c>
      <c r="O95" s="189" t="s">
        <v>1301</v>
      </c>
      <c r="AB95" s="248"/>
      <c r="AC95" s="248"/>
      <c r="AD95" s="248"/>
      <c r="AE95" s="462"/>
      <c r="AF95" s="462"/>
      <c r="AG95" s="462"/>
      <c r="AH95" s="248"/>
      <c r="AI95" s="248"/>
      <c r="AJ95" s="248"/>
      <c r="AK95" s="183">
        <f t="shared" si="4"/>
        <v>0</v>
      </c>
      <c r="AL95" s="183">
        <f t="shared" si="4"/>
        <v>0</v>
      </c>
      <c r="AM95" s="183">
        <f t="shared" si="4"/>
        <v>0</v>
      </c>
      <c r="AN95" s="310"/>
      <c r="AO95" s="310"/>
      <c r="AP95" s="310"/>
      <c r="AQ95" s="698" t="s">
        <v>1342</v>
      </c>
      <c r="AR95" s="310"/>
      <c r="AS95" s="310"/>
    </row>
    <row r="96" spans="13:45" customFormat="1" ht="11.25" customHeight="1">
      <c r="M96" s="696" t="s">
        <v>1414</v>
      </c>
      <c r="N96" s="700" t="s">
        <v>1308</v>
      </c>
      <c r="O96" s="189" t="s">
        <v>1301</v>
      </c>
      <c r="AB96" s="248"/>
      <c r="AC96" s="248"/>
      <c r="AD96" s="248"/>
      <c r="AE96" s="462"/>
      <c r="AF96" s="462"/>
      <c r="AG96" s="462"/>
      <c r="AH96" s="248"/>
      <c r="AI96" s="248"/>
      <c r="AJ96" s="248"/>
      <c r="AK96" s="183">
        <f t="shared" si="4"/>
        <v>0</v>
      </c>
      <c r="AL96" s="183">
        <f t="shared" si="4"/>
        <v>0</v>
      </c>
      <c r="AM96" s="183">
        <f t="shared" si="4"/>
        <v>0</v>
      </c>
      <c r="AN96" s="310"/>
      <c r="AO96" s="310"/>
      <c r="AP96" s="310"/>
      <c r="AQ96" s="698" t="s">
        <v>1339</v>
      </c>
      <c r="AR96" s="310"/>
      <c r="AS96" s="310"/>
    </row>
    <row r="97" spans="13:45" customFormat="1" ht="11.25" customHeight="1">
      <c r="M97" s="696" t="s">
        <v>1415</v>
      </c>
      <c r="N97" s="701" t="s">
        <v>684</v>
      </c>
      <c r="O97" s="189" t="s">
        <v>1301</v>
      </c>
      <c r="AB97" s="248"/>
      <c r="AC97" s="248"/>
      <c r="AD97" s="248"/>
      <c r="AE97" s="462"/>
      <c r="AF97" s="462"/>
      <c r="AG97" s="462"/>
      <c r="AH97" s="248"/>
      <c r="AI97" s="248"/>
      <c r="AJ97" s="248"/>
      <c r="AK97" s="183">
        <f t="shared" si="4"/>
        <v>0</v>
      </c>
      <c r="AL97" s="183">
        <f t="shared" si="4"/>
        <v>0</v>
      </c>
      <c r="AM97" s="183">
        <f t="shared" si="4"/>
        <v>0</v>
      </c>
      <c r="AN97" s="310"/>
      <c r="AO97" s="310"/>
      <c r="AP97" s="310"/>
      <c r="AQ97" s="698" t="s">
        <v>1332</v>
      </c>
      <c r="AR97" s="310"/>
      <c r="AS97" s="310"/>
    </row>
    <row r="98" spans="13:45" customFormat="1" ht="11.25" customHeight="1">
      <c r="M98" s="696" t="s">
        <v>1416</v>
      </c>
      <c r="N98" s="702" t="s">
        <v>718</v>
      </c>
      <c r="O98" s="189" t="s">
        <v>1301</v>
      </c>
      <c r="AB98" s="248"/>
      <c r="AC98" s="248"/>
      <c r="AD98" s="248"/>
      <c r="AE98" s="462"/>
      <c r="AF98" s="462"/>
      <c r="AG98" s="462"/>
      <c r="AH98" s="248"/>
      <c r="AI98" s="248"/>
      <c r="AJ98" s="248"/>
      <c r="AK98" s="183">
        <f t="shared" si="4"/>
        <v>0</v>
      </c>
      <c r="AL98" s="183">
        <f t="shared" si="4"/>
        <v>0</v>
      </c>
      <c r="AM98" s="183">
        <f t="shared" si="4"/>
        <v>0</v>
      </c>
      <c r="AN98" s="310"/>
      <c r="AO98" s="310"/>
      <c r="AP98" s="310"/>
      <c r="AQ98" s="698" t="s">
        <v>1333</v>
      </c>
      <c r="AR98" s="310"/>
      <c r="AS98" s="310"/>
    </row>
    <row r="99" spans="13:45" customFormat="1" ht="11.25" customHeight="1">
      <c r="M99" s="696" t="s">
        <v>1417</v>
      </c>
      <c r="N99" s="703" t="s">
        <v>722</v>
      </c>
      <c r="O99" s="189" t="s">
        <v>1301</v>
      </c>
      <c r="AB99" s="248"/>
      <c r="AC99" s="248"/>
      <c r="AD99" s="248"/>
      <c r="AE99" s="462"/>
      <c r="AF99" s="462"/>
      <c r="AG99" s="462"/>
      <c r="AH99" s="248"/>
      <c r="AI99" s="248"/>
      <c r="AJ99" s="248"/>
      <c r="AK99" s="183">
        <f t="shared" si="4"/>
        <v>0</v>
      </c>
      <c r="AL99" s="183">
        <f t="shared" si="4"/>
        <v>0</v>
      </c>
      <c r="AM99" s="183">
        <f t="shared" si="4"/>
        <v>0</v>
      </c>
      <c r="AN99" s="310"/>
      <c r="AO99" s="310"/>
      <c r="AP99" s="310"/>
      <c r="AQ99" s="698" t="s">
        <v>1334</v>
      </c>
      <c r="AR99" s="310"/>
      <c r="AS99" s="310"/>
    </row>
    <row r="100" spans="13:45" customFormat="1" ht="11.25" customHeight="1">
      <c r="M100" s="696" t="s">
        <v>1418</v>
      </c>
      <c r="N100" s="704" t="s">
        <v>1309</v>
      </c>
      <c r="O100" s="189" t="s">
        <v>1301</v>
      </c>
      <c r="AB100" s="248"/>
      <c r="AC100" s="248"/>
      <c r="AD100" s="248"/>
      <c r="AE100" s="462"/>
      <c r="AF100" s="462"/>
      <c r="AG100" s="462"/>
      <c r="AH100" s="248"/>
      <c r="AI100" s="248"/>
      <c r="AJ100" s="248"/>
      <c r="AK100" s="183">
        <f t="shared" si="4"/>
        <v>0</v>
      </c>
      <c r="AL100" s="183">
        <f t="shared" si="4"/>
        <v>0</v>
      </c>
      <c r="AM100" s="183">
        <f t="shared" si="4"/>
        <v>0</v>
      </c>
      <c r="AN100" s="310"/>
      <c r="AO100" s="310"/>
      <c r="AP100" s="310"/>
      <c r="AQ100" s="698" t="s">
        <v>1335</v>
      </c>
      <c r="AR100" s="310"/>
      <c r="AS100" s="310"/>
    </row>
    <row r="101" spans="13:45" customFormat="1" ht="11.25" customHeight="1">
      <c r="M101" s="696" t="s">
        <v>1419</v>
      </c>
      <c r="N101" s="704" t="s">
        <v>1310</v>
      </c>
      <c r="O101" s="189" t="s">
        <v>1301</v>
      </c>
      <c r="AB101" s="248"/>
      <c r="AC101" s="248"/>
      <c r="AD101" s="248"/>
      <c r="AE101" s="462"/>
      <c r="AF101" s="462"/>
      <c r="AG101" s="462"/>
      <c r="AH101" s="248"/>
      <c r="AI101" s="248"/>
      <c r="AJ101" s="248"/>
      <c r="AK101" s="183">
        <f t="shared" si="4"/>
        <v>0</v>
      </c>
      <c r="AL101" s="183">
        <f t="shared" si="4"/>
        <v>0</v>
      </c>
      <c r="AM101" s="183">
        <f t="shared" si="4"/>
        <v>0</v>
      </c>
      <c r="AN101" s="310"/>
      <c r="AO101" s="310"/>
      <c r="AP101" s="310"/>
      <c r="AQ101" s="698" t="s">
        <v>1336</v>
      </c>
      <c r="AR101" s="310"/>
      <c r="AS101" s="310"/>
    </row>
    <row r="102" spans="13:45" customFormat="1" ht="11.25" customHeight="1">
      <c r="M102" s="696" t="s">
        <v>1420</v>
      </c>
      <c r="N102" s="704" t="s">
        <v>1311</v>
      </c>
      <c r="O102" s="189" t="s">
        <v>1301</v>
      </c>
      <c r="AB102" s="248"/>
      <c r="AC102" s="248"/>
      <c r="AD102" s="248"/>
      <c r="AE102" s="462"/>
      <c r="AF102" s="462"/>
      <c r="AG102" s="462"/>
      <c r="AH102" s="248"/>
      <c r="AI102" s="248"/>
      <c r="AJ102" s="248"/>
      <c r="AK102" s="183">
        <f t="shared" si="4"/>
        <v>0</v>
      </c>
      <c r="AL102" s="183">
        <f t="shared" si="4"/>
        <v>0</v>
      </c>
      <c r="AM102" s="183">
        <f t="shared" si="4"/>
        <v>0</v>
      </c>
      <c r="AN102" s="310"/>
      <c r="AO102" s="310"/>
      <c r="AP102" s="310"/>
      <c r="AQ102" s="698" t="s">
        <v>1337</v>
      </c>
      <c r="AR102" s="310"/>
      <c r="AS102" s="310"/>
    </row>
    <row r="103" spans="13:45" customFormat="1" ht="11.25" customHeight="1">
      <c r="M103" s="696" t="s">
        <v>1421</v>
      </c>
      <c r="N103" s="704" t="s">
        <v>1312</v>
      </c>
      <c r="O103" s="189" t="s">
        <v>1301</v>
      </c>
      <c r="AB103" s="248"/>
      <c r="AC103" s="248"/>
      <c r="AD103" s="248"/>
      <c r="AE103" s="462"/>
      <c r="AF103" s="462"/>
      <c r="AG103" s="462"/>
      <c r="AH103" s="248"/>
      <c r="AI103" s="248"/>
      <c r="AJ103" s="248"/>
      <c r="AK103" s="183">
        <f t="shared" si="4"/>
        <v>0</v>
      </c>
      <c r="AL103" s="183">
        <f t="shared" si="4"/>
        <v>0</v>
      </c>
      <c r="AM103" s="183">
        <f t="shared" si="4"/>
        <v>0</v>
      </c>
      <c r="AN103" s="310"/>
      <c r="AO103" s="310"/>
      <c r="AP103" s="310"/>
      <c r="AQ103" s="698" t="s">
        <v>1338</v>
      </c>
      <c r="AR103" s="310"/>
      <c r="AS103" s="310"/>
    </row>
    <row r="104" spans="13:45" customFormat="1" ht="11.25" customHeight="1">
      <c r="M104" s="696" t="s">
        <v>1422</v>
      </c>
      <c r="N104" s="705" t="s">
        <v>720</v>
      </c>
      <c r="O104" s="189" t="s">
        <v>1301</v>
      </c>
      <c r="AB104" s="248"/>
      <c r="AC104" s="248"/>
      <c r="AD104" s="248"/>
      <c r="AE104" s="462"/>
      <c r="AF104" s="462"/>
      <c r="AG104" s="462"/>
      <c r="AH104" s="248"/>
      <c r="AI104" s="248"/>
      <c r="AJ104" s="248"/>
      <c r="AK104" s="183">
        <f t="shared" ref="AK104:AM119" si="5">IF(AK208=0,0,AK52/AK208)</f>
        <v>0</v>
      </c>
      <c r="AL104" s="183">
        <f t="shared" si="5"/>
        <v>0</v>
      </c>
      <c r="AM104" s="183">
        <f t="shared" si="5"/>
        <v>0</v>
      </c>
      <c r="AN104" s="310"/>
      <c r="AO104" s="310"/>
      <c r="AP104" s="310"/>
      <c r="AQ104" s="698" t="s">
        <v>1343</v>
      </c>
      <c r="AR104" s="310"/>
      <c r="AS104" s="310"/>
    </row>
    <row r="105" spans="13:45" customFormat="1" ht="11.25" customHeight="1">
      <c r="M105" s="696" t="s">
        <v>1867</v>
      </c>
      <c r="N105" s="706" t="s">
        <v>1313</v>
      </c>
      <c r="O105" s="189" t="s">
        <v>1301</v>
      </c>
      <c r="AB105" s="248"/>
      <c r="AC105" s="248"/>
      <c r="AD105" s="248"/>
      <c r="AE105" s="462"/>
      <c r="AF105" s="462"/>
      <c r="AG105" s="462"/>
      <c r="AH105" s="248"/>
      <c r="AI105" s="248"/>
      <c r="AJ105" s="248"/>
      <c r="AK105" s="183">
        <f t="shared" si="5"/>
        <v>0</v>
      </c>
      <c r="AL105" s="183">
        <f t="shared" si="5"/>
        <v>0</v>
      </c>
      <c r="AM105" s="183">
        <f t="shared" si="5"/>
        <v>0</v>
      </c>
      <c r="AN105" s="310"/>
      <c r="AO105" s="310"/>
      <c r="AP105" s="310"/>
      <c r="AQ105" s="698" t="s">
        <v>1866</v>
      </c>
      <c r="AR105" s="310"/>
      <c r="AS105" s="310"/>
    </row>
    <row r="106" spans="13:45" customFormat="1" ht="11.25" customHeight="1">
      <c r="M106" s="696" t="s">
        <v>1848</v>
      </c>
      <c r="N106" s="706" t="s">
        <v>1314</v>
      </c>
      <c r="O106" s="189" t="s">
        <v>1301</v>
      </c>
      <c r="AB106" s="248"/>
      <c r="AC106" s="248"/>
      <c r="AD106" s="248"/>
      <c r="AE106" s="462"/>
      <c r="AF106" s="462"/>
      <c r="AG106" s="462"/>
      <c r="AH106" s="248"/>
      <c r="AI106" s="248"/>
      <c r="AJ106" s="248"/>
      <c r="AK106" s="183">
        <f t="shared" si="5"/>
        <v>0</v>
      </c>
      <c r="AL106" s="183">
        <f t="shared" si="5"/>
        <v>0</v>
      </c>
      <c r="AM106" s="183">
        <f t="shared" si="5"/>
        <v>0</v>
      </c>
      <c r="AN106" s="310"/>
      <c r="AO106" s="310"/>
      <c r="AP106" s="310"/>
      <c r="AQ106" s="698" t="s">
        <v>1847</v>
      </c>
      <c r="AR106" s="310"/>
      <c r="AS106" s="310"/>
    </row>
    <row r="107" spans="13:45" customFormat="1" ht="11.25" customHeight="1">
      <c r="M107" s="696" t="s">
        <v>1829</v>
      </c>
      <c r="N107" s="706" t="s">
        <v>1315</v>
      </c>
      <c r="O107" s="189" t="s">
        <v>1301</v>
      </c>
      <c r="AB107" s="248"/>
      <c r="AC107" s="248"/>
      <c r="AD107" s="248"/>
      <c r="AE107" s="462"/>
      <c r="AF107" s="462"/>
      <c r="AG107" s="462"/>
      <c r="AH107" s="248"/>
      <c r="AI107" s="248"/>
      <c r="AJ107" s="248"/>
      <c r="AK107" s="183">
        <f t="shared" si="5"/>
        <v>0</v>
      </c>
      <c r="AL107" s="183">
        <f t="shared" si="5"/>
        <v>0</v>
      </c>
      <c r="AM107" s="183">
        <f t="shared" si="5"/>
        <v>0</v>
      </c>
      <c r="AN107" s="310"/>
      <c r="AO107" s="310"/>
      <c r="AP107" s="310"/>
      <c r="AQ107" s="698" t="s">
        <v>1827</v>
      </c>
      <c r="AR107" s="310"/>
      <c r="AS107" s="310"/>
    </row>
    <row r="108" spans="13:45" customFormat="1" ht="11.25" customHeight="1">
      <c r="M108" s="696" t="s">
        <v>1423</v>
      </c>
      <c r="N108" s="706" t="s">
        <v>1316</v>
      </c>
      <c r="O108" s="189" t="s">
        <v>1301</v>
      </c>
      <c r="AB108" s="248"/>
      <c r="AC108" s="248"/>
      <c r="AD108" s="248"/>
      <c r="AE108" s="462"/>
      <c r="AF108" s="462"/>
      <c r="AG108" s="462"/>
      <c r="AH108" s="248"/>
      <c r="AI108" s="248"/>
      <c r="AJ108" s="248"/>
      <c r="AK108" s="183">
        <f t="shared" si="5"/>
        <v>0</v>
      </c>
      <c r="AL108" s="183">
        <f t="shared" si="5"/>
        <v>0</v>
      </c>
      <c r="AM108" s="183">
        <f t="shared" si="5"/>
        <v>0</v>
      </c>
      <c r="AN108" s="310"/>
      <c r="AO108" s="310"/>
      <c r="AP108" s="310"/>
      <c r="AQ108" s="698" t="s">
        <v>1344</v>
      </c>
      <c r="AR108" s="310"/>
      <c r="AS108" s="310"/>
    </row>
    <row r="109" spans="13:45" customFormat="1" ht="11.25" customHeight="1">
      <c r="M109" s="696" t="s">
        <v>1424</v>
      </c>
      <c r="N109" s="706" t="s">
        <v>1317</v>
      </c>
      <c r="O109" s="189" t="s">
        <v>1301</v>
      </c>
      <c r="AB109" s="248"/>
      <c r="AC109" s="248"/>
      <c r="AD109" s="248"/>
      <c r="AE109" s="462"/>
      <c r="AF109" s="462"/>
      <c r="AG109" s="462"/>
      <c r="AH109" s="248"/>
      <c r="AI109" s="248"/>
      <c r="AJ109" s="248"/>
      <c r="AK109" s="183">
        <f t="shared" si="5"/>
        <v>0</v>
      </c>
      <c r="AL109" s="183">
        <f t="shared" si="5"/>
        <v>0</v>
      </c>
      <c r="AM109" s="183">
        <f t="shared" si="5"/>
        <v>0</v>
      </c>
      <c r="AN109" s="310"/>
      <c r="AO109" s="310"/>
      <c r="AP109" s="310"/>
      <c r="AQ109" s="698" t="s">
        <v>1345</v>
      </c>
      <c r="AR109" s="310"/>
      <c r="AS109" s="310"/>
    </row>
    <row r="110" spans="13:45" customFormat="1" ht="11.25" customHeight="1">
      <c r="M110" s="696" t="s">
        <v>1425</v>
      </c>
      <c r="N110" s="706" t="s">
        <v>1318</v>
      </c>
      <c r="O110" s="189" t="s">
        <v>1301</v>
      </c>
      <c r="AB110" s="248"/>
      <c r="AC110" s="248"/>
      <c r="AD110" s="248"/>
      <c r="AE110" s="462"/>
      <c r="AF110" s="462"/>
      <c r="AG110" s="462"/>
      <c r="AH110" s="248"/>
      <c r="AI110" s="248"/>
      <c r="AJ110" s="248"/>
      <c r="AK110" s="183">
        <f t="shared" si="5"/>
        <v>0</v>
      </c>
      <c r="AL110" s="183">
        <f t="shared" si="5"/>
        <v>0</v>
      </c>
      <c r="AM110" s="183">
        <f t="shared" si="5"/>
        <v>0</v>
      </c>
      <c r="AN110" s="310"/>
      <c r="AO110" s="310"/>
      <c r="AP110" s="310"/>
      <c r="AQ110" s="698" t="s">
        <v>1346</v>
      </c>
      <c r="AR110" s="310"/>
      <c r="AS110" s="310"/>
    </row>
    <row r="111" spans="13:45" customFormat="1" ht="11.25" customHeight="1">
      <c r="M111" s="696" t="s">
        <v>1426</v>
      </c>
      <c r="N111" s="707" t="s">
        <v>721</v>
      </c>
      <c r="O111" s="189" t="s">
        <v>1301</v>
      </c>
      <c r="AB111" s="248"/>
      <c r="AC111" s="248"/>
      <c r="AD111" s="248"/>
      <c r="AE111" s="462"/>
      <c r="AF111" s="462"/>
      <c r="AG111" s="462"/>
      <c r="AH111" s="248"/>
      <c r="AI111" s="248"/>
      <c r="AJ111" s="248"/>
      <c r="AK111" s="183">
        <f t="shared" si="5"/>
        <v>0</v>
      </c>
      <c r="AL111" s="183">
        <f t="shared" si="5"/>
        <v>0</v>
      </c>
      <c r="AM111" s="183">
        <f t="shared" si="5"/>
        <v>0</v>
      </c>
      <c r="AN111" s="310"/>
      <c r="AO111" s="310"/>
      <c r="AP111" s="310"/>
      <c r="AQ111" s="698" t="s">
        <v>1347</v>
      </c>
      <c r="AR111" s="310"/>
      <c r="AS111" s="310"/>
    </row>
    <row r="112" spans="13:45" customFormat="1" ht="11.25" customHeight="1">
      <c r="M112" s="696" t="s">
        <v>1427</v>
      </c>
      <c r="N112" s="708" t="s">
        <v>712</v>
      </c>
      <c r="O112" s="189" t="s">
        <v>1301</v>
      </c>
      <c r="AB112" s="248"/>
      <c r="AC112" s="248"/>
      <c r="AD112" s="248"/>
      <c r="AE112" s="462"/>
      <c r="AF112" s="462"/>
      <c r="AG112" s="462"/>
      <c r="AH112" s="248"/>
      <c r="AI112" s="248"/>
      <c r="AJ112" s="248"/>
      <c r="AK112" s="183">
        <f t="shared" si="5"/>
        <v>0</v>
      </c>
      <c r="AL112" s="183">
        <f t="shared" si="5"/>
        <v>0</v>
      </c>
      <c r="AM112" s="183">
        <f t="shared" si="5"/>
        <v>0</v>
      </c>
      <c r="AN112" s="310"/>
      <c r="AO112" s="310"/>
      <c r="AP112" s="310"/>
      <c r="AQ112" s="698" t="s">
        <v>1348</v>
      </c>
      <c r="AR112" s="310"/>
      <c r="AS112" s="310"/>
    </row>
    <row r="113" spans="13:45" customFormat="1" ht="11.25" customHeight="1">
      <c r="M113" s="696" t="s">
        <v>2654</v>
      </c>
      <c r="N113" s="709" t="s">
        <v>1319</v>
      </c>
      <c r="O113" s="189" t="s">
        <v>1301</v>
      </c>
      <c r="AB113" s="248"/>
      <c r="AC113" s="248"/>
      <c r="AD113" s="248"/>
      <c r="AE113" s="462"/>
      <c r="AF113" s="462"/>
      <c r="AG113" s="462"/>
      <c r="AH113" s="248"/>
      <c r="AI113" s="248"/>
      <c r="AJ113" s="248"/>
      <c r="AK113" s="183">
        <f t="shared" si="5"/>
        <v>0</v>
      </c>
      <c r="AL113" s="183">
        <f t="shared" si="5"/>
        <v>0</v>
      </c>
      <c r="AM113" s="183">
        <f t="shared" si="5"/>
        <v>0</v>
      </c>
      <c r="AN113" s="310"/>
      <c r="AO113" s="310"/>
      <c r="AP113" s="310"/>
      <c r="AQ113" s="698" t="s">
        <v>2612</v>
      </c>
      <c r="AR113" s="310"/>
      <c r="AS113" s="310"/>
    </row>
    <row r="114" spans="13:45" customFormat="1" ht="11.25" customHeight="1">
      <c r="M114" s="696" t="s">
        <v>2655</v>
      </c>
      <c r="N114" s="709" t="s">
        <v>1320</v>
      </c>
      <c r="O114" s="189" t="s">
        <v>1301</v>
      </c>
      <c r="AB114" s="248"/>
      <c r="AC114" s="248"/>
      <c r="AD114" s="248"/>
      <c r="AE114" s="462"/>
      <c r="AF114" s="462"/>
      <c r="AG114" s="462"/>
      <c r="AH114" s="248"/>
      <c r="AI114" s="248"/>
      <c r="AJ114" s="248"/>
      <c r="AK114" s="183">
        <f t="shared" si="5"/>
        <v>0</v>
      </c>
      <c r="AL114" s="183">
        <f t="shared" si="5"/>
        <v>0</v>
      </c>
      <c r="AM114" s="183">
        <f t="shared" si="5"/>
        <v>0</v>
      </c>
      <c r="AN114" s="310"/>
      <c r="AO114" s="310"/>
      <c r="AP114" s="310"/>
      <c r="AQ114" s="698" t="s">
        <v>2614</v>
      </c>
      <c r="AR114" s="310"/>
      <c r="AS114" s="310"/>
    </row>
    <row r="115" spans="13:45" customFormat="1" ht="11.25" customHeight="1">
      <c r="M115" s="696" t="s">
        <v>2656</v>
      </c>
      <c r="N115" s="709" t="s">
        <v>1321</v>
      </c>
      <c r="O115" s="189" t="s">
        <v>1301</v>
      </c>
      <c r="AB115" s="248"/>
      <c r="AC115" s="248"/>
      <c r="AD115" s="248"/>
      <c r="AE115" s="462"/>
      <c r="AF115" s="462"/>
      <c r="AG115" s="462"/>
      <c r="AH115" s="248"/>
      <c r="AI115" s="248"/>
      <c r="AJ115" s="248"/>
      <c r="AK115" s="183">
        <f t="shared" si="5"/>
        <v>0</v>
      </c>
      <c r="AL115" s="183">
        <f t="shared" si="5"/>
        <v>0</v>
      </c>
      <c r="AM115" s="183">
        <f t="shared" si="5"/>
        <v>0</v>
      </c>
      <c r="AN115" s="310"/>
      <c r="AO115" s="310"/>
      <c r="AP115" s="310"/>
      <c r="AQ115" s="698" t="s">
        <v>2616</v>
      </c>
      <c r="AR115" s="310"/>
      <c r="AS115" s="310"/>
    </row>
    <row r="116" spans="13:45" customFormat="1" ht="11.25" customHeight="1">
      <c r="M116" s="696" t="s">
        <v>2657</v>
      </c>
      <c r="N116" s="709" t="s">
        <v>2618</v>
      </c>
      <c r="O116" s="189" t="s">
        <v>1301</v>
      </c>
      <c r="AB116" s="248"/>
      <c r="AC116" s="248"/>
      <c r="AD116" s="248"/>
      <c r="AE116" s="462"/>
      <c r="AF116" s="462"/>
      <c r="AG116" s="462"/>
      <c r="AH116" s="248"/>
      <c r="AI116" s="248"/>
      <c r="AJ116" s="248"/>
      <c r="AK116" s="183">
        <f t="shared" si="5"/>
        <v>0</v>
      </c>
      <c r="AL116" s="183">
        <f t="shared" si="5"/>
        <v>0</v>
      </c>
      <c r="AM116" s="183">
        <f t="shared" si="5"/>
        <v>0</v>
      </c>
      <c r="AN116" s="310"/>
      <c r="AO116" s="310"/>
      <c r="AP116" s="310"/>
      <c r="AQ116" s="698" t="s">
        <v>2619</v>
      </c>
      <c r="AR116" s="310"/>
      <c r="AS116" s="310"/>
    </row>
    <row r="117" spans="13:45" customFormat="1" ht="11.25" customHeight="1">
      <c r="M117" s="696" t="s">
        <v>2658</v>
      </c>
      <c r="N117" s="709" t="s">
        <v>2621</v>
      </c>
      <c r="O117" s="189" t="s">
        <v>1301</v>
      </c>
      <c r="AB117" s="248"/>
      <c r="AC117" s="248"/>
      <c r="AD117" s="248"/>
      <c r="AE117" s="462"/>
      <c r="AF117" s="462"/>
      <c r="AG117" s="462"/>
      <c r="AH117" s="248"/>
      <c r="AI117" s="248"/>
      <c r="AJ117" s="248"/>
      <c r="AK117" s="183">
        <f t="shared" si="5"/>
        <v>0</v>
      </c>
      <c r="AL117" s="183">
        <f t="shared" si="5"/>
        <v>0</v>
      </c>
      <c r="AM117" s="183">
        <f t="shared" si="5"/>
        <v>0</v>
      </c>
      <c r="AN117" s="310"/>
      <c r="AO117" s="310"/>
      <c r="AP117" s="310"/>
      <c r="AQ117" s="698" t="s">
        <v>2622</v>
      </c>
      <c r="AR117" s="310"/>
      <c r="AS117" s="310"/>
    </row>
    <row r="118" spans="13:45" customFormat="1" ht="11.25" customHeight="1">
      <c r="M118" s="696" t="s">
        <v>2659</v>
      </c>
      <c r="N118" s="709" t="s">
        <v>1322</v>
      </c>
      <c r="O118" s="189" t="s">
        <v>1301</v>
      </c>
      <c r="AB118" s="248"/>
      <c r="AC118" s="248"/>
      <c r="AD118" s="248"/>
      <c r="AE118" s="462"/>
      <c r="AF118" s="462"/>
      <c r="AG118" s="462"/>
      <c r="AH118" s="248"/>
      <c r="AI118" s="248"/>
      <c r="AJ118" s="248"/>
      <c r="AK118" s="183">
        <f t="shared" si="5"/>
        <v>0</v>
      </c>
      <c r="AL118" s="183">
        <f t="shared" si="5"/>
        <v>0</v>
      </c>
      <c r="AM118" s="183">
        <f t="shared" si="5"/>
        <v>0</v>
      </c>
      <c r="AN118" s="310"/>
      <c r="AO118" s="310"/>
      <c r="AP118" s="310"/>
      <c r="AQ118" s="698" t="s">
        <v>2624</v>
      </c>
      <c r="AR118" s="310"/>
      <c r="AS118" s="310"/>
    </row>
    <row r="119" spans="13:45" customFormat="1" ht="11.25" customHeight="1">
      <c r="M119" s="696" t="s">
        <v>2660</v>
      </c>
      <c r="N119" s="709" t="s">
        <v>2626</v>
      </c>
      <c r="O119" s="189" t="s">
        <v>1301</v>
      </c>
      <c r="AB119" s="248"/>
      <c r="AC119" s="248"/>
      <c r="AD119" s="248"/>
      <c r="AE119" s="462"/>
      <c r="AF119" s="462"/>
      <c r="AG119" s="462"/>
      <c r="AH119" s="248"/>
      <c r="AI119" s="248"/>
      <c r="AJ119" s="248"/>
      <c r="AK119" s="183">
        <f t="shared" si="5"/>
        <v>0</v>
      </c>
      <c r="AL119" s="183">
        <f t="shared" si="5"/>
        <v>0</v>
      </c>
      <c r="AM119" s="183">
        <f t="shared" si="5"/>
        <v>0</v>
      </c>
      <c r="AN119" s="310"/>
      <c r="AO119" s="310"/>
      <c r="AP119" s="310"/>
      <c r="AQ119" s="698" t="s">
        <v>2627</v>
      </c>
      <c r="AR119" s="310"/>
      <c r="AS119" s="310"/>
    </row>
    <row r="120" spans="13:45" customFormat="1" ht="11.25" customHeight="1">
      <c r="M120" s="696" t="s">
        <v>2661</v>
      </c>
      <c r="N120" s="709" t="s">
        <v>1323</v>
      </c>
      <c r="O120" s="189" t="s">
        <v>1301</v>
      </c>
      <c r="AB120" s="248"/>
      <c r="AC120" s="248"/>
      <c r="AD120" s="248"/>
      <c r="AE120" s="462"/>
      <c r="AF120" s="462"/>
      <c r="AG120" s="462"/>
      <c r="AH120" s="248"/>
      <c r="AI120" s="248"/>
      <c r="AJ120" s="248"/>
      <c r="AK120" s="183">
        <f t="shared" ref="AK120:AM129" si="6">IF(AK224=0,0,AK68/AK224)</f>
        <v>0</v>
      </c>
      <c r="AL120" s="183">
        <f t="shared" si="6"/>
        <v>0</v>
      </c>
      <c r="AM120" s="183">
        <f t="shared" si="6"/>
        <v>0</v>
      </c>
      <c r="AN120" s="310"/>
      <c r="AO120" s="310"/>
      <c r="AP120" s="310"/>
      <c r="AQ120" s="698" t="s">
        <v>2629</v>
      </c>
      <c r="AR120" s="310"/>
      <c r="AS120" s="310"/>
    </row>
    <row r="121" spans="13:45" customFormat="1" ht="11.25" customHeight="1">
      <c r="M121" s="696" t="s">
        <v>2662</v>
      </c>
      <c r="N121" s="709" t="s">
        <v>1324</v>
      </c>
      <c r="O121" s="189" t="s">
        <v>1301</v>
      </c>
      <c r="AB121" s="248"/>
      <c r="AC121" s="248"/>
      <c r="AD121" s="248"/>
      <c r="AE121" s="462"/>
      <c r="AF121" s="462"/>
      <c r="AG121" s="462"/>
      <c r="AH121" s="248"/>
      <c r="AI121" s="248"/>
      <c r="AJ121" s="248"/>
      <c r="AK121" s="183">
        <f t="shared" si="6"/>
        <v>0</v>
      </c>
      <c r="AL121" s="183">
        <f t="shared" si="6"/>
        <v>0</v>
      </c>
      <c r="AM121" s="183">
        <f t="shared" si="6"/>
        <v>0</v>
      </c>
      <c r="AN121" s="310"/>
      <c r="AO121" s="310"/>
      <c r="AP121" s="310"/>
      <c r="AQ121" s="698" t="s">
        <v>2631</v>
      </c>
      <c r="AR121" s="310"/>
      <c r="AS121" s="310"/>
    </row>
    <row r="122" spans="13:45" customFormat="1" ht="11.25" customHeight="1">
      <c r="M122" s="696" t="s">
        <v>2663</v>
      </c>
      <c r="N122" s="709" t="s">
        <v>2633</v>
      </c>
      <c r="O122" s="189" t="s">
        <v>1301</v>
      </c>
      <c r="AB122" s="248"/>
      <c r="AC122" s="248"/>
      <c r="AD122" s="248"/>
      <c r="AE122" s="462"/>
      <c r="AF122" s="462"/>
      <c r="AG122" s="462"/>
      <c r="AH122" s="248"/>
      <c r="AI122" s="248"/>
      <c r="AJ122" s="248"/>
      <c r="AK122" s="183">
        <f t="shared" si="6"/>
        <v>0</v>
      </c>
      <c r="AL122" s="183">
        <f t="shared" si="6"/>
        <v>0</v>
      </c>
      <c r="AM122" s="183">
        <f t="shared" si="6"/>
        <v>0</v>
      </c>
      <c r="AN122" s="310"/>
      <c r="AO122" s="310"/>
      <c r="AP122" s="310"/>
      <c r="AQ122" s="698" t="s">
        <v>2634</v>
      </c>
      <c r="AR122" s="310"/>
      <c r="AS122" s="310"/>
    </row>
    <row r="123" spans="13:45" customFormat="1" ht="11.25" customHeight="1">
      <c r="M123" s="696" t="s">
        <v>2664</v>
      </c>
      <c r="N123" s="709" t="s">
        <v>2636</v>
      </c>
      <c r="O123" s="189" t="s">
        <v>1301</v>
      </c>
      <c r="AB123" s="248"/>
      <c r="AC123" s="248"/>
      <c r="AD123" s="248"/>
      <c r="AE123" s="462"/>
      <c r="AF123" s="462"/>
      <c r="AG123" s="462"/>
      <c r="AH123" s="248"/>
      <c r="AI123" s="248"/>
      <c r="AJ123" s="248"/>
      <c r="AK123" s="183">
        <f t="shared" si="6"/>
        <v>0</v>
      </c>
      <c r="AL123" s="183">
        <f t="shared" si="6"/>
        <v>0</v>
      </c>
      <c r="AM123" s="183">
        <f t="shared" si="6"/>
        <v>0</v>
      </c>
      <c r="AN123" s="310"/>
      <c r="AO123" s="310"/>
      <c r="AP123" s="310"/>
      <c r="AQ123" s="698" t="s">
        <v>2637</v>
      </c>
      <c r="AR123" s="310"/>
      <c r="AS123" s="310"/>
    </row>
    <row r="124" spans="13:45" customFormat="1" ht="11.25" customHeight="1">
      <c r="M124" s="696" t="s">
        <v>2665</v>
      </c>
      <c r="N124" s="709" t="s">
        <v>2639</v>
      </c>
      <c r="O124" s="189" t="s">
        <v>1301</v>
      </c>
      <c r="AB124" s="248"/>
      <c r="AC124" s="248"/>
      <c r="AD124" s="248"/>
      <c r="AE124" s="462"/>
      <c r="AF124" s="462"/>
      <c r="AG124" s="462"/>
      <c r="AH124" s="248"/>
      <c r="AI124" s="248"/>
      <c r="AJ124" s="248"/>
      <c r="AK124" s="183">
        <f t="shared" si="6"/>
        <v>0</v>
      </c>
      <c r="AL124" s="183">
        <f t="shared" si="6"/>
        <v>0</v>
      </c>
      <c r="AM124" s="183">
        <f t="shared" si="6"/>
        <v>0</v>
      </c>
      <c r="AN124" s="310"/>
      <c r="AO124" s="310"/>
      <c r="AP124" s="310"/>
      <c r="AQ124" s="698" t="s">
        <v>2640</v>
      </c>
      <c r="AR124" s="310"/>
      <c r="AS124" s="310"/>
    </row>
    <row r="125" spans="13:45" customFormat="1" ht="11.25" customHeight="1">
      <c r="M125" s="696" t="s">
        <v>2666</v>
      </c>
      <c r="N125" s="709" t="s">
        <v>2642</v>
      </c>
      <c r="O125" s="189" t="s">
        <v>1301</v>
      </c>
      <c r="AB125" s="248"/>
      <c r="AC125" s="248"/>
      <c r="AD125" s="248"/>
      <c r="AE125" s="462"/>
      <c r="AF125" s="462"/>
      <c r="AG125" s="462"/>
      <c r="AH125" s="248"/>
      <c r="AI125" s="248"/>
      <c r="AJ125" s="248"/>
      <c r="AK125" s="183">
        <f t="shared" si="6"/>
        <v>0</v>
      </c>
      <c r="AL125" s="183">
        <f t="shared" si="6"/>
        <v>0</v>
      </c>
      <c r="AM125" s="183">
        <f t="shared" si="6"/>
        <v>0</v>
      </c>
      <c r="AN125" s="310"/>
      <c r="AO125" s="310"/>
      <c r="AP125" s="310"/>
      <c r="AQ125" s="698" t="s">
        <v>2643</v>
      </c>
      <c r="AR125" s="310"/>
      <c r="AS125" s="310"/>
    </row>
    <row r="126" spans="13:45" customFormat="1" ht="11.25" customHeight="1">
      <c r="M126" s="696" t="s">
        <v>2667</v>
      </c>
      <c r="N126" s="709" t="s">
        <v>2645</v>
      </c>
      <c r="O126" s="189" t="s">
        <v>1301</v>
      </c>
      <c r="AB126" s="248"/>
      <c r="AC126" s="248"/>
      <c r="AD126" s="248"/>
      <c r="AE126" s="462"/>
      <c r="AF126" s="462"/>
      <c r="AG126" s="462"/>
      <c r="AH126" s="248"/>
      <c r="AI126" s="248"/>
      <c r="AJ126" s="248"/>
      <c r="AK126" s="183">
        <f t="shared" si="6"/>
        <v>0</v>
      </c>
      <c r="AL126" s="183">
        <f t="shared" si="6"/>
        <v>0</v>
      </c>
      <c r="AM126" s="183">
        <f t="shared" si="6"/>
        <v>0</v>
      </c>
      <c r="AN126" s="310"/>
      <c r="AO126" s="310"/>
      <c r="AP126" s="310"/>
      <c r="AQ126" s="698" t="s">
        <v>2646</v>
      </c>
      <c r="AR126" s="310"/>
      <c r="AS126" s="310"/>
    </row>
    <row r="127" spans="13:45" customFormat="1" ht="11.25" customHeight="1">
      <c r="M127" s="696" t="s">
        <v>2668</v>
      </c>
      <c r="N127" s="709" t="s">
        <v>1325</v>
      </c>
      <c r="O127" s="189" t="s">
        <v>1301</v>
      </c>
      <c r="AB127" s="248"/>
      <c r="AC127" s="248"/>
      <c r="AD127" s="248"/>
      <c r="AE127" s="462"/>
      <c r="AF127" s="462"/>
      <c r="AG127" s="462"/>
      <c r="AH127" s="248"/>
      <c r="AI127" s="248"/>
      <c r="AJ127" s="248"/>
      <c r="AK127" s="183">
        <f t="shared" si="6"/>
        <v>0</v>
      </c>
      <c r="AL127" s="183">
        <f t="shared" si="6"/>
        <v>0</v>
      </c>
      <c r="AM127" s="183">
        <f t="shared" si="6"/>
        <v>0</v>
      </c>
      <c r="AN127" s="310"/>
      <c r="AO127" s="310"/>
      <c r="AP127" s="310"/>
      <c r="AQ127" s="698" t="s">
        <v>2648</v>
      </c>
      <c r="AR127" s="310"/>
      <c r="AS127" s="310"/>
    </row>
    <row r="128" spans="13:45" customFormat="1" ht="11.25" customHeight="1">
      <c r="M128" s="696" t="s">
        <v>2669</v>
      </c>
      <c r="N128" s="709" t="s">
        <v>1326</v>
      </c>
      <c r="O128" s="189" t="s">
        <v>1301</v>
      </c>
      <c r="AB128" s="248"/>
      <c r="AC128" s="248"/>
      <c r="AD128" s="248"/>
      <c r="AE128" s="462"/>
      <c r="AF128" s="462"/>
      <c r="AG128" s="462"/>
      <c r="AH128" s="248"/>
      <c r="AI128" s="248"/>
      <c r="AJ128" s="248"/>
      <c r="AK128" s="183">
        <f t="shared" si="6"/>
        <v>0</v>
      </c>
      <c r="AL128" s="183">
        <f t="shared" si="6"/>
        <v>0</v>
      </c>
      <c r="AM128" s="183">
        <f t="shared" si="6"/>
        <v>0</v>
      </c>
      <c r="AN128" s="310"/>
      <c r="AO128" s="310"/>
      <c r="AP128" s="310"/>
      <c r="AQ128" s="698" t="s">
        <v>2650</v>
      </c>
      <c r="AR128" s="310"/>
      <c r="AS128" s="310"/>
    </row>
    <row r="129" spans="13:45" customFormat="1" ht="11.25" customHeight="1">
      <c r="M129" s="696" t="s">
        <v>2670</v>
      </c>
      <c r="N129" s="709" t="s">
        <v>2652</v>
      </c>
      <c r="O129" s="189" t="s">
        <v>1301</v>
      </c>
      <c r="AB129" s="248"/>
      <c r="AC129" s="248"/>
      <c r="AD129" s="248"/>
      <c r="AE129" s="462"/>
      <c r="AF129" s="462"/>
      <c r="AG129" s="462"/>
      <c r="AH129" s="248"/>
      <c r="AI129" s="248"/>
      <c r="AJ129" s="248"/>
      <c r="AK129" s="183">
        <f t="shared" si="6"/>
        <v>0</v>
      </c>
      <c r="AL129" s="183">
        <f t="shared" si="6"/>
        <v>0</v>
      </c>
      <c r="AM129" s="183">
        <f t="shared" si="6"/>
        <v>0</v>
      </c>
      <c r="AN129" s="310"/>
      <c r="AO129" s="310"/>
      <c r="AP129" s="310"/>
      <c r="AQ129" s="698" t="s">
        <v>2653</v>
      </c>
      <c r="AR129" s="310"/>
      <c r="AS129" s="310"/>
    </row>
    <row r="130" spans="13:45" customFormat="1" ht="11.25" customHeight="1">
      <c r="M130" s="718"/>
      <c r="N130" s="460"/>
      <c r="O130" s="461"/>
      <c r="AB130" s="248"/>
      <c r="AC130" s="248"/>
      <c r="AD130" s="248"/>
      <c r="AE130" s="462"/>
      <c r="AF130" s="462"/>
      <c r="AG130" s="462"/>
      <c r="AH130" s="248"/>
      <c r="AI130" s="248"/>
      <c r="AJ130" s="248"/>
      <c r="AK130" s="266"/>
      <c r="AL130" s="266"/>
      <c r="AM130" s="266"/>
      <c r="AN130" s="310"/>
      <c r="AO130" s="310"/>
      <c r="AP130" s="310"/>
      <c r="AQ130" s="698"/>
      <c r="AR130" s="310"/>
      <c r="AS130" s="310"/>
    </row>
    <row r="131" spans="13:45" customFormat="1" ht="11.25" customHeight="1">
      <c r="M131" s="718"/>
      <c r="N131" s="460"/>
      <c r="O131" s="461"/>
      <c r="AB131" s="248"/>
      <c r="AC131" s="248"/>
      <c r="AD131" s="248"/>
      <c r="AE131" s="462"/>
      <c r="AF131" s="462"/>
      <c r="AG131" s="462"/>
      <c r="AH131" s="248"/>
      <c r="AI131" s="248"/>
      <c r="AJ131" s="248"/>
      <c r="AK131" s="266"/>
      <c r="AL131" s="266"/>
      <c r="AM131" s="266"/>
      <c r="AN131" s="310"/>
      <c r="AO131" s="310"/>
      <c r="AP131" s="310"/>
      <c r="AQ131" s="698"/>
      <c r="AR131" s="310"/>
      <c r="AS131" s="310"/>
    </row>
    <row r="132" spans="13:45" customFormat="1" ht="11.25" customHeight="1">
      <c r="M132" s="696" t="s">
        <v>1428</v>
      </c>
      <c r="N132" s="719" t="s">
        <v>1327</v>
      </c>
      <c r="O132" s="189" t="s">
        <v>1301</v>
      </c>
      <c r="AB132" s="248"/>
      <c r="AC132" s="248"/>
      <c r="AD132" s="248"/>
      <c r="AE132" s="462"/>
      <c r="AF132" s="462"/>
      <c r="AG132" s="462"/>
      <c r="AH132" s="248"/>
      <c r="AI132" s="248"/>
      <c r="AJ132" s="248"/>
      <c r="AK132" s="183">
        <f t="shared" ref="AK132:AM138" si="7">IF(AK236=0,0,AK80/AK236)</f>
        <v>0</v>
      </c>
      <c r="AL132" s="183">
        <f t="shared" si="7"/>
        <v>0</v>
      </c>
      <c r="AM132" s="183">
        <f t="shared" si="7"/>
        <v>0</v>
      </c>
      <c r="AN132" s="310"/>
      <c r="AO132" s="310"/>
      <c r="AP132" s="310"/>
      <c r="AQ132" s="698" t="s">
        <v>1357</v>
      </c>
      <c r="AR132" s="310"/>
      <c r="AS132" s="310"/>
    </row>
    <row r="133" spans="13:45" customFormat="1" ht="11.25" customHeight="1">
      <c r="M133" s="696" t="s">
        <v>1429</v>
      </c>
      <c r="N133" s="712" t="s">
        <v>723</v>
      </c>
      <c r="O133" s="189" t="s">
        <v>1301</v>
      </c>
      <c r="AB133" s="248"/>
      <c r="AC133" s="248"/>
      <c r="AD133" s="248"/>
      <c r="AE133" s="462"/>
      <c r="AF133" s="462"/>
      <c r="AG133" s="462"/>
      <c r="AH133" s="248"/>
      <c r="AI133" s="248"/>
      <c r="AJ133" s="248"/>
      <c r="AK133" s="183">
        <f t="shared" si="7"/>
        <v>0</v>
      </c>
      <c r="AL133" s="183">
        <f t="shared" si="7"/>
        <v>0</v>
      </c>
      <c r="AM133" s="183">
        <f t="shared" si="7"/>
        <v>0</v>
      </c>
      <c r="AN133" s="310"/>
      <c r="AO133" s="310"/>
      <c r="AP133" s="310"/>
      <c r="AQ133" s="698" t="s">
        <v>1350</v>
      </c>
      <c r="AR133" s="310"/>
      <c r="AS133" s="310"/>
    </row>
    <row r="134" spans="13:45" customFormat="1" ht="11.25" customHeight="1">
      <c r="M134" s="696" t="s">
        <v>1430</v>
      </c>
      <c r="N134" s="713" t="s">
        <v>748</v>
      </c>
      <c r="O134" s="189" t="s">
        <v>1301</v>
      </c>
      <c r="AB134" s="248"/>
      <c r="AC134" s="248"/>
      <c r="AD134" s="248"/>
      <c r="AE134" s="462"/>
      <c r="AF134" s="462"/>
      <c r="AG134" s="462"/>
      <c r="AH134" s="248"/>
      <c r="AI134" s="248"/>
      <c r="AJ134" s="248"/>
      <c r="AK134" s="183">
        <f t="shared" si="7"/>
        <v>0</v>
      </c>
      <c r="AL134" s="183">
        <f t="shared" si="7"/>
        <v>0</v>
      </c>
      <c r="AM134" s="183">
        <f t="shared" si="7"/>
        <v>0</v>
      </c>
      <c r="AN134" s="310"/>
      <c r="AO134" s="310"/>
      <c r="AP134" s="310"/>
      <c r="AQ134" s="698" t="s">
        <v>1351</v>
      </c>
      <c r="AR134" s="310"/>
      <c r="AS134" s="310"/>
    </row>
    <row r="135" spans="13:45" customFormat="1" ht="11.25" customHeight="1">
      <c r="M135" s="696" t="s">
        <v>1431</v>
      </c>
      <c r="N135" s="714" t="s">
        <v>315</v>
      </c>
      <c r="O135" s="189" t="s">
        <v>1301</v>
      </c>
      <c r="AB135" s="248"/>
      <c r="AC135" s="248"/>
      <c r="AD135" s="248"/>
      <c r="AE135" s="462"/>
      <c r="AF135" s="462"/>
      <c r="AG135" s="462"/>
      <c r="AH135" s="248"/>
      <c r="AI135" s="248"/>
      <c r="AJ135" s="248"/>
      <c r="AK135" s="183">
        <f t="shared" si="7"/>
        <v>0</v>
      </c>
      <c r="AL135" s="183">
        <f t="shared" si="7"/>
        <v>0</v>
      </c>
      <c r="AM135" s="183">
        <f t="shared" si="7"/>
        <v>0</v>
      </c>
      <c r="AN135" s="310"/>
      <c r="AO135" s="310"/>
      <c r="AP135" s="310"/>
      <c r="AQ135" s="698" t="s">
        <v>1352</v>
      </c>
      <c r="AR135" s="310"/>
      <c r="AS135" s="310"/>
    </row>
    <row r="136" spans="13:45" customFormat="1" ht="11.25" customHeight="1">
      <c r="M136" s="696" t="s">
        <v>1432</v>
      </c>
      <c r="N136" s="715" t="s">
        <v>316</v>
      </c>
      <c r="O136" s="189" t="s">
        <v>1301</v>
      </c>
      <c r="AB136" s="248"/>
      <c r="AC136" s="248"/>
      <c r="AD136" s="248"/>
      <c r="AE136" s="462"/>
      <c r="AF136" s="462"/>
      <c r="AG136" s="462"/>
      <c r="AH136" s="248"/>
      <c r="AI136" s="248"/>
      <c r="AJ136" s="248"/>
      <c r="AK136" s="183">
        <f t="shared" si="7"/>
        <v>0</v>
      </c>
      <c r="AL136" s="183">
        <f t="shared" si="7"/>
        <v>0</v>
      </c>
      <c r="AM136" s="183">
        <f t="shared" si="7"/>
        <v>0</v>
      </c>
      <c r="AN136" s="310"/>
      <c r="AO136" s="310"/>
      <c r="AP136" s="310"/>
      <c r="AQ136" s="698" t="s">
        <v>1354</v>
      </c>
      <c r="AR136" s="310"/>
      <c r="AS136" s="310"/>
    </row>
    <row r="137" spans="13:45" customFormat="1" ht="11.25" customHeight="1">
      <c r="M137" s="696" t="s">
        <v>1433</v>
      </c>
      <c r="N137" s="716" t="s">
        <v>317</v>
      </c>
      <c r="O137" s="189" t="s">
        <v>1301</v>
      </c>
      <c r="AB137" s="248"/>
      <c r="AC137" s="248"/>
      <c r="AD137" s="248"/>
      <c r="AE137" s="462"/>
      <c r="AF137" s="462"/>
      <c r="AG137" s="462"/>
      <c r="AH137" s="248"/>
      <c r="AI137" s="248"/>
      <c r="AJ137" s="248"/>
      <c r="AK137" s="183">
        <f t="shared" si="7"/>
        <v>0</v>
      </c>
      <c r="AL137" s="183">
        <f t="shared" si="7"/>
        <v>0</v>
      </c>
      <c r="AM137" s="183">
        <f t="shared" si="7"/>
        <v>0</v>
      </c>
      <c r="AN137" s="310"/>
      <c r="AO137" s="310"/>
      <c r="AP137" s="310"/>
      <c r="AQ137" s="698" t="s">
        <v>1353</v>
      </c>
      <c r="AR137" s="310"/>
      <c r="AS137" s="310"/>
    </row>
    <row r="138" spans="13:45" customFormat="1" ht="11.25" customHeight="1">
      <c r="M138" s="696" t="s">
        <v>1434</v>
      </c>
      <c r="N138" s="701" t="s">
        <v>318</v>
      </c>
      <c r="O138" s="189" t="s">
        <v>1301</v>
      </c>
      <c r="AB138" s="248"/>
      <c r="AC138" s="248"/>
      <c r="AD138" s="248"/>
      <c r="AE138" s="462"/>
      <c r="AF138" s="462"/>
      <c r="AG138" s="462"/>
      <c r="AH138" s="248"/>
      <c r="AI138" s="248"/>
      <c r="AJ138" s="248"/>
      <c r="AK138" s="183">
        <f t="shared" si="7"/>
        <v>0</v>
      </c>
      <c r="AL138" s="183">
        <f t="shared" si="7"/>
        <v>0</v>
      </c>
      <c r="AM138" s="183">
        <f t="shared" si="7"/>
        <v>0</v>
      </c>
      <c r="AN138" s="310"/>
      <c r="AO138" s="310"/>
      <c r="AP138" s="310"/>
      <c r="AQ138" s="698" t="s">
        <v>1355</v>
      </c>
      <c r="AR138" s="310"/>
      <c r="AS138" s="310"/>
    </row>
    <row r="139" spans="13:45" customFormat="1" ht="11.25" customHeight="1">
      <c r="M139" s="718"/>
      <c r="N139" s="460"/>
      <c r="O139" s="461"/>
      <c r="AB139" s="248"/>
      <c r="AC139" s="248"/>
      <c r="AD139" s="248"/>
      <c r="AE139" s="462"/>
      <c r="AF139" s="462"/>
      <c r="AG139" s="462"/>
      <c r="AH139" s="248"/>
      <c r="AI139" s="248"/>
      <c r="AJ139" s="248"/>
      <c r="AK139" s="266"/>
      <c r="AL139" s="266"/>
      <c r="AM139" s="266"/>
      <c r="AN139" s="310"/>
      <c r="AO139" s="310"/>
      <c r="AP139" s="310"/>
      <c r="AQ139" s="698"/>
      <c r="AR139" s="310"/>
      <c r="AS139" s="310"/>
    </row>
    <row r="140" spans="13:45" customFormat="1" ht="11.25" customHeight="1">
      <c r="M140" s="490" t="s">
        <v>1359</v>
      </c>
      <c r="N140" s="463" t="s">
        <v>750</v>
      </c>
      <c r="O140" s="189"/>
      <c r="AB140" s="248"/>
      <c r="AC140" s="248"/>
      <c r="AD140" s="248"/>
      <c r="AE140" s="241"/>
      <c r="AF140" s="241"/>
      <c r="AG140" s="241"/>
      <c r="AH140" s="248"/>
      <c r="AI140" s="248"/>
      <c r="AJ140" s="248"/>
      <c r="AK140" s="241"/>
      <c r="AL140" s="241"/>
      <c r="AM140" s="241"/>
      <c r="AN140" s="310"/>
      <c r="AO140" s="310"/>
      <c r="AP140" s="310"/>
      <c r="AQ140" s="36"/>
      <c r="AR140" s="310"/>
      <c r="AS140" s="310"/>
    </row>
    <row r="141" spans="13:45" customFormat="1" ht="11.25" customHeight="1">
      <c r="M141" s="696" t="s">
        <v>1435</v>
      </c>
      <c r="N141" s="697" t="s">
        <v>1304</v>
      </c>
      <c r="O141" s="189" t="s">
        <v>506</v>
      </c>
      <c r="AB141" s="248"/>
      <c r="AC141" s="248"/>
      <c r="AD141" s="248"/>
      <c r="AE141" s="462"/>
      <c r="AF141" s="462"/>
      <c r="AG141" s="462"/>
      <c r="AH141" s="248"/>
      <c r="AI141" s="248"/>
      <c r="AJ141" s="248"/>
      <c r="AK141" s="183">
        <f t="shared" ref="AK141:AM156" si="8">IF(AK349=0,0,AK37/AK349*1000)</f>
        <v>0</v>
      </c>
      <c r="AL141" s="183">
        <f t="shared" si="8"/>
        <v>0</v>
      </c>
      <c r="AM141" s="183">
        <f t="shared" si="8"/>
        <v>0</v>
      </c>
      <c r="AN141" s="310"/>
      <c r="AO141" s="310"/>
      <c r="AP141" s="310"/>
      <c r="AQ141" s="698" t="s">
        <v>1328</v>
      </c>
      <c r="AR141" s="310"/>
      <c r="AS141" s="310"/>
    </row>
    <row r="142" spans="13:45" customFormat="1" ht="11.25" customHeight="1">
      <c r="M142" s="696" t="s">
        <v>1436</v>
      </c>
      <c r="N142" s="699" t="s">
        <v>713</v>
      </c>
      <c r="O142" s="189" t="s">
        <v>506</v>
      </c>
      <c r="AB142" s="248"/>
      <c r="AC142" s="248"/>
      <c r="AD142" s="248"/>
      <c r="AE142" s="462"/>
      <c r="AF142" s="462"/>
      <c r="AG142" s="462"/>
      <c r="AH142" s="248"/>
      <c r="AI142" s="248"/>
      <c r="AJ142" s="248"/>
      <c r="AK142" s="183">
        <f t="shared" si="8"/>
        <v>0</v>
      </c>
      <c r="AL142" s="183">
        <f t="shared" si="8"/>
        <v>0</v>
      </c>
      <c r="AM142" s="183">
        <f t="shared" si="8"/>
        <v>0</v>
      </c>
      <c r="AN142" s="310"/>
      <c r="AO142" s="310"/>
      <c r="AP142" s="310"/>
      <c r="AQ142" s="698" t="s">
        <v>1329</v>
      </c>
      <c r="AR142" s="310"/>
      <c r="AS142" s="310"/>
    </row>
    <row r="143" spans="13:45" customFormat="1" ht="11.25" customHeight="1">
      <c r="M143" s="696" t="s">
        <v>1437</v>
      </c>
      <c r="N143" s="699" t="s">
        <v>715</v>
      </c>
      <c r="O143" s="189" t="s">
        <v>506</v>
      </c>
      <c r="AB143" s="248"/>
      <c r="AC143" s="248"/>
      <c r="AD143" s="248"/>
      <c r="AE143" s="462"/>
      <c r="AF143" s="462"/>
      <c r="AG143" s="462"/>
      <c r="AH143" s="248"/>
      <c r="AI143" s="248"/>
      <c r="AJ143" s="248"/>
      <c r="AK143" s="183">
        <f t="shared" si="8"/>
        <v>0</v>
      </c>
      <c r="AL143" s="183">
        <f t="shared" si="8"/>
        <v>0</v>
      </c>
      <c r="AM143" s="183">
        <f t="shared" si="8"/>
        <v>0</v>
      </c>
      <c r="AN143" s="310"/>
      <c r="AO143" s="310"/>
      <c r="AP143" s="310"/>
      <c r="AQ143" s="698" t="s">
        <v>1330</v>
      </c>
      <c r="AR143" s="310"/>
      <c r="AS143" s="310"/>
    </row>
    <row r="144" spans="13:45" customFormat="1" ht="11.25" customHeight="1">
      <c r="M144" s="696" t="s">
        <v>1438</v>
      </c>
      <c r="N144" s="699" t="s">
        <v>716</v>
      </c>
      <c r="O144" s="189" t="s">
        <v>506</v>
      </c>
      <c r="AB144" s="248"/>
      <c r="AC144" s="248"/>
      <c r="AD144" s="248"/>
      <c r="AE144" s="462"/>
      <c r="AF144" s="462"/>
      <c r="AG144" s="462"/>
      <c r="AH144" s="248"/>
      <c r="AI144" s="248"/>
      <c r="AJ144" s="248"/>
      <c r="AK144" s="183">
        <f t="shared" si="8"/>
        <v>0</v>
      </c>
      <c r="AL144" s="183">
        <f t="shared" si="8"/>
        <v>0</v>
      </c>
      <c r="AM144" s="183">
        <f t="shared" si="8"/>
        <v>0</v>
      </c>
      <c r="AN144" s="310"/>
      <c r="AO144" s="310"/>
      <c r="AP144" s="310"/>
      <c r="AQ144" s="698" t="s">
        <v>1331</v>
      </c>
      <c r="AR144" s="310"/>
      <c r="AS144" s="310"/>
    </row>
    <row r="145" spans="13:45" customFormat="1" ht="11.25" customHeight="1">
      <c r="M145" s="696" t="s">
        <v>1439</v>
      </c>
      <c r="N145" s="700" t="s">
        <v>1305</v>
      </c>
      <c r="O145" s="189" t="s">
        <v>506</v>
      </c>
      <c r="AB145" s="248"/>
      <c r="AC145" s="248"/>
      <c r="AD145" s="248"/>
      <c r="AE145" s="462"/>
      <c r="AF145" s="462"/>
      <c r="AG145" s="462"/>
      <c r="AH145" s="248"/>
      <c r="AI145" s="248"/>
      <c r="AJ145" s="248"/>
      <c r="AK145" s="183">
        <f t="shared" si="8"/>
        <v>0</v>
      </c>
      <c r="AL145" s="183">
        <f t="shared" si="8"/>
        <v>0</v>
      </c>
      <c r="AM145" s="183">
        <f t="shared" si="8"/>
        <v>0</v>
      </c>
      <c r="AN145" s="310"/>
      <c r="AO145" s="310"/>
      <c r="AP145" s="310"/>
      <c r="AQ145" s="698" t="s">
        <v>1340</v>
      </c>
      <c r="AR145" s="310"/>
      <c r="AS145" s="310"/>
    </row>
    <row r="146" spans="13:45" customFormat="1" ht="11.25" customHeight="1">
      <c r="M146" s="696" t="s">
        <v>1440</v>
      </c>
      <c r="N146" s="700" t="s">
        <v>1306</v>
      </c>
      <c r="O146" s="189" t="s">
        <v>506</v>
      </c>
      <c r="AB146" s="248"/>
      <c r="AC146" s="248"/>
      <c r="AD146" s="248"/>
      <c r="AE146" s="462"/>
      <c r="AF146" s="462"/>
      <c r="AG146" s="462"/>
      <c r="AH146" s="248"/>
      <c r="AI146" s="248"/>
      <c r="AJ146" s="248"/>
      <c r="AK146" s="183">
        <f t="shared" si="8"/>
        <v>0</v>
      </c>
      <c r="AL146" s="183">
        <f t="shared" si="8"/>
        <v>0</v>
      </c>
      <c r="AM146" s="183">
        <f t="shared" si="8"/>
        <v>0</v>
      </c>
      <c r="AN146" s="310"/>
      <c r="AO146" s="310"/>
      <c r="AP146" s="310"/>
      <c r="AQ146" s="698" t="s">
        <v>1341</v>
      </c>
      <c r="AR146" s="310"/>
      <c r="AS146" s="310"/>
    </row>
    <row r="147" spans="13:45" customFormat="1" ht="11.25" customHeight="1">
      <c r="M147" s="696" t="s">
        <v>1441</v>
      </c>
      <c r="N147" s="700" t="s">
        <v>1307</v>
      </c>
      <c r="O147" s="189" t="s">
        <v>506</v>
      </c>
      <c r="AB147" s="248"/>
      <c r="AC147" s="248"/>
      <c r="AD147" s="248"/>
      <c r="AE147" s="462"/>
      <c r="AF147" s="462"/>
      <c r="AG147" s="462"/>
      <c r="AH147" s="248"/>
      <c r="AI147" s="248"/>
      <c r="AJ147" s="248"/>
      <c r="AK147" s="183">
        <f t="shared" si="8"/>
        <v>0</v>
      </c>
      <c r="AL147" s="183">
        <f t="shared" si="8"/>
        <v>0</v>
      </c>
      <c r="AM147" s="183">
        <f t="shared" si="8"/>
        <v>0</v>
      </c>
      <c r="AN147" s="310"/>
      <c r="AO147" s="310"/>
      <c r="AP147" s="310"/>
      <c r="AQ147" s="698" t="s">
        <v>1342</v>
      </c>
      <c r="AR147" s="310"/>
      <c r="AS147" s="310"/>
    </row>
    <row r="148" spans="13:45" customFormat="1" ht="11.25" customHeight="1">
      <c r="M148" s="696" t="s">
        <v>1442</v>
      </c>
      <c r="N148" s="700" t="s">
        <v>1308</v>
      </c>
      <c r="O148" s="189" t="s">
        <v>506</v>
      </c>
      <c r="AB148" s="248"/>
      <c r="AC148" s="248"/>
      <c r="AD148" s="248"/>
      <c r="AE148" s="462"/>
      <c r="AF148" s="462"/>
      <c r="AG148" s="462"/>
      <c r="AH148" s="248"/>
      <c r="AI148" s="248"/>
      <c r="AJ148" s="248"/>
      <c r="AK148" s="183">
        <f t="shared" si="8"/>
        <v>0</v>
      </c>
      <c r="AL148" s="183">
        <f t="shared" si="8"/>
        <v>0</v>
      </c>
      <c r="AM148" s="183">
        <f t="shared" si="8"/>
        <v>0</v>
      </c>
      <c r="AN148" s="310"/>
      <c r="AO148" s="310"/>
      <c r="AP148" s="310"/>
      <c r="AQ148" s="698" t="s">
        <v>1339</v>
      </c>
      <c r="AR148" s="310"/>
      <c r="AS148" s="310"/>
    </row>
    <row r="149" spans="13:45" customFormat="1" ht="11.25" customHeight="1">
      <c r="M149" s="696" t="s">
        <v>1443</v>
      </c>
      <c r="N149" s="701" t="s">
        <v>684</v>
      </c>
      <c r="O149" s="189" t="s">
        <v>751</v>
      </c>
      <c r="AB149" s="248"/>
      <c r="AC149" s="248"/>
      <c r="AD149" s="248"/>
      <c r="AE149" s="462"/>
      <c r="AF149" s="462"/>
      <c r="AG149" s="462"/>
      <c r="AH149" s="248"/>
      <c r="AI149" s="248"/>
      <c r="AJ149" s="248"/>
      <c r="AK149" s="183">
        <f t="shared" si="8"/>
        <v>0</v>
      </c>
      <c r="AL149" s="183">
        <f t="shared" si="8"/>
        <v>0</v>
      </c>
      <c r="AM149" s="183">
        <f t="shared" si="8"/>
        <v>0</v>
      </c>
      <c r="AN149" s="310"/>
      <c r="AO149" s="310"/>
      <c r="AP149" s="310"/>
      <c r="AQ149" s="698" t="s">
        <v>1332</v>
      </c>
      <c r="AR149" s="310"/>
      <c r="AS149" s="310"/>
    </row>
    <row r="150" spans="13:45" customFormat="1" ht="11.25" customHeight="1">
      <c r="M150" s="696" t="s">
        <v>1444</v>
      </c>
      <c r="N150" s="702" t="s">
        <v>718</v>
      </c>
      <c r="O150" s="189" t="s">
        <v>751</v>
      </c>
      <c r="AB150" s="248"/>
      <c r="AC150" s="248"/>
      <c r="AD150" s="248"/>
      <c r="AE150" s="462"/>
      <c r="AF150" s="462"/>
      <c r="AG150" s="462"/>
      <c r="AH150" s="248"/>
      <c r="AI150" s="248"/>
      <c r="AJ150" s="248"/>
      <c r="AK150" s="183">
        <f t="shared" si="8"/>
        <v>0</v>
      </c>
      <c r="AL150" s="183">
        <f t="shared" si="8"/>
        <v>0</v>
      </c>
      <c r="AM150" s="183">
        <f t="shared" si="8"/>
        <v>0</v>
      </c>
      <c r="AN150" s="310"/>
      <c r="AO150" s="310"/>
      <c r="AP150" s="310"/>
      <c r="AQ150" s="698" t="s">
        <v>1333</v>
      </c>
      <c r="AR150" s="310"/>
      <c r="AS150" s="310"/>
    </row>
    <row r="151" spans="13:45" customFormat="1" ht="11.25" customHeight="1">
      <c r="M151" s="696" t="s">
        <v>1445</v>
      </c>
      <c r="N151" s="703" t="s">
        <v>722</v>
      </c>
      <c r="O151" s="189" t="s">
        <v>751</v>
      </c>
      <c r="AB151" s="248"/>
      <c r="AC151" s="248"/>
      <c r="AD151" s="248"/>
      <c r="AE151" s="462"/>
      <c r="AF151" s="462"/>
      <c r="AG151" s="462"/>
      <c r="AH151" s="248"/>
      <c r="AI151" s="248"/>
      <c r="AJ151" s="248"/>
      <c r="AK151" s="183">
        <f t="shared" si="8"/>
        <v>0</v>
      </c>
      <c r="AL151" s="183">
        <f t="shared" si="8"/>
        <v>0</v>
      </c>
      <c r="AM151" s="183">
        <f t="shared" si="8"/>
        <v>0</v>
      </c>
      <c r="AN151" s="310"/>
      <c r="AO151" s="310"/>
      <c r="AP151" s="310"/>
      <c r="AQ151" s="698" t="s">
        <v>1334</v>
      </c>
      <c r="AR151" s="310"/>
      <c r="AS151" s="310"/>
    </row>
    <row r="152" spans="13:45" customFormat="1" ht="11.25" customHeight="1">
      <c r="M152" s="696" t="s">
        <v>1446</v>
      </c>
      <c r="N152" s="704" t="s">
        <v>1309</v>
      </c>
      <c r="O152" s="189" t="s">
        <v>751</v>
      </c>
      <c r="AB152" s="248"/>
      <c r="AC152" s="248"/>
      <c r="AD152" s="248"/>
      <c r="AE152" s="462"/>
      <c r="AF152" s="462"/>
      <c r="AG152" s="462"/>
      <c r="AH152" s="248"/>
      <c r="AI152" s="248"/>
      <c r="AJ152" s="248"/>
      <c r="AK152" s="183">
        <f t="shared" si="8"/>
        <v>0</v>
      </c>
      <c r="AL152" s="183">
        <f t="shared" si="8"/>
        <v>0</v>
      </c>
      <c r="AM152" s="183">
        <f t="shared" si="8"/>
        <v>0</v>
      </c>
      <c r="AN152" s="310"/>
      <c r="AO152" s="310"/>
      <c r="AP152" s="310"/>
      <c r="AQ152" s="698" t="s">
        <v>1335</v>
      </c>
      <c r="AR152" s="310"/>
      <c r="AS152" s="310"/>
    </row>
    <row r="153" spans="13:45" customFormat="1" ht="11.25" customHeight="1">
      <c r="M153" s="696" t="s">
        <v>1447</v>
      </c>
      <c r="N153" s="704" t="s">
        <v>1310</v>
      </c>
      <c r="O153" s="189" t="s">
        <v>751</v>
      </c>
      <c r="AB153" s="248"/>
      <c r="AC153" s="248"/>
      <c r="AD153" s="248"/>
      <c r="AE153" s="462"/>
      <c r="AF153" s="462"/>
      <c r="AG153" s="462"/>
      <c r="AH153" s="248"/>
      <c r="AI153" s="248"/>
      <c r="AJ153" s="248"/>
      <c r="AK153" s="183">
        <f t="shared" si="8"/>
        <v>0</v>
      </c>
      <c r="AL153" s="183">
        <f t="shared" si="8"/>
        <v>0</v>
      </c>
      <c r="AM153" s="183">
        <f t="shared" si="8"/>
        <v>0</v>
      </c>
      <c r="AN153" s="310"/>
      <c r="AO153" s="310"/>
      <c r="AP153" s="310"/>
      <c r="AQ153" s="698" t="s">
        <v>1336</v>
      </c>
      <c r="AR153" s="310"/>
      <c r="AS153" s="310"/>
    </row>
    <row r="154" spans="13:45" customFormat="1" ht="11.25" customHeight="1">
      <c r="M154" s="696" t="s">
        <v>1448</v>
      </c>
      <c r="N154" s="704" t="s">
        <v>1311</v>
      </c>
      <c r="O154" s="189" t="s">
        <v>751</v>
      </c>
      <c r="AB154" s="248"/>
      <c r="AC154" s="248"/>
      <c r="AD154" s="248"/>
      <c r="AE154" s="462"/>
      <c r="AF154" s="462"/>
      <c r="AG154" s="462"/>
      <c r="AH154" s="248"/>
      <c r="AI154" s="248"/>
      <c r="AJ154" s="248"/>
      <c r="AK154" s="183">
        <f t="shared" si="8"/>
        <v>0</v>
      </c>
      <c r="AL154" s="183">
        <f t="shared" si="8"/>
        <v>0</v>
      </c>
      <c r="AM154" s="183">
        <f t="shared" si="8"/>
        <v>0</v>
      </c>
      <c r="AN154" s="310"/>
      <c r="AO154" s="310"/>
      <c r="AP154" s="310"/>
      <c r="AQ154" s="698" t="s">
        <v>1337</v>
      </c>
      <c r="AR154" s="310"/>
      <c r="AS154" s="310"/>
    </row>
    <row r="155" spans="13:45" customFormat="1" ht="11.25" customHeight="1">
      <c r="M155" s="696" t="s">
        <v>1449</v>
      </c>
      <c r="N155" s="704" t="s">
        <v>1312</v>
      </c>
      <c r="O155" s="189" t="s">
        <v>751</v>
      </c>
      <c r="AB155" s="248"/>
      <c r="AC155" s="248"/>
      <c r="AD155" s="248"/>
      <c r="AE155" s="462"/>
      <c r="AF155" s="462"/>
      <c r="AG155" s="462"/>
      <c r="AH155" s="248"/>
      <c r="AI155" s="248"/>
      <c r="AJ155" s="248"/>
      <c r="AK155" s="183">
        <f t="shared" si="8"/>
        <v>0</v>
      </c>
      <c r="AL155" s="183">
        <f t="shared" si="8"/>
        <v>0</v>
      </c>
      <c r="AM155" s="183">
        <f t="shared" si="8"/>
        <v>0</v>
      </c>
      <c r="AN155" s="310"/>
      <c r="AO155" s="310"/>
      <c r="AP155" s="310"/>
      <c r="AQ155" s="698" t="s">
        <v>1338</v>
      </c>
      <c r="AR155" s="310"/>
      <c r="AS155" s="310"/>
    </row>
    <row r="156" spans="13:45" customFormat="1" ht="11.25" customHeight="1">
      <c r="M156" s="696" t="s">
        <v>1450</v>
      </c>
      <c r="N156" s="705" t="s">
        <v>720</v>
      </c>
      <c r="O156" s="189" t="s">
        <v>751</v>
      </c>
      <c r="AB156" s="248"/>
      <c r="AC156" s="248"/>
      <c r="AD156" s="248"/>
      <c r="AE156" s="462"/>
      <c r="AF156" s="462"/>
      <c r="AG156" s="462"/>
      <c r="AH156" s="248"/>
      <c r="AI156" s="248"/>
      <c r="AJ156" s="248"/>
      <c r="AK156" s="183">
        <f t="shared" si="8"/>
        <v>0</v>
      </c>
      <c r="AL156" s="183">
        <f t="shared" si="8"/>
        <v>0</v>
      </c>
      <c r="AM156" s="183">
        <f t="shared" si="8"/>
        <v>0</v>
      </c>
      <c r="AN156" s="310"/>
      <c r="AO156" s="310"/>
      <c r="AP156" s="310"/>
      <c r="AQ156" s="698" t="s">
        <v>1343</v>
      </c>
      <c r="AR156" s="310"/>
      <c r="AS156" s="310"/>
    </row>
    <row r="157" spans="13:45" customFormat="1" ht="11.25" customHeight="1">
      <c r="M157" s="696" t="s">
        <v>1868</v>
      </c>
      <c r="N157" s="706" t="s">
        <v>1313</v>
      </c>
      <c r="O157" s="189" t="s">
        <v>751</v>
      </c>
      <c r="AB157" s="248"/>
      <c r="AC157" s="248"/>
      <c r="AD157" s="248"/>
      <c r="AE157" s="462"/>
      <c r="AF157" s="462"/>
      <c r="AG157" s="462"/>
      <c r="AH157" s="248"/>
      <c r="AI157" s="248"/>
      <c r="AJ157" s="248"/>
      <c r="AK157" s="183">
        <f t="shared" ref="AK157:AM172" si="9">IF(AK365=0,0,AK53/AK365*1000)</f>
        <v>0</v>
      </c>
      <c r="AL157" s="183">
        <f t="shared" si="9"/>
        <v>0</v>
      </c>
      <c r="AM157" s="183">
        <f t="shared" si="9"/>
        <v>0</v>
      </c>
      <c r="AN157" s="310"/>
      <c r="AO157" s="310"/>
      <c r="AP157" s="310"/>
      <c r="AQ157" s="698" t="s">
        <v>1866</v>
      </c>
      <c r="AR157" s="310"/>
      <c r="AS157" s="310"/>
    </row>
    <row r="158" spans="13:45" customFormat="1" ht="11.25" customHeight="1">
      <c r="M158" s="696" t="s">
        <v>1849</v>
      </c>
      <c r="N158" s="706" t="s">
        <v>1314</v>
      </c>
      <c r="O158" s="189" t="s">
        <v>751</v>
      </c>
      <c r="AB158" s="248"/>
      <c r="AC158" s="248"/>
      <c r="AD158" s="248"/>
      <c r="AE158" s="462"/>
      <c r="AF158" s="462"/>
      <c r="AG158" s="462"/>
      <c r="AH158" s="248"/>
      <c r="AI158" s="248"/>
      <c r="AJ158" s="248"/>
      <c r="AK158" s="183">
        <f t="shared" si="9"/>
        <v>0</v>
      </c>
      <c r="AL158" s="183">
        <f t="shared" si="9"/>
        <v>0</v>
      </c>
      <c r="AM158" s="183">
        <f t="shared" si="9"/>
        <v>0</v>
      </c>
      <c r="AN158" s="310"/>
      <c r="AO158" s="310"/>
      <c r="AP158" s="310"/>
      <c r="AQ158" s="698" t="s">
        <v>1847</v>
      </c>
      <c r="AR158" s="310"/>
      <c r="AS158" s="310"/>
    </row>
    <row r="159" spans="13:45" customFormat="1" ht="11.25" customHeight="1">
      <c r="M159" s="696" t="s">
        <v>1830</v>
      </c>
      <c r="N159" s="706" t="s">
        <v>1315</v>
      </c>
      <c r="O159" s="189" t="s">
        <v>751</v>
      </c>
      <c r="AB159" s="248"/>
      <c r="AC159" s="248"/>
      <c r="AD159" s="248"/>
      <c r="AE159" s="462"/>
      <c r="AF159" s="462"/>
      <c r="AG159" s="462"/>
      <c r="AH159" s="248"/>
      <c r="AI159" s="248"/>
      <c r="AJ159" s="248"/>
      <c r="AK159" s="183">
        <f t="shared" si="9"/>
        <v>0</v>
      </c>
      <c r="AL159" s="183">
        <f t="shared" si="9"/>
        <v>0</v>
      </c>
      <c r="AM159" s="183">
        <f t="shared" si="9"/>
        <v>0</v>
      </c>
      <c r="AN159" s="310"/>
      <c r="AO159" s="310"/>
      <c r="AP159" s="310"/>
      <c r="AQ159" s="698" t="s">
        <v>1827</v>
      </c>
      <c r="AR159" s="310"/>
      <c r="AS159" s="310"/>
    </row>
    <row r="160" spans="13:45" customFormat="1" ht="11.25" customHeight="1">
      <c r="M160" s="696" t="s">
        <v>1451</v>
      </c>
      <c r="N160" s="706" t="s">
        <v>1316</v>
      </c>
      <c r="O160" s="189" t="s">
        <v>751</v>
      </c>
      <c r="AB160" s="248"/>
      <c r="AC160" s="248"/>
      <c r="AD160" s="248"/>
      <c r="AE160" s="462"/>
      <c r="AF160" s="462"/>
      <c r="AG160" s="462"/>
      <c r="AH160" s="248"/>
      <c r="AI160" s="248"/>
      <c r="AJ160" s="248"/>
      <c r="AK160" s="183">
        <f t="shared" si="9"/>
        <v>0</v>
      </c>
      <c r="AL160" s="183">
        <f t="shared" si="9"/>
        <v>0</v>
      </c>
      <c r="AM160" s="183">
        <f t="shared" si="9"/>
        <v>0</v>
      </c>
      <c r="AN160" s="310"/>
      <c r="AO160" s="310"/>
      <c r="AP160" s="310"/>
      <c r="AQ160" s="698" t="s">
        <v>1344</v>
      </c>
      <c r="AR160" s="310"/>
      <c r="AS160" s="310"/>
    </row>
    <row r="161" spans="13:45" customFormat="1" ht="11.25" customHeight="1">
      <c r="M161" s="696" t="s">
        <v>1452</v>
      </c>
      <c r="N161" s="706" t="s">
        <v>1317</v>
      </c>
      <c r="O161" s="189" t="s">
        <v>751</v>
      </c>
      <c r="AB161" s="248"/>
      <c r="AC161" s="248"/>
      <c r="AD161" s="248"/>
      <c r="AE161" s="462"/>
      <c r="AF161" s="462"/>
      <c r="AG161" s="462"/>
      <c r="AH161" s="248"/>
      <c r="AI161" s="248"/>
      <c r="AJ161" s="248"/>
      <c r="AK161" s="183">
        <f t="shared" si="9"/>
        <v>0</v>
      </c>
      <c r="AL161" s="183">
        <f t="shared" si="9"/>
        <v>0</v>
      </c>
      <c r="AM161" s="183">
        <f t="shared" si="9"/>
        <v>0</v>
      </c>
      <c r="AN161" s="310"/>
      <c r="AO161" s="310"/>
      <c r="AP161" s="310"/>
      <c r="AQ161" s="698" t="s">
        <v>1345</v>
      </c>
      <c r="AR161" s="310"/>
      <c r="AS161" s="310"/>
    </row>
    <row r="162" spans="13:45" customFormat="1" ht="11.25" customHeight="1">
      <c r="M162" s="696" t="s">
        <v>1453</v>
      </c>
      <c r="N162" s="706" t="s">
        <v>1318</v>
      </c>
      <c r="O162" s="189" t="s">
        <v>751</v>
      </c>
      <c r="AB162" s="248"/>
      <c r="AC162" s="248"/>
      <c r="AD162" s="248"/>
      <c r="AE162" s="462"/>
      <c r="AF162" s="462"/>
      <c r="AG162" s="462"/>
      <c r="AH162" s="248"/>
      <c r="AI162" s="248"/>
      <c r="AJ162" s="248"/>
      <c r="AK162" s="183">
        <f t="shared" si="9"/>
        <v>0</v>
      </c>
      <c r="AL162" s="183">
        <f t="shared" si="9"/>
        <v>0</v>
      </c>
      <c r="AM162" s="183">
        <f t="shared" si="9"/>
        <v>0</v>
      </c>
      <c r="AN162" s="310"/>
      <c r="AO162" s="310"/>
      <c r="AP162" s="310"/>
      <c r="AQ162" s="698" t="s">
        <v>1346</v>
      </c>
      <c r="AR162" s="310"/>
      <c r="AS162" s="310"/>
    </row>
    <row r="163" spans="13:45" customFormat="1" ht="11.25" customHeight="1">
      <c r="M163" s="696" t="s">
        <v>1454</v>
      </c>
      <c r="N163" s="707" t="s">
        <v>721</v>
      </c>
      <c r="O163" s="189" t="s">
        <v>751</v>
      </c>
      <c r="AB163" s="248"/>
      <c r="AC163" s="248"/>
      <c r="AD163" s="248"/>
      <c r="AE163" s="462"/>
      <c r="AF163" s="462"/>
      <c r="AG163" s="462"/>
      <c r="AH163" s="248"/>
      <c r="AI163" s="248"/>
      <c r="AJ163" s="248"/>
      <c r="AK163" s="183">
        <f t="shared" si="9"/>
        <v>0</v>
      </c>
      <c r="AL163" s="183">
        <f t="shared" si="9"/>
        <v>0</v>
      </c>
      <c r="AM163" s="183">
        <f t="shared" si="9"/>
        <v>0</v>
      </c>
      <c r="AN163" s="310"/>
      <c r="AO163" s="310"/>
      <c r="AP163" s="310"/>
      <c r="AQ163" s="698" t="s">
        <v>1347</v>
      </c>
      <c r="AR163" s="310"/>
      <c r="AS163" s="310"/>
    </row>
    <row r="164" spans="13:45" customFormat="1" ht="11.25" customHeight="1">
      <c r="M164" s="696" t="s">
        <v>1455</v>
      </c>
      <c r="N164" s="708" t="s">
        <v>712</v>
      </c>
      <c r="O164" s="189" t="s">
        <v>751</v>
      </c>
      <c r="AB164" s="248"/>
      <c r="AC164" s="248"/>
      <c r="AD164" s="248"/>
      <c r="AE164" s="462"/>
      <c r="AF164" s="462"/>
      <c r="AG164" s="462"/>
      <c r="AH164" s="248"/>
      <c r="AI164" s="248"/>
      <c r="AJ164" s="248"/>
      <c r="AK164" s="183">
        <f t="shared" si="9"/>
        <v>0</v>
      </c>
      <c r="AL164" s="183">
        <f t="shared" si="9"/>
        <v>0</v>
      </c>
      <c r="AM164" s="183">
        <f t="shared" si="9"/>
        <v>0</v>
      </c>
      <c r="AN164" s="310"/>
      <c r="AO164" s="310"/>
      <c r="AP164" s="310"/>
      <c r="AQ164" s="698" t="s">
        <v>1348</v>
      </c>
      <c r="AR164" s="310"/>
      <c r="AS164" s="310"/>
    </row>
    <row r="165" spans="13:45" customFormat="1" ht="11.25" customHeight="1">
      <c r="M165" s="696" t="s">
        <v>2671</v>
      </c>
      <c r="N165" s="709" t="s">
        <v>1319</v>
      </c>
      <c r="O165" s="189" t="s">
        <v>751</v>
      </c>
      <c r="AB165" s="248"/>
      <c r="AC165" s="248"/>
      <c r="AD165" s="248"/>
      <c r="AE165" s="462"/>
      <c r="AF165" s="462"/>
      <c r="AG165" s="462"/>
      <c r="AH165" s="248"/>
      <c r="AI165" s="248"/>
      <c r="AJ165" s="248"/>
      <c r="AK165" s="183">
        <f t="shared" si="9"/>
        <v>0</v>
      </c>
      <c r="AL165" s="183">
        <f t="shared" si="9"/>
        <v>0</v>
      </c>
      <c r="AM165" s="183">
        <f t="shared" si="9"/>
        <v>0</v>
      </c>
      <c r="AN165" s="310"/>
      <c r="AO165" s="310"/>
      <c r="AP165" s="310"/>
      <c r="AQ165" s="698" t="s">
        <v>2612</v>
      </c>
      <c r="AR165" s="310"/>
      <c r="AS165" s="310"/>
    </row>
    <row r="166" spans="13:45" customFormat="1" ht="11.25" customHeight="1">
      <c r="M166" s="696" t="s">
        <v>2672</v>
      </c>
      <c r="N166" s="709" t="s">
        <v>1320</v>
      </c>
      <c r="O166" s="189" t="s">
        <v>751</v>
      </c>
      <c r="AB166" s="248"/>
      <c r="AC166" s="248"/>
      <c r="AD166" s="248"/>
      <c r="AE166" s="462"/>
      <c r="AF166" s="462"/>
      <c r="AG166" s="462"/>
      <c r="AH166" s="248"/>
      <c r="AI166" s="248"/>
      <c r="AJ166" s="248"/>
      <c r="AK166" s="183">
        <f t="shared" si="9"/>
        <v>0</v>
      </c>
      <c r="AL166" s="183">
        <f t="shared" si="9"/>
        <v>0</v>
      </c>
      <c r="AM166" s="183">
        <f t="shared" si="9"/>
        <v>0</v>
      </c>
      <c r="AN166" s="310"/>
      <c r="AO166" s="310"/>
      <c r="AP166" s="310"/>
      <c r="AQ166" s="698" t="s">
        <v>2614</v>
      </c>
      <c r="AR166" s="310"/>
      <c r="AS166" s="310"/>
    </row>
    <row r="167" spans="13:45" customFormat="1" ht="11.25" customHeight="1">
      <c r="M167" s="696" t="s">
        <v>2673</v>
      </c>
      <c r="N167" s="709" t="s">
        <v>1321</v>
      </c>
      <c r="O167" s="189" t="s">
        <v>751</v>
      </c>
      <c r="AB167" s="248"/>
      <c r="AC167" s="248"/>
      <c r="AD167" s="248"/>
      <c r="AE167" s="462"/>
      <c r="AF167" s="462"/>
      <c r="AG167" s="462"/>
      <c r="AH167" s="248"/>
      <c r="AI167" s="248"/>
      <c r="AJ167" s="248"/>
      <c r="AK167" s="183">
        <f t="shared" si="9"/>
        <v>0</v>
      </c>
      <c r="AL167" s="183">
        <f t="shared" si="9"/>
        <v>0</v>
      </c>
      <c r="AM167" s="183">
        <f t="shared" si="9"/>
        <v>0</v>
      </c>
      <c r="AN167" s="310"/>
      <c r="AO167" s="310"/>
      <c r="AP167" s="310"/>
      <c r="AQ167" s="698" t="s">
        <v>2616</v>
      </c>
      <c r="AR167" s="310"/>
      <c r="AS167" s="310"/>
    </row>
    <row r="168" spans="13:45" customFormat="1" ht="11.25" customHeight="1">
      <c r="M168" s="696" t="s">
        <v>2674</v>
      </c>
      <c r="N168" s="709" t="s">
        <v>2618</v>
      </c>
      <c r="O168" s="189" t="s">
        <v>751</v>
      </c>
      <c r="AB168" s="248"/>
      <c r="AC168" s="248"/>
      <c r="AD168" s="248"/>
      <c r="AE168" s="462"/>
      <c r="AF168" s="462"/>
      <c r="AG168" s="462"/>
      <c r="AH168" s="248"/>
      <c r="AI168" s="248"/>
      <c r="AJ168" s="248"/>
      <c r="AK168" s="183">
        <f t="shared" si="9"/>
        <v>0</v>
      </c>
      <c r="AL168" s="183">
        <f t="shared" si="9"/>
        <v>0</v>
      </c>
      <c r="AM168" s="183">
        <f t="shared" si="9"/>
        <v>0</v>
      </c>
      <c r="AN168" s="310"/>
      <c r="AO168" s="310"/>
      <c r="AP168" s="310"/>
      <c r="AQ168" s="698" t="s">
        <v>2619</v>
      </c>
      <c r="AR168" s="310"/>
      <c r="AS168" s="310"/>
    </row>
    <row r="169" spans="13:45" customFormat="1" ht="11.25" customHeight="1">
      <c r="M169" s="696" t="s">
        <v>2675</v>
      </c>
      <c r="N169" s="709" t="s">
        <v>2621</v>
      </c>
      <c r="O169" s="189" t="s">
        <v>751</v>
      </c>
      <c r="AB169" s="248"/>
      <c r="AC169" s="248"/>
      <c r="AD169" s="248"/>
      <c r="AE169" s="462"/>
      <c r="AF169" s="462"/>
      <c r="AG169" s="462"/>
      <c r="AH169" s="248"/>
      <c r="AI169" s="248"/>
      <c r="AJ169" s="248"/>
      <c r="AK169" s="183">
        <f t="shared" si="9"/>
        <v>0</v>
      </c>
      <c r="AL169" s="183">
        <f t="shared" si="9"/>
        <v>0</v>
      </c>
      <c r="AM169" s="183">
        <f t="shared" si="9"/>
        <v>0</v>
      </c>
      <c r="AN169" s="310"/>
      <c r="AO169" s="310"/>
      <c r="AP169" s="310"/>
      <c r="AQ169" s="698" t="s">
        <v>2622</v>
      </c>
      <c r="AR169" s="310"/>
      <c r="AS169" s="310"/>
    </row>
    <row r="170" spans="13:45" customFormat="1" ht="11.25" customHeight="1">
      <c r="M170" s="696" t="s">
        <v>2676</v>
      </c>
      <c r="N170" s="709" t="s">
        <v>1322</v>
      </c>
      <c r="O170" s="189" t="s">
        <v>751</v>
      </c>
      <c r="AB170" s="248"/>
      <c r="AC170" s="248"/>
      <c r="AD170" s="248"/>
      <c r="AE170" s="462"/>
      <c r="AF170" s="462"/>
      <c r="AG170" s="462"/>
      <c r="AH170" s="248"/>
      <c r="AI170" s="248"/>
      <c r="AJ170" s="248"/>
      <c r="AK170" s="183">
        <f t="shared" si="9"/>
        <v>0</v>
      </c>
      <c r="AL170" s="183">
        <f t="shared" si="9"/>
        <v>0</v>
      </c>
      <c r="AM170" s="183">
        <f t="shared" si="9"/>
        <v>0</v>
      </c>
      <c r="AN170" s="310"/>
      <c r="AO170" s="310"/>
      <c r="AP170" s="310"/>
      <c r="AQ170" s="698" t="s">
        <v>2624</v>
      </c>
      <c r="AR170" s="310"/>
      <c r="AS170" s="310"/>
    </row>
    <row r="171" spans="13:45" customFormat="1" ht="11.25" customHeight="1">
      <c r="M171" s="696" t="s">
        <v>2677</v>
      </c>
      <c r="N171" s="709" t="s">
        <v>2626</v>
      </c>
      <c r="O171" s="189" t="s">
        <v>751</v>
      </c>
      <c r="AB171" s="248"/>
      <c r="AC171" s="248"/>
      <c r="AD171" s="248"/>
      <c r="AE171" s="462"/>
      <c r="AF171" s="462"/>
      <c r="AG171" s="462"/>
      <c r="AH171" s="248"/>
      <c r="AI171" s="248"/>
      <c r="AJ171" s="248"/>
      <c r="AK171" s="183">
        <f t="shared" si="9"/>
        <v>0</v>
      </c>
      <c r="AL171" s="183">
        <f t="shared" si="9"/>
        <v>0</v>
      </c>
      <c r="AM171" s="183">
        <f t="shared" si="9"/>
        <v>0</v>
      </c>
      <c r="AN171" s="310"/>
      <c r="AO171" s="310"/>
      <c r="AP171" s="310"/>
      <c r="AQ171" s="698" t="s">
        <v>2627</v>
      </c>
      <c r="AR171" s="310"/>
      <c r="AS171" s="310"/>
    </row>
    <row r="172" spans="13:45" customFormat="1" ht="11.25" customHeight="1">
      <c r="M172" s="696" t="s">
        <v>2678</v>
      </c>
      <c r="N172" s="709" t="s">
        <v>1323</v>
      </c>
      <c r="O172" s="189" t="s">
        <v>751</v>
      </c>
      <c r="AB172" s="248"/>
      <c r="AC172" s="248"/>
      <c r="AD172" s="248"/>
      <c r="AE172" s="462"/>
      <c r="AF172" s="462"/>
      <c r="AG172" s="462"/>
      <c r="AH172" s="248"/>
      <c r="AI172" s="248"/>
      <c r="AJ172" s="248"/>
      <c r="AK172" s="183">
        <f t="shared" si="9"/>
        <v>0</v>
      </c>
      <c r="AL172" s="183">
        <f t="shared" si="9"/>
        <v>0</v>
      </c>
      <c r="AM172" s="183">
        <f t="shared" si="9"/>
        <v>0</v>
      </c>
      <c r="AN172" s="310"/>
      <c r="AO172" s="310"/>
      <c r="AP172" s="310"/>
      <c r="AQ172" s="698" t="s">
        <v>2629</v>
      </c>
      <c r="AR172" s="310"/>
      <c r="AS172" s="310"/>
    </row>
    <row r="173" spans="13:45" customFormat="1" ht="11.25" customHeight="1">
      <c r="M173" s="696" t="s">
        <v>2679</v>
      </c>
      <c r="N173" s="709" t="s">
        <v>1324</v>
      </c>
      <c r="O173" s="189" t="s">
        <v>751</v>
      </c>
      <c r="AB173" s="248"/>
      <c r="AC173" s="248"/>
      <c r="AD173" s="248"/>
      <c r="AE173" s="462"/>
      <c r="AF173" s="462"/>
      <c r="AG173" s="462"/>
      <c r="AH173" s="248"/>
      <c r="AI173" s="248"/>
      <c r="AJ173" s="248"/>
      <c r="AK173" s="183">
        <f t="shared" ref="AK173:AM181" si="10">IF(AK381=0,0,AK69/AK381*1000)</f>
        <v>0</v>
      </c>
      <c r="AL173" s="183">
        <f t="shared" si="10"/>
        <v>0</v>
      </c>
      <c r="AM173" s="183">
        <f t="shared" si="10"/>
        <v>0</v>
      </c>
      <c r="AN173" s="310"/>
      <c r="AO173" s="310"/>
      <c r="AP173" s="310"/>
      <c r="AQ173" s="698" t="s">
        <v>2631</v>
      </c>
      <c r="AR173" s="310"/>
      <c r="AS173" s="310"/>
    </row>
    <row r="174" spans="13:45" customFormat="1" ht="11.25" customHeight="1">
      <c r="M174" s="696" t="s">
        <v>2680</v>
      </c>
      <c r="N174" s="709" t="s">
        <v>2633</v>
      </c>
      <c r="O174" s="189" t="s">
        <v>751</v>
      </c>
      <c r="AB174" s="248"/>
      <c r="AC174" s="248"/>
      <c r="AD174" s="248"/>
      <c r="AE174" s="462"/>
      <c r="AF174" s="462"/>
      <c r="AG174" s="462"/>
      <c r="AH174" s="248"/>
      <c r="AI174" s="248"/>
      <c r="AJ174" s="248"/>
      <c r="AK174" s="183">
        <f t="shared" si="10"/>
        <v>0</v>
      </c>
      <c r="AL174" s="183">
        <f t="shared" si="10"/>
        <v>0</v>
      </c>
      <c r="AM174" s="183">
        <f t="shared" si="10"/>
        <v>0</v>
      </c>
      <c r="AN174" s="310"/>
      <c r="AO174" s="310"/>
      <c r="AP174" s="310"/>
      <c r="AQ174" s="698" t="s">
        <v>2634</v>
      </c>
      <c r="AR174" s="310"/>
      <c r="AS174" s="310"/>
    </row>
    <row r="175" spans="13:45" customFormat="1" ht="11.25" customHeight="1">
      <c r="M175" s="696" t="s">
        <v>2681</v>
      </c>
      <c r="N175" s="709" t="s">
        <v>2636</v>
      </c>
      <c r="O175" s="189" t="s">
        <v>751</v>
      </c>
      <c r="AB175" s="248"/>
      <c r="AC175" s="248"/>
      <c r="AD175" s="248"/>
      <c r="AE175" s="462"/>
      <c r="AF175" s="462"/>
      <c r="AG175" s="462"/>
      <c r="AH175" s="248"/>
      <c r="AI175" s="248"/>
      <c r="AJ175" s="248"/>
      <c r="AK175" s="183">
        <f t="shared" si="10"/>
        <v>0</v>
      </c>
      <c r="AL175" s="183">
        <f t="shared" si="10"/>
        <v>0</v>
      </c>
      <c r="AM175" s="183">
        <f t="shared" si="10"/>
        <v>0</v>
      </c>
      <c r="AN175" s="310"/>
      <c r="AO175" s="310"/>
      <c r="AP175" s="310"/>
      <c r="AQ175" s="698" t="s">
        <v>2637</v>
      </c>
      <c r="AR175" s="310"/>
      <c r="AS175" s="310"/>
    </row>
    <row r="176" spans="13:45" customFormat="1" ht="11.25" customHeight="1">
      <c r="M176" s="696" t="s">
        <v>2682</v>
      </c>
      <c r="N176" s="709" t="s">
        <v>2639</v>
      </c>
      <c r="O176" s="189" t="s">
        <v>751</v>
      </c>
      <c r="AB176" s="248"/>
      <c r="AC176" s="248"/>
      <c r="AD176" s="248"/>
      <c r="AE176" s="462"/>
      <c r="AF176" s="462"/>
      <c r="AG176" s="462"/>
      <c r="AH176" s="248"/>
      <c r="AI176" s="248"/>
      <c r="AJ176" s="248"/>
      <c r="AK176" s="183">
        <f t="shared" si="10"/>
        <v>0</v>
      </c>
      <c r="AL176" s="183">
        <f t="shared" si="10"/>
        <v>0</v>
      </c>
      <c r="AM176" s="183">
        <f t="shared" si="10"/>
        <v>0</v>
      </c>
      <c r="AN176" s="310"/>
      <c r="AO176" s="310"/>
      <c r="AP176" s="310"/>
      <c r="AQ176" s="698" t="s">
        <v>2640</v>
      </c>
      <c r="AR176" s="310"/>
      <c r="AS176" s="310"/>
    </row>
    <row r="177" spans="13:45" customFormat="1" ht="11.25" customHeight="1">
      <c r="M177" s="696" t="s">
        <v>2683</v>
      </c>
      <c r="N177" s="709" t="s">
        <v>2642</v>
      </c>
      <c r="O177" s="189" t="s">
        <v>751</v>
      </c>
      <c r="AB177" s="248"/>
      <c r="AC177" s="248"/>
      <c r="AD177" s="248"/>
      <c r="AE177" s="462"/>
      <c r="AF177" s="462"/>
      <c r="AG177" s="462"/>
      <c r="AH177" s="248"/>
      <c r="AI177" s="248"/>
      <c r="AJ177" s="248"/>
      <c r="AK177" s="183">
        <f t="shared" si="10"/>
        <v>0</v>
      </c>
      <c r="AL177" s="183">
        <f t="shared" si="10"/>
        <v>0</v>
      </c>
      <c r="AM177" s="183">
        <f t="shared" si="10"/>
        <v>0</v>
      </c>
      <c r="AN177" s="310"/>
      <c r="AO177" s="310"/>
      <c r="AP177" s="310"/>
      <c r="AQ177" s="698" t="s">
        <v>2643</v>
      </c>
      <c r="AR177" s="310"/>
      <c r="AS177" s="310"/>
    </row>
    <row r="178" spans="13:45" customFormat="1" ht="11.25" customHeight="1">
      <c r="M178" s="696" t="s">
        <v>2684</v>
      </c>
      <c r="N178" s="709" t="s">
        <v>2645</v>
      </c>
      <c r="O178" s="189" t="s">
        <v>751</v>
      </c>
      <c r="AB178" s="248"/>
      <c r="AC178" s="248"/>
      <c r="AD178" s="248"/>
      <c r="AE178" s="462"/>
      <c r="AF178" s="462"/>
      <c r="AG178" s="462"/>
      <c r="AH178" s="248"/>
      <c r="AI178" s="248"/>
      <c r="AJ178" s="248"/>
      <c r="AK178" s="183">
        <f t="shared" si="10"/>
        <v>0</v>
      </c>
      <c r="AL178" s="183">
        <f t="shared" si="10"/>
        <v>0</v>
      </c>
      <c r="AM178" s="183">
        <f t="shared" si="10"/>
        <v>0</v>
      </c>
      <c r="AN178" s="310"/>
      <c r="AO178" s="310"/>
      <c r="AP178" s="310"/>
      <c r="AQ178" s="698" t="s">
        <v>2646</v>
      </c>
      <c r="AR178" s="310"/>
      <c r="AS178" s="310"/>
    </row>
    <row r="179" spans="13:45" customFormat="1" ht="11.25" customHeight="1">
      <c r="M179" s="696" t="s">
        <v>2685</v>
      </c>
      <c r="N179" s="709" t="s">
        <v>1325</v>
      </c>
      <c r="O179" s="189" t="s">
        <v>751</v>
      </c>
      <c r="AB179" s="248"/>
      <c r="AC179" s="248"/>
      <c r="AD179" s="248"/>
      <c r="AE179" s="462"/>
      <c r="AF179" s="462"/>
      <c r="AG179" s="462"/>
      <c r="AH179" s="248"/>
      <c r="AI179" s="248"/>
      <c r="AJ179" s="248"/>
      <c r="AK179" s="183">
        <f t="shared" si="10"/>
        <v>0</v>
      </c>
      <c r="AL179" s="183">
        <f t="shared" si="10"/>
        <v>0</v>
      </c>
      <c r="AM179" s="183">
        <f t="shared" si="10"/>
        <v>0</v>
      </c>
      <c r="AN179" s="310"/>
      <c r="AO179" s="310"/>
      <c r="AP179" s="310"/>
      <c r="AQ179" s="698" t="s">
        <v>2648</v>
      </c>
      <c r="AR179" s="310"/>
      <c r="AS179" s="310"/>
    </row>
    <row r="180" spans="13:45" customFormat="1" ht="11.25" customHeight="1">
      <c r="M180" s="696" t="s">
        <v>2686</v>
      </c>
      <c r="N180" s="709" t="s">
        <v>1326</v>
      </c>
      <c r="O180" s="189" t="s">
        <v>751</v>
      </c>
      <c r="AB180" s="248"/>
      <c r="AC180" s="248"/>
      <c r="AD180" s="248"/>
      <c r="AE180" s="462"/>
      <c r="AF180" s="462"/>
      <c r="AG180" s="462"/>
      <c r="AH180" s="248"/>
      <c r="AI180" s="248"/>
      <c r="AJ180" s="248"/>
      <c r="AK180" s="183">
        <f t="shared" si="10"/>
        <v>0</v>
      </c>
      <c r="AL180" s="183">
        <f t="shared" si="10"/>
        <v>0</v>
      </c>
      <c r="AM180" s="183">
        <f t="shared" si="10"/>
        <v>0</v>
      </c>
      <c r="AN180" s="310"/>
      <c r="AO180" s="310"/>
      <c r="AP180" s="310"/>
      <c r="AQ180" s="698" t="s">
        <v>2650</v>
      </c>
      <c r="AR180" s="310"/>
      <c r="AS180" s="310"/>
    </row>
    <row r="181" spans="13:45" customFormat="1" ht="11.25" customHeight="1">
      <c r="M181" s="696" t="s">
        <v>2687</v>
      </c>
      <c r="N181" s="709" t="s">
        <v>2652</v>
      </c>
      <c r="O181" s="189" t="s">
        <v>751</v>
      </c>
      <c r="AB181" s="248"/>
      <c r="AC181" s="248"/>
      <c r="AD181" s="248"/>
      <c r="AE181" s="462"/>
      <c r="AF181" s="462"/>
      <c r="AG181" s="462"/>
      <c r="AH181" s="248"/>
      <c r="AI181" s="248"/>
      <c r="AJ181" s="248"/>
      <c r="AK181" s="183">
        <f t="shared" si="10"/>
        <v>0</v>
      </c>
      <c r="AL181" s="183">
        <f t="shared" si="10"/>
        <v>0</v>
      </c>
      <c r="AM181" s="183">
        <f t="shared" si="10"/>
        <v>0</v>
      </c>
      <c r="AN181" s="310"/>
      <c r="AO181" s="310"/>
      <c r="AP181" s="310"/>
      <c r="AQ181" s="698" t="s">
        <v>2653</v>
      </c>
      <c r="AR181" s="310"/>
      <c r="AS181" s="310"/>
    </row>
    <row r="182" spans="13:45" customFormat="1" ht="11.25" customHeight="1">
      <c r="M182" s="696" t="s">
        <v>1456</v>
      </c>
      <c r="N182" s="710" t="s">
        <v>1364</v>
      </c>
      <c r="O182" s="189" t="s">
        <v>313</v>
      </c>
      <c r="AB182" s="248"/>
      <c r="AC182" s="248"/>
      <c r="AD182" s="248"/>
      <c r="AE182" s="462"/>
      <c r="AF182" s="462"/>
      <c r="AG182" s="462"/>
      <c r="AH182" s="248"/>
      <c r="AI182" s="248"/>
      <c r="AJ182" s="248"/>
      <c r="AK182" s="468">
        <f t="shared" ref="AK182:AM183" si="11">IF(AK1068=0,0,AK78/AK1068)</f>
        <v>0</v>
      </c>
      <c r="AL182" s="468">
        <f t="shared" si="11"/>
        <v>0</v>
      </c>
      <c r="AM182" s="468">
        <f t="shared" si="11"/>
        <v>0</v>
      </c>
      <c r="AN182" s="310"/>
      <c r="AO182" s="310"/>
      <c r="AP182" s="310"/>
      <c r="AQ182" s="698" t="s">
        <v>1366</v>
      </c>
      <c r="AR182" s="310"/>
      <c r="AS182" s="310"/>
    </row>
    <row r="183" spans="13:45" customFormat="1" ht="11.25" customHeight="1">
      <c r="M183" s="696" t="s">
        <v>1457</v>
      </c>
      <c r="N183" s="710" t="s">
        <v>1365</v>
      </c>
      <c r="O183" s="189" t="s">
        <v>314</v>
      </c>
      <c r="AB183" s="248"/>
      <c r="AC183" s="248"/>
      <c r="AD183" s="248"/>
      <c r="AE183" s="462"/>
      <c r="AF183" s="462"/>
      <c r="AG183" s="462"/>
      <c r="AH183" s="248"/>
      <c r="AI183" s="248"/>
      <c r="AJ183" s="248"/>
      <c r="AK183" s="468">
        <f t="shared" si="11"/>
        <v>0</v>
      </c>
      <c r="AL183" s="468">
        <f t="shared" si="11"/>
        <v>0</v>
      </c>
      <c r="AM183" s="468">
        <f t="shared" si="11"/>
        <v>0</v>
      </c>
      <c r="AN183" s="310"/>
      <c r="AO183" s="310"/>
      <c r="AP183" s="310"/>
      <c r="AQ183" s="698" t="s">
        <v>1367</v>
      </c>
      <c r="AR183" s="310"/>
      <c r="AS183" s="310"/>
    </row>
    <row r="184" spans="13:45" customFormat="1" ht="11.25" customHeight="1">
      <c r="M184" s="696" t="s">
        <v>1458</v>
      </c>
      <c r="N184" s="719" t="s">
        <v>1327</v>
      </c>
      <c r="O184" s="189" t="s">
        <v>751</v>
      </c>
      <c r="AB184" s="248"/>
      <c r="AC184" s="248"/>
      <c r="AD184" s="248"/>
      <c r="AE184" s="462"/>
      <c r="AF184" s="462"/>
      <c r="AG184" s="462"/>
      <c r="AH184" s="248"/>
      <c r="AI184" s="248"/>
      <c r="AJ184" s="248"/>
      <c r="AK184" s="183">
        <f t="shared" ref="AK184:AM190" si="12">IF(AK392=0,0,AK80/AK392*1000)</f>
        <v>0</v>
      </c>
      <c r="AL184" s="183">
        <f t="shared" si="12"/>
        <v>0</v>
      </c>
      <c r="AM184" s="183">
        <f t="shared" si="12"/>
        <v>0</v>
      </c>
      <c r="AN184" s="310"/>
      <c r="AO184" s="310"/>
      <c r="AP184" s="310"/>
      <c r="AQ184" s="698" t="s">
        <v>1357</v>
      </c>
      <c r="AR184" s="310"/>
      <c r="AS184" s="310"/>
    </row>
    <row r="185" spans="13:45" customFormat="1" ht="11.25" customHeight="1">
      <c r="M185" s="696" t="s">
        <v>1459</v>
      </c>
      <c r="N185" s="712" t="s">
        <v>723</v>
      </c>
      <c r="O185" s="189" t="s">
        <v>751</v>
      </c>
      <c r="AB185" s="248"/>
      <c r="AC185" s="248"/>
      <c r="AD185" s="248"/>
      <c r="AE185" s="462"/>
      <c r="AF185" s="462"/>
      <c r="AG185" s="462"/>
      <c r="AH185" s="248"/>
      <c r="AI185" s="248"/>
      <c r="AJ185" s="248"/>
      <c r="AK185" s="183">
        <f t="shared" si="12"/>
        <v>0</v>
      </c>
      <c r="AL185" s="183">
        <f t="shared" si="12"/>
        <v>0</v>
      </c>
      <c r="AM185" s="183">
        <f t="shared" si="12"/>
        <v>0</v>
      </c>
      <c r="AN185" s="310"/>
      <c r="AO185" s="310"/>
      <c r="AP185" s="310"/>
      <c r="AQ185" s="698" t="s">
        <v>1350</v>
      </c>
      <c r="AR185" s="310"/>
      <c r="AS185" s="310"/>
    </row>
    <row r="186" spans="13:45" customFormat="1" ht="11.25" customHeight="1">
      <c r="M186" s="696" t="s">
        <v>1460</v>
      </c>
      <c r="N186" s="713" t="s">
        <v>748</v>
      </c>
      <c r="O186" s="189" t="s">
        <v>751</v>
      </c>
      <c r="AB186" s="248"/>
      <c r="AC186" s="248"/>
      <c r="AD186" s="248"/>
      <c r="AE186" s="462"/>
      <c r="AF186" s="462"/>
      <c r="AG186" s="462"/>
      <c r="AH186" s="248"/>
      <c r="AI186" s="248"/>
      <c r="AJ186" s="248"/>
      <c r="AK186" s="183">
        <f t="shared" si="12"/>
        <v>0</v>
      </c>
      <c r="AL186" s="183">
        <f t="shared" si="12"/>
        <v>0</v>
      </c>
      <c r="AM186" s="183">
        <f t="shared" si="12"/>
        <v>0</v>
      </c>
      <c r="AN186" s="310"/>
      <c r="AO186" s="310"/>
      <c r="AP186" s="310"/>
      <c r="AQ186" s="698" t="s">
        <v>1351</v>
      </c>
      <c r="AR186" s="310"/>
      <c r="AS186" s="310"/>
    </row>
    <row r="187" spans="13:45" customFormat="1" ht="11.25" customHeight="1">
      <c r="M187" s="696" t="s">
        <v>1461</v>
      </c>
      <c r="N187" s="714" t="s">
        <v>315</v>
      </c>
      <c r="O187" s="189" t="s">
        <v>751</v>
      </c>
      <c r="AB187" s="248"/>
      <c r="AC187" s="248"/>
      <c r="AD187" s="248"/>
      <c r="AE187" s="462"/>
      <c r="AF187" s="462"/>
      <c r="AG187" s="462"/>
      <c r="AH187" s="248"/>
      <c r="AI187" s="248"/>
      <c r="AJ187" s="248"/>
      <c r="AK187" s="183">
        <f t="shared" si="12"/>
        <v>0</v>
      </c>
      <c r="AL187" s="183">
        <f t="shared" si="12"/>
        <v>0</v>
      </c>
      <c r="AM187" s="183">
        <f t="shared" si="12"/>
        <v>0</v>
      </c>
      <c r="AN187" s="310"/>
      <c r="AO187" s="310"/>
      <c r="AP187" s="310"/>
      <c r="AQ187" s="698" t="s">
        <v>1352</v>
      </c>
      <c r="AR187" s="310"/>
      <c r="AS187" s="310"/>
    </row>
    <row r="188" spans="13:45" customFormat="1" ht="11.25" customHeight="1">
      <c r="M188" s="696" t="s">
        <v>1462</v>
      </c>
      <c r="N188" s="715" t="s">
        <v>316</v>
      </c>
      <c r="O188" s="189" t="s">
        <v>751</v>
      </c>
      <c r="AB188" s="248"/>
      <c r="AC188" s="248"/>
      <c r="AD188" s="248"/>
      <c r="AE188" s="462"/>
      <c r="AF188" s="462"/>
      <c r="AG188" s="462"/>
      <c r="AH188" s="248"/>
      <c r="AI188" s="248"/>
      <c r="AJ188" s="248"/>
      <c r="AK188" s="183">
        <f t="shared" si="12"/>
        <v>0</v>
      </c>
      <c r="AL188" s="183">
        <f t="shared" si="12"/>
        <v>0</v>
      </c>
      <c r="AM188" s="183">
        <f t="shared" si="12"/>
        <v>0</v>
      </c>
      <c r="AN188" s="310"/>
      <c r="AO188" s="310"/>
      <c r="AP188" s="310"/>
      <c r="AQ188" s="698" t="s">
        <v>1354</v>
      </c>
      <c r="AR188" s="310"/>
      <c r="AS188" s="310"/>
    </row>
    <row r="189" spans="13:45" customFormat="1" ht="11.25" customHeight="1">
      <c r="M189" s="696" t="s">
        <v>1463</v>
      </c>
      <c r="N189" s="716" t="s">
        <v>317</v>
      </c>
      <c r="O189" s="189" t="s">
        <v>751</v>
      </c>
      <c r="AB189" s="248"/>
      <c r="AC189" s="248"/>
      <c r="AD189" s="248"/>
      <c r="AE189" s="462"/>
      <c r="AF189" s="462"/>
      <c r="AG189" s="462"/>
      <c r="AH189" s="248"/>
      <c r="AI189" s="248"/>
      <c r="AJ189" s="248"/>
      <c r="AK189" s="183">
        <f t="shared" si="12"/>
        <v>0</v>
      </c>
      <c r="AL189" s="183">
        <f t="shared" si="12"/>
        <v>0</v>
      </c>
      <c r="AM189" s="183">
        <f t="shared" si="12"/>
        <v>0</v>
      </c>
      <c r="AN189" s="310"/>
      <c r="AO189" s="310"/>
      <c r="AP189" s="310"/>
      <c r="AQ189" s="698" t="s">
        <v>1353</v>
      </c>
      <c r="AR189" s="310"/>
      <c r="AS189" s="310"/>
    </row>
    <row r="190" spans="13:45" customFormat="1" ht="11.25" customHeight="1">
      <c r="M190" s="696" t="s">
        <v>1464</v>
      </c>
      <c r="N190" s="701" t="s">
        <v>318</v>
      </c>
      <c r="O190" s="189" t="s">
        <v>751</v>
      </c>
      <c r="AB190" s="248"/>
      <c r="AC190" s="248"/>
      <c r="AD190" s="248"/>
      <c r="AE190" s="462"/>
      <c r="AF190" s="462"/>
      <c r="AG190" s="462"/>
      <c r="AH190" s="248"/>
      <c r="AI190" s="248"/>
      <c r="AJ190" s="248"/>
      <c r="AK190" s="183">
        <f t="shared" si="12"/>
        <v>0</v>
      </c>
      <c r="AL190" s="183">
        <f t="shared" si="12"/>
        <v>0</v>
      </c>
      <c r="AM190" s="183">
        <f t="shared" si="12"/>
        <v>0</v>
      </c>
      <c r="AN190" s="310"/>
      <c r="AO190" s="310"/>
      <c r="AP190" s="310"/>
      <c r="AQ190" s="698" t="s">
        <v>1355</v>
      </c>
      <c r="AR190" s="310"/>
      <c r="AS190" s="310"/>
    </row>
    <row r="191" spans="13:45" customFormat="1" ht="11.25" customHeight="1">
      <c r="M191" s="718"/>
      <c r="N191" s="460"/>
      <c r="O191" s="461"/>
      <c r="AB191" s="248"/>
      <c r="AC191" s="248"/>
      <c r="AD191" s="248"/>
      <c r="AE191" s="462"/>
      <c r="AF191" s="462"/>
      <c r="AG191" s="462"/>
      <c r="AH191" s="248"/>
      <c r="AI191" s="248"/>
      <c r="AJ191" s="248"/>
      <c r="AK191" s="266"/>
      <c r="AL191" s="266"/>
      <c r="AM191" s="266"/>
      <c r="AN191" s="310"/>
      <c r="AO191" s="310"/>
      <c r="AP191" s="310"/>
      <c r="AQ191" s="698"/>
      <c r="AR191" s="310"/>
      <c r="AS191" s="310"/>
    </row>
    <row r="192" spans="13:45" customFormat="1" ht="11.25" customHeight="1">
      <c r="M192" s="490" t="s">
        <v>1363</v>
      </c>
      <c r="N192" s="463" t="s">
        <v>752</v>
      </c>
      <c r="O192" s="189" t="s">
        <v>753</v>
      </c>
      <c r="AB192" s="248"/>
      <c r="AC192" s="248"/>
      <c r="AD192" s="248"/>
      <c r="AE192" s="263">
        <f>SUM(AE193,AE197:AE202,AE203,AE208,AE215,AE216,AE236:AE242)</f>
        <v>0</v>
      </c>
      <c r="AF192" s="263">
        <f>SUM(AF193,AF197:AF202,AF203,AF208,AF215,AF216,AF236:AF242)</f>
        <v>0</v>
      </c>
      <c r="AG192" s="263">
        <f>SUM(AG193,AG197:AG202,AG203,AG208,AG215,AG216,AG236:AG242)</f>
        <v>0</v>
      </c>
      <c r="AH192" s="248"/>
      <c r="AI192" s="248"/>
      <c r="AJ192" s="248"/>
      <c r="AK192" s="263">
        <f>SUM(AK193,AK197:AK202,AK203,AK208,AK215,AK216,AK236:AK242)</f>
        <v>0</v>
      </c>
      <c r="AL192" s="263">
        <f>SUM(AL193,AL197:AL202,AL203,AL208,AL215,AL216,AL236:AL242)</f>
        <v>0</v>
      </c>
      <c r="AM192" s="263">
        <f>SUM(AM193,AM197:AM202,AM203,AM208,AM215,AM216,AM236:AM242)</f>
        <v>0</v>
      </c>
      <c r="AN192" s="310"/>
      <c r="AO192" s="310"/>
      <c r="AP192" s="310"/>
      <c r="AQ192" s="36"/>
      <c r="AR192" s="310"/>
      <c r="AS192" s="310"/>
    </row>
    <row r="193" spans="13:45" customFormat="1" ht="11.25" customHeight="1">
      <c r="M193" s="696" t="s">
        <v>1465</v>
      </c>
      <c r="N193" s="697" t="s">
        <v>1304</v>
      </c>
      <c r="O193" s="189" t="s">
        <v>753</v>
      </c>
      <c r="AB193" s="248"/>
      <c r="AC193" s="248"/>
      <c r="AD193" s="248"/>
      <c r="AE193" s="462"/>
      <c r="AF193" s="462"/>
      <c r="AG193" s="462"/>
      <c r="AH193" s="248"/>
      <c r="AI193" s="248"/>
      <c r="AJ193" s="248"/>
      <c r="AK193" s="183">
        <f t="shared" ref="AK193:AK233" si="13">AL193+AM193</f>
        <v>0</v>
      </c>
      <c r="AL193" s="183">
        <f>SUM(AL194:AL196)</f>
        <v>0</v>
      </c>
      <c r="AM193" s="183">
        <f>SUM(AM194:AM196)</f>
        <v>0</v>
      </c>
      <c r="AN193" s="310"/>
      <c r="AO193" s="310"/>
      <c r="AP193" s="310"/>
      <c r="AQ193" s="698" t="s">
        <v>1328</v>
      </c>
      <c r="AR193" s="310"/>
      <c r="AS193" s="310"/>
    </row>
    <row r="194" spans="13:45" customFormat="1" ht="11.25" customHeight="1">
      <c r="M194" s="696" t="s">
        <v>1466</v>
      </c>
      <c r="N194" s="699" t="s">
        <v>713</v>
      </c>
      <c r="O194" s="189" t="s">
        <v>753</v>
      </c>
      <c r="AB194" s="248"/>
      <c r="AC194" s="248"/>
      <c r="AD194" s="248"/>
      <c r="AE194" s="462"/>
      <c r="AF194" s="462"/>
      <c r="AG194" s="462"/>
      <c r="AH194" s="248"/>
      <c r="AI194" s="248"/>
      <c r="AJ194" s="248"/>
      <c r="AK194" s="183">
        <f t="shared" si="13"/>
        <v>0</v>
      </c>
      <c r="AL194" s="183">
        <f t="shared" ref="AL194:AM202" si="14">AL298*AL350</f>
        <v>0</v>
      </c>
      <c r="AM194" s="183">
        <f t="shared" si="14"/>
        <v>0</v>
      </c>
      <c r="AN194" s="310"/>
      <c r="AO194" s="310"/>
      <c r="AP194" s="310"/>
      <c r="AQ194" s="698" t="s">
        <v>1329</v>
      </c>
      <c r="AR194" s="310"/>
      <c r="AS194" s="310"/>
    </row>
    <row r="195" spans="13:45" customFormat="1" ht="11.25" customHeight="1">
      <c r="M195" s="696" t="s">
        <v>1467</v>
      </c>
      <c r="N195" s="699" t="s">
        <v>715</v>
      </c>
      <c r="O195" s="189" t="s">
        <v>753</v>
      </c>
      <c r="AB195" s="248"/>
      <c r="AC195" s="248"/>
      <c r="AD195" s="248"/>
      <c r="AE195" s="462"/>
      <c r="AF195" s="462"/>
      <c r="AG195" s="462"/>
      <c r="AH195" s="248"/>
      <c r="AI195" s="248"/>
      <c r="AJ195" s="248"/>
      <c r="AK195" s="183">
        <f t="shared" si="13"/>
        <v>0</v>
      </c>
      <c r="AL195" s="183">
        <f t="shared" si="14"/>
        <v>0</v>
      </c>
      <c r="AM195" s="183">
        <f t="shared" si="14"/>
        <v>0</v>
      </c>
      <c r="AN195" s="310"/>
      <c r="AO195" s="310"/>
      <c r="AP195" s="310"/>
      <c r="AQ195" s="698" t="s">
        <v>1330</v>
      </c>
      <c r="AR195" s="310"/>
      <c r="AS195" s="310"/>
    </row>
    <row r="196" spans="13:45" customFormat="1" ht="11.25" customHeight="1">
      <c r="M196" s="696" t="s">
        <v>1468</v>
      </c>
      <c r="N196" s="699" t="s">
        <v>716</v>
      </c>
      <c r="O196" s="189" t="s">
        <v>753</v>
      </c>
      <c r="AB196" s="248"/>
      <c r="AC196" s="248"/>
      <c r="AD196" s="248"/>
      <c r="AE196" s="462"/>
      <c r="AF196" s="462"/>
      <c r="AG196" s="462"/>
      <c r="AH196" s="248"/>
      <c r="AI196" s="248"/>
      <c r="AJ196" s="248"/>
      <c r="AK196" s="183">
        <f t="shared" si="13"/>
        <v>0</v>
      </c>
      <c r="AL196" s="183">
        <f t="shared" si="14"/>
        <v>0</v>
      </c>
      <c r="AM196" s="183">
        <f t="shared" si="14"/>
        <v>0</v>
      </c>
      <c r="AN196" s="310"/>
      <c r="AO196" s="310"/>
      <c r="AP196" s="310"/>
      <c r="AQ196" s="698" t="s">
        <v>1331</v>
      </c>
      <c r="AR196" s="310"/>
      <c r="AS196" s="310"/>
    </row>
    <row r="197" spans="13:45" customFormat="1" ht="11.25" customHeight="1">
      <c r="M197" s="696" t="s">
        <v>1469</v>
      </c>
      <c r="N197" s="700" t="s">
        <v>1305</v>
      </c>
      <c r="O197" s="189" t="s">
        <v>753</v>
      </c>
      <c r="AB197" s="248"/>
      <c r="AC197" s="248"/>
      <c r="AD197" s="248"/>
      <c r="AE197" s="462"/>
      <c r="AF197" s="462"/>
      <c r="AG197" s="462"/>
      <c r="AH197" s="248"/>
      <c r="AI197" s="248"/>
      <c r="AJ197" s="248"/>
      <c r="AK197" s="183">
        <f t="shared" si="13"/>
        <v>0</v>
      </c>
      <c r="AL197" s="183">
        <f t="shared" si="14"/>
        <v>0</v>
      </c>
      <c r="AM197" s="183">
        <f t="shared" si="14"/>
        <v>0</v>
      </c>
      <c r="AN197" s="310"/>
      <c r="AO197" s="310"/>
      <c r="AP197" s="310"/>
      <c r="AQ197" s="698" t="s">
        <v>1340</v>
      </c>
      <c r="AR197" s="310"/>
      <c r="AS197" s="310"/>
    </row>
    <row r="198" spans="13:45" customFormat="1" ht="11.25" customHeight="1">
      <c r="M198" s="696" t="s">
        <v>1470</v>
      </c>
      <c r="N198" s="700" t="s">
        <v>1306</v>
      </c>
      <c r="O198" s="189" t="s">
        <v>753</v>
      </c>
      <c r="AB198" s="248"/>
      <c r="AC198" s="248"/>
      <c r="AD198" s="248"/>
      <c r="AE198" s="462"/>
      <c r="AF198" s="462"/>
      <c r="AG198" s="462"/>
      <c r="AH198" s="248"/>
      <c r="AI198" s="248"/>
      <c r="AJ198" s="248"/>
      <c r="AK198" s="183">
        <f t="shared" si="13"/>
        <v>0</v>
      </c>
      <c r="AL198" s="183">
        <f t="shared" si="14"/>
        <v>0</v>
      </c>
      <c r="AM198" s="183">
        <f t="shared" si="14"/>
        <v>0</v>
      </c>
      <c r="AN198" s="310"/>
      <c r="AO198" s="310"/>
      <c r="AP198" s="310"/>
      <c r="AQ198" s="698" t="s">
        <v>1341</v>
      </c>
      <c r="AR198" s="310"/>
      <c r="AS198" s="310"/>
    </row>
    <row r="199" spans="13:45" customFormat="1" ht="11.25" customHeight="1">
      <c r="M199" s="696" t="s">
        <v>1471</v>
      </c>
      <c r="N199" s="700" t="s">
        <v>1307</v>
      </c>
      <c r="O199" s="189" t="s">
        <v>753</v>
      </c>
      <c r="AB199" s="248"/>
      <c r="AC199" s="248"/>
      <c r="AD199" s="248"/>
      <c r="AE199" s="462"/>
      <c r="AF199" s="462"/>
      <c r="AG199" s="462"/>
      <c r="AH199" s="248"/>
      <c r="AI199" s="248"/>
      <c r="AJ199" s="248"/>
      <c r="AK199" s="183">
        <f t="shared" si="13"/>
        <v>0</v>
      </c>
      <c r="AL199" s="183">
        <f t="shared" si="14"/>
        <v>0</v>
      </c>
      <c r="AM199" s="183">
        <f t="shared" si="14"/>
        <v>0</v>
      </c>
      <c r="AN199" s="310"/>
      <c r="AO199" s="310"/>
      <c r="AP199" s="310"/>
      <c r="AQ199" s="698" t="s">
        <v>1342</v>
      </c>
      <c r="AR199" s="310"/>
      <c r="AS199" s="310"/>
    </row>
    <row r="200" spans="13:45" customFormat="1" ht="11.25" customHeight="1">
      <c r="M200" s="696" t="s">
        <v>1472</v>
      </c>
      <c r="N200" s="700" t="s">
        <v>1308</v>
      </c>
      <c r="O200" s="189" t="s">
        <v>753</v>
      </c>
      <c r="AB200" s="248"/>
      <c r="AC200" s="248"/>
      <c r="AD200" s="248"/>
      <c r="AE200" s="462"/>
      <c r="AF200" s="462"/>
      <c r="AG200" s="462"/>
      <c r="AH200" s="248"/>
      <c r="AI200" s="248"/>
      <c r="AJ200" s="248"/>
      <c r="AK200" s="183">
        <f t="shared" si="13"/>
        <v>0</v>
      </c>
      <c r="AL200" s="183">
        <f t="shared" si="14"/>
        <v>0</v>
      </c>
      <c r="AM200" s="183">
        <f t="shared" si="14"/>
        <v>0</v>
      </c>
      <c r="AN200" s="310"/>
      <c r="AO200" s="310"/>
      <c r="AP200" s="310"/>
      <c r="AQ200" s="698" t="s">
        <v>1339</v>
      </c>
      <c r="AR200" s="310"/>
      <c r="AS200" s="310"/>
    </row>
    <row r="201" spans="13:45" customFormat="1" ht="11.25" customHeight="1">
      <c r="M201" s="696" t="s">
        <v>1473</v>
      </c>
      <c r="N201" s="701" t="s">
        <v>684</v>
      </c>
      <c r="O201" s="189" t="s">
        <v>753</v>
      </c>
      <c r="AB201" s="248"/>
      <c r="AC201" s="248"/>
      <c r="AD201" s="248"/>
      <c r="AE201" s="462"/>
      <c r="AF201" s="462"/>
      <c r="AG201" s="462"/>
      <c r="AH201" s="248"/>
      <c r="AI201" s="248"/>
      <c r="AJ201" s="248"/>
      <c r="AK201" s="183">
        <f t="shared" si="13"/>
        <v>0</v>
      </c>
      <c r="AL201" s="183">
        <f t="shared" si="14"/>
        <v>0</v>
      </c>
      <c r="AM201" s="183">
        <f t="shared" si="14"/>
        <v>0</v>
      </c>
      <c r="AN201" s="310"/>
      <c r="AO201" s="310"/>
      <c r="AP201" s="310"/>
      <c r="AQ201" s="698" t="s">
        <v>1332</v>
      </c>
      <c r="AR201" s="310"/>
      <c r="AS201" s="310"/>
    </row>
    <row r="202" spans="13:45" customFormat="1" ht="11.25" customHeight="1">
      <c r="M202" s="696" t="s">
        <v>1474</v>
      </c>
      <c r="N202" s="702" t="s">
        <v>718</v>
      </c>
      <c r="O202" s="189" t="s">
        <v>753</v>
      </c>
      <c r="AB202" s="248"/>
      <c r="AC202" s="248"/>
      <c r="AD202" s="248"/>
      <c r="AE202" s="462"/>
      <c r="AF202" s="462"/>
      <c r="AG202" s="462"/>
      <c r="AH202" s="248"/>
      <c r="AI202" s="248"/>
      <c r="AJ202" s="248"/>
      <c r="AK202" s="183">
        <f t="shared" si="13"/>
        <v>0</v>
      </c>
      <c r="AL202" s="183">
        <f t="shared" si="14"/>
        <v>0</v>
      </c>
      <c r="AM202" s="183">
        <f t="shared" si="14"/>
        <v>0</v>
      </c>
      <c r="AN202" s="310"/>
      <c r="AO202" s="310"/>
      <c r="AP202" s="310"/>
      <c r="AQ202" s="698" t="s">
        <v>1333</v>
      </c>
      <c r="AR202" s="310"/>
      <c r="AS202" s="310"/>
    </row>
    <row r="203" spans="13:45" customFormat="1" ht="11.25" customHeight="1">
      <c r="M203" s="696" t="s">
        <v>1475</v>
      </c>
      <c r="N203" s="703" t="s">
        <v>722</v>
      </c>
      <c r="O203" s="189" t="s">
        <v>753</v>
      </c>
      <c r="AB203" s="248"/>
      <c r="AC203" s="248"/>
      <c r="AD203" s="248"/>
      <c r="AE203" s="462"/>
      <c r="AF203" s="462"/>
      <c r="AG203" s="462"/>
      <c r="AH203" s="248"/>
      <c r="AI203" s="248"/>
      <c r="AJ203" s="248"/>
      <c r="AK203" s="183">
        <f t="shared" si="13"/>
        <v>0</v>
      </c>
      <c r="AL203" s="183">
        <f>SUM(AL204:AL207)</f>
        <v>0</v>
      </c>
      <c r="AM203" s="183">
        <f>SUM(AM204:AM207)</f>
        <v>0</v>
      </c>
      <c r="AN203" s="310"/>
      <c r="AO203" s="310"/>
      <c r="AP203" s="310"/>
      <c r="AQ203" s="698" t="s">
        <v>1334</v>
      </c>
      <c r="AR203" s="310"/>
      <c r="AS203" s="310"/>
    </row>
    <row r="204" spans="13:45" customFormat="1" ht="11.25" customHeight="1">
      <c r="M204" s="696" t="s">
        <v>1476</v>
      </c>
      <c r="N204" s="704" t="s">
        <v>1309</v>
      </c>
      <c r="O204" s="189" t="s">
        <v>753</v>
      </c>
      <c r="AB204" s="248"/>
      <c r="AC204" s="248"/>
      <c r="AD204" s="248"/>
      <c r="AE204" s="462"/>
      <c r="AF204" s="462"/>
      <c r="AG204" s="462"/>
      <c r="AH204" s="248"/>
      <c r="AI204" s="248"/>
      <c r="AJ204" s="248"/>
      <c r="AK204" s="183">
        <f t="shared" si="13"/>
        <v>0</v>
      </c>
      <c r="AL204" s="183">
        <f t="shared" ref="AL204:AM207" si="15">AL308*AL360</f>
        <v>0</v>
      </c>
      <c r="AM204" s="183">
        <f t="shared" si="15"/>
        <v>0</v>
      </c>
      <c r="AN204" s="310"/>
      <c r="AO204" s="310"/>
      <c r="AP204" s="310"/>
      <c r="AQ204" s="698" t="s">
        <v>1335</v>
      </c>
      <c r="AR204" s="310"/>
      <c r="AS204" s="310"/>
    </row>
    <row r="205" spans="13:45" customFormat="1" ht="11.25" customHeight="1">
      <c r="M205" s="696" t="s">
        <v>1477</v>
      </c>
      <c r="N205" s="704" t="s">
        <v>1310</v>
      </c>
      <c r="O205" s="189" t="s">
        <v>753</v>
      </c>
      <c r="AB205" s="248"/>
      <c r="AC205" s="248"/>
      <c r="AD205" s="248"/>
      <c r="AE205" s="462"/>
      <c r="AF205" s="462"/>
      <c r="AG205" s="462"/>
      <c r="AH205" s="248"/>
      <c r="AI205" s="248"/>
      <c r="AJ205" s="248"/>
      <c r="AK205" s="183">
        <f t="shared" si="13"/>
        <v>0</v>
      </c>
      <c r="AL205" s="183">
        <f t="shared" si="15"/>
        <v>0</v>
      </c>
      <c r="AM205" s="183">
        <f t="shared" si="15"/>
        <v>0</v>
      </c>
      <c r="AN205" s="310"/>
      <c r="AO205" s="310"/>
      <c r="AP205" s="310"/>
      <c r="AQ205" s="698" t="s">
        <v>1336</v>
      </c>
      <c r="AR205" s="310"/>
      <c r="AS205" s="310"/>
    </row>
    <row r="206" spans="13:45" customFormat="1" ht="11.25" customHeight="1">
      <c r="M206" s="696" t="s">
        <v>1478</v>
      </c>
      <c r="N206" s="704" t="s">
        <v>1311</v>
      </c>
      <c r="O206" s="189" t="s">
        <v>753</v>
      </c>
      <c r="AB206" s="248"/>
      <c r="AC206" s="248"/>
      <c r="AD206" s="248"/>
      <c r="AE206" s="462"/>
      <c r="AF206" s="462"/>
      <c r="AG206" s="462"/>
      <c r="AH206" s="248"/>
      <c r="AI206" s="248"/>
      <c r="AJ206" s="248"/>
      <c r="AK206" s="183">
        <f t="shared" si="13"/>
        <v>0</v>
      </c>
      <c r="AL206" s="183">
        <f t="shared" si="15"/>
        <v>0</v>
      </c>
      <c r="AM206" s="183">
        <f t="shared" si="15"/>
        <v>0</v>
      </c>
      <c r="AN206" s="310"/>
      <c r="AO206" s="310"/>
      <c r="AP206" s="310"/>
      <c r="AQ206" s="698" t="s">
        <v>1337</v>
      </c>
      <c r="AR206" s="310"/>
      <c r="AS206" s="310"/>
    </row>
    <row r="207" spans="13:45" customFormat="1" ht="11.25" customHeight="1">
      <c r="M207" s="696" t="s">
        <v>1479</v>
      </c>
      <c r="N207" s="704" t="s">
        <v>1312</v>
      </c>
      <c r="O207" s="189" t="s">
        <v>753</v>
      </c>
      <c r="AB207" s="248"/>
      <c r="AC207" s="248"/>
      <c r="AD207" s="248"/>
      <c r="AE207" s="462"/>
      <c r="AF207" s="462"/>
      <c r="AG207" s="462"/>
      <c r="AH207" s="248"/>
      <c r="AI207" s="248"/>
      <c r="AJ207" s="248"/>
      <c r="AK207" s="183">
        <f t="shared" si="13"/>
        <v>0</v>
      </c>
      <c r="AL207" s="183">
        <f t="shared" si="15"/>
        <v>0</v>
      </c>
      <c r="AM207" s="183">
        <f t="shared" si="15"/>
        <v>0</v>
      </c>
      <c r="AN207" s="310"/>
      <c r="AO207" s="310"/>
      <c r="AP207" s="310"/>
      <c r="AQ207" s="698" t="s">
        <v>1338</v>
      </c>
      <c r="AR207" s="310"/>
      <c r="AS207" s="310"/>
    </row>
    <row r="208" spans="13:45" customFormat="1" ht="11.25" customHeight="1">
      <c r="M208" s="696" t="s">
        <v>1480</v>
      </c>
      <c r="N208" s="705" t="s">
        <v>720</v>
      </c>
      <c r="O208" s="189" t="s">
        <v>753</v>
      </c>
      <c r="AB208" s="248"/>
      <c r="AC208" s="248"/>
      <c r="AD208" s="248"/>
      <c r="AE208" s="462"/>
      <c r="AF208" s="462"/>
      <c r="AG208" s="462"/>
      <c r="AH208" s="248"/>
      <c r="AI208" s="248"/>
      <c r="AJ208" s="248"/>
      <c r="AK208" s="183">
        <f t="shared" si="13"/>
        <v>0</v>
      </c>
      <c r="AL208" s="183">
        <f>SUM(AL209:AL214)</f>
        <v>0</v>
      </c>
      <c r="AM208" s="183">
        <f>SUM(AM209:AM214)</f>
        <v>0</v>
      </c>
      <c r="AN208" s="310"/>
      <c r="AO208" s="310"/>
      <c r="AP208" s="310"/>
      <c r="AQ208" s="698" t="s">
        <v>1343</v>
      </c>
      <c r="AR208" s="310"/>
      <c r="AS208" s="310"/>
    </row>
    <row r="209" spans="13:45" customFormat="1" ht="11.25" customHeight="1">
      <c r="M209" s="696" t="s">
        <v>1869</v>
      </c>
      <c r="N209" s="706" t="s">
        <v>1313</v>
      </c>
      <c r="O209" s="189" t="s">
        <v>753</v>
      </c>
      <c r="AB209" s="248"/>
      <c r="AC209" s="248"/>
      <c r="AD209" s="248"/>
      <c r="AE209" s="462"/>
      <c r="AF209" s="462"/>
      <c r="AG209" s="462"/>
      <c r="AH209" s="248"/>
      <c r="AI209" s="248"/>
      <c r="AJ209" s="248"/>
      <c r="AK209" s="183">
        <f t="shared" si="13"/>
        <v>0</v>
      </c>
      <c r="AL209" s="183">
        <f t="shared" ref="AL209:AM215" si="16">AL313*AL365</f>
        <v>0</v>
      </c>
      <c r="AM209" s="183">
        <f t="shared" si="16"/>
        <v>0</v>
      </c>
      <c r="AN209" s="310"/>
      <c r="AO209" s="310"/>
      <c r="AP209" s="310"/>
      <c r="AQ209" s="698" t="s">
        <v>1866</v>
      </c>
      <c r="AR209" s="310"/>
      <c r="AS209" s="310"/>
    </row>
    <row r="210" spans="13:45" customFormat="1" ht="11.25" customHeight="1">
      <c r="M210" s="696" t="s">
        <v>1850</v>
      </c>
      <c r="N210" s="706" t="s">
        <v>1314</v>
      </c>
      <c r="O210" s="189" t="s">
        <v>753</v>
      </c>
      <c r="AB210" s="248"/>
      <c r="AC210" s="248"/>
      <c r="AD210" s="248"/>
      <c r="AE210" s="462"/>
      <c r="AF210" s="462"/>
      <c r="AG210" s="462"/>
      <c r="AH210" s="248"/>
      <c r="AI210" s="248"/>
      <c r="AJ210" s="248"/>
      <c r="AK210" s="183">
        <f t="shared" si="13"/>
        <v>0</v>
      </c>
      <c r="AL210" s="183">
        <f t="shared" si="16"/>
        <v>0</v>
      </c>
      <c r="AM210" s="183">
        <f t="shared" si="16"/>
        <v>0</v>
      </c>
      <c r="AN210" s="310"/>
      <c r="AO210" s="310"/>
      <c r="AP210" s="310"/>
      <c r="AQ210" s="698" t="s">
        <v>1847</v>
      </c>
      <c r="AR210" s="310"/>
      <c r="AS210" s="310"/>
    </row>
    <row r="211" spans="13:45" customFormat="1" ht="11.25" customHeight="1">
      <c r="M211" s="696" t="s">
        <v>1831</v>
      </c>
      <c r="N211" s="706" t="s">
        <v>1315</v>
      </c>
      <c r="O211" s="189" t="s">
        <v>753</v>
      </c>
      <c r="AB211" s="248"/>
      <c r="AC211" s="248"/>
      <c r="AD211" s="248"/>
      <c r="AE211" s="462"/>
      <c r="AF211" s="462"/>
      <c r="AG211" s="462"/>
      <c r="AH211" s="248"/>
      <c r="AI211" s="248"/>
      <c r="AJ211" s="248"/>
      <c r="AK211" s="183">
        <f t="shared" si="13"/>
        <v>0</v>
      </c>
      <c r="AL211" s="183">
        <f t="shared" si="16"/>
        <v>0</v>
      </c>
      <c r="AM211" s="183">
        <f t="shared" si="16"/>
        <v>0</v>
      </c>
      <c r="AN211" s="310"/>
      <c r="AO211" s="310"/>
      <c r="AP211" s="310"/>
      <c r="AQ211" s="698" t="s">
        <v>1827</v>
      </c>
      <c r="AR211" s="310"/>
      <c r="AS211" s="310"/>
    </row>
    <row r="212" spans="13:45" customFormat="1" ht="11.25" customHeight="1">
      <c r="M212" s="696" t="s">
        <v>1481</v>
      </c>
      <c r="N212" s="706" t="s">
        <v>1316</v>
      </c>
      <c r="O212" s="189" t="s">
        <v>753</v>
      </c>
      <c r="AB212" s="248"/>
      <c r="AC212" s="248"/>
      <c r="AD212" s="248"/>
      <c r="AE212" s="462"/>
      <c r="AF212" s="462"/>
      <c r="AG212" s="462"/>
      <c r="AH212" s="248"/>
      <c r="AI212" s="248"/>
      <c r="AJ212" s="248"/>
      <c r="AK212" s="183">
        <f t="shared" si="13"/>
        <v>0</v>
      </c>
      <c r="AL212" s="183">
        <f t="shared" si="16"/>
        <v>0</v>
      </c>
      <c r="AM212" s="183">
        <f t="shared" si="16"/>
        <v>0</v>
      </c>
      <c r="AN212" s="310"/>
      <c r="AO212" s="310"/>
      <c r="AP212" s="310"/>
      <c r="AQ212" s="698" t="s">
        <v>1344</v>
      </c>
      <c r="AR212" s="310"/>
      <c r="AS212" s="310"/>
    </row>
    <row r="213" spans="13:45" customFormat="1" ht="11.25" customHeight="1">
      <c r="M213" s="696" t="s">
        <v>1482</v>
      </c>
      <c r="N213" s="706" t="s">
        <v>1317</v>
      </c>
      <c r="O213" s="189" t="s">
        <v>753</v>
      </c>
      <c r="AB213" s="248"/>
      <c r="AC213" s="248"/>
      <c r="AD213" s="248"/>
      <c r="AE213" s="462"/>
      <c r="AF213" s="462"/>
      <c r="AG213" s="462"/>
      <c r="AH213" s="248"/>
      <c r="AI213" s="248"/>
      <c r="AJ213" s="248"/>
      <c r="AK213" s="183">
        <f t="shared" si="13"/>
        <v>0</v>
      </c>
      <c r="AL213" s="183">
        <f t="shared" si="16"/>
        <v>0</v>
      </c>
      <c r="AM213" s="183">
        <f t="shared" si="16"/>
        <v>0</v>
      </c>
      <c r="AN213" s="310"/>
      <c r="AO213" s="310"/>
      <c r="AP213" s="310"/>
      <c r="AQ213" s="698" t="s">
        <v>1345</v>
      </c>
      <c r="AR213" s="310"/>
      <c r="AS213" s="310"/>
    </row>
    <row r="214" spans="13:45" customFormat="1" ht="11.25" customHeight="1">
      <c r="M214" s="696" t="s">
        <v>1483</v>
      </c>
      <c r="N214" s="706" t="s">
        <v>1318</v>
      </c>
      <c r="O214" s="189" t="s">
        <v>753</v>
      </c>
      <c r="AB214" s="248"/>
      <c r="AC214" s="248"/>
      <c r="AD214" s="248"/>
      <c r="AE214" s="462"/>
      <c r="AF214" s="462"/>
      <c r="AG214" s="462"/>
      <c r="AH214" s="248"/>
      <c r="AI214" s="248"/>
      <c r="AJ214" s="248"/>
      <c r="AK214" s="183">
        <f t="shared" si="13"/>
        <v>0</v>
      </c>
      <c r="AL214" s="183">
        <f t="shared" si="16"/>
        <v>0</v>
      </c>
      <c r="AM214" s="183">
        <f t="shared" si="16"/>
        <v>0</v>
      </c>
      <c r="AN214" s="310"/>
      <c r="AO214" s="310"/>
      <c r="AP214" s="310"/>
      <c r="AQ214" s="698" t="s">
        <v>1346</v>
      </c>
      <c r="AR214" s="310"/>
      <c r="AS214" s="310"/>
    </row>
    <row r="215" spans="13:45" customFormat="1" ht="11.25" customHeight="1">
      <c r="M215" s="696" t="s">
        <v>1484</v>
      </c>
      <c r="N215" s="707" t="s">
        <v>721</v>
      </c>
      <c r="O215" s="189" t="s">
        <v>753</v>
      </c>
      <c r="AB215" s="248"/>
      <c r="AC215" s="248"/>
      <c r="AD215" s="248"/>
      <c r="AE215" s="462"/>
      <c r="AF215" s="462"/>
      <c r="AG215" s="462"/>
      <c r="AH215" s="248"/>
      <c r="AI215" s="248"/>
      <c r="AJ215" s="248"/>
      <c r="AK215" s="183">
        <f t="shared" si="13"/>
        <v>0</v>
      </c>
      <c r="AL215" s="183">
        <f t="shared" si="16"/>
        <v>0</v>
      </c>
      <c r="AM215" s="183">
        <f t="shared" si="16"/>
        <v>0</v>
      </c>
      <c r="AN215" s="310"/>
      <c r="AO215" s="310"/>
      <c r="AP215" s="310"/>
      <c r="AQ215" s="698" t="s">
        <v>1347</v>
      </c>
      <c r="AR215" s="310"/>
      <c r="AS215" s="310"/>
    </row>
    <row r="216" spans="13:45" customFormat="1" ht="11.25" customHeight="1">
      <c r="M216" s="696" t="s">
        <v>1485</v>
      </c>
      <c r="N216" s="708" t="s">
        <v>712</v>
      </c>
      <c r="O216" s="189" t="s">
        <v>753</v>
      </c>
      <c r="AB216" s="248"/>
      <c r="AC216" s="248"/>
      <c r="AD216" s="248"/>
      <c r="AE216" s="462"/>
      <c r="AF216" s="462"/>
      <c r="AG216" s="462"/>
      <c r="AH216" s="248"/>
      <c r="AI216" s="248"/>
      <c r="AJ216" s="248"/>
      <c r="AK216" s="183">
        <f t="shared" si="13"/>
        <v>0</v>
      </c>
      <c r="AL216" s="183">
        <f>SUM(AL217:AL233)</f>
        <v>0</v>
      </c>
      <c r="AM216" s="183">
        <f>SUM(AM217:AM233)</f>
        <v>0</v>
      </c>
      <c r="AN216" s="310"/>
      <c r="AO216" s="310"/>
      <c r="AP216" s="310"/>
      <c r="AQ216" s="698" t="s">
        <v>1348</v>
      </c>
      <c r="AR216" s="310"/>
      <c r="AS216" s="310"/>
    </row>
    <row r="217" spans="13:45" customFormat="1" ht="11.25" customHeight="1">
      <c r="M217" s="696" t="s">
        <v>2688</v>
      </c>
      <c r="N217" s="709" t="s">
        <v>1319</v>
      </c>
      <c r="O217" s="189" t="s">
        <v>753</v>
      </c>
      <c r="AB217" s="248"/>
      <c r="AC217" s="248"/>
      <c r="AD217" s="248"/>
      <c r="AE217" s="462"/>
      <c r="AF217" s="462"/>
      <c r="AG217" s="462"/>
      <c r="AH217" s="248"/>
      <c r="AI217" s="248"/>
      <c r="AJ217" s="248"/>
      <c r="AK217" s="183">
        <f t="shared" si="13"/>
        <v>0</v>
      </c>
      <c r="AL217" s="183">
        <f t="shared" ref="AL217:AM232" si="17">AL321*AL373</f>
        <v>0</v>
      </c>
      <c r="AM217" s="183">
        <f t="shared" si="17"/>
        <v>0</v>
      </c>
      <c r="AN217" s="310"/>
      <c r="AO217" s="310"/>
      <c r="AP217" s="310"/>
      <c r="AQ217" s="698" t="s">
        <v>2612</v>
      </c>
      <c r="AR217" s="310"/>
      <c r="AS217" s="310"/>
    </row>
    <row r="218" spans="13:45" customFormat="1" ht="11.25" customHeight="1">
      <c r="M218" s="696" t="s">
        <v>2689</v>
      </c>
      <c r="N218" s="709" t="s">
        <v>1320</v>
      </c>
      <c r="O218" s="189" t="s">
        <v>753</v>
      </c>
      <c r="AB218" s="248"/>
      <c r="AC218" s="248"/>
      <c r="AD218" s="248"/>
      <c r="AE218" s="462"/>
      <c r="AF218" s="462"/>
      <c r="AG218" s="462"/>
      <c r="AH218" s="248"/>
      <c r="AI218" s="248"/>
      <c r="AJ218" s="248"/>
      <c r="AK218" s="183">
        <f t="shared" si="13"/>
        <v>0</v>
      </c>
      <c r="AL218" s="183">
        <f t="shared" si="17"/>
        <v>0</v>
      </c>
      <c r="AM218" s="183">
        <f t="shared" si="17"/>
        <v>0</v>
      </c>
      <c r="AN218" s="310"/>
      <c r="AO218" s="310"/>
      <c r="AP218" s="310"/>
      <c r="AQ218" s="698" t="s">
        <v>2614</v>
      </c>
      <c r="AR218" s="310"/>
      <c r="AS218" s="310"/>
    </row>
    <row r="219" spans="13:45" customFormat="1" ht="11.25" customHeight="1">
      <c r="M219" s="696" t="s">
        <v>2690</v>
      </c>
      <c r="N219" s="709" t="s">
        <v>1321</v>
      </c>
      <c r="O219" s="189" t="s">
        <v>753</v>
      </c>
      <c r="AB219" s="248"/>
      <c r="AC219" s="248"/>
      <c r="AD219" s="248"/>
      <c r="AE219" s="462"/>
      <c r="AF219" s="462"/>
      <c r="AG219" s="462"/>
      <c r="AH219" s="248"/>
      <c r="AI219" s="248"/>
      <c r="AJ219" s="248"/>
      <c r="AK219" s="183">
        <f t="shared" si="13"/>
        <v>0</v>
      </c>
      <c r="AL219" s="183">
        <f t="shared" si="17"/>
        <v>0</v>
      </c>
      <c r="AM219" s="183">
        <f t="shared" si="17"/>
        <v>0</v>
      </c>
      <c r="AN219" s="310"/>
      <c r="AO219" s="310"/>
      <c r="AP219" s="310"/>
      <c r="AQ219" s="698" t="s">
        <v>2616</v>
      </c>
      <c r="AR219" s="310"/>
      <c r="AS219" s="310"/>
    </row>
    <row r="220" spans="13:45" customFormat="1" ht="11.25" customHeight="1">
      <c r="M220" s="696" t="s">
        <v>2691</v>
      </c>
      <c r="N220" s="709" t="s">
        <v>2618</v>
      </c>
      <c r="O220" s="189" t="s">
        <v>753</v>
      </c>
      <c r="AB220" s="248"/>
      <c r="AC220" s="248"/>
      <c r="AD220" s="248"/>
      <c r="AE220" s="462"/>
      <c r="AF220" s="462"/>
      <c r="AG220" s="462"/>
      <c r="AH220" s="248"/>
      <c r="AI220" s="248"/>
      <c r="AJ220" s="248"/>
      <c r="AK220" s="183">
        <f t="shared" si="13"/>
        <v>0</v>
      </c>
      <c r="AL220" s="183">
        <f t="shared" si="17"/>
        <v>0</v>
      </c>
      <c r="AM220" s="183">
        <f t="shared" si="17"/>
        <v>0</v>
      </c>
      <c r="AN220" s="310"/>
      <c r="AO220" s="310"/>
      <c r="AP220" s="310"/>
      <c r="AQ220" s="698" t="s">
        <v>2619</v>
      </c>
      <c r="AR220" s="310"/>
      <c r="AS220" s="310"/>
    </row>
    <row r="221" spans="13:45" customFormat="1" ht="11.25" customHeight="1">
      <c r="M221" s="696" t="s">
        <v>2692</v>
      </c>
      <c r="N221" s="709" t="s">
        <v>2621</v>
      </c>
      <c r="O221" s="189" t="s">
        <v>753</v>
      </c>
      <c r="AB221" s="248"/>
      <c r="AC221" s="248"/>
      <c r="AD221" s="248"/>
      <c r="AE221" s="462"/>
      <c r="AF221" s="462"/>
      <c r="AG221" s="462"/>
      <c r="AH221" s="248"/>
      <c r="AI221" s="248"/>
      <c r="AJ221" s="248"/>
      <c r="AK221" s="183">
        <f t="shared" si="13"/>
        <v>0</v>
      </c>
      <c r="AL221" s="183">
        <f t="shared" si="17"/>
        <v>0</v>
      </c>
      <c r="AM221" s="183">
        <f t="shared" si="17"/>
        <v>0</v>
      </c>
      <c r="AN221" s="310"/>
      <c r="AO221" s="310"/>
      <c r="AP221" s="310"/>
      <c r="AQ221" s="698" t="s">
        <v>2622</v>
      </c>
      <c r="AR221" s="310"/>
      <c r="AS221" s="310"/>
    </row>
    <row r="222" spans="13:45" customFormat="1" ht="11.25" customHeight="1">
      <c r="M222" s="696" t="s">
        <v>2693</v>
      </c>
      <c r="N222" s="709" t="s">
        <v>1322</v>
      </c>
      <c r="O222" s="189" t="s">
        <v>753</v>
      </c>
      <c r="AB222" s="248"/>
      <c r="AC222" s="248"/>
      <c r="AD222" s="248"/>
      <c r="AE222" s="462"/>
      <c r="AF222" s="462"/>
      <c r="AG222" s="462"/>
      <c r="AH222" s="248"/>
      <c r="AI222" s="248"/>
      <c r="AJ222" s="248"/>
      <c r="AK222" s="183">
        <f t="shared" si="13"/>
        <v>0</v>
      </c>
      <c r="AL222" s="183">
        <f t="shared" si="17"/>
        <v>0</v>
      </c>
      <c r="AM222" s="183">
        <f t="shared" si="17"/>
        <v>0</v>
      </c>
      <c r="AN222" s="310"/>
      <c r="AO222" s="310"/>
      <c r="AP222" s="310"/>
      <c r="AQ222" s="698" t="s">
        <v>2624</v>
      </c>
      <c r="AR222" s="310"/>
      <c r="AS222" s="310"/>
    </row>
    <row r="223" spans="13:45" customFormat="1" ht="11.25" customHeight="1">
      <c r="M223" s="696" t="s">
        <v>2694</v>
      </c>
      <c r="N223" s="709" t="s">
        <v>2626</v>
      </c>
      <c r="O223" s="189" t="s">
        <v>753</v>
      </c>
      <c r="AB223" s="248"/>
      <c r="AC223" s="248"/>
      <c r="AD223" s="248"/>
      <c r="AE223" s="462"/>
      <c r="AF223" s="462"/>
      <c r="AG223" s="462"/>
      <c r="AH223" s="248"/>
      <c r="AI223" s="248"/>
      <c r="AJ223" s="248"/>
      <c r="AK223" s="183">
        <f t="shared" si="13"/>
        <v>0</v>
      </c>
      <c r="AL223" s="183">
        <f t="shared" si="17"/>
        <v>0</v>
      </c>
      <c r="AM223" s="183">
        <f t="shared" si="17"/>
        <v>0</v>
      </c>
      <c r="AN223" s="310"/>
      <c r="AO223" s="310"/>
      <c r="AP223" s="310"/>
      <c r="AQ223" s="698" t="s">
        <v>2627</v>
      </c>
      <c r="AR223" s="310"/>
      <c r="AS223" s="310"/>
    </row>
    <row r="224" spans="13:45" customFormat="1" ht="11.25" customHeight="1">
      <c r="M224" s="696" t="s">
        <v>2695</v>
      </c>
      <c r="N224" s="709" t="s">
        <v>1323</v>
      </c>
      <c r="O224" s="189" t="s">
        <v>753</v>
      </c>
      <c r="AB224" s="248"/>
      <c r="AC224" s="248"/>
      <c r="AD224" s="248"/>
      <c r="AE224" s="462"/>
      <c r="AF224" s="462"/>
      <c r="AG224" s="462"/>
      <c r="AH224" s="248"/>
      <c r="AI224" s="248"/>
      <c r="AJ224" s="248"/>
      <c r="AK224" s="183">
        <f t="shared" si="13"/>
        <v>0</v>
      </c>
      <c r="AL224" s="183">
        <f t="shared" si="17"/>
        <v>0</v>
      </c>
      <c r="AM224" s="183">
        <f t="shared" si="17"/>
        <v>0</v>
      </c>
      <c r="AN224" s="310"/>
      <c r="AO224" s="310"/>
      <c r="AP224" s="310"/>
      <c r="AQ224" s="698" t="s">
        <v>2629</v>
      </c>
      <c r="AR224" s="310"/>
      <c r="AS224" s="310"/>
    </row>
    <row r="225" spans="13:45" customFormat="1" ht="11.25" customHeight="1">
      <c r="M225" s="696" t="s">
        <v>2696</v>
      </c>
      <c r="N225" s="709" t="s">
        <v>1324</v>
      </c>
      <c r="O225" s="189" t="s">
        <v>753</v>
      </c>
      <c r="AB225" s="248"/>
      <c r="AC225" s="248"/>
      <c r="AD225" s="248"/>
      <c r="AE225" s="462"/>
      <c r="AF225" s="462"/>
      <c r="AG225" s="462"/>
      <c r="AH225" s="248"/>
      <c r="AI225" s="248"/>
      <c r="AJ225" s="248"/>
      <c r="AK225" s="183">
        <f t="shared" si="13"/>
        <v>0</v>
      </c>
      <c r="AL225" s="183">
        <f t="shared" si="17"/>
        <v>0</v>
      </c>
      <c r="AM225" s="183">
        <f t="shared" si="17"/>
        <v>0</v>
      </c>
      <c r="AN225" s="310"/>
      <c r="AO225" s="310"/>
      <c r="AP225" s="310"/>
      <c r="AQ225" s="698" t="s">
        <v>2631</v>
      </c>
      <c r="AR225" s="310"/>
      <c r="AS225" s="310"/>
    </row>
    <row r="226" spans="13:45" customFormat="1" ht="11.25" customHeight="1">
      <c r="M226" s="696" t="s">
        <v>2697</v>
      </c>
      <c r="N226" s="709" t="s">
        <v>2633</v>
      </c>
      <c r="O226" s="189" t="s">
        <v>753</v>
      </c>
      <c r="AB226" s="248"/>
      <c r="AC226" s="248"/>
      <c r="AD226" s="248"/>
      <c r="AE226" s="462"/>
      <c r="AF226" s="462"/>
      <c r="AG226" s="462"/>
      <c r="AH226" s="248"/>
      <c r="AI226" s="248"/>
      <c r="AJ226" s="248"/>
      <c r="AK226" s="183">
        <f t="shared" si="13"/>
        <v>0</v>
      </c>
      <c r="AL226" s="183">
        <f t="shared" si="17"/>
        <v>0</v>
      </c>
      <c r="AM226" s="183">
        <f t="shared" si="17"/>
        <v>0</v>
      </c>
      <c r="AN226" s="310"/>
      <c r="AO226" s="310"/>
      <c r="AP226" s="310"/>
      <c r="AQ226" s="698" t="s">
        <v>2634</v>
      </c>
      <c r="AR226" s="310"/>
      <c r="AS226" s="310"/>
    </row>
    <row r="227" spans="13:45" customFormat="1" ht="11.25" customHeight="1">
      <c r="M227" s="696" t="s">
        <v>2698</v>
      </c>
      <c r="N227" s="709" t="s">
        <v>2636</v>
      </c>
      <c r="O227" s="189" t="s">
        <v>753</v>
      </c>
      <c r="AB227" s="248"/>
      <c r="AC227" s="248"/>
      <c r="AD227" s="248"/>
      <c r="AE227" s="462"/>
      <c r="AF227" s="462"/>
      <c r="AG227" s="462"/>
      <c r="AH227" s="248"/>
      <c r="AI227" s="248"/>
      <c r="AJ227" s="248"/>
      <c r="AK227" s="183">
        <f t="shared" si="13"/>
        <v>0</v>
      </c>
      <c r="AL227" s="183">
        <f t="shared" si="17"/>
        <v>0</v>
      </c>
      <c r="AM227" s="183">
        <f t="shared" si="17"/>
        <v>0</v>
      </c>
      <c r="AN227" s="310"/>
      <c r="AO227" s="310"/>
      <c r="AP227" s="310"/>
      <c r="AQ227" s="698" t="s">
        <v>2637</v>
      </c>
      <c r="AR227" s="310"/>
      <c r="AS227" s="310"/>
    </row>
    <row r="228" spans="13:45" customFormat="1" ht="11.25" customHeight="1">
      <c r="M228" s="696" t="s">
        <v>2699</v>
      </c>
      <c r="N228" s="709" t="s">
        <v>2639</v>
      </c>
      <c r="O228" s="189" t="s">
        <v>753</v>
      </c>
      <c r="AB228" s="248"/>
      <c r="AC228" s="248"/>
      <c r="AD228" s="248"/>
      <c r="AE228" s="462"/>
      <c r="AF228" s="462"/>
      <c r="AG228" s="462"/>
      <c r="AH228" s="248"/>
      <c r="AI228" s="248"/>
      <c r="AJ228" s="248"/>
      <c r="AK228" s="183">
        <f t="shared" si="13"/>
        <v>0</v>
      </c>
      <c r="AL228" s="183">
        <f t="shared" si="17"/>
        <v>0</v>
      </c>
      <c r="AM228" s="183">
        <f t="shared" si="17"/>
        <v>0</v>
      </c>
      <c r="AN228" s="310"/>
      <c r="AO228" s="310"/>
      <c r="AP228" s="310"/>
      <c r="AQ228" s="698" t="s">
        <v>2640</v>
      </c>
      <c r="AR228" s="310"/>
      <c r="AS228" s="310"/>
    </row>
    <row r="229" spans="13:45" customFormat="1" ht="11.25" customHeight="1">
      <c r="M229" s="696" t="s">
        <v>2700</v>
      </c>
      <c r="N229" s="709" t="s">
        <v>2642</v>
      </c>
      <c r="O229" s="189" t="s">
        <v>753</v>
      </c>
      <c r="AB229" s="248"/>
      <c r="AC229" s="248"/>
      <c r="AD229" s="248"/>
      <c r="AE229" s="462"/>
      <c r="AF229" s="462"/>
      <c r="AG229" s="462"/>
      <c r="AH229" s="248"/>
      <c r="AI229" s="248"/>
      <c r="AJ229" s="248"/>
      <c r="AK229" s="183">
        <f t="shared" si="13"/>
        <v>0</v>
      </c>
      <c r="AL229" s="183">
        <f t="shared" si="17"/>
        <v>0</v>
      </c>
      <c r="AM229" s="183">
        <f t="shared" si="17"/>
        <v>0</v>
      </c>
      <c r="AN229" s="310"/>
      <c r="AO229" s="310"/>
      <c r="AP229" s="310"/>
      <c r="AQ229" s="698" t="s">
        <v>2643</v>
      </c>
      <c r="AR229" s="310"/>
      <c r="AS229" s="310"/>
    </row>
    <row r="230" spans="13:45" customFormat="1" ht="11.25" customHeight="1">
      <c r="M230" s="696" t="s">
        <v>2701</v>
      </c>
      <c r="N230" s="709" t="s">
        <v>2645</v>
      </c>
      <c r="O230" s="189" t="s">
        <v>753</v>
      </c>
      <c r="AB230" s="248"/>
      <c r="AC230" s="248"/>
      <c r="AD230" s="248"/>
      <c r="AE230" s="462"/>
      <c r="AF230" s="462"/>
      <c r="AG230" s="462"/>
      <c r="AH230" s="248"/>
      <c r="AI230" s="248"/>
      <c r="AJ230" s="248"/>
      <c r="AK230" s="183">
        <f t="shared" si="13"/>
        <v>0</v>
      </c>
      <c r="AL230" s="183">
        <f t="shared" si="17"/>
        <v>0</v>
      </c>
      <c r="AM230" s="183">
        <f t="shared" si="17"/>
        <v>0</v>
      </c>
      <c r="AN230" s="310"/>
      <c r="AO230" s="310"/>
      <c r="AP230" s="310"/>
      <c r="AQ230" s="698" t="s">
        <v>2646</v>
      </c>
      <c r="AR230" s="310"/>
      <c r="AS230" s="310"/>
    </row>
    <row r="231" spans="13:45" customFormat="1" ht="11.25" customHeight="1">
      <c r="M231" s="696" t="s">
        <v>2702</v>
      </c>
      <c r="N231" s="709" t="s">
        <v>1325</v>
      </c>
      <c r="O231" s="189" t="s">
        <v>753</v>
      </c>
      <c r="AB231" s="248"/>
      <c r="AC231" s="248"/>
      <c r="AD231" s="248"/>
      <c r="AE231" s="462"/>
      <c r="AF231" s="462"/>
      <c r="AG231" s="462"/>
      <c r="AH231" s="248"/>
      <c r="AI231" s="248"/>
      <c r="AJ231" s="248"/>
      <c r="AK231" s="183">
        <f t="shared" si="13"/>
        <v>0</v>
      </c>
      <c r="AL231" s="183">
        <f t="shared" si="17"/>
        <v>0</v>
      </c>
      <c r="AM231" s="183">
        <f t="shared" si="17"/>
        <v>0</v>
      </c>
      <c r="AN231" s="310"/>
      <c r="AO231" s="310"/>
      <c r="AP231" s="310"/>
      <c r="AQ231" s="698" t="s">
        <v>2648</v>
      </c>
      <c r="AR231" s="310"/>
      <c r="AS231" s="310"/>
    </row>
    <row r="232" spans="13:45" customFormat="1" ht="11.25" customHeight="1">
      <c r="M232" s="696" t="s">
        <v>2703</v>
      </c>
      <c r="N232" s="709" t="s">
        <v>1326</v>
      </c>
      <c r="O232" s="189" t="s">
        <v>753</v>
      </c>
      <c r="AB232" s="248"/>
      <c r="AC232" s="248"/>
      <c r="AD232" s="248"/>
      <c r="AE232" s="462"/>
      <c r="AF232" s="462"/>
      <c r="AG232" s="462"/>
      <c r="AH232" s="248"/>
      <c r="AI232" s="248"/>
      <c r="AJ232" s="248"/>
      <c r="AK232" s="183">
        <f t="shared" si="13"/>
        <v>0</v>
      </c>
      <c r="AL232" s="183">
        <f t="shared" si="17"/>
        <v>0</v>
      </c>
      <c r="AM232" s="183">
        <f t="shared" si="17"/>
        <v>0</v>
      </c>
      <c r="AN232" s="310"/>
      <c r="AO232" s="310"/>
      <c r="AP232" s="310"/>
      <c r="AQ232" s="698" t="s">
        <v>2650</v>
      </c>
      <c r="AR232" s="310"/>
      <c r="AS232" s="310"/>
    </row>
    <row r="233" spans="13:45" customFormat="1" ht="11.25" customHeight="1">
      <c r="M233" s="696" t="s">
        <v>2704</v>
      </c>
      <c r="N233" s="709" t="s">
        <v>2652</v>
      </c>
      <c r="O233" s="189" t="s">
        <v>753</v>
      </c>
      <c r="AB233" s="248"/>
      <c r="AC233" s="248"/>
      <c r="AD233" s="248"/>
      <c r="AE233" s="462"/>
      <c r="AF233" s="462"/>
      <c r="AG233" s="462"/>
      <c r="AH233" s="248"/>
      <c r="AI233" s="248"/>
      <c r="AJ233" s="248"/>
      <c r="AK233" s="183">
        <f t="shared" si="13"/>
        <v>0</v>
      </c>
      <c r="AL233" s="183">
        <f>AL337*AL389</f>
        <v>0</v>
      </c>
      <c r="AM233" s="183">
        <f>AM337*AM389</f>
        <v>0</v>
      </c>
      <c r="AN233" s="310"/>
      <c r="AO233" s="310"/>
      <c r="AP233" s="310"/>
      <c r="AQ233" s="698" t="s">
        <v>2653</v>
      </c>
      <c r="AR233" s="310"/>
      <c r="AS233" s="310"/>
    </row>
    <row r="234" spans="13:45" customFormat="1" ht="11.25" customHeight="1">
      <c r="M234" s="491"/>
      <c r="N234" s="460"/>
      <c r="O234" s="461"/>
      <c r="AB234" s="248"/>
      <c r="AC234" s="248"/>
      <c r="AD234" s="248"/>
      <c r="AE234" s="462"/>
      <c r="AF234" s="462"/>
      <c r="AG234" s="462"/>
      <c r="AH234" s="248"/>
      <c r="AI234" s="248"/>
      <c r="AJ234" s="248"/>
      <c r="AK234" s="462"/>
      <c r="AL234" s="462"/>
      <c r="AM234" s="462"/>
      <c r="AN234" s="310"/>
      <c r="AO234" s="310"/>
      <c r="AP234" s="310"/>
      <c r="AQ234" s="698"/>
      <c r="AR234" s="310"/>
      <c r="AS234" s="310"/>
    </row>
    <row r="235" spans="13:45" customFormat="1" ht="11.25" customHeight="1">
      <c r="M235" s="491"/>
      <c r="N235" s="460"/>
      <c r="O235" s="461"/>
      <c r="AB235" s="248"/>
      <c r="AC235" s="248"/>
      <c r="AD235" s="248"/>
      <c r="AE235" s="462"/>
      <c r="AF235" s="462"/>
      <c r="AG235" s="462"/>
      <c r="AH235" s="248"/>
      <c r="AI235" s="248"/>
      <c r="AJ235" s="248"/>
      <c r="AK235" s="462"/>
      <c r="AL235" s="462"/>
      <c r="AM235" s="462"/>
      <c r="AN235" s="310"/>
      <c r="AO235" s="310"/>
      <c r="AP235" s="310"/>
      <c r="AQ235" s="698"/>
      <c r="AR235" s="310"/>
      <c r="AS235" s="310"/>
    </row>
    <row r="236" spans="13:45" customFormat="1" ht="11.25" customHeight="1">
      <c r="M236" s="696" t="s">
        <v>1486</v>
      </c>
      <c r="N236" s="719" t="s">
        <v>1327</v>
      </c>
      <c r="O236" s="189" t="s">
        <v>753</v>
      </c>
      <c r="AB236" s="248"/>
      <c r="AC236" s="248"/>
      <c r="AD236" s="248"/>
      <c r="AE236" s="462"/>
      <c r="AF236" s="462"/>
      <c r="AG236" s="462"/>
      <c r="AH236" s="248"/>
      <c r="AI236" s="248"/>
      <c r="AJ236" s="248"/>
      <c r="AK236" s="183">
        <f t="shared" ref="AK236:AK242" si="18">AL236+AM236</f>
        <v>0</v>
      </c>
      <c r="AL236" s="183">
        <f t="shared" ref="AL236:AM242" si="19">AL340*AL392</f>
        <v>0</v>
      </c>
      <c r="AM236" s="183">
        <f t="shared" si="19"/>
        <v>0</v>
      </c>
      <c r="AN236" s="310"/>
      <c r="AO236" s="310"/>
      <c r="AP236" s="310"/>
      <c r="AQ236" s="698" t="s">
        <v>1357</v>
      </c>
      <c r="AR236" s="310"/>
      <c r="AS236" s="310"/>
    </row>
    <row r="237" spans="13:45" customFormat="1" ht="11.25" customHeight="1">
      <c r="M237" s="696" t="s">
        <v>1487</v>
      </c>
      <c r="N237" s="712" t="s">
        <v>723</v>
      </c>
      <c r="O237" s="189" t="s">
        <v>753</v>
      </c>
      <c r="AB237" s="248"/>
      <c r="AC237" s="248"/>
      <c r="AD237" s="248"/>
      <c r="AE237" s="462"/>
      <c r="AF237" s="462"/>
      <c r="AG237" s="462"/>
      <c r="AH237" s="248"/>
      <c r="AI237" s="248"/>
      <c r="AJ237" s="248"/>
      <c r="AK237" s="183">
        <f t="shared" si="18"/>
        <v>0</v>
      </c>
      <c r="AL237" s="183">
        <f t="shared" si="19"/>
        <v>0</v>
      </c>
      <c r="AM237" s="183">
        <f t="shared" si="19"/>
        <v>0</v>
      </c>
      <c r="AN237" s="310"/>
      <c r="AO237" s="310"/>
      <c r="AP237" s="310"/>
      <c r="AQ237" s="698" t="s">
        <v>1350</v>
      </c>
      <c r="AR237" s="310"/>
      <c r="AS237" s="310"/>
    </row>
    <row r="238" spans="13:45" customFormat="1" ht="11.25" customHeight="1">
      <c r="M238" s="696" t="s">
        <v>1488</v>
      </c>
      <c r="N238" s="713" t="s">
        <v>748</v>
      </c>
      <c r="O238" s="189" t="s">
        <v>753</v>
      </c>
      <c r="AB238" s="248"/>
      <c r="AC238" s="248"/>
      <c r="AD238" s="248"/>
      <c r="AE238" s="462"/>
      <c r="AF238" s="462"/>
      <c r="AG238" s="462"/>
      <c r="AH238" s="248"/>
      <c r="AI238" s="248"/>
      <c r="AJ238" s="248"/>
      <c r="AK238" s="183">
        <f t="shared" si="18"/>
        <v>0</v>
      </c>
      <c r="AL238" s="183">
        <f t="shared" si="19"/>
        <v>0</v>
      </c>
      <c r="AM238" s="183">
        <f t="shared" si="19"/>
        <v>0</v>
      </c>
      <c r="AN238" s="310"/>
      <c r="AO238" s="310"/>
      <c r="AP238" s="310"/>
      <c r="AQ238" s="698" t="s">
        <v>1351</v>
      </c>
      <c r="AR238" s="310"/>
      <c r="AS238" s="310"/>
    </row>
    <row r="239" spans="13:45" customFormat="1" ht="11.25" customHeight="1">
      <c r="M239" s="696" t="s">
        <v>1489</v>
      </c>
      <c r="N239" s="714" t="s">
        <v>315</v>
      </c>
      <c r="O239" s="189" t="s">
        <v>753</v>
      </c>
      <c r="AB239" s="248"/>
      <c r="AC239" s="248"/>
      <c r="AD239" s="248"/>
      <c r="AE239" s="462"/>
      <c r="AF239" s="462"/>
      <c r="AG239" s="462"/>
      <c r="AH239" s="248"/>
      <c r="AI239" s="248"/>
      <c r="AJ239" s="248"/>
      <c r="AK239" s="183">
        <f t="shared" si="18"/>
        <v>0</v>
      </c>
      <c r="AL239" s="183">
        <f t="shared" si="19"/>
        <v>0</v>
      </c>
      <c r="AM239" s="183">
        <f t="shared" si="19"/>
        <v>0</v>
      </c>
      <c r="AN239" s="310"/>
      <c r="AO239" s="310"/>
      <c r="AP239" s="310"/>
      <c r="AQ239" s="698" t="s">
        <v>1352</v>
      </c>
      <c r="AR239" s="310"/>
      <c r="AS239" s="310"/>
    </row>
    <row r="240" spans="13:45" customFormat="1" ht="11.25" customHeight="1">
      <c r="M240" s="696" t="s">
        <v>1490</v>
      </c>
      <c r="N240" s="715" t="s">
        <v>316</v>
      </c>
      <c r="O240" s="189" t="s">
        <v>753</v>
      </c>
      <c r="AB240" s="248"/>
      <c r="AC240" s="248"/>
      <c r="AD240" s="248"/>
      <c r="AE240" s="462"/>
      <c r="AF240" s="462"/>
      <c r="AG240" s="462"/>
      <c r="AH240" s="248"/>
      <c r="AI240" s="248"/>
      <c r="AJ240" s="248"/>
      <c r="AK240" s="183">
        <f t="shared" si="18"/>
        <v>0</v>
      </c>
      <c r="AL240" s="183">
        <f t="shared" si="19"/>
        <v>0</v>
      </c>
      <c r="AM240" s="183">
        <f t="shared" si="19"/>
        <v>0</v>
      </c>
      <c r="AN240" s="310"/>
      <c r="AO240" s="310"/>
      <c r="AP240" s="310"/>
      <c r="AQ240" s="698" t="s">
        <v>1354</v>
      </c>
      <c r="AR240" s="310"/>
      <c r="AS240" s="310"/>
    </row>
    <row r="241" spans="13:45" customFormat="1" ht="11.25" customHeight="1">
      <c r="M241" s="696" t="s">
        <v>1491</v>
      </c>
      <c r="N241" s="716" t="s">
        <v>317</v>
      </c>
      <c r="O241" s="189" t="s">
        <v>753</v>
      </c>
      <c r="AB241" s="248"/>
      <c r="AC241" s="248"/>
      <c r="AD241" s="248"/>
      <c r="AE241" s="462"/>
      <c r="AF241" s="462"/>
      <c r="AG241" s="462"/>
      <c r="AH241" s="248"/>
      <c r="AI241" s="248"/>
      <c r="AJ241" s="248"/>
      <c r="AK241" s="183">
        <f t="shared" si="18"/>
        <v>0</v>
      </c>
      <c r="AL241" s="183">
        <f t="shared" si="19"/>
        <v>0</v>
      </c>
      <c r="AM241" s="183">
        <f t="shared" si="19"/>
        <v>0</v>
      </c>
      <c r="AN241" s="310"/>
      <c r="AO241" s="310"/>
      <c r="AP241" s="310"/>
      <c r="AQ241" s="698" t="s">
        <v>1353</v>
      </c>
      <c r="AR241" s="310"/>
      <c r="AS241" s="310"/>
    </row>
    <row r="242" spans="13:45" customFormat="1" ht="11.25" customHeight="1">
      <c r="M242" s="696" t="s">
        <v>1492</v>
      </c>
      <c r="N242" s="701" t="s">
        <v>318</v>
      </c>
      <c r="O242" s="189" t="s">
        <v>753</v>
      </c>
      <c r="AB242" s="248"/>
      <c r="AC242" s="248"/>
      <c r="AD242" s="248"/>
      <c r="AE242" s="462"/>
      <c r="AF242" s="462"/>
      <c r="AG242" s="462"/>
      <c r="AH242" s="248"/>
      <c r="AI242" s="248"/>
      <c r="AJ242" s="248"/>
      <c r="AK242" s="183">
        <f t="shared" si="18"/>
        <v>0</v>
      </c>
      <c r="AL242" s="183">
        <f t="shared" si="19"/>
        <v>0</v>
      </c>
      <c r="AM242" s="183">
        <f t="shared" si="19"/>
        <v>0</v>
      </c>
      <c r="AN242" s="310"/>
      <c r="AO242" s="310"/>
      <c r="AP242" s="310"/>
      <c r="AQ242" s="698" t="s">
        <v>1355</v>
      </c>
      <c r="AR242" s="310"/>
      <c r="AS242" s="310"/>
    </row>
    <row r="243" spans="13:45" customFormat="1" ht="11.25" customHeight="1">
      <c r="M243" s="718"/>
      <c r="N243" s="460"/>
      <c r="O243" s="461"/>
      <c r="AB243" s="248"/>
      <c r="AC243" s="248"/>
      <c r="AD243" s="248"/>
      <c r="AE243" s="462"/>
      <c r="AF243" s="462"/>
      <c r="AG243" s="462"/>
      <c r="AH243" s="248"/>
      <c r="AI243" s="248"/>
      <c r="AJ243" s="248"/>
      <c r="AK243" s="266"/>
      <c r="AL243" s="266"/>
      <c r="AM243" s="266"/>
      <c r="AN243" s="310"/>
      <c r="AO243" s="310"/>
      <c r="AP243" s="310"/>
      <c r="AQ243" s="698"/>
      <c r="AR243" s="310"/>
      <c r="AS243" s="310"/>
    </row>
    <row r="244" spans="13:45" customFormat="1" ht="11.25" customHeight="1">
      <c r="M244" s="490" t="s">
        <v>1362</v>
      </c>
      <c r="N244" s="463" t="s">
        <v>754</v>
      </c>
      <c r="O244" s="189" t="s">
        <v>755</v>
      </c>
      <c r="AB244" s="248"/>
      <c r="AC244" s="248"/>
      <c r="AD244" s="248"/>
      <c r="AE244" s="263">
        <f>SUM(AE245,AE249:AE254,AE255,AE260,AE267,AE268,AE288:AE294)</f>
        <v>0</v>
      </c>
      <c r="AF244" s="263">
        <f>SUM(AF245,AF249:AF254,AF255,AF260,AF267,AF268,AF288:AF294)</f>
        <v>0</v>
      </c>
      <c r="AG244" s="263">
        <f>SUM(AG245,AG249:AG254,AG255,AG260,AG267,AG268,AG288:AG294)</f>
        <v>0</v>
      </c>
      <c r="AH244" s="248"/>
      <c r="AI244" s="248"/>
      <c r="AJ244" s="248"/>
      <c r="AK244" s="263">
        <f>SUM(AK245,AK249:AK254,AK255,AK260,AK267,AK268,AK288:AK294)</f>
        <v>0</v>
      </c>
      <c r="AL244" s="263">
        <f>SUM(AL245,AL249:AL254,AL255,AL260,AL267,AL268,AL288:AL294)</f>
        <v>0</v>
      </c>
      <c r="AM244" s="263">
        <f>SUM(AM245,AM249:AM254,AM255,AM260,AM267,AM268,AM288:AM294)</f>
        <v>0</v>
      </c>
      <c r="AN244" s="310"/>
      <c r="AO244" s="310"/>
      <c r="AP244" s="310"/>
      <c r="AQ244" s="36"/>
      <c r="AR244" s="310"/>
      <c r="AS244" s="310"/>
    </row>
    <row r="245" spans="13:45" customFormat="1" ht="11.25" customHeight="1">
      <c r="M245" s="696" t="s">
        <v>1493</v>
      </c>
      <c r="N245" s="697" t="s">
        <v>1304</v>
      </c>
      <c r="O245" s="189" t="s">
        <v>755</v>
      </c>
      <c r="AB245" s="248"/>
      <c r="AC245" s="248"/>
      <c r="AD245" s="248"/>
      <c r="AE245" s="462"/>
      <c r="AF245" s="462"/>
      <c r="AG245" s="462"/>
      <c r="AH245" s="248"/>
      <c r="AI245" s="248"/>
      <c r="AJ245" s="248"/>
      <c r="AK245" s="183">
        <f>IF(AK192=0,0,AK193/AK192*100)</f>
        <v>0</v>
      </c>
      <c r="AL245" s="183">
        <f>IF(AL192=0,0,AL193/AL192*100)</f>
        <v>0</v>
      </c>
      <c r="AM245" s="183">
        <f>IF(AM192=0,0,AM193/AM192*100)</f>
        <v>0</v>
      </c>
      <c r="AN245" s="310"/>
      <c r="AO245" s="310"/>
      <c r="AP245" s="310"/>
      <c r="AQ245" s="698" t="s">
        <v>1328</v>
      </c>
      <c r="AR245" s="310"/>
      <c r="AS245" s="310"/>
    </row>
    <row r="246" spans="13:45" customFormat="1" ht="11.25" customHeight="1">
      <c r="M246" s="696" t="s">
        <v>1494</v>
      </c>
      <c r="N246" s="699" t="s">
        <v>713</v>
      </c>
      <c r="O246" s="189" t="s">
        <v>755</v>
      </c>
      <c r="AB246" s="248"/>
      <c r="AC246" s="248"/>
      <c r="AD246" s="248"/>
      <c r="AE246" s="462"/>
      <c r="AF246" s="462"/>
      <c r="AG246" s="462"/>
      <c r="AH246" s="248"/>
      <c r="AI246" s="248"/>
      <c r="AJ246" s="248"/>
      <c r="AK246" s="183">
        <f>IF(AK192=0,0,AK194/AK192*100)</f>
        <v>0</v>
      </c>
      <c r="AL246" s="183">
        <f>IF(AL192=0,0,AL194/AL192*100)</f>
        <v>0</v>
      </c>
      <c r="AM246" s="183">
        <f>IF(AM192=0,0,AM194/AM192*100)</f>
        <v>0</v>
      </c>
      <c r="AN246" s="310"/>
      <c r="AO246" s="310"/>
      <c r="AP246" s="310"/>
      <c r="AQ246" s="698" t="s">
        <v>1329</v>
      </c>
      <c r="AR246" s="310"/>
      <c r="AS246" s="310"/>
    </row>
    <row r="247" spans="13:45" customFormat="1" ht="11.25" customHeight="1">
      <c r="M247" s="696" t="s">
        <v>1495</v>
      </c>
      <c r="N247" s="699" t="s">
        <v>715</v>
      </c>
      <c r="O247" s="189" t="s">
        <v>755</v>
      </c>
      <c r="AB247" s="248"/>
      <c r="AC247" s="248"/>
      <c r="AD247" s="248"/>
      <c r="AE247" s="462"/>
      <c r="AF247" s="462"/>
      <c r="AG247" s="462"/>
      <c r="AH247" s="248"/>
      <c r="AI247" s="248"/>
      <c r="AJ247" s="248"/>
      <c r="AK247" s="183">
        <f>IF(AK192=0,0,AK195/AK192*100)</f>
        <v>0</v>
      </c>
      <c r="AL247" s="183">
        <f>IF(AL192=0,0,AL195/AL192*100)</f>
        <v>0</v>
      </c>
      <c r="AM247" s="183">
        <f>IF(AM192=0,0,AM195/AM192*100)</f>
        <v>0</v>
      </c>
      <c r="AN247" s="310"/>
      <c r="AO247" s="310"/>
      <c r="AP247" s="310"/>
      <c r="AQ247" s="698" t="s">
        <v>1330</v>
      </c>
      <c r="AR247" s="310"/>
      <c r="AS247" s="310"/>
    </row>
    <row r="248" spans="13:45" customFormat="1" ht="11.25" customHeight="1">
      <c r="M248" s="696" t="s">
        <v>1496</v>
      </c>
      <c r="N248" s="699" t="s">
        <v>716</v>
      </c>
      <c r="O248" s="189" t="s">
        <v>755</v>
      </c>
      <c r="AB248" s="248"/>
      <c r="AC248" s="248"/>
      <c r="AD248" s="248"/>
      <c r="AE248" s="462"/>
      <c r="AF248" s="462"/>
      <c r="AG248" s="462"/>
      <c r="AH248" s="248"/>
      <c r="AI248" s="248"/>
      <c r="AJ248" s="248"/>
      <c r="AK248" s="183">
        <f>IF(AK192=0,0,AK196/AK192*100)</f>
        <v>0</v>
      </c>
      <c r="AL248" s="183">
        <f>IF(AL192=0,0,AL196/AL192*100)</f>
        <v>0</v>
      </c>
      <c r="AM248" s="183">
        <f>IF(AM192=0,0,AM196/AM192*100)</f>
        <v>0</v>
      </c>
      <c r="AN248" s="310"/>
      <c r="AO248" s="310"/>
      <c r="AP248" s="310"/>
      <c r="AQ248" s="698" t="s">
        <v>1331</v>
      </c>
      <c r="AR248" s="310"/>
      <c r="AS248" s="310"/>
    </row>
    <row r="249" spans="13:45" customFormat="1" ht="11.25" customHeight="1">
      <c r="M249" s="696" t="s">
        <v>1497</v>
      </c>
      <c r="N249" s="700" t="s">
        <v>1305</v>
      </c>
      <c r="O249" s="189" t="s">
        <v>755</v>
      </c>
      <c r="AB249" s="248"/>
      <c r="AC249" s="248"/>
      <c r="AD249" s="248"/>
      <c r="AE249" s="462"/>
      <c r="AF249" s="462"/>
      <c r="AG249" s="462"/>
      <c r="AH249" s="248"/>
      <c r="AI249" s="248"/>
      <c r="AJ249" s="248"/>
      <c r="AK249" s="183">
        <f>IF(AK192=0,0,AK197/AK192*100)</f>
        <v>0</v>
      </c>
      <c r="AL249" s="183">
        <f>IF(AL192=0,0,AL197/AL192*100)</f>
        <v>0</v>
      </c>
      <c r="AM249" s="183">
        <f>IF(AM192=0,0,AM197/AM192*100)</f>
        <v>0</v>
      </c>
      <c r="AN249" s="310"/>
      <c r="AO249" s="310"/>
      <c r="AP249" s="310"/>
      <c r="AQ249" s="698" t="s">
        <v>1340</v>
      </c>
      <c r="AR249" s="310"/>
      <c r="AS249" s="310"/>
    </row>
    <row r="250" spans="13:45" customFormat="1" ht="11.25" customHeight="1">
      <c r="M250" s="696" t="s">
        <v>1498</v>
      </c>
      <c r="N250" s="700" t="s">
        <v>1306</v>
      </c>
      <c r="O250" s="189" t="s">
        <v>755</v>
      </c>
      <c r="AB250" s="248"/>
      <c r="AC250" s="248"/>
      <c r="AD250" s="248"/>
      <c r="AE250" s="462"/>
      <c r="AF250" s="462"/>
      <c r="AG250" s="462"/>
      <c r="AH250" s="248"/>
      <c r="AI250" s="248"/>
      <c r="AJ250" s="248"/>
      <c r="AK250" s="183">
        <f>IF(AK192=0,0,AK198/AK192*100)</f>
        <v>0</v>
      </c>
      <c r="AL250" s="183">
        <f>IF(AL192=0,0,AL198/AL192*100)</f>
        <v>0</v>
      </c>
      <c r="AM250" s="183">
        <f>IF(AM192=0,0,AM198/AM192*100)</f>
        <v>0</v>
      </c>
      <c r="AN250" s="310"/>
      <c r="AO250" s="310"/>
      <c r="AP250" s="310"/>
      <c r="AQ250" s="698" t="s">
        <v>1341</v>
      </c>
      <c r="AR250" s="310"/>
      <c r="AS250" s="310"/>
    </row>
    <row r="251" spans="13:45" customFormat="1" ht="11.25" customHeight="1">
      <c r="M251" s="696" t="s">
        <v>1499</v>
      </c>
      <c r="N251" s="700" t="s">
        <v>1307</v>
      </c>
      <c r="O251" s="189" t="s">
        <v>755</v>
      </c>
      <c r="AB251" s="248"/>
      <c r="AC251" s="248"/>
      <c r="AD251" s="248"/>
      <c r="AE251" s="462"/>
      <c r="AF251" s="462"/>
      <c r="AG251" s="462"/>
      <c r="AH251" s="248"/>
      <c r="AI251" s="248"/>
      <c r="AJ251" s="248"/>
      <c r="AK251" s="183">
        <f>IF(AK192=0,0,AK199/AK192*100)</f>
        <v>0</v>
      </c>
      <c r="AL251" s="183">
        <f>IF(AL192=0,0,AL199/AL192*100)</f>
        <v>0</v>
      </c>
      <c r="AM251" s="183">
        <f>IF(AM192=0,0,AM199/AM192*100)</f>
        <v>0</v>
      </c>
      <c r="AN251" s="310"/>
      <c r="AO251" s="310"/>
      <c r="AP251" s="310"/>
      <c r="AQ251" s="698" t="s">
        <v>1342</v>
      </c>
      <c r="AR251" s="310"/>
      <c r="AS251" s="310"/>
    </row>
    <row r="252" spans="13:45" customFormat="1" ht="11.25" customHeight="1">
      <c r="M252" s="696" t="s">
        <v>1500</v>
      </c>
      <c r="N252" s="700" t="s">
        <v>1308</v>
      </c>
      <c r="O252" s="189" t="s">
        <v>755</v>
      </c>
      <c r="AB252" s="248"/>
      <c r="AC252" s="248"/>
      <c r="AD252" s="248"/>
      <c r="AE252" s="462"/>
      <c r="AF252" s="462"/>
      <c r="AG252" s="462"/>
      <c r="AH252" s="248"/>
      <c r="AI252" s="248"/>
      <c r="AJ252" s="248"/>
      <c r="AK252" s="183">
        <f>IF(AK192=0,0,AK200/AK192*100)</f>
        <v>0</v>
      </c>
      <c r="AL252" s="183">
        <f>IF(AL192=0,0,AL200/AL192*100)</f>
        <v>0</v>
      </c>
      <c r="AM252" s="183">
        <f>IF(AM192=0,0,AM200/AM192*100)</f>
        <v>0</v>
      </c>
      <c r="AN252" s="310"/>
      <c r="AO252" s="310"/>
      <c r="AP252" s="310"/>
      <c r="AQ252" s="698" t="s">
        <v>1339</v>
      </c>
      <c r="AR252" s="310"/>
      <c r="AS252" s="310"/>
    </row>
    <row r="253" spans="13:45" customFormat="1" ht="11.25" customHeight="1">
      <c r="M253" s="696" t="s">
        <v>1501</v>
      </c>
      <c r="N253" s="701" t="s">
        <v>684</v>
      </c>
      <c r="O253" s="189" t="s">
        <v>755</v>
      </c>
      <c r="AB253" s="248"/>
      <c r="AC253" s="248"/>
      <c r="AD253" s="248"/>
      <c r="AE253" s="462"/>
      <c r="AF253" s="462"/>
      <c r="AG253" s="462"/>
      <c r="AH253" s="248"/>
      <c r="AI253" s="248"/>
      <c r="AJ253" s="248"/>
      <c r="AK253" s="183">
        <f>IF(AK192=0,0,AK201/AK192*100)</f>
        <v>0</v>
      </c>
      <c r="AL253" s="183">
        <f>IF(AL192=0,0,AL201/AL192*100)</f>
        <v>0</v>
      </c>
      <c r="AM253" s="183">
        <f>IF(AM192=0,0,AM201/AM192*100)</f>
        <v>0</v>
      </c>
      <c r="AN253" s="310"/>
      <c r="AO253" s="310"/>
      <c r="AP253" s="310"/>
      <c r="AQ253" s="698" t="s">
        <v>1332</v>
      </c>
      <c r="AR253" s="310"/>
      <c r="AS253" s="310"/>
    </row>
    <row r="254" spans="13:45" customFormat="1" ht="11.25" customHeight="1">
      <c r="M254" s="696" t="s">
        <v>1502</v>
      </c>
      <c r="N254" s="702" t="s">
        <v>718</v>
      </c>
      <c r="O254" s="189" t="s">
        <v>755</v>
      </c>
      <c r="AB254" s="248"/>
      <c r="AC254" s="248"/>
      <c r="AD254" s="248"/>
      <c r="AE254" s="462"/>
      <c r="AF254" s="462"/>
      <c r="AG254" s="462"/>
      <c r="AH254" s="248"/>
      <c r="AI254" s="248"/>
      <c r="AJ254" s="248"/>
      <c r="AK254" s="183">
        <f>IF(AK192=0,0,AK202/AK192*100)</f>
        <v>0</v>
      </c>
      <c r="AL254" s="183">
        <f>IF(AL192=0,0,AL202/AL192*100)</f>
        <v>0</v>
      </c>
      <c r="AM254" s="183">
        <f>IF(AM192=0,0,AM202/AM192*100)</f>
        <v>0</v>
      </c>
      <c r="AN254" s="310"/>
      <c r="AO254" s="310"/>
      <c r="AP254" s="310"/>
      <c r="AQ254" s="698" t="s">
        <v>1333</v>
      </c>
      <c r="AR254" s="310"/>
      <c r="AS254" s="310"/>
    </row>
    <row r="255" spans="13:45" customFormat="1" ht="11.25" customHeight="1">
      <c r="M255" s="696" t="s">
        <v>1503</v>
      </c>
      <c r="N255" s="703" t="s">
        <v>722</v>
      </c>
      <c r="O255" s="189" t="s">
        <v>755</v>
      </c>
      <c r="AB255" s="248"/>
      <c r="AC255" s="248"/>
      <c r="AD255" s="248"/>
      <c r="AE255" s="462"/>
      <c r="AF255" s="462"/>
      <c r="AG255" s="462"/>
      <c r="AH255" s="248"/>
      <c r="AI255" s="248"/>
      <c r="AJ255" s="248"/>
      <c r="AK255" s="183">
        <f>IF(AK192=0,0,AK203/AK192*100)</f>
        <v>0</v>
      </c>
      <c r="AL255" s="183">
        <f>IF(AL192=0,0,AL203/AL192*100)</f>
        <v>0</v>
      </c>
      <c r="AM255" s="183">
        <f>IF(AM192=0,0,AM203/AM192*100)</f>
        <v>0</v>
      </c>
      <c r="AN255" s="310"/>
      <c r="AO255" s="310"/>
      <c r="AP255" s="310"/>
      <c r="AQ255" s="698" t="s">
        <v>1334</v>
      </c>
      <c r="AR255" s="310"/>
      <c r="AS255" s="310"/>
    </row>
    <row r="256" spans="13:45" customFormat="1" ht="11.25" customHeight="1">
      <c r="M256" s="696" t="s">
        <v>1504</v>
      </c>
      <c r="N256" s="704" t="s">
        <v>1309</v>
      </c>
      <c r="O256" s="189" t="s">
        <v>755</v>
      </c>
      <c r="AB256" s="248"/>
      <c r="AC256" s="248"/>
      <c r="AD256" s="248"/>
      <c r="AE256" s="462"/>
      <c r="AF256" s="462"/>
      <c r="AG256" s="462"/>
      <c r="AH256" s="248"/>
      <c r="AI256" s="248"/>
      <c r="AJ256" s="248"/>
      <c r="AK256" s="183">
        <f>IF(AK192=0,0,AK204/AK192*100)</f>
        <v>0</v>
      </c>
      <c r="AL256" s="183">
        <f>IF(AL192=0,0,AL204/AL192*100)</f>
        <v>0</v>
      </c>
      <c r="AM256" s="183">
        <f>IF(AM192=0,0,AM204/AM192*100)</f>
        <v>0</v>
      </c>
      <c r="AN256" s="310"/>
      <c r="AO256" s="310"/>
      <c r="AP256" s="310"/>
      <c r="AQ256" s="698" t="s">
        <v>1335</v>
      </c>
      <c r="AR256" s="310"/>
      <c r="AS256" s="310"/>
    </row>
    <row r="257" spans="13:45" customFormat="1" ht="11.25" customHeight="1">
      <c r="M257" s="696" t="s">
        <v>1505</v>
      </c>
      <c r="N257" s="704" t="s">
        <v>1310</v>
      </c>
      <c r="O257" s="189" t="s">
        <v>755</v>
      </c>
      <c r="AB257" s="248"/>
      <c r="AC257" s="248"/>
      <c r="AD257" s="248"/>
      <c r="AE257" s="462"/>
      <c r="AF257" s="462"/>
      <c r="AG257" s="462"/>
      <c r="AH257" s="248"/>
      <c r="AI257" s="248"/>
      <c r="AJ257" s="248"/>
      <c r="AK257" s="183">
        <f>IF(AK192=0,0,AK205/AK192*100)</f>
        <v>0</v>
      </c>
      <c r="AL257" s="183">
        <f>IF(AL192=0,0,AL205/AL192*100)</f>
        <v>0</v>
      </c>
      <c r="AM257" s="183">
        <f>IF(AM192=0,0,AM205/AM192*100)</f>
        <v>0</v>
      </c>
      <c r="AN257" s="310"/>
      <c r="AO257" s="310"/>
      <c r="AP257" s="310"/>
      <c r="AQ257" s="698" t="s">
        <v>1336</v>
      </c>
      <c r="AR257" s="310"/>
      <c r="AS257" s="310"/>
    </row>
    <row r="258" spans="13:45" customFormat="1" ht="11.25" customHeight="1">
      <c r="M258" s="696" t="s">
        <v>1506</v>
      </c>
      <c r="N258" s="704" t="s">
        <v>1311</v>
      </c>
      <c r="O258" s="189" t="s">
        <v>755</v>
      </c>
      <c r="AB258" s="248"/>
      <c r="AC258" s="248"/>
      <c r="AD258" s="248"/>
      <c r="AE258" s="462"/>
      <c r="AF258" s="462"/>
      <c r="AG258" s="462"/>
      <c r="AH258" s="248"/>
      <c r="AI258" s="248"/>
      <c r="AJ258" s="248"/>
      <c r="AK258" s="183">
        <f>IF(AK192=0,0,AK206/AK192*100)</f>
        <v>0</v>
      </c>
      <c r="AL258" s="183">
        <f>IF(AL192=0,0,AL206/AL192*100)</f>
        <v>0</v>
      </c>
      <c r="AM258" s="183">
        <f>IF(AM192=0,0,AM206/AM192*100)</f>
        <v>0</v>
      </c>
      <c r="AN258" s="310"/>
      <c r="AO258" s="310"/>
      <c r="AP258" s="310"/>
      <c r="AQ258" s="698" t="s">
        <v>1337</v>
      </c>
      <c r="AR258" s="310"/>
      <c r="AS258" s="310"/>
    </row>
    <row r="259" spans="13:45" customFormat="1" ht="11.25" customHeight="1">
      <c r="M259" s="696" t="s">
        <v>1507</v>
      </c>
      <c r="N259" s="704" t="s">
        <v>1312</v>
      </c>
      <c r="O259" s="189" t="s">
        <v>755</v>
      </c>
      <c r="AB259" s="248"/>
      <c r="AC259" s="248"/>
      <c r="AD259" s="248"/>
      <c r="AE259" s="462"/>
      <c r="AF259" s="462"/>
      <c r="AG259" s="462"/>
      <c r="AH259" s="248"/>
      <c r="AI259" s="248"/>
      <c r="AJ259" s="248"/>
      <c r="AK259" s="183">
        <f>IF(AK192=0,0,AK207/AK192*100)</f>
        <v>0</v>
      </c>
      <c r="AL259" s="183">
        <f>IF(AL192=0,0,AL207/AL192*100)</f>
        <v>0</v>
      </c>
      <c r="AM259" s="183">
        <f>IF(AM192=0,0,AM207/AM192*100)</f>
        <v>0</v>
      </c>
      <c r="AN259" s="310"/>
      <c r="AO259" s="310"/>
      <c r="AP259" s="310"/>
      <c r="AQ259" s="698" t="s">
        <v>1338</v>
      </c>
      <c r="AR259" s="310"/>
      <c r="AS259" s="310"/>
    </row>
    <row r="260" spans="13:45" customFormat="1" ht="11.25" customHeight="1">
      <c r="M260" s="696" t="s">
        <v>1508</v>
      </c>
      <c r="N260" s="705" t="s">
        <v>720</v>
      </c>
      <c r="O260" s="189" t="s">
        <v>755</v>
      </c>
      <c r="AB260" s="248"/>
      <c r="AC260" s="248"/>
      <c r="AD260" s="248"/>
      <c r="AE260" s="462"/>
      <c r="AF260" s="462"/>
      <c r="AG260" s="462"/>
      <c r="AH260" s="248"/>
      <c r="AI260" s="248"/>
      <c r="AJ260" s="248"/>
      <c r="AK260" s="183">
        <f>IF(AK192=0,0,AK208/AK192*100)</f>
        <v>0</v>
      </c>
      <c r="AL260" s="183">
        <f>IF(AL192=0,0,AL208/AL192*100)</f>
        <v>0</v>
      </c>
      <c r="AM260" s="183">
        <f>IF(AM192=0,0,AM208/AM192*100)</f>
        <v>0</v>
      </c>
      <c r="AN260" s="310"/>
      <c r="AO260" s="310"/>
      <c r="AP260" s="310"/>
      <c r="AQ260" s="698" t="s">
        <v>1343</v>
      </c>
      <c r="AR260" s="310"/>
      <c r="AS260" s="310"/>
    </row>
    <row r="261" spans="13:45" customFormat="1" ht="11.25" customHeight="1">
      <c r="M261" s="696" t="s">
        <v>1870</v>
      </c>
      <c r="N261" s="706" t="s">
        <v>1313</v>
      </c>
      <c r="O261" s="189" t="s">
        <v>755</v>
      </c>
      <c r="AB261" s="248"/>
      <c r="AC261" s="248"/>
      <c r="AD261" s="248"/>
      <c r="AE261" s="462"/>
      <c r="AF261" s="462"/>
      <c r="AG261" s="462"/>
      <c r="AH261" s="248"/>
      <c r="AI261" s="248"/>
      <c r="AJ261" s="248"/>
      <c r="AK261" s="183">
        <f>IF(AK192=0,0,AK209/AK192*100)</f>
        <v>0</v>
      </c>
      <c r="AL261" s="183">
        <f>IF(AL192=0,0,AL209/AL192*100)</f>
        <v>0</v>
      </c>
      <c r="AM261" s="183">
        <f>IF(AM192=0,0,AM209/AM192*100)</f>
        <v>0</v>
      </c>
      <c r="AN261" s="310"/>
      <c r="AO261" s="310"/>
      <c r="AP261" s="310"/>
      <c r="AQ261" s="698" t="s">
        <v>1866</v>
      </c>
      <c r="AR261" s="310"/>
      <c r="AS261" s="310"/>
    </row>
    <row r="262" spans="13:45" customFormat="1" ht="11.25" customHeight="1">
      <c r="M262" s="696" t="s">
        <v>1851</v>
      </c>
      <c r="N262" s="706" t="s">
        <v>1314</v>
      </c>
      <c r="O262" s="189" t="s">
        <v>755</v>
      </c>
      <c r="AB262" s="248"/>
      <c r="AC262" s="248"/>
      <c r="AD262" s="248"/>
      <c r="AE262" s="462"/>
      <c r="AF262" s="462"/>
      <c r="AG262" s="462"/>
      <c r="AH262" s="248"/>
      <c r="AI262" s="248"/>
      <c r="AJ262" s="248"/>
      <c r="AK262" s="183">
        <f>IF(AK192=0,0,AK210/AK192*100)</f>
        <v>0</v>
      </c>
      <c r="AL262" s="183">
        <f>IF(AL192=0,0,AL210/AL192*100)</f>
        <v>0</v>
      </c>
      <c r="AM262" s="183">
        <f>IF(AM192=0,0,AM210/AM192*100)</f>
        <v>0</v>
      </c>
      <c r="AN262" s="310"/>
      <c r="AO262" s="310"/>
      <c r="AP262" s="310"/>
      <c r="AQ262" s="698" t="s">
        <v>1847</v>
      </c>
      <c r="AR262" s="310"/>
      <c r="AS262" s="310"/>
    </row>
    <row r="263" spans="13:45" customFormat="1" ht="11.25" customHeight="1">
      <c r="M263" s="696" t="s">
        <v>1832</v>
      </c>
      <c r="N263" s="706" t="s">
        <v>1315</v>
      </c>
      <c r="O263" s="189" t="s">
        <v>755</v>
      </c>
      <c r="AB263" s="248"/>
      <c r="AC263" s="248"/>
      <c r="AD263" s="248"/>
      <c r="AE263" s="462"/>
      <c r="AF263" s="462"/>
      <c r="AG263" s="462"/>
      <c r="AH263" s="248"/>
      <c r="AI263" s="248"/>
      <c r="AJ263" s="248"/>
      <c r="AK263" s="183">
        <f>IF(AK192=0,0,AK211/AK192*100)</f>
        <v>0</v>
      </c>
      <c r="AL263" s="183">
        <f>IF(AL192=0,0,AL211/AL192*100)</f>
        <v>0</v>
      </c>
      <c r="AM263" s="183">
        <f>IF(AM192=0,0,AM211/AM192*100)</f>
        <v>0</v>
      </c>
      <c r="AN263" s="310"/>
      <c r="AO263" s="310"/>
      <c r="AP263" s="310"/>
      <c r="AQ263" s="698" t="s">
        <v>1827</v>
      </c>
      <c r="AR263" s="310"/>
      <c r="AS263" s="310"/>
    </row>
    <row r="264" spans="13:45" customFormat="1" ht="11.25" customHeight="1">
      <c r="M264" s="696" t="s">
        <v>1509</v>
      </c>
      <c r="N264" s="706" t="s">
        <v>1316</v>
      </c>
      <c r="O264" s="189" t="s">
        <v>755</v>
      </c>
      <c r="AB264" s="248"/>
      <c r="AC264" s="248"/>
      <c r="AD264" s="248"/>
      <c r="AE264" s="462"/>
      <c r="AF264" s="462"/>
      <c r="AG264" s="462"/>
      <c r="AH264" s="248"/>
      <c r="AI264" s="248"/>
      <c r="AJ264" s="248"/>
      <c r="AK264" s="183">
        <f>IF(AK192=0,0,AK212/AK192*100)</f>
        <v>0</v>
      </c>
      <c r="AL264" s="183">
        <f>IF(AL192=0,0,AL212/AL192*100)</f>
        <v>0</v>
      </c>
      <c r="AM264" s="183">
        <f>IF(AM192=0,0,AM212/AM192*100)</f>
        <v>0</v>
      </c>
      <c r="AN264" s="310"/>
      <c r="AO264" s="310"/>
      <c r="AP264" s="310"/>
      <c r="AQ264" s="698" t="s">
        <v>1344</v>
      </c>
      <c r="AR264" s="310"/>
      <c r="AS264" s="310"/>
    </row>
    <row r="265" spans="13:45" customFormat="1" ht="11.25" customHeight="1">
      <c r="M265" s="696" t="s">
        <v>1510</v>
      </c>
      <c r="N265" s="706" t="s">
        <v>1317</v>
      </c>
      <c r="O265" s="189" t="s">
        <v>755</v>
      </c>
      <c r="AB265" s="248"/>
      <c r="AC265" s="248"/>
      <c r="AD265" s="248"/>
      <c r="AE265" s="462"/>
      <c r="AF265" s="462"/>
      <c r="AG265" s="462"/>
      <c r="AH265" s="248"/>
      <c r="AI265" s="248"/>
      <c r="AJ265" s="248"/>
      <c r="AK265" s="183">
        <f>IF(AK192=0,0,AK213/AK192*100)</f>
        <v>0</v>
      </c>
      <c r="AL265" s="183">
        <f>IF(AL192=0,0,AL213/AL192*100)</f>
        <v>0</v>
      </c>
      <c r="AM265" s="183">
        <f>IF(AM192=0,0,AM213/AM192*100)</f>
        <v>0</v>
      </c>
      <c r="AN265" s="310"/>
      <c r="AO265" s="310"/>
      <c r="AP265" s="310"/>
      <c r="AQ265" s="698" t="s">
        <v>1345</v>
      </c>
      <c r="AR265" s="310"/>
      <c r="AS265" s="310"/>
    </row>
    <row r="266" spans="13:45" customFormat="1" ht="11.25" customHeight="1">
      <c r="M266" s="696" t="s">
        <v>1511</v>
      </c>
      <c r="N266" s="706" t="s">
        <v>1318</v>
      </c>
      <c r="O266" s="189" t="s">
        <v>755</v>
      </c>
      <c r="AB266" s="248"/>
      <c r="AC266" s="248"/>
      <c r="AD266" s="248"/>
      <c r="AE266" s="462"/>
      <c r="AF266" s="462"/>
      <c r="AG266" s="462"/>
      <c r="AH266" s="248"/>
      <c r="AI266" s="248"/>
      <c r="AJ266" s="248"/>
      <c r="AK266" s="183">
        <f>IF(AK192=0,0,AK214/AK192*100)</f>
        <v>0</v>
      </c>
      <c r="AL266" s="183">
        <f>IF(AL192=0,0,AL214/AL192*100)</f>
        <v>0</v>
      </c>
      <c r="AM266" s="183">
        <f>IF(AM192=0,0,AM214/AM192*100)</f>
        <v>0</v>
      </c>
      <c r="AN266" s="310"/>
      <c r="AO266" s="310"/>
      <c r="AP266" s="310"/>
      <c r="AQ266" s="698" t="s">
        <v>1346</v>
      </c>
      <c r="AR266" s="310"/>
      <c r="AS266" s="310"/>
    </row>
    <row r="267" spans="13:45" customFormat="1" ht="11.25" customHeight="1">
      <c r="M267" s="696" t="s">
        <v>1512</v>
      </c>
      <c r="N267" s="707" t="s">
        <v>721</v>
      </c>
      <c r="O267" s="189" t="s">
        <v>755</v>
      </c>
      <c r="AB267" s="248"/>
      <c r="AC267" s="248"/>
      <c r="AD267" s="248"/>
      <c r="AE267" s="462"/>
      <c r="AF267" s="462"/>
      <c r="AG267" s="462"/>
      <c r="AH267" s="248"/>
      <c r="AI267" s="248"/>
      <c r="AJ267" s="248"/>
      <c r="AK267" s="183">
        <f>IF(AK192=0,0,AK215/AK192*100)</f>
        <v>0</v>
      </c>
      <c r="AL267" s="183">
        <f>IF(AL192=0,0,AL215/AL192*100)</f>
        <v>0</v>
      </c>
      <c r="AM267" s="183">
        <f>IF(AM192=0,0,AM215/AM192*100)</f>
        <v>0</v>
      </c>
      <c r="AN267" s="310"/>
      <c r="AO267" s="310"/>
      <c r="AP267" s="310"/>
      <c r="AQ267" s="698" t="s">
        <v>1347</v>
      </c>
      <c r="AR267" s="310"/>
      <c r="AS267" s="310"/>
    </row>
    <row r="268" spans="13:45" customFormat="1" ht="11.25" customHeight="1">
      <c r="M268" s="696" t="s">
        <v>1513</v>
      </c>
      <c r="N268" s="708" t="s">
        <v>712</v>
      </c>
      <c r="O268" s="189" t="s">
        <v>755</v>
      </c>
      <c r="AB268" s="248"/>
      <c r="AC268" s="248"/>
      <c r="AD268" s="248"/>
      <c r="AE268" s="462"/>
      <c r="AF268" s="462"/>
      <c r="AG268" s="462"/>
      <c r="AH268" s="248"/>
      <c r="AI268" s="248"/>
      <c r="AJ268" s="248"/>
      <c r="AK268" s="183">
        <f>IF(AK192=0,0,AK216/AK192*100)</f>
        <v>0</v>
      </c>
      <c r="AL268" s="183">
        <f>IF(AL192=0,0,AL216/AL192*100)</f>
        <v>0</v>
      </c>
      <c r="AM268" s="183">
        <f>IF(AM192=0,0,AM216/AM192*100)</f>
        <v>0</v>
      </c>
      <c r="AN268" s="310"/>
      <c r="AO268" s="310"/>
      <c r="AP268" s="310"/>
      <c r="AQ268" s="698" t="s">
        <v>1348</v>
      </c>
      <c r="AR268" s="310"/>
      <c r="AS268" s="310"/>
    </row>
    <row r="269" spans="13:45" customFormat="1" ht="11.25" customHeight="1">
      <c r="M269" s="696" t="s">
        <v>2705</v>
      </c>
      <c r="N269" s="709" t="s">
        <v>1319</v>
      </c>
      <c r="O269" s="189" t="s">
        <v>755</v>
      </c>
      <c r="AB269" s="248"/>
      <c r="AC269" s="248"/>
      <c r="AD269" s="248"/>
      <c r="AE269" s="462"/>
      <c r="AF269" s="462"/>
      <c r="AG269" s="462"/>
      <c r="AH269" s="248"/>
      <c r="AI269" s="248"/>
      <c r="AJ269" s="248"/>
      <c r="AK269" s="183">
        <f>IF(AK192=0,0,AK217/AK192*100)</f>
        <v>0</v>
      </c>
      <c r="AL269" s="183">
        <f>IF(AL192=0,0,AL217/AL192*100)</f>
        <v>0</v>
      </c>
      <c r="AM269" s="183">
        <f>IF(AM192=0,0,AM217/AM192*100)</f>
        <v>0</v>
      </c>
      <c r="AN269" s="310"/>
      <c r="AO269" s="310"/>
      <c r="AP269" s="310"/>
      <c r="AQ269" s="698" t="s">
        <v>2612</v>
      </c>
      <c r="AR269" s="310"/>
      <c r="AS269" s="310"/>
    </row>
    <row r="270" spans="13:45" customFormat="1" ht="11.25" customHeight="1">
      <c r="M270" s="696" t="s">
        <v>2706</v>
      </c>
      <c r="N270" s="709" t="s">
        <v>1320</v>
      </c>
      <c r="O270" s="189" t="s">
        <v>755</v>
      </c>
      <c r="AB270" s="248"/>
      <c r="AC270" s="248"/>
      <c r="AD270" s="248"/>
      <c r="AE270" s="462"/>
      <c r="AF270" s="462"/>
      <c r="AG270" s="462"/>
      <c r="AH270" s="248"/>
      <c r="AI270" s="248"/>
      <c r="AJ270" s="248"/>
      <c r="AK270" s="183">
        <f>IF(AK192=0,0,AK218/AK192*100)</f>
        <v>0</v>
      </c>
      <c r="AL270" s="183">
        <f>IF(AL192=0,0,AL218/AL192*100)</f>
        <v>0</v>
      </c>
      <c r="AM270" s="183">
        <f>IF(AM192=0,0,AM218/AM192*100)</f>
        <v>0</v>
      </c>
      <c r="AN270" s="310"/>
      <c r="AO270" s="310"/>
      <c r="AP270" s="310"/>
      <c r="AQ270" s="698" t="s">
        <v>2614</v>
      </c>
      <c r="AR270" s="310"/>
      <c r="AS270" s="310"/>
    </row>
    <row r="271" spans="13:45" customFormat="1" ht="11.25" customHeight="1">
      <c r="M271" s="696" t="s">
        <v>2707</v>
      </c>
      <c r="N271" s="709" t="s">
        <v>1321</v>
      </c>
      <c r="O271" s="189" t="s">
        <v>755</v>
      </c>
      <c r="AB271" s="248"/>
      <c r="AC271" s="248"/>
      <c r="AD271" s="248"/>
      <c r="AE271" s="462"/>
      <c r="AF271" s="462"/>
      <c r="AG271" s="462"/>
      <c r="AH271" s="248"/>
      <c r="AI271" s="248"/>
      <c r="AJ271" s="248"/>
      <c r="AK271" s="183">
        <f>IF(AK192=0,0,AK219/AK192*100)</f>
        <v>0</v>
      </c>
      <c r="AL271" s="183">
        <f>IF(AL192=0,0,AL219/AL192*100)</f>
        <v>0</v>
      </c>
      <c r="AM271" s="183">
        <f>IF(AM192=0,0,AM219/AM192*100)</f>
        <v>0</v>
      </c>
      <c r="AN271" s="310"/>
      <c r="AO271" s="310"/>
      <c r="AP271" s="310"/>
      <c r="AQ271" s="698" t="s">
        <v>2616</v>
      </c>
      <c r="AR271" s="310"/>
      <c r="AS271" s="310"/>
    </row>
    <row r="272" spans="13:45" customFormat="1" ht="11.25" customHeight="1">
      <c r="M272" s="696" t="s">
        <v>2708</v>
      </c>
      <c r="N272" s="709" t="s">
        <v>2618</v>
      </c>
      <c r="O272" s="189" t="s">
        <v>755</v>
      </c>
      <c r="AB272" s="248"/>
      <c r="AC272" s="248"/>
      <c r="AD272" s="248"/>
      <c r="AE272" s="462"/>
      <c r="AF272" s="462"/>
      <c r="AG272" s="462"/>
      <c r="AH272" s="248"/>
      <c r="AI272" s="248"/>
      <c r="AJ272" s="248"/>
      <c r="AK272" s="183">
        <f>IF(AK192=0,0,AK220/AK192*100)</f>
        <v>0</v>
      </c>
      <c r="AL272" s="183">
        <f>IF(AL192=0,0,AL220/AL192*100)</f>
        <v>0</v>
      </c>
      <c r="AM272" s="183">
        <f>IF(AM192=0,0,AM220/AM192*100)</f>
        <v>0</v>
      </c>
      <c r="AN272" s="310"/>
      <c r="AO272" s="310"/>
      <c r="AP272" s="310"/>
      <c r="AQ272" s="698" t="s">
        <v>2619</v>
      </c>
      <c r="AR272" s="310"/>
      <c r="AS272" s="310"/>
    </row>
    <row r="273" spans="13:45" customFormat="1" ht="11.25" customHeight="1">
      <c r="M273" s="696" t="s">
        <v>2709</v>
      </c>
      <c r="N273" s="709" t="s">
        <v>2621</v>
      </c>
      <c r="O273" s="189" t="s">
        <v>755</v>
      </c>
      <c r="AB273" s="248"/>
      <c r="AC273" s="248"/>
      <c r="AD273" s="248"/>
      <c r="AE273" s="462"/>
      <c r="AF273" s="462"/>
      <c r="AG273" s="462"/>
      <c r="AH273" s="248"/>
      <c r="AI273" s="248"/>
      <c r="AJ273" s="248"/>
      <c r="AK273" s="183">
        <f>IF(AK192=0,0,AK221/AK192*100)</f>
        <v>0</v>
      </c>
      <c r="AL273" s="183">
        <f>IF(AL192=0,0,AL221/AL192*100)</f>
        <v>0</v>
      </c>
      <c r="AM273" s="183">
        <f>IF(AM192=0,0,AM221/AM192*100)</f>
        <v>0</v>
      </c>
      <c r="AN273" s="310"/>
      <c r="AO273" s="310"/>
      <c r="AP273" s="310"/>
      <c r="AQ273" s="698" t="s">
        <v>2622</v>
      </c>
      <c r="AR273" s="310"/>
      <c r="AS273" s="310"/>
    </row>
    <row r="274" spans="13:45" customFormat="1" ht="11.25" customHeight="1">
      <c r="M274" s="696" t="s">
        <v>2710</v>
      </c>
      <c r="N274" s="709" t="s">
        <v>1322</v>
      </c>
      <c r="O274" s="189" t="s">
        <v>755</v>
      </c>
      <c r="AB274" s="248"/>
      <c r="AC274" s="248"/>
      <c r="AD274" s="248"/>
      <c r="AE274" s="462"/>
      <c r="AF274" s="462"/>
      <c r="AG274" s="462"/>
      <c r="AH274" s="248"/>
      <c r="AI274" s="248"/>
      <c r="AJ274" s="248"/>
      <c r="AK274" s="183">
        <f>IF(AK192=0,0,AK222/AK192*100)</f>
        <v>0</v>
      </c>
      <c r="AL274" s="183">
        <f>IF(AL192=0,0,AL222/AL192*100)</f>
        <v>0</v>
      </c>
      <c r="AM274" s="183">
        <f>IF(AM192=0,0,AM222/AM192*100)</f>
        <v>0</v>
      </c>
      <c r="AN274" s="310"/>
      <c r="AO274" s="310"/>
      <c r="AP274" s="310"/>
      <c r="AQ274" s="698" t="s">
        <v>2624</v>
      </c>
      <c r="AR274" s="310"/>
      <c r="AS274" s="310"/>
    </row>
    <row r="275" spans="13:45" customFormat="1" ht="11.25" customHeight="1">
      <c r="M275" s="696" t="s">
        <v>2711</v>
      </c>
      <c r="N275" s="709" t="s">
        <v>2626</v>
      </c>
      <c r="O275" s="189" t="s">
        <v>755</v>
      </c>
      <c r="AB275" s="248"/>
      <c r="AC275" s="248"/>
      <c r="AD275" s="248"/>
      <c r="AE275" s="462"/>
      <c r="AF275" s="462"/>
      <c r="AG275" s="462"/>
      <c r="AH275" s="248"/>
      <c r="AI275" s="248"/>
      <c r="AJ275" s="248"/>
      <c r="AK275" s="183">
        <f>IF(AK192=0,0,AK223/AK192*100)</f>
        <v>0</v>
      </c>
      <c r="AL275" s="183">
        <f>IF(AL192=0,0,AL223/AL192*100)</f>
        <v>0</v>
      </c>
      <c r="AM275" s="183">
        <f>IF(AM192=0,0,AM223/AM192*100)</f>
        <v>0</v>
      </c>
      <c r="AN275" s="310"/>
      <c r="AO275" s="310"/>
      <c r="AP275" s="310"/>
      <c r="AQ275" s="698" t="s">
        <v>2627</v>
      </c>
      <c r="AR275" s="310"/>
      <c r="AS275" s="310"/>
    </row>
    <row r="276" spans="13:45" customFormat="1" ht="11.25" customHeight="1">
      <c r="M276" s="696" t="s">
        <v>2712</v>
      </c>
      <c r="N276" s="709" t="s">
        <v>1323</v>
      </c>
      <c r="O276" s="189" t="s">
        <v>755</v>
      </c>
      <c r="AB276" s="248"/>
      <c r="AC276" s="248"/>
      <c r="AD276" s="248"/>
      <c r="AE276" s="462"/>
      <c r="AF276" s="462"/>
      <c r="AG276" s="462"/>
      <c r="AH276" s="248"/>
      <c r="AI276" s="248"/>
      <c r="AJ276" s="248"/>
      <c r="AK276" s="183">
        <f>IF(AK192=0,0,AK224/AK192*100)</f>
        <v>0</v>
      </c>
      <c r="AL276" s="183">
        <f>IF(AL192=0,0,AL224/AL192*100)</f>
        <v>0</v>
      </c>
      <c r="AM276" s="183">
        <f>IF(AM192=0,0,AM224/AM192*100)</f>
        <v>0</v>
      </c>
      <c r="AN276" s="310"/>
      <c r="AO276" s="310"/>
      <c r="AP276" s="310"/>
      <c r="AQ276" s="698" t="s">
        <v>2629</v>
      </c>
      <c r="AR276" s="310"/>
      <c r="AS276" s="310"/>
    </row>
    <row r="277" spans="13:45" customFormat="1" ht="11.25" customHeight="1">
      <c r="M277" s="696" t="s">
        <v>2713</v>
      </c>
      <c r="N277" s="709" t="s">
        <v>1324</v>
      </c>
      <c r="O277" s="189" t="s">
        <v>755</v>
      </c>
      <c r="AB277" s="248"/>
      <c r="AC277" s="248"/>
      <c r="AD277" s="248"/>
      <c r="AE277" s="462"/>
      <c r="AF277" s="462"/>
      <c r="AG277" s="462"/>
      <c r="AH277" s="248"/>
      <c r="AI277" s="248"/>
      <c r="AJ277" s="248"/>
      <c r="AK277" s="183">
        <f>IF(AK192=0,0,AK225/AK192*100)</f>
        <v>0</v>
      </c>
      <c r="AL277" s="183">
        <f>IF(AL192=0,0,AL225/AL192*100)</f>
        <v>0</v>
      </c>
      <c r="AM277" s="183">
        <f>IF(AM192=0,0,AM225/AM192*100)</f>
        <v>0</v>
      </c>
      <c r="AN277" s="310"/>
      <c r="AO277" s="310"/>
      <c r="AP277" s="310"/>
      <c r="AQ277" s="698" t="s">
        <v>2631</v>
      </c>
      <c r="AR277" s="310"/>
      <c r="AS277" s="310"/>
    </row>
    <row r="278" spans="13:45" customFormat="1" ht="11.25" customHeight="1">
      <c r="M278" s="696" t="s">
        <v>2714</v>
      </c>
      <c r="N278" s="709" t="s">
        <v>2633</v>
      </c>
      <c r="O278" s="189" t="s">
        <v>755</v>
      </c>
      <c r="AB278" s="248"/>
      <c r="AC278" s="248"/>
      <c r="AD278" s="248"/>
      <c r="AE278" s="462"/>
      <c r="AF278" s="462"/>
      <c r="AG278" s="462"/>
      <c r="AH278" s="248"/>
      <c r="AI278" s="248"/>
      <c r="AJ278" s="248"/>
      <c r="AK278" s="183">
        <f>IF(AK192=0,0,AK226/AK192*100)</f>
        <v>0</v>
      </c>
      <c r="AL278" s="183">
        <f>IF(AL192=0,0,AL226/AL192*100)</f>
        <v>0</v>
      </c>
      <c r="AM278" s="183">
        <f>IF(AM192=0,0,AM226/AM192*100)</f>
        <v>0</v>
      </c>
      <c r="AN278" s="310"/>
      <c r="AO278" s="310"/>
      <c r="AP278" s="310"/>
      <c r="AQ278" s="698" t="s">
        <v>2634</v>
      </c>
      <c r="AR278" s="310"/>
      <c r="AS278" s="310"/>
    </row>
    <row r="279" spans="13:45" customFormat="1" ht="11.25" customHeight="1">
      <c r="M279" s="696" t="s">
        <v>2715</v>
      </c>
      <c r="N279" s="709" t="s">
        <v>2636</v>
      </c>
      <c r="O279" s="189" t="s">
        <v>755</v>
      </c>
      <c r="AB279" s="248"/>
      <c r="AC279" s="248"/>
      <c r="AD279" s="248"/>
      <c r="AE279" s="462"/>
      <c r="AF279" s="462"/>
      <c r="AG279" s="462"/>
      <c r="AH279" s="248"/>
      <c r="AI279" s="248"/>
      <c r="AJ279" s="248"/>
      <c r="AK279" s="183">
        <f>IF(AK192=0,0,AK227/AK192*100)</f>
        <v>0</v>
      </c>
      <c r="AL279" s="183">
        <f>IF(AL192=0,0,AL227/AL192*100)</f>
        <v>0</v>
      </c>
      <c r="AM279" s="183">
        <f>IF(AM192=0,0,AM227/AM192*100)</f>
        <v>0</v>
      </c>
      <c r="AN279" s="310"/>
      <c r="AO279" s="310"/>
      <c r="AP279" s="310"/>
      <c r="AQ279" s="698" t="s">
        <v>2637</v>
      </c>
      <c r="AR279" s="310"/>
      <c r="AS279" s="310"/>
    </row>
    <row r="280" spans="13:45" customFormat="1" ht="11.25" customHeight="1">
      <c r="M280" s="696" t="s">
        <v>2716</v>
      </c>
      <c r="N280" s="709" t="s">
        <v>2639</v>
      </c>
      <c r="O280" s="189" t="s">
        <v>755</v>
      </c>
      <c r="AB280" s="248"/>
      <c r="AC280" s="248"/>
      <c r="AD280" s="248"/>
      <c r="AE280" s="462"/>
      <c r="AF280" s="462"/>
      <c r="AG280" s="462"/>
      <c r="AH280" s="248"/>
      <c r="AI280" s="248"/>
      <c r="AJ280" s="248"/>
      <c r="AK280" s="183">
        <f>IF(AK192=0,0,AK228/AK192*100)</f>
        <v>0</v>
      </c>
      <c r="AL280" s="183">
        <f>IF(AL192=0,0,AL228/AL192*100)</f>
        <v>0</v>
      </c>
      <c r="AM280" s="183">
        <f>IF(AM192=0,0,AM228/AM192*100)</f>
        <v>0</v>
      </c>
      <c r="AN280" s="310"/>
      <c r="AO280" s="310"/>
      <c r="AP280" s="310"/>
      <c r="AQ280" s="698" t="s">
        <v>2640</v>
      </c>
      <c r="AR280" s="310"/>
      <c r="AS280" s="310"/>
    </row>
    <row r="281" spans="13:45" customFormat="1" ht="11.25" customHeight="1">
      <c r="M281" s="696" t="s">
        <v>2717</v>
      </c>
      <c r="N281" s="709" t="s">
        <v>2642</v>
      </c>
      <c r="O281" s="189" t="s">
        <v>755</v>
      </c>
      <c r="AB281" s="248"/>
      <c r="AC281" s="248"/>
      <c r="AD281" s="248"/>
      <c r="AE281" s="462"/>
      <c r="AF281" s="462"/>
      <c r="AG281" s="462"/>
      <c r="AH281" s="248"/>
      <c r="AI281" s="248"/>
      <c r="AJ281" s="248"/>
      <c r="AK281" s="183">
        <f>IF(AK192=0,0,AK229/AK192*100)</f>
        <v>0</v>
      </c>
      <c r="AL281" s="183">
        <f>IF(AL192=0,0,AL229/AL192*100)</f>
        <v>0</v>
      </c>
      <c r="AM281" s="183">
        <f>IF(AM192=0,0,AM229/AM192*100)</f>
        <v>0</v>
      </c>
      <c r="AN281" s="310"/>
      <c r="AO281" s="310"/>
      <c r="AP281" s="310"/>
      <c r="AQ281" s="698" t="s">
        <v>2643</v>
      </c>
      <c r="AR281" s="310"/>
      <c r="AS281" s="310"/>
    </row>
    <row r="282" spans="13:45" customFormat="1" ht="11.25" customHeight="1">
      <c r="M282" s="696" t="s">
        <v>2718</v>
      </c>
      <c r="N282" s="709" t="s">
        <v>2645</v>
      </c>
      <c r="O282" s="189" t="s">
        <v>755</v>
      </c>
      <c r="AB282" s="248"/>
      <c r="AC282" s="248"/>
      <c r="AD282" s="248"/>
      <c r="AE282" s="462"/>
      <c r="AF282" s="462"/>
      <c r="AG282" s="462"/>
      <c r="AH282" s="248"/>
      <c r="AI282" s="248"/>
      <c r="AJ282" s="248"/>
      <c r="AK282" s="183">
        <f>IF(AK192=0,0,AK230/AK192*100)</f>
        <v>0</v>
      </c>
      <c r="AL282" s="183">
        <f>IF(AL192=0,0,AL230/AL192*100)</f>
        <v>0</v>
      </c>
      <c r="AM282" s="183">
        <f>IF(AM192=0,0,AM230/AM192*100)</f>
        <v>0</v>
      </c>
      <c r="AN282" s="310"/>
      <c r="AO282" s="310"/>
      <c r="AP282" s="310"/>
      <c r="AQ282" s="698" t="s">
        <v>2646</v>
      </c>
      <c r="AR282" s="310"/>
      <c r="AS282" s="310"/>
    </row>
    <row r="283" spans="13:45" customFormat="1" ht="11.25" customHeight="1">
      <c r="M283" s="696" t="s">
        <v>2719</v>
      </c>
      <c r="N283" s="709" t="s">
        <v>1325</v>
      </c>
      <c r="O283" s="189" t="s">
        <v>755</v>
      </c>
      <c r="AB283" s="248"/>
      <c r="AC283" s="248"/>
      <c r="AD283" s="248"/>
      <c r="AE283" s="462"/>
      <c r="AF283" s="462"/>
      <c r="AG283" s="462"/>
      <c r="AH283" s="248"/>
      <c r="AI283" s="248"/>
      <c r="AJ283" s="248"/>
      <c r="AK283" s="183">
        <f>IF(AK192=0,0,AK231/AK192*100)</f>
        <v>0</v>
      </c>
      <c r="AL283" s="183">
        <f>IF(AL192=0,0,AL231/AL192*100)</f>
        <v>0</v>
      </c>
      <c r="AM283" s="183">
        <f>IF(AM192=0,0,AM231/AM192*100)</f>
        <v>0</v>
      </c>
      <c r="AN283" s="310"/>
      <c r="AO283" s="310"/>
      <c r="AP283" s="310"/>
      <c r="AQ283" s="698" t="s">
        <v>2648</v>
      </c>
      <c r="AR283" s="310"/>
      <c r="AS283" s="310"/>
    </row>
    <row r="284" spans="13:45" customFormat="1" ht="11.25" customHeight="1">
      <c r="M284" s="696" t="s">
        <v>2720</v>
      </c>
      <c r="N284" s="709" t="s">
        <v>1326</v>
      </c>
      <c r="O284" s="189" t="s">
        <v>755</v>
      </c>
      <c r="AB284" s="248"/>
      <c r="AC284" s="248"/>
      <c r="AD284" s="248"/>
      <c r="AE284" s="462"/>
      <c r="AF284" s="462"/>
      <c r="AG284" s="462"/>
      <c r="AH284" s="248"/>
      <c r="AI284" s="248"/>
      <c r="AJ284" s="248"/>
      <c r="AK284" s="183">
        <f>IF(AK192=0,0,AK232/AK192*100)</f>
        <v>0</v>
      </c>
      <c r="AL284" s="183">
        <f>IF(AL192=0,0,AL232/AL192*100)</f>
        <v>0</v>
      </c>
      <c r="AM284" s="183">
        <f>IF(AM192=0,0,AM232/AM192*100)</f>
        <v>0</v>
      </c>
      <c r="AN284" s="310"/>
      <c r="AO284" s="310"/>
      <c r="AP284" s="310"/>
      <c r="AQ284" s="698" t="s">
        <v>2650</v>
      </c>
      <c r="AR284" s="310"/>
      <c r="AS284" s="310"/>
    </row>
    <row r="285" spans="13:45" customFormat="1" ht="11.25" customHeight="1">
      <c r="M285" s="696" t="s">
        <v>2721</v>
      </c>
      <c r="N285" s="709" t="s">
        <v>2652</v>
      </c>
      <c r="O285" s="189" t="s">
        <v>755</v>
      </c>
      <c r="AB285" s="248"/>
      <c r="AC285" s="248"/>
      <c r="AD285" s="248"/>
      <c r="AE285" s="462"/>
      <c r="AF285" s="462"/>
      <c r="AG285" s="462"/>
      <c r="AH285" s="248"/>
      <c r="AI285" s="248"/>
      <c r="AJ285" s="248"/>
      <c r="AK285" s="183">
        <f>IF(AK192=0,0,AK233/AK192*100)</f>
        <v>0</v>
      </c>
      <c r="AL285" s="183">
        <f>IF(AL192=0,0,AL233/AL192*100)</f>
        <v>0</v>
      </c>
      <c r="AM285" s="183">
        <f>IF(AM192=0,0,AM233/AM192*100)</f>
        <v>0</v>
      </c>
      <c r="AN285" s="310"/>
      <c r="AO285" s="310"/>
      <c r="AP285" s="310"/>
      <c r="AQ285" s="698" t="s">
        <v>2653</v>
      </c>
      <c r="AR285" s="310"/>
      <c r="AS285" s="310"/>
    </row>
    <row r="286" spans="13:45" customFormat="1" ht="11.25" customHeight="1">
      <c r="M286" s="491"/>
      <c r="N286" s="460"/>
      <c r="O286" s="461"/>
      <c r="AB286" s="248"/>
      <c r="AC286" s="248"/>
      <c r="AD286" s="248"/>
      <c r="AE286" s="462"/>
      <c r="AF286" s="462"/>
      <c r="AG286" s="462"/>
      <c r="AH286" s="248"/>
      <c r="AI286" s="248"/>
      <c r="AJ286" s="248"/>
      <c r="AK286" s="462"/>
      <c r="AL286" s="462"/>
      <c r="AM286" s="462"/>
      <c r="AN286" s="310"/>
      <c r="AO286" s="310"/>
      <c r="AP286" s="310"/>
      <c r="AQ286" s="698"/>
      <c r="AR286" s="310"/>
      <c r="AS286" s="310"/>
    </row>
    <row r="287" spans="13:45" customFormat="1" ht="11.25" customHeight="1">
      <c r="M287" s="491"/>
      <c r="N287" s="460"/>
      <c r="O287" s="461"/>
      <c r="AB287" s="248"/>
      <c r="AC287" s="248"/>
      <c r="AD287" s="248"/>
      <c r="AE287" s="462"/>
      <c r="AF287" s="462"/>
      <c r="AG287" s="462"/>
      <c r="AH287" s="248"/>
      <c r="AI287" s="248"/>
      <c r="AJ287" s="248"/>
      <c r="AK287" s="462"/>
      <c r="AL287" s="462"/>
      <c r="AM287" s="462"/>
      <c r="AN287" s="310"/>
      <c r="AO287" s="310"/>
      <c r="AP287" s="310"/>
      <c r="AQ287" s="698"/>
      <c r="AR287" s="310"/>
      <c r="AS287" s="310"/>
    </row>
    <row r="288" spans="13:45" customFormat="1" ht="11.25" customHeight="1">
      <c r="M288" s="696" t="s">
        <v>1514</v>
      </c>
      <c r="N288" s="719" t="s">
        <v>1327</v>
      </c>
      <c r="O288" s="189" t="s">
        <v>755</v>
      </c>
      <c r="AB288" s="248"/>
      <c r="AC288" s="248"/>
      <c r="AD288" s="248"/>
      <c r="AE288" s="462"/>
      <c r="AF288" s="462"/>
      <c r="AG288" s="462"/>
      <c r="AH288" s="248"/>
      <c r="AI288" s="248"/>
      <c r="AJ288" s="248"/>
      <c r="AK288" s="183">
        <f>IF(AK192=0,0,AK236/AK192*100)</f>
        <v>0</v>
      </c>
      <c r="AL288" s="183">
        <f>IF(AL192=0,0,AL236/AL192*100)</f>
        <v>0</v>
      </c>
      <c r="AM288" s="183">
        <f>IF(AM192=0,0,AM236/AM192*100)</f>
        <v>0</v>
      </c>
      <c r="AN288" s="310"/>
      <c r="AO288" s="310"/>
      <c r="AP288" s="310"/>
      <c r="AQ288" s="698" t="s">
        <v>1357</v>
      </c>
      <c r="AR288" s="310"/>
      <c r="AS288" s="310"/>
    </row>
    <row r="289" spans="13:45" customFormat="1" ht="11.25" customHeight="1">
      <c r="M289" s="696" t="s">
        <v>1515</v>
      </c>
      <c r="N289" s="712" t="s">
        <v>723</v>
      </c>
      <c r="O289" s="189" t="s">
        <v>755</v>
      </c>
      <c r="AB289" s="248"/>
      <c r="AC289" s="248"/>
      <c r="AD289" s="248"/>
      <c r="AE289" s="462"/>
      <c r="AF289" s="462"/>
      <c r="AG289" s="462"/>
      <c r="AH289" s="248"/>
      <c r="AI289" s="248"/>
      <c r="AJ289" s="248"/>
      <c r="AK289" s="183">
        <f>IF(AK192=0,0,AK237/AK192*100)</f>
        <v>0</v>
      </c>
      <c r="AL289" s="183">
        <f>IF(AL192=0,0,AL237/AL192*100)</f>
        <v>0</v>
      </c>
      <c r="AM289" s="183">
        <f>IF(AM192=0,0,AM237/AM192*100)</f>
        <v>0</v>
      </c>
      <c r="AN289" s="310"/>
      <c r="AO289" s="310"/>
      <c r="AP289" s="310"/>
      <c r="AQ289" s="698" t="s">
        <v>1350</v>
      </c>
      <c r="AR289" s="310"/>
      <c r="AS289" s="310"/>
    </row>
    <row r="290" spans="13:45" customFormat="1" ht="11.25" customHeight="1">
      <c r="M290" s="696" t="s">
        <v>1516</v>
      </c>
      <c r="N290" s="713" t="s">
        <v>748</v>
      </c>
      <c r="O290" s="189" t="s">
        <v>755</v>
      </c>
      <c r="AB290" s="248"/>
      <c r="AC290" s="248"/>
      <c r="AD290" s="248"/>
      <c r="AE290" s="462"/>
      <c r="AF290" s="462"/>
      <c r="AG290" s="462"/>
      <c r="AH290" s="248"/>
      <c r="AI290" s="248"/>
      <c r="AJ290" s="248"/>
      <c r="AK290" s="183">
        <f>IF(AK192=0,0,AK238/AK192*100)</f>
        <v>0</v>
      </c>
      <c r="AL290" s="183">
        <f>IF(AL192=0,0,AL238/AL192*100)</f>
        <v>0</v>
      </c>
      <c r="AM290" s="183">
        <f>IF(AM192=0,0,AM238/AM192*100)</f>
        <v>0</v>
      </c>
      <c r="AN290" s="310"/>
      <c r="AO290" s="310"/>
      <c r="AP290" s="310"/>
      <c r="AQ290" s="698" t="s">
        <v>1351</v>
      </c>
      <c r="AR290" s="310"/>
      <c r="AS290" s="310"/>
    </row>
    <row r="291" spans="13:45" customFormat="1" ht="11.25" customHeight="1">
      <c r="M291" s="696" t="s">
        <v>1517</v>
      </c>
      <c r="N291" s="714" t="s">
        <v>315</v>
      </c>
      <c r="O291" s="189" t="s">
        <v>755</v>
      </c>
      <c r="AB291" s="248"/>
      <c r="AC291" s="248"/>
      <c r="AD291" s="248"/>
      <c r="AE291" s="462"/>
      <c r="AF291" s="462"/>
      <c r="AG291" s="462"/>
      <c r="AH291" s="248"/>
      <c r="AI291" s="248"/>
      <c r="AJ291" s="248"/>
      <c r="AK291" s="183">
        <f>IF(AK192=0,0,AK239/AK192*100)</f>
        <v>0</v>
      </c>
      <c r="AL291" s="183">
        <f>IF(AL192=0,0,AL239/AL192*100)</f>
        <v>0</v>
      </c>
      <c r="AM291" s="183">
        <f>IF(AM192=0,0,AM239/AM192*100)</f>
        <v>0</v>
      </c>
      <c r="AN291" s="310"/>
      <c r="AO291" s="310"/>
      <c r="AP291" s="310"/>
      <c r="AQ291" s="698" t="s">
        <v>1352</v>
      </c>
      <c r="AR291" s="310"/>
      <c r="AS291" s="310"/>
    </row>
    <row r="292" spans="13:45" customFormat="1" ht="11.25" customHeight="1">
      <c r="M292" s="696" t="s">
        <v>1518</v>
      </c>
      <c r="N292" s="715" t="s">
        <v>316</v>
      </c>
      <c r="O292" s="189" t="s">
        <v>755</v>
      </c>
      <c r="AB292" s="248"/>
      <c r="AC292" s="248"/>
      <c r="AD292" s="248"/>
      <c r="AE292" s="462"/>
      <c r="AF292" s="462"/>
      <c r="AG292" s="462"/>
      <c r="AH292" s="248"/>
      <c r="AI292" s="248"/>
      <c r="AJ292" s="248"/>
      <c r="AK292" s="183">
        <f>IF(AK192=0,0,AK240/AK192*100)</f>
        <v>0</v>
      </c>
      <c r="AL292" s="183">
        <f>IF(AL192=0,0,AL240/AL192*100)</f>
        <v>0</v>
      </c>
      <c r="AM292" s="183">
        <f>IF(AM192=0,0,AM240/AM192*100)</f>
        <v>0</v>
      </c>
      <c r="AN292" s="310"/>
      <c r="AO292" s="310"/>
      <c r="AP292" s="310"/>
      <c r="AQ292" s="698" t="s">
        <v>1354</v>
      </c>
      <c r="AR292" s="310"/>
      <c r="AS292" s="310"/>
    </row>
    <row r="293" spans="13:45" customFormat="1" ht="11.25" customHeight="1">
      <c r="M293" s="696" t="s">
        <v>1519</v>
      </c>
      <c r="N293" s="716" t="s">
        <v>317</v>
      </c>
      <c r="O293" s="189" t="s">
        <v>755</v>
      </c>
      <c r="AB293" s="248"/>
      <c r="AC293" s="248"/>
      <c r="AD293" s="248"/>
      <c r="AE293" s="462"/>
      <c r="AF293" s="462"/>
      <c r="AG293" s="462"/>
      <c r="AH293" s="248"/>
      <c r="AI293" s="248"/>
      <c r="AJ293" s="248"/>
      <c r="AK293" s="183">
        <f>IF(AK192=0,0,AK241/AK192*100)</f>
        <v>0</v>
      </c>
      <c r="AL293" s="183">
        <f>IF(AL192=0,0,AL241/AL192*100)</f>
        <v>0</v>
      </c>
      <c r="AM293" s="183">
        <f>IF(AM192=0,0,AM241/AM192*100)</f>
        <v>0</v>
      </c>
      <c r="AN293" s="310"/>
      <c r="AO293" s="310"/>
      <c r="AP293" s="310"/>
      <c r="AQ293" s="698" t="s">
        <v>1353</v>
      </c>
      <c r="AR293" s="310"/>
      <c r="AS293" s="310"/>
    </row>
    <row r="294" spans="13:45" customFormat="1" ht="11.25" customHeight="1">
      <c r="M294" s="696" t="s">
        <v>1520</v>
      </c>
      <c r="N294" s="701" t="s">
        <v>318</v>
      </c>
      <c r="O294" s="189" t="s">
        <v>755</v>
      </c>
      <c r="AB294" s="248"/>
      <c r="AC294" s="248"/>
      <c r="AD294" s="248"/>
      <c r="AE294" s="462"/>
      <c r="AF294" s="462"/>
      <c r="AG294" s="462"/>
      <c r="AH294" s="248"/>
      <c r="AI294" s="248"/>
      <c r="AJ294" s="248"/>
      <c r="AK294" s="183">
        <f>IF(AK192=0,0,AK242/AK192*100)</f>
        <v>0</v>
      </c>
      <c r="AL294" s="183">
        <f>IF(AL192=0,0,AL242/AL192*100)</f>
        <v>0</v>
      </c>
      <c r="AM294" s="183">
        <f>IF(AM192=0,0,AM242/AM192*100)</f>
        <v>0</v>
      </c>
      <c r="AN294" s="310"/>
      <c r="AO294" s="310"/>
      <c r="AP294" s="310"/>
      <c r="AQ294" s="698" t="s">
        <v>1355</v>
      </c>
      <c r="AR294" s="310"/>
      <c r="AS294" s="310"/>
    </row>
    <row r="295" spans="13:45" customFormat="1" ht="11.25" customHeight="1">
      <c r="M295" s="718"/>
      <c r="N295" s="460"/>
      <c r="O295" s="461"/>
      <c r="AB295" s="248"/>
      <c r="AC295" s="248"/>
      <c r="AD295" s="248"/>
      <c r="AE295" s="462"/>
      <c r="AF295" s="462"/>
      <c r="AG295" s="462"/>
      <c r="AH295" s="248"/>
      <c r="AI295" s="248"/>
      <c r="AJ295" s="248"/>
      <c r="AK295" s="266"/>
      <c r="AL295" s="266"/>
      <c r="AM295" s="266"/>
      <c r="AN295" s="310"/>
      <c r="AO295" s="310"/>
      <c r="AP295" s="310"/>
      <c r="AQ295" s="698"/>
      <c r="AR295" s="310"/>
      <c r="AS295" s="310"/>
    </row>
    <row r="296" spans="13:45" customFormat="1" ht="11.25" customHeight="1">
      <c r="M296" s="490" t="s">
        <v>1361</v>
      </c>
      <c r="N296" s="463" t="s">
        <v>756</v>
      </c>
      <c r="O296" s="189"/>
      <c r="AB296" s="248"/>
      <c r="AC296" s="248"/>
      <c r="AD296" s="248"/>
      <c r="AE296" s="462"/>
      <c r="AF296" s="462"/>
      <c r="AG296" s="462"/>
      <c r="AH296" s="248"/>
      <c r="AI296" s="248"/>
      <c r="AJ296" s="248"/>
      <c r="AK296" s="241"/>
      <c r="AL296" s="241"/>
      <c r="AM296" s="241"/>
      <c r="AN296" s="310"/>
      <c r="AO296" s="310"/>
      <c r="AP296" s="310"/>
      <c r="AQ296" s="36"/>
      <c r="AR296" s="310"/>
      <c r="AS296" s="310"/>
    </row>
    <row r="297" spans="13:45" customFormat="1" ht="11.25" customHeight="1">
      <c r="M297" s="696" t="s">
        <v>1521</v>
      </c>
      <c r="N297" s="697" t="s">
        <v>1304</v>
      </c>
      <c r="O297" s="189"/>
      <c r="AB297" s="248"/>
      <c r="AC297" s="248"/>
      <c r="AD297" s="248"/>
      <c r="AE297" s="462"/>
      <c r="AF297" s="462"/>
      <c r="AG297" s="462"/>
      <c r="AH297" s="248"/>
      <c r="AI297" s="248"/>
      <c r="AJ297" s="248"/>
      <c r="AK297" s="183">
        <f>IF(AK349=0,0,AK193/AK349)</f>
        <v>0</v>
      </c>
      <c r="AL297" s="183">
        <f>IF(AL349=0,0,AL193/AL349)</f>
        <v>0</v>
      </c>
      <c r="AM297" s="183">
        <f>IF(AM349=0,0,AM193/AM349)</f>
        <v>0</v>
      </c>
      <c r="AN297" s="310"/>
      <c r="AO297" s="310"/>
      <c r="AP297" s="310"/>
      <c r="AQ297" s="698" t="s">
        <v>1328</v>
      </c>
      <c r="AR297" s="310"/>
      <c r="AS297" s="310"/>
    </row>
    <row r="298" spans="13:45" customFormat="1" ht="11.25" customHeight="1">
      <c r="M298" s="696" t="s">
        <v>1522</v>
      </c>
      <c r="N298" s="699" t="s">
        <v>713</v>
      </c>
      <c r="O298" s="189"/>
      <c r="AB298" s="248"/>
      <c r="AC298" s="248"/>
      <c r="AD298" s="248"/>
      <c r="AE298" s="462"/>
      <c r="AF298" s="462"/>
      <c r="AG298" s="462"/>
      <c r="AH298" s="248"/>
      <c r="AI298" s="248"/>
      <c r="AJ298" s="248"/>
      <c r="AK298" s="196"/>
      <c r="AL298" s="196">
        <f t="shared" ref="AL298:AM306" si="20">AK298</f>
        <v>0</v>
      </c>
      <c r="AM298" s="196">
        <f t="shared" si="20"/>
        <v>0</v>
      </c>
      <c r="AN298" s="310"/>
      <c r="AO298" s="310"/>
      <c r="AP298" s="310"/>
      <c r="AQ298" s="698" t="s">
        <v>1329</v>
      </c>
      <c r="AR298" s="310"/>
      <c r="AS298" s="310"/>
    </row>
    <row r="299" spans="13:45" customFormat="1" ht="11.25" customHeight="1">
      <c r="M299" s="696" t="s">
        <v>1523</v>
      </c>
      <c r="N299" s="699" t="s">
        <v>715</v>
      </c>
      <c r="O299" s="189"/>
      <c r="AB299" s="248"/>
      <c r="AC299" s="248"/>
      <c r="AD299" s="248"/>
      <c r="AE299" s="462"/>
      <c r="AF299" s="462"/>
      <c r="AG299" s="462"/>
      <c r="AH299" s="248"/>
      <c r="AI299" s="248"/>
      <c r="AJ299" s="248"/>
      <c r="AK299" s="196"/>
      <c r="AL299" s="196">
        <f t="shared" si="20"/>
        <v>0</v>
      </c>
      <c r="AM299" s="196">
        <f t="shared" si="20"/>
        <v>0</v>
      </c>
      <c r="AN299" s="310"/>
      <c r="AO299" s="310"/>
      <c r="AP299" s="310"/>
      <c r="AQ299" s="698" t="s">
        <v>1330</v>
      </c>
      <c r="AR299" s="310"/>
      <c r="AS299" s="310"/>
    </row>
    <row r="300" spans="13:45" customFormat="1" ht="11.25" customHeight="1">
      <c r="M300" s="696" t="s">
        <v>1524</v>
      </c>
      <c r="N300" s="699" t="s">
        <v>716</v>
      </c>
      <c r="O300" s="189"/>
      <c r="AB300" s="248"/>
      <c r="AC300" s="248"/>
      <c r="AD300" s="248"/>
      <c r="AE300" s="462"/>
      <c r="AF300" s="462"/>
      <c r="AG300" s="462"/>
      <c r="AH300" s="248"/>
      <c r="AI300" s="248"/>
      <c r="AJ300" s="248"/>
      <c r="AK300" s="196"/>
      <c r="AL300" s="196">
        <f t="shared" si="20"/>
        <v>0</v>
      </c>
      <c r="AM300" s="196">
        <f t="shared" si="20"/>
        <v>0</v>
      </c>
      <c r="AN300" s="310"/>
      <c r="AO300" s="310"/>
      <c r="AP300" s="310"/>
      <c r="AQ300" s="698" t="s">
        <v>1331</v>
      </c>
      <c r="AR300" s="310"/>
      <c r="AS300" s="310"/>
    </row>
    <row r="301" spans="13:45" customFormat="1" ht="11.25" customHeight="1">
      <c r="M301" s="696" t="s">
        <v>1525</v>
      </c>
      <c r="N301" s="700" t="s">
        <v>1305</v>
      </c>
      <c r="O301" s="189"/>
      <c r="AB301" s="248"/>
      <c r="AC301" s="248"/>
      <c r="AD301" s="248"/>
      <c r="AE301" s="462"/>
      <c r="AF301" s="462"/>
      <c r="AG301" s="462"/>
      <c r="AH301" s="248"/>
      <c r="AI301" s="248"/>
      <c r="AJ301" s="248"/>
      <c r="AK301" s="196"/>
      <c r="AL301" s="196">
        <f t="shared" si="20"/>
        <v>0</v>
      </c>
      <c r="AM301" s="196">
        <f t="shared" si="20"/>
        <v>0</v>
      </c>
      <c r="AN301" s="310"/>
      <c r="AO301" s="310"/>
      <c r="AP301" s="310"/>
      <c r="AQ301" s="698" t="s">
        <v>1340</v>
      </c>
      <c r="AR301" s="310"/>
      <c r="AS301" s="310"/>
    </row>
    <row r="302" spans="13:45" customFormat="1" ht="11.25" customHeight="1">
      <c r="M302" s="696" t="s">
        <v>1526</v>
      </c>
      <c r="N302" s="700" t="s">
        <v>1306</v>
      </c>
      <c r="O302" s="189"/>
      <c r="AB302" s="248"/>
      <c r="AC302" s="248"/>
      <c r="AD302" s="248"/>
      <c r="AE302" s="462"/>
      <c r="AF302" s="462"/>
      <c r="AG302" s="462"/>
      <c r="AH302" s="248"/>
      <c r="AI302" s="248"/>
      <c r="AJ302" s="248"/>
      <c r="AK302" s="196"/>
      <c r="AL302" s="196">
        <f t="shared" si="20"/>
        <v>0</v>
      </c>
      <c r="AM302" s="196">
        <f t="shared" si="20"/>
        <v>0</v>
      </c>
      <c r="AN302" s="310"/>
      <c r="AO302" s="310"/>
      <c r="AP302" s="310"/>
      <c r="AQ302" s="698" t="s">
        <v>1341</v>
      </c>
      <c r="AR302" s="310"/>
      <c r="AS302" s="310"/>
    </row>
    <row r="303" spans="13:45" customFormat="1" ht="11.25" customHeight="1">
      <c r="M303" s="696" t="s">
        <v>1527</v>
      </c>
      <c r="N303" s="700" t="s">
        <v>1307</v>
      </c>
      <c r="O303" s="189"/>
      <c r="AB303" s="248"/>
      <c r="AC303" s="248"/>
      <c r="AD303" s="248"/>
      <c r="AE303" s="462"/>
      <c r="AF303" s="462"/>
      <c r="AG303" s="462"/>
      <c r="AH303" s="248"/>
      <c r="AI303" s="248"/>
      <c r="AJ303" s="248"/>
      <c r="AK303" s="196"/>
      <c r="AL303" s="196">
        <f t="shared" si="20"/>
        <v>0</v>
      </c>
      <c r="AM303" s="196">
        <f t="shared" si="20"/>
        <v>0</v>
      </c>
      <c r="AN303" s="310"/>
      <c r="AO303" s="310"/>
      <c r="AP303" s="310"/>
      <c r="AQ303" s="698" t="s">
        <v>1342</v>
      </c>
      <c r="AR303" s="310"/>
      <c r="AS303" s="310"/>
    </row>
    <row r="304" spans="13:45" customFormat="1" ht="11.25" customHeight="1">
      <c r="M304" s="696" t="s">
        <v>1528</v>
      </c>
      <c r="N304" s="700" t="s">
        <v>1308</v>
      </c>
      <c r="O304" s="189"/>
      <c r="AB304" s="248"/>
      <c r="AC304" s="248"/>
      <c r="AD304" s="248"/>
      <c r="AE304" s="462"/>
      <c r="AF304" s="462"/>
      <c r="AG304" s="462"/>
      <c r="AH304" s="248"/>
      <c r="AI304" s="248"/>
      <c r="AJ304" s="248"/>
      <c r="AK304" s="196"/>
      <c r="AL304" s="196">
        <f t="shared" si="20"/>
        <v>0</v>
      </c>
      <c r="AM304" s="196">
        <f t="shared" si="20"/>
        <v>0</v>
      </c>
      <c r="AN304" s="310"/>
      <c r="AO304" s="310"/>
      <c r="AP304" s="310"/>
      <c r="AQ304" s="698" t="s">
        <v>1339</v>
      </c>
      <c r="AR304" s="310"/>
      <c r="AS304" s="310"/>
    </row>
    <row r="305" spans="13:45" customFormat="1" ht="11.25" customHeight="1">
      <c r="M305" s="696" t="s">
        <v>1529</v>
      </c>
      <c r="N305" s="701" t="s">
        <v>684</v>
      </c>
      <c r="O305" s="189"/>
      <c r="AB305" s="248"/>
      <c r="AC305" s="248"/>
      <c r="AD305" s="248"/>
      <c r="AE305" s="462"/>
      <c r="AF305" s="462"/>
      <c r="AG305" s="462"/>
      <c r="AH305" s="248"/>
      <c r="AI305" s="248"/>
      <c r="AJ305" s="248"/>
      <c r="AK305" s="196"/>
      <c r="AL305" s="196">
        <f t="shared" si="20"/>
        <v>0</v>
      </c>
      <c r="AM305" s="196">
        <f t="shared" si="20"/>
        <v>0</v>
      </c>
      <c r="AN305" s="310"/>
      <c r="AO305" s="310"/>
      <c r="AP305" s="310"/>
      <c r="AQ305" s="698" t="s">
        <v>1332</v>
      </c>
      <c r="AR305" s="310"/>
      <c r="AS305" s="310"/>
    </row>
    <row r="306" spans="13:45" customFormat="1" ht="11.25" customHeight="1">
      <c r="M306" s="696" t="s">
        <v>1530</v>
      </c>
      <c r="N306" s="702" t="s">
        <v>718</v>
      </c>
      <c r="O306" s="189"/>
      <c r="AB306" s="248"/>
      <c r="AC306" s="248"/>
      <c r="AD306" s="248"/>
      <c r="AE306" s="462"/>
      <c r="AF306" s="462"/>
      <c r="AG306" s="462"/>
      <c r="AH306" s="248"/>
      <c r="AI306" s="248"/>
      <c r="AJ306" s="248"/>
      <c r="AK306" s="196"/>
      <c r="AL306" s="196">
        <f t="shared" si="20"/>
        <v>0</v>
      </c>
      <c r="AM306" s="196">
        <f t="shared" si="20"/>
        <v>0</v>
      </c>
      <c r="AN306" s="310"/>
      <c r="AO306" s="310"/>
      <c r="AP306" s="310"/>
      <c r="AQ306" s="698" t="s">
        <v>1333</v>
      </c>
      <c r="AR306" s="310"/>
      <c r="AS306" s="310"/>
    </row>
    <row r="307" spans="13:45" customFormat="1" ht="11.25" customHeight="1">
      <c r="M307" s="696" t="s">
        <v>1531</v>
      </c>
      <c r="N307" s="703" t="s">
        <v>722</v>
      </c>
      <c r="O307" s="189"/>
      <c r="AB307" s="248"/>
      <c r="AC307" s="248"/>
      <c r="AD307" s="248"/>
      <c r="AE307" s="462"/>
      <c r="AF307" s="462"/>
      <c r="AG307" s="462"/>
      <c r="AH307" s="248"/>
      <c r="AI307" s="248"/>
      <c r="AJ307" s="248"/>
      <c r="AK307" s="183">
        <f>IF(AK359=0,0,AK203/AK359)</f>
        <v>0</v>
      </c>
      <c r="AL307" s="183">
        <f>IF(AL359=0,0,AL203/AL359)</f>
        <v>0</v>
      </c>
      <c r="AM307" s="183">
        <f>IF(AM359=0,0,AM203/AM359)</f>
        <v>0</v>
      </c>
      <c r="AN307" s="310"/>
      <c r="AO307" s="310"/>
      <c r="AP307" s="310"/>
      <c r="AQ307" s="698" t="s">
        <v>1334</v>
      </c>
      <c r="AR307" s="310"/>
      <c r="AS307" s="310"/>
    </row>
    <row r="308" spans="13:45" customFormat="1" ht="11.25" customHeight="1">
      <c r="M308" s="696" t="s">
        <v>1532</v>
      </c>
      <c r="N308" s="704" t="s">
        <v>1309</v>
      </c>
      <c r="O308" s="189"/>
      <c r="AB308" s="248"/>
      <c r="AC308" s="248"/>
      <c r="AD308" s="248"/>
      <c r="AE308" s="462"/>
      <c r="AF308" s="462"/>
      <c r="AG308" s="462"/>
      <c r="AH308" s="248"/>
      <c r="AI308" s="248"/>
      <c r="AJ308" s="248"/>
      <c r="AK308" s="196"/>
      <c r="AL308" s="196">
        <f t="shared" ref="AL308:AM311" si="21">AK308</f>
        <v>0</v>
      </c>
      <c r="AM308" s="196">
        <f t="shared" si="21"/>
        <v>0</v>
      </c>
      <c r="AN308" s="310"/>
      <c r="AO308" s="310"/>
      <c r="AP308" s="310"/>
      <c r="AQ308" s="698" t="s">
        <v>1335</v>
      </c>
      <c r="AR308" s="310"/>
      <c r="AS308" s="310"/>
    </row>
    <row r="309" spans="13:45" customFormat="1" ht="11.25" customHeight="1">
      <c r="M309" s="696" t="s">
        <v>1533</v>
      </c>
      <c r="N309" s="704" t="s">
        <v>1310</v>
      </c>
      <c r="O309" s="189"/>
      <c r="AB309" s="248"/>
      <c r="AC309" s="248"/>
      <c r="AD309" s="248"/>
      <c r="AE309" s="462"/>
      <c r="AF309" s="462"/>
      <c r="AG309" s="462"/>
      <c r="AH309" s="248"/>
      <c r="AI309" s="248"/>
      <c r="AJ309" s="248"/>
      <c r="AK309" s="196"/>
      <c r="AL309" s="196">
        <f t="shared" si="21"/>
        <v>0</v>
      </c>
      <c r="AM309" s="196">
        <f t="shared" si="21"/>
        <v>0</v>
      </c>
      <c r="AN309" s="310"/>
      <c r="AO309" s="310"/>
      <c r="AP309" s="310"/>
      <c r="AQ309" s="698" t="s">
        <v>1336</v>
      </c>
      <c r="AR309" s="310"/>
      <c r="AS309" s="310"/>
    </row>
    <row r="310" spans="13:45" customFormat="1" ht="11.25" customHeight="1">
      <c r="M310" s="696" t="s">
        <v>1534</v>
      </c>
      <c r="N310" s="704" t="s">
        <v>1311</v>
      </c>
      <c r="O310" s="189"/>
      <c r="AB310" s="248"/>
      <c r="AC310" s="248"/>
      <c r="AD310" s="248"/>
      <c r="AE310" s="462"/>
      <c r="AF310" s="462"/>
      <c r="AG310" s="462"/>
      <c r="AH310" s="248"/>
      <c r="AI310" s="248"/>
      <c r="AJ310" s="248"/>
      <c r="AK310" s="196"/>
      <c r="AL310" s="196">
        <f t="shared" si="21"/>
        <v>0</v>
      </c>
      <c r="AM310" s="196">
        <f t="shared" si="21"/>
        <v>0</v>
      </c>
      <c r="AN310" s="310"/>
      <c r="AO310" s="310"/>
      <c r="AP310" s="310"/>
      <c r="AQ310" s="698" t="s">
        <v>1337</v>
      </c>
      <c r="AR310" s="310"/>
      <c r="AS310" s="310"/>
    </row>
    <row r="311" spans="13:45" customFormat="1" ht="11.25" customHeight="1">
      <c r="M311" s="696" t="s">
        <v>1535</v>
      </c>
      <c r="N311" s="704" t="s">
        <v>1312</v>
      </c>
      <c r="O311" s="189"/>
      <c r="AB311" s="248"/>
      <c r="AC311" s="248"/>
      <c r="AD311" s="248"/>
      <c r="AE311" s="462"/>
      <c r="AF311" s="462"/>
      <c r="AG311" s="462"/>
      <c r="AH311" s="248"/>
      <c r="AI311" s="248"/>
      <c r="AJ311" s="248"/>
      <c r="AK311" s="196"/>
      <c r="AL311" s="196">
        <f t="shared" si="21"/>
        <v>0</v>
      </c>
      <c r="AM311" s="196">
        <f t="shared" si="21"/>
        <v>0</v>
      </c>
      <c r="AN311" s="310"/>
      <c r="AO311" s="310"/>
      <c r="AP311" s="310"/>
      <c r="AQ311" s="698" t="s">
        <v>1338</v>
      </c>
      <c r="AR311" s="310"/>
      <c r="AS311" s="310"/>
    </row>
    <row r="312" spans="13:45" customFormat="1" ht="11.25" customHeight="1">
      <c r="M312" s="696" t="s">
        <v>1536</v>
      </c>
      <c r="N312" s="705" t="s">
        <v>720</v>
      </c>
      <c r="O312" s="189"/>
      <c r="AB312" s="248"/>
      <c r="AC312" s="248"/>
      <c r="AD312" s="248"/>
      <c r="AE312" s="462"/>
      <c r="AF312" s="462"/>
      <c r="AG312" s="462"/>
      <c r="AH312" s="248"/>
      <c r="AI312" s="248"/>
      <c r="AJ312" s="248"/>
      <c r="AK312" s="183">
        <f>IF(AK364=0,0,AK208/AK364)</f>
        <v>0</v>
      </c>
      <c r="AL312" s="183">
        <f>IF(AL364=0,0,AL208/AL364)</f>
        <v>0</v>
      </c>
      <c r="AM312" s="183">
        <f>IF(AM364=0,0,AM208/AM364)</f>
        <v>0</v>
      </c>
      <c r="AN312" s="310"/>
      <c r="AO312" s="310"/>
      <c r="AP312" s="310"/>
      <c r="AQ312" s="698" t="s">
        <v>1343</v>
      </c>
      <c r="AR312" s="310"/>
      <c r="AS312" s="310"/>
    </row>
    <row r="313" spans="13:45" customFormat="1" ht="11.25" customHeight="1">
      <c r="M313" s="696" t="s">
        <v>1871</v>
      </c>
      <c r="N313" s="706" t="s">
        <v>1313</v>
      </c>
      <c r="O313" s="189"/>
      <c r="AB313" s="248"/>
      <c r="AC313" s="248"/>
      <c r="AD313" s="248"/>
      <c r="AE313" s="462"/>
      <c r="AF313" s="462"/>
      <c r="AG313" s="462"/>
      <c r="AH313" s="248"/>
      <c r="AI313" s="248"/>
      <c r="AJ313" s="248"/>
      <c r="AK313" s="196"/>
      <c r="AL313" s="196">
        <f t="shared" ref="AL313:AM319" si="22">AK313</f>
        <v>0</v>
      </c>
      <c r="AM313" s="196">
        <f t="shared" si="22"/>
        <v>0</v>
      </c>
      <c r="AN313" s="310"/>
      <c r="AO313" s="310"/>
      <c r="AP313" s="310"/>
      <c r="AQ313" s="698" t="s">
        <v>1866</v>
      </c>
      <c r="AR313" s="310"/>
      <c r="AS313" s="310"/>
    </row>
    <row r="314" spans="13:45" customFormat="1" ht="11.25" customHeight="1">
      <c r="M314" s="696" t="s">
        <v>1852</v>
      </c>
      <c r="N314" s="706" t="s">
        <v>1314</v>
      </c>
      <c r="O314" s="189"/>
      <c r="AB314" s="248"/>
      <c r="AC314" s="248"/>
      <c r="AD314" s="248"/>
      <c r="AE314" s="462"/>
      <c r="AF314" s="462"/>
      <c r="AG314" s="462"/>
      <c r="AH314" s="248"/>
      <c r="AI314" s="248"/>
      <c r="AJ314" s="248"/>
      <c r="AK314" s="196"/>
      <c r="AL314" s="196">
        <f t="shared" si="22"/>
        <v>0</v>
      </c>
      <c r="AM314" s="196">
        <f t="shared" si="22"/>
        <v>0</v>
      </c>
      <c r="AN314" s="310"/>
      <c r="AO314" s="310"/>
      <c r="AP314" s="310"/>
      <c r="AQ314" s="698" t="s">
        <v>1847</v>
      </c>
      <c r="AR314" s="310"/>
      <c r="AS314" s="310"/>
    </row>
    <row r="315" spans="13:45" customFormat="1" ht="11.25" customHeight="1">
      <c r="M315" s="696" t="s">
        <v>1833</v>
      </c>
      <c r="N315" s="706" t="s">
        <v>1315</v>
      </c>
      <c r="O315" s="189"/>
      <c r="AB315" s="248"/>
      <c r="AC315" s="248"/>
      <c r="AD315" s="248"/>
      <c r="AE315" s="462"/>
      <c r="AF315" s="462"/>
      <c r="AG315" s="462"/>
      <c r="AH315" s="248"/>
      <c r="AI315" s="248"/>
      <c r="AJ315" s="248"/>
      <c r="AK315" s="196"/>
      <c r="AL315" s="196">
        <f t="shared" si="22"/>
        <v>0</v>
      </c>
      <c r="AM315" s="196">
        <f t="shared" si="22"/>
        <v>0</v>
      </c>
      <c r="AN315" s="310"/>
      <c r="AO315" s="310"/>
      <c r="AP315" s="310"/>
      <c r="AQ315" s="698" t="s">
        <v>1827</v>
      </c>
      <c r="AR315" s="310"/>
      <c r="AS315" s="310"/>
    </row>
    <row r="316" spans="13:45" customFormat="1" ht="11.25" customHeight="1">
      <c r="M316" s="696" t="s">
        <v>1537</v>
      </c>
      <c r="N316" s="706" t="s">
        <v>1316</v>
      </c>
      <c r="O316" s="189"/>
      <c r="AB316" s="248"/>
      <c r="AC316" s="248"/>
      <c r="AD316" s="248"/>
      <c r="AE316" s="462"/>
      <c r="AF316" s="462"/>
      <c r="AG316" s="462"/>
      <c r="AH316" s="248"/>
      <c r="AI316" s="248"/>
      <c r="AJ316" s="248"/>
      <c r="AK316" s="196"/>
      <c r="AL316" s="196">
        <f t="shared" si="22"/>
        <v>0</v>
      </c>
      <c r="AM316" s="196">
        <f t="shared" si="22"/>
        <v>0</v>
      </c>
      <c r="AN316" s="310"/>
      <c r="AO316" s="310"/>
      <c r="AP316" s="310"/>
      <c r="AQ316" s="698" t="s">
        <v>1344</v>
      </c>
      <c r="AR316" s="310"/>
      <c r="AS316" s="310"/>
    </row>
    <row r="317" spans="13:45" customFormat="1" ht="11.25" customHeight="1">
      <c r="M317" s="696" t="s">
        <v>1538</v>
      </c>
      <c r="N317" s="706" t="s">
        <v>1317</v>
      </c>
      <c r="O317" s="189"/>
      <c r="AB317" s="248"/>
      <c r="AC317" s="248"/>
      <c r="AD317" s="248"/>
      <c r="AE317" s="462"/>
      <c r="AF317" s="462"/>
      <c r="AG317" s="462"/>
      <c r="AH317" s="248"/>
      <c r="AI317" s="248"/>
      <c r="AJ317" s="248"/>
      <c r="AK317" s="196"/>
      <c r="AL317" s="196">
        <f t="shared" si="22"/>
        <v>0</v>
      </c>
      <c r="AM317" s="196">
        <f t="shared" si="22"/>
        <v>0</v>
      </c>
      <c r="AN317" s="310"/>
      <c r="AO317" s="310"/>
      <c r="AP317" s="310"/>
      <c r="AQ317" s="698" t="s">
        <v>1345</v>
      </c>
      <c r="AR317" s="310"/>
      <c r="AS317" s="310"/>
    </row>
    <row r="318" spans="13:45" customFormat="1" ht="11.25" customHeight="1">
      <c r="M318" s="696" t="s">
        <v>1539</v>
      </c>
      <c r="N318" s="706" t="s">
        <v>1318</v>
      </c>
      <c r="O318" s="189"/>
      <c r="AB318" s="248"/>
      <c r="AC318" s="248"/>
      <c r="AD318" s="248"/>
      <c r="AE318" s="462"/>
      <c r="AF318" s="462"/>
      <c r="AG318" s="462"/>
      <c r="AH318" s="248"/>
      <c r="AI318" s="248"/>
      <c r="AJ318" s="248"/>
      <c r="AK318" s="196"/>
      <c r="AL318" s="196">
        <f t="shared" si="22"/>
        <v>0</v>
      </c>
      <c r="AM318" s="196">
        <f t="shared" si="22"/>
        <v>0</v>
      </c>
      <c r="AN318" s="310"/>
      <c r="AO318" s="310"/>
      <c r="AP318" s="310"/>
      <c r="AQ318" s="698" t="s">
        <v>1346</v>
      </c>
      <c r="AR318" s="310"/>
      <c r="AS318" s="310"/>
    </row>
    <row r="319" spans="13:45" customFormat="1" ht="11.25" customHeight="1">
      <c r="M319" s="696" t="s">
        <v>1540</v>
      </c>
      <c r="N319" s="707" t="s">
        <v>721</v>
      </c>
      <c r="O319" s="189"/>
      <c r="AB319" s="248"/>
      <c r="AC319" s="248"/>
      <c r="AD319" s="248"/>
      <c r="AE319" s="462"/>
      <c r="AF319" s="462"/>
      <c r="AG319" s="462"/>
      <c r="AH319" s="248"/>
      <c r="AI319" s="248"/>
      <c r="AJ319" s="248"/>
      <c r="AK319" s="196"/>
      <c r="AL319" s="196">
        <f t="shared" si="22"/>
        <v>0</v>
      </c>
      <c r="AM319" s="196">
        <f t="shared" si="22"/>
        <v>0</v>
      </c>
      <c r="AN319" s="310"/>
      <c r="AO319" s="310"/>
      <c r="AP319" s="310"/>
      <c r="AQ319" s="698" t="s">
        <v>1347</v>
      </c>
      <c r="AR319" s="310"/>
      <c r="AS319" s="310"/>
    </row>
    <row r="320" spans="13:45" customFormat="1" ht="11.25" customHeight="1">
      <c r="M320" s="696" t="s">
        <v>1541</v>
      </c>
      <c r="N320" s="708" t="s">
        <v>712</v>
      </c>
      <c r="O320" s="189"/>
      <c r="AB320" s="248"/>
      <c r="AC320" s="248"/>
      <c r="AD320" s="248"/>
      <c r="AE320" s="462"/>
      <c r="AF320" s="462"/>
      <c r="AG320" s="462"/>
      <c r="AH320" s="248"/>
      <c r="AI320" s="248"/>
      <c r="AJ320" s="248"/>
      <c r="AK320" s="183">
        <f>IF(AK372=0,0,AK216/AK372)</f>
        <v>0</v>
      </c>
      <c r="AL320" s="183">
        <f>IF(AL372=0,0,AL216/AL372)</f>
        <v>0</v>
      </c>
      <c r="AM320" s="183">
        <f>IF(AM372=0,0,AM216/AM372)</f>
        <v>0</v>
      </c>
      <c r="AN320" s="310"/>
      <c r="AO320" s="310"/>
      <c r="AP320" s="310"/>
      <c r="AQ320" s="698" t="s">
        <v>1348</v>
      </c>
      <c r="AR320" s="310"/>
      <c r="AS320" s="310"/>
    </row>
    <row r="321" spans="13:45" customFormat="1" ht="11.25" customHeight="1">
      <c r="M321" s="696" t="s">
        <v>2722</v>
      </c>
      <c r="N321" s="709" t="s">
        <v>1319</v>
      </c>
      <c r="O321" s="189"/>
      <c r="AB321" s="248"/>
      <c r="AC321" s="248"/>
      <c r="AD321" s="248"/>
      <c r="AE321" s="462"/>
      <c r="AF321" s="462"/>
      <c r="AG321" s="462"/>
      <c r="AH321" s="248"/>
      <c r="AI321" s="248"/>
      <c r="AJ321" s="248"/>
      <c r="AK321" s="196"/>
      <c r="AL321" s="196">
        <f t="shared" ref="AL321:AM337" si="23">AK321</f>
        <v>0</v>
      </c>
      <c r="AM321" s="196">
        <f t="shared" si="23"/>
        <v>0</v>
      </c>
      <c r="AN321" s="310"/>
      <c r="AO321" s="310"/>
      <c r="AP321" s="310"/>
      <c r="AQ321" s="698" t="s">
        <v>2612</v>
      </c>
      <c r="AR321" s="310"/>
      <c r="AS321" s="310"/>
    </row>
    <row r="322" spans="13:45" customFormat="1" ht="11.25" customHeight="1">
      <c r="M322" s="696" t="s">
        <v>2723</v>
      </c>
      <c r="N322" s="709" t="s">
        <v>1320</v>
      </c>
      <c r="O322" s="189"/>
      <c r="AB322" s="248"/>
      <c r="AC322" s="248"/>
      <c r="AD322" s="248"/>
      <c r="AE322" s="462"/>
      <c r="AF322" s="462"/>
      <c r="AG322" s="462"/>
      <c r="AH322" s="248"/>
      <c r="AI322" s="248"/>
      <c r="AJ322" s="248"/>
      <c r="AK322" s="196"/>
      <c r="AL322" s="196">
        <f t="shared" si="23"/>
        <v>0</v>
      </c>
      <c r="AM322" s="196">
        <f t="shared" si="23"/>
        <v>0</v>
      </c>
      <c r="AN322" s="310"/>
      <c r="AO322" s="310"/>
      <c r="AP322" s="310"/>
      <c r="AQ322" s="698" t="s">
        <v>2614</v>
      </c>
      <c r="AR322" s="310"/>
      <c r="AS322" s="310"/>
    </row>
    <row r="323" spans="13:45" customFormat="1" ht="11.25" customHeight="1">
      <c r="M323" s="696" t="s">
        <v>2724</v>
      </c>
      <c r="N323" s="709" t="s">
        <v>1321</v>
      </c>
      <c r="O323" s="189"/>
      <c r="AB323" s="248"/>
      <c r="AC323" s="248"/>
      <c r="AD323" s="248"/>
      <c r="AE323" s="462"/>
      <c r="AF323" s="462"/>
      <c r="AG323" s="462"/>
      <c r="AH323" s="248"/>
      <c r="AI323" s="248"/>
      <c r="AJ323" s="248"/>
      <c r="AK323" s="196"/>
      <c r="AL323" s="196">
        <f t="shared" si="23"/>
        <v>0</v>
      </c>
      <c r="AM323" s="196">
        <f t="shared" si="23"/>
        <v>0</v>
      </c>
      <c r="AN323" s="310"/>
      <c r="AO323" s="310"/>
      <c r="AP323" s="310"/>
      <c r="AQ323" s="698" t="s">
        <v>2616</v>
      </c>
      <c r="AR323" s="310"/>
      <c r="AS323" s="310"/>
    </row>
    <row r="324" spans="13:45" customFormat="1" ht="11.25" customHeight="1">
      <c r="M324" s="696" t="s">
        <v>2725</v>
      </c>
      <c r="N324" s="709" t="s">
        <v>2618</v>
      </c>
      <c r="O324" s="189"/>
      <c r="AB324" s="248"/>
      <c r="AC324" s="248"/>
      <c r="AD324" s="248"/>
      <c r="AE324" s="462"/>
      <c r="AF324" s="462"/>
      <c r="AG324" s="462"/>
      <c r="AH324" s="248"/>
      <c r="AI324" s="248"/>
      <c r="AJ324" s="248"/>
      <c r="AK324" s="196"/>
      <c r="AL324" s="196">
        <f t="shared" si="23"/>
        <v>0</v>
      </c>
      <c r="AM324" s="196">
        <f t="shared" si="23"/>
        <v>0</v>
      </c>
      <c r="AN324" s="310"/>
      <c r="AO324" s="310"/>
      <c r="AP324" s="310"/>
      <c r="AQ324" s="698" t="s">
        <v>2619</v>
      </c>
      <c r="AR324" s="310"/>
      <c r="AS324" s="310"/>
    </row>
    <row r="325" spans="13:45" customFormat="1" ht="11.25" customHeight="1">
      <c r="M325" s="696" t="s">
        <v>2726</v>
      </c>
      <c r="N325" s="709" t="s">
        <v>2621</v>
      </c>
      <c r="O325" s="189"/>
      <c r="AB325" s="248"/>
      <c r="AC325" s="248"/>
      <c r="AD325" s="248"/>
      <c r="AE325" s="462"/>
      <c r="AF325" s="462"/>
      <c r="AG325" s="462"/>
      <c r="AH325" s="248"/>
      <c r="AI325" s="248"/>
      <c r="AJ325" s="248"/>
      <c r="AK325" s="196"/>
      <c r="AL325" s="196">
        <f t="shared" si="23"/>
        <v>0</v>
      </c>
      <c r="AM325" s="196">
        <f t="shared" si="23"/>
        <v>0</v>
      </c>
      <c r="AN325" s="310"/>
      <c r="AO325" s="310"/>
      <c r="AP325" s="310"/>
      <c r="AQ325" s="698" t="s">
        <v>2622</v>
      </c>
      <c r="AR325" s="310"/>
      <c r="AS325" s="310"/>
    </row>
    <row r="326" spans="13:45" customFormat="1" ht="11.25" customHeight="1">
      <c r="M326" s="696" t="s">
        <v>2727</v>
      </c>
      <c r="N326" s="709" t="s">
        <v>1322</v>
      </c>
      <c r="O326" s="189"/>
      <c r="AB326" s="248"/>
      <c r="AC326" s="248"/>
      <c r="AD326" s="248"/>
      <c r="AE326" s="462"/>
      <c r="AF326" s="462"/>
      <c r="AG326" s="462"/>
      <c r="AH326" s="248"/>
      <c r="AI326" s="248"/>
      <c r="AJ326" s="248"/>
      <c r="AK326" s="196"/>
      <c r="AL326" s="196">
        <f t="shared" si="23"/>
        <v>0</v>
      </c>
      <c r="AM326" s="196">
        <f t="shared" si="23"/>
        <v>0</v>
      </c>
      <c r="AN326" s="310"/>
      <c r="AO326" s="310"/>
      <c r="AP326" s="310"/>
      <c r="AQ326" s="698" t="s">
        <v>2624</v>
      </c>
      <c r="AR326" s="310"/>
      <c r="AS326" s="310"/>
    </row>
    <row r="327" spans="13:45" customFormat="1" ht="11.25" customHeight="1">
      <c r="M327" s="696" t="s">
        <v>2728</v>
      </c>
      <c r="N327" s="709" t="s">
        <v>2626</v>
      </c>
      <c r="O327" s="189"/>
      <c r="AB327" s="248"/>
      <c r="AC327" s="248"/>
      <c r="AD327" s="248"/>
      <c r="AE327" s="462"/>
      <c r="AF327" s="462"/>
      <c r="AG327" s="462"/>
      <c r="AH327" s="248"/>
      <c r="AI327" s="248"/>
      <c r="AJ327" s="248"/>
      <c r="AK327" s="196"/>
      <c r="AL327" s="196">
        <f t="shared" si="23"/>
        <v>0</v>
      </c>
      <c r="AM327" s="196">
        <f t="shared" si="23"/>
        <v>0</v>
      </c>
      <c r="AN327" s="310"/>
      <c r="AO327" s="310"/>
      <c r="AP327" s="310"/>
      <c r="AQ327" s="698" t="s">
        <v>2627</v>
      </c>
      <c r="AR327" s="310"/>
      <c r="AS327" s="310"/>
    </row>
    <row r="328" spans="13:45" customFormat="1" ht="11.25" customHeight="1">
      <c r="M328" s="696" t="s">
        <v>2729</v>
      </c>
      <c r="N328" s="709" t="s">
        <v>1323</v>
      </c>
      <c r="O328" s="189"/>
      <c r="AB328" s="248"/>
      <c r="AC328" s="248"/>
      <c r="AD328" s="248"/>
      <c r="AE328" s="462"/>
      <c r="AF328" s="462"/>
      <c r="AG328" s="462"/>
      <c r="AH328" s="248"/>
      <c r="AI328" s="248"/>
      <c r="AJ328" s="248"/>
      <c r="AK328" s="196"/>
      <c r="AL328" s="196">
        <f t="shared" si="23"/>
        <v>0</v>
      </c>
      <c r="AM328" s="196">
        <f t="shared" si="23"/>
        <v>0</v>
      </c>
      <c r="AN328" s="310"/>
      <c r="AO328" s="310"/>
      <c r="AP328" s="310"/>
      <c r="AQ328" s="698" t="s">
        <v>2629</v>
      </c>
      <c r="AR328" s="310"/>
      <c r="AS328" s="310"/>
    </row>
    <row r="329" spans="13:45" customFormat="1" ht="11.25" customHeight="1">
      <c r="M329" s="696" t="s">
        <v>2730</v>
      </c>
      <c r="N329" s="709" t="s">
        <v>1324</v>
      </c>
      <c r="O329" s="189"/>
      <c r="AB329" s="248"/>
      <c r="AC329" s="248"/>
      <c r="AD329" s="248"/>
      <c r="AE329" s="462"/>
      <c r="AF329" s="462"/>
      <c r="AG329" s="462"/>
      <c r="AH329" s="248"/>
      <c r="AI329" s="248"/>
      <c r="AJ329" s="248"/>
      <c r="AK329" s="196"/>
      <c r="AL329" s="196">
        <f t="shared" si="23"/>
        <v>0</v>
      </c>
      <c r="AM329" s="196">
        <f t="shared" si="23"/>
        <v>0</v>
      </c>
      <c r="AN329" s="310"/>
      <c r="AO329" s="310"/>
      <c r="AP329" s="310"/>
      <c r="AQ329" s="698" t="s">
        <v>2631</v>
      </c>
      <c r="AR329" s="310"/>
      <c r="AS329" s="310"/>
    </row>
    <row r="330" spans="13:45" customFormat="1" ht="11.25" customHeight="1">
      <c r="M330" s="696" t="s">
        <v>2731</v>
      </c>
      <c r="N330" s="709" t="s">
        <v>2633</v>
      </c>
      <c r="O330" s="189"/>
      <c r="AB330" s="248"/>
      <c r="AC330" s="248"/>
      <c r="AD330" s="248"/>
      <c r="AE330" s="462"/>
      <c r="AF330" s="462"/>
      <c r="AG330" s="462"/>
      <c r="AH330" s="248"/>
      <c r="AI330" s="248"/>
      <c r="AJ330" s="248"/>
      <c r="AK330" s="196"/>
      <c r="AL330" s="196">
        <f t="shared" si="23"/>
        <v>0</v>
      </c>
      <c r="AM330" s="196">
        <f t="shared" si="23"/>
        <v>0</v>
      </c>
      <c r="AN330" s="310"/>
      <c r="AO330" s="310"/>
      <c r="AP330" s="310"/>
      <c r="AQ330" s="698" t="s">
        <v>2634</v>
      </c>
      <c r="AR330" s="310"/>
      <c r="AS330" s="310"/>
    </row>
    <row r="331" spans="13:45" customFormat="1" ht="11.25" customHeight="1">
      <c r="M331" s="696" t="s">
        <v>2732</v>
      </c>
      <c r="N331" s="709" t="s">
        <v>2636</v>
      </c>
      <c r="O331" s="189"/>
      <c r="AB331" s="248"/>
      <c r="AC331" s="248"/>
      <c r="AD331" s="248"/>
      <c r="AE331" s="462"/>
      <c r="AF331" s="462"/>
      <c r="AG331" s="462"/>
      <c r="AH331" s="248"/>
      <c r="AI331" s="248"/>
      <c r="AJ331" s="248"/>
      <c r="AK331" s="196"/>
      <c r="AL331" s="196">
        <f t="shared" si="23"/>
        <v>0</v>
      </c>
      <c r="AM331" s="196">
        <f t="shared" si="23"/>
        <v>0</v>
      </c>
      <c r="AN331" s="310"/>
      <c r="AO331" s="310"/>
      <c r="AP331" s="310"/>
      <c r="AQ331" s="698" t="s">
        <v>2637</v>
      </c>
      <c r="AR331" s="310"/>
      <c r="AS331" s="310"/>
    </row>
    <row r="332" spans="13:45" customFormat="1" ht="11.25" customHeight="1">
      <c r="M332" s="696" t="s">
        <v>2733</v>
      </c>
      <c r="N332" s="709" t="s">
        <v>2639</v>
      </c>
      <c r="O332" s="189"/>
      <c r="AB332" s="248"/>
      <c r="AC332" s="248"/>
      <c r="AD332" s="248"/>
      <c r="AE332" s="462"/>
      <c r="AF332" s="462"/>
      <c r="AG332" s="462"/>
      <c r="AH332" s="248"/>
      <c r="AI332" s="248"/>
      <c r="AJ332" s="248"/>
      <c r="AK332" s="196"/>
      <c r="AL332" s="196">
        <f t="shared" si="23"/>
        <v>0</v>
      </c>
      <c r="AM332" s="196">
        <f t="shared" si="23"/>
        <v>0</v>
      </c>
      <c r="AN332" s="310"/>
      <c r="AO332" s="310"/>
      <c r="AP332" s="310"/>
      <c r="AQ332" s="698" t="s">
        <v>2640</v>
      </c>
      <c r="AR332" s="310"/>
      <c r="AS332" s="310"/>
    </row>
    <row r="333" spans="13:45" customFormat="1" ht="11.25" customHeight="1">
      <c r="M333" s="696" t="s">
        <v>2734</v>
      </c>
      <c r="N333" s="709" t="s">
        <v>2642</v>
      </c>
      <c r="O333" s="189"/>
      <c r="AB333" s="248"/>
      <c r="AC333" s="248"/>
      <c r="AD333" s="248"/>
      <c r="AE333" s="462"/>
      <c r="AF333" s="462"/>
      <c r="AG333" s="462"/>
      <c r="AH333" s="248"/>
      <c r="AI333" s="248"/>
      <c r="AJ333" s="248"/>
      <c r="AK333" s="196"/>
      <c r="AL333" s="196">
        <f t="shared" si="23"/>
        <v>0</v>
      </c>
      <c r="AM333" s="196">
        <f t="shared" si="23"/>
        <v>0</v>
      </c>
      <c r="AN333" s="310"/>
      <c r="AO333" s="310"/>
      <c r="AP333" s="310"/>
      <c r="AQ333" s="698" t="s">
        <v>2643</v>
      </c>
      <c r="AR333" s="310"/>
      <c r="AS333" s="310"/>
    </row>
    <row r="334" spans="13:45" customFormat="1" ht="11.25" customHeight="1">
      <c r="M334" s="696" t="s">
        <v>2735</v>
      </c>
      <c r="N334" s="709" t="s">
        <v>2645</v>
      </c>
      <c r="O334" s="189"/>
      <c r="AB334" s="248"/>
      <c r="AC334" s="248"/>
      <c r="AD334" s="248"/>
      <c r="AE334" s="462"/>
      <c r="AF334" s="462"/>
      <c r="AG334" s="462"/>
      <c r="AH334" s="248"/>
      <c r="AI334" s="248"/>
      <c r="AJ334" s="248"/>
      <c r="AK334" s="196"/>
      <c r="AL334" s="196">
        <f t="shared" si="23"/>
        <v>0</v>
      </c>
      <c r="AM334" s="196">
        <f t="shared" si="23"/>
        <v>0</v>
      </c>
      <c r="AN334" s="310"/>
      <c r="AO334" s="310"/>
      <c r="AP334" s="310"/>
      <c r="AQ334" s="698" t="s">
        <v>2646</v>
      </c>
      <c r="AR334" s="310"/>
      <c r="AS334" s="310"/>
    </row>
    <row r="335" spans="13:45" customFormat="1" ht="11.25" customHeight="1">
      <c r="M335" s="696" t="s">
        <v>2736</v>
      </c>
      <c r="N335" s="709" t="s">
        <v>1325</v>
      </c>
      <c r="O335" s="189"/>
      <c r="AB335" s="248"/>
      <c r="AC335" s="248"/>
      <c r="AD335" s="248"/>
      <c r="AE335" s="462"/>
      <c r="AF335" s="462"/>
      <c r="AG335" s="462"/>
      <c r="AH335" s="248"/>
      <c r="AI335" s="248"/>
      <c r="AJ335" s="248"/>
      <c r="AK335" s="196"/>
      <c r="AL335" s="196">
        <f t="shared" si="23"/>
        <v>0</v>
      </c>
      <c r="AM335" s="196">
        <f t="shared" si="23"/>
        <v>0</v>
      </c>
      <c r="AN335" s="310"/>
      <c r="AO335" s="310"/>
      <c r="AP335" s="310"/>
      <c r="AQ335" s="698" t="s">
        <v>2648</v>
      </c>
      <c r="AR335" s="310"/>
      <c r="AS335" s="310"/>
    </row>
    <row r="336" spans="13:45" customFormat="1" ht="11.25" customHeight="1">
      <c r="M336" s="696" t="s">
        <v>2737</v>
      </c>
      <c r="N336" s="709" t="s">
        <v>1326</v>
      </c>
      <c r="O336" s="189"/>
      <c r="AB336" s="248"/>
      <c r="AC336" s="248"/>
      <c r="AD336" s="248"/>
      <c r="AE336" s="462"/>
      <c r="AF336" s="462"/>
      <c r="AG336" s="462"/>
      <c r="AH336" s="248"/>
      <c r="AI336" s="248"/>
      <c r="AJ336" s="248"/>
      <c r="AK336" s="196"/>
      <c r="AL336" s="196">
        <f t="shared" si="23"/>
        <v>0</v>
      </c>
      <c r="AM336" s="196">
        <f t="shared" si="23"/>
        <v>0</v>
      </c>
      <c r="AN336" s="310"/>
      <c r="AO336" s="310"/>
      <c r="AP336" s="310"/>
      <c r="AQ336" s="698" t="s">
        <v>2650</v>
      </c>
      <c r="AR336" s="310"/>
      <c r="AS336" s="310"/>
    </row>
    <row r="337" spans="13:45" customFormat="1" ht="11.25" customHeight="1">
      <c r="M337" s="696" t="s">
        <v>2738</v>
      </c>
      <c r="N337" s="709" t="s">
        <v>2652</v>
      </c>
      <c r="O337" s="189"/>
      <c r="AB337" s="248"/>
      <c r="AC337" s="248"/>
      <c r="AD337" s="248"/>
      <c r="AE337" s="462"/>
      <c r="AF337" s="462"/>
      <c r="AG337" s="462"/>
      <c r="AH337" s="248"/>
      <c r="AI337" s="248"/>
      <c r="AJ337" s="248"/>
      <c r="AK337" s="196"/>
      <c r="AL337" s="196">
        <f t="shared" si="23"/>
        <v>0</v>
      </c>
      <c r="AM337" s="196">
        <f t="shared" si="23"/>
        <v>0</v>
      </c>
      <c r="AN337" s="310"/>
      <c r="AO337" s="310"/>
      <c r="AP337" s="310"/>
      <c r="AQ337" s="698" t="s">
        <v>2653</v>
      </c>
      <c r="AR337" s="310"/>
      <c r="AS337" s="310"/>
    </row>
    <row r="338" spans="13:45" customFormat="1" ht="11.25" customHeight="1">
      <c r="M338" s="718"/>
      <c r="N338" s="460"/>
      <c r="O338" s="461"/>
      <c r="AB338" s="248"/>
      <c r="AC338" s="248"/>
      <c r="AD338" s="248"/>
      <c r="AE338" s="462"/>
      <c r="AF338" s="462"/>
      <c r="AG338" s="462"/>
      <c r="AH338" s="248"/>
      <c r="AI338" s="248"/>
      <c r="AJ338" s="248"/>
      <c r="AK338" s="266"/>
      <c r="AL338" s="266"/>
      <c r="AM338" s="266"/>
      <c r="AN338" s="310"/>
      <c r="AO338" s="310"/>
      <c r="AP338" s="310"/>
      <c r="AQ338" s="698"/>
      <c r="AR338" s="310"/>
      <c r="AS338" s="310"/>
    </row>
    <row r="339" spans="13:45" customFormat="1" ht="11.25" customHeight="1">
      <c r="M339" s="718"/>
      <c r="N339" s="460"/>
      <c r="O339" s="461"/>
      <c r="AB339" s="248"/>
      <c r="AC339" s="248"/>
      <c r="AD339" s="248"/>
      <c r="AE339" s="462"/>
      <c r="AF339" s="462"/>
      <c r="AG339" s="462"/>
      <c r="AH339" s="248"/>
      <c r="AI339" s="248"/>
      <c r="AJ339" s="248"/>
      <c r="AK339" s="266"/>
      <c r="AL339" s="266"/>
      <c r="AM339" s="266"/>
      <c r="AN339" s="310"/>
      <c r="AO339" s="310"/>
      <c r="AP339" s="310"/>
      <c r="AQ339" s="698"/>
      <c r="AR339" s="310"/>
      <c r="AS339" s="310"/>
    </row>
    <row r="340" spans="13:45" customFormat="1" ht="11.25" customHeight="1">
      <c r="M340" s="696" t="s">
        <v>1542</v>
      </c>
      <c r="N340" s="719" t="s">
        <v>1327</v>
      </c>
      <c r="O340" s="189"/>
      <c r="AB340" s="248"/>
      <c r="AC340" s="248"/>
      <c r="AD340" s="248"/>
      <c r="AE340" s="462"/>
      <c r="AF340" s="462"/>
      <c r="AG340" s="462"/>
      <c r="AH340" s="248"/>
      <c r="AI340" s="248"/>
      <c r="AJ340" s="248"/>
      <c r="AK340" s="196"/>
      <c r="AL340" s="196">
        <f t="shared" ref="AL340:AM346" si="24">AK340</f>
        <v>0</v>
      </c>
      <c r="AM340" s="196">
        <f t="shared" si="24"/>
        <v>0</v>
      </c>
      <c r="AN340" s="310"/>
      <c r="AO340" s="310"/>
      <c r="AP340" s="310"/>
      <c r="AQ340" s="698" t="s">
        <v>1357</v>
      </c>
      <c r="AR340" s="310"/>
      <c r="AS340" s="310"/>
    </row>
    <row r="341" spans="13:45" customFormat="1" ht="11.25" customHeight="1">
      <c r="M341" s="696" t="s">
        <v>1543</v>
      </c>
      <c r="N341" s="712" t="s">
        <v>723</v>
      </c>
      <c r="O341" s="189"/>
      <c r="AB341" s="248"/>
      <c r="AC341" s="248"/>
      <c r="AD341" s="248"/>
      <c r="AE341" s="462"/>
      <c r="AF341" s="462"/>
      <c r="AG341" s="462"/>
      <c r="AH341" s="248"/>
      <c r="AI341" s="248"/>
      <c r="AJ341" s="248"/>
      <c r="AK341" s="196"/>
      <c r="AL341" s="196">
        <f t="shared" si="24"/>
        <v>0</v>
      </c>
      <c r="AM341" s="196">
        <f t="shared" si="24"/>
        <v>0</v>
      </c>
      <c r="AN341" s="310"/>
      <c r="AO341" s="310"/>
      <c r="AP341" s="310"/>
      <c r="AQ341" s="698" t="s">
        <v>1350</v>
      </c>
      <c r="AR341" s="310"/>
      <c r="AS341" s="310"/>
    </row>
    <row r="342" spans="13:45" customFormat="1" ht="11.25" customHeight="1">
      <c r="M342" s="696" t="s">
        <v>1544</v>
      </c>
      <c r="N342" s="713" t="s">
        <v>748</v>
      </c>
      <c r="O342" s="189"/>
      <c r="AB342" s="248"/>
      <c r="AC342" s="248"/>
      <c r="AD342" s="248"/>
      <c r="AE342" s="462"/>
      <c r="AF342" s="462"/>
      <c r="AG342" s="462"/>
      <c r="AH342" s="248"/>
      <c r="AI342" s="248"/>
      <c r="AJ342" s="248"/>
      <c r="AK342" s="196"/>
      <c r="AL342" s="196">
        <f t="shared" si="24"/>
        <v>0</v>
      </c>
      <c r="AM342" s="196">
        <f t="shared" si="24"/>
        <v>0</v>
      </c>
      <c r="AN342" s="310"/>
      <c r="AO342" s="310"/>
      <c r="AP342" s="310"/>
      <c r="AQ342" s="698" t="s">
        <v>1351</v>
      </c>
      <c r="AR342" s="310"/>
      <c r="AS342" s="310"/>
    </row>
    <row r="343" spans="13:45" customFormat="1" ht="11.25" customHeight="1">
      <c r="M343" s="696" t="s">
        <v>1545</v>
      </c>
      <c r="N343" s="714" t="s">
        <v>315</v>
      </c>
      <c r="O343" s="189"/>
      <c r="AB343" s="248"/>
      <c r="AC343" s="248"/>
      <c r="AD343" s="248"/>
      <c r="AE343" s="462"/>
      <c r="AF343" s="462"/>
      <c r="AG343" s="462"/>
      <c r="AH343" s="248"/>
      <c r="AI343" s="248"/>
      <c r="AJ343" s="248"/>
      <c r="AK343" s="196"/>
      <c r="AL343" s="196">
        <f t="shared" si="24"/>
        <v>0</v>
      </c>
      <c r="AM343" s="196">
        <f t="shared" si="24"/>
        <v>0</v>
      </c>
      <c r="AN343" s="310"/>
      <c r="AO343" s="310"/>
      <c r="AP343" s="310"/>
      <c r="AQ343" s="698" t="s">
        <v>1352</v>
      </c>
      <c r="AR343" s="310"/>
      <c r="AS343" s="310"/>
    </row>
    <row r="344" spans="13:45" customFormat="1" ht="11.25" customHeight="1">
      <c r="M344" s="696" t="s">
        <v>1546</v>
      </c>
      <c r="N344" s="715" t="s">
        <v>316</v>
      </c>
      <c r="O344" s="189"/>
      <c r="AB344" s="248"/>
      <c r="AC344" s="248"/>
      <c r="AD344" s="248"/>
      <c r="AE344" s="462"/>
      <c r="AF344" s="462"/>
      <c r="AG344" s="462"/>
      <c r="AH344" s="248"/>
      <c r="AI344" s="248"/>
      <c r="AJ344" s="248"/>
      <c r="AK344" s="196"/>
      <c r="AL344" s="196">
        <f t="shared" si="24"/>
        <v>0</v>
      </c>
      <c r="AM344" s="196">
        <f t="shared" si="24"/>
        <v>0</v>
      </c>
      <c r="AN344" s="310"/>
      <c r="AO344" s="310"/>
      <c r="AP344" s="310"/>
      <c r="AQ344" s="698" t="s">
        <v>1354</v>
      </c>
      <c r="AR344" s="310"/>
      <c r="AS344" s="310"/>
    </row>
    <row r="345" spans="13:45" customFormat="1" ht="11.25" customHeight="1">
      <c r="M345" s="696" t="s">
        <v>1547</v>
      </c>
      <c r="N345" s="716" t="s">
        <v>317</v>
      </c>
      <c r="O345" s="189"/>
      <c r="AB345" s="248"/>
      <c r="AC345" s="248"/>
      <c r="AD345" s="248"/>
      <c r="AE345" s="462"/>
      <c r="AF345" s="462"/>
      <c r="AG345" s="462"/>
      <c r="AH345" s="248"/>
      <c r="AI345" s="248"/>
      <c r="AJ345" s="248"/>
      <c r="AK345" s="196"/>
      <c r="AL345" s="196">
        <f t="shared" si="24"/>
        <v>0</v>
      </c>
      <c r="AM345" s="196">
        <f t="shared" si="24"/>
        <v>0</v>
      </c>
      <c r="AN345" s="310"/>
      <c r="AO345" s="310"/>
      <c r="AP345" s="310"/>
      <c r="AQ345" s="698" t="s">
        <v>1353</v>
      </c>
      <c r="AR345" s="310"/>
      <c r="AS345" s="310"/>
    </row>
    <row r="346" spans="13:45" customFormat="1" ht="11.25" customHeight="1">
      <c r="M346" s="696" t="s">
        <v>1548</v>
      </c>
      <c r="N346" s="701" t="s">
        <v>318</v>
      </c>
      <c r="O346" s="189"/>
      <c r="AB346" s="248"/>
      <c r="AC346" s="248"/>
      <c r="AD346" s="248"/>
      <c r="AE346" s="462"/>
      <c r="AF346" s="462"/>
      <c r="AG346" s="462"/>
      <c r="AH346" s="248"/>
      <c r="AI346" s="248"/>
      <c r="AJ346" s="248"/>
      <c r="AK346" s="196"/>
      <c r="AL346" s="196">
        <f t="shared" si="24"/>
        <v>0</v>
      </c>
      <c r="AM346" s="196">
        <f t="shared" si="24"/>
        <v>0</v>
      </c>
      <c r="AN346" s="310"/>
      <c r="AO346" s="310"/>
      <c r="AP346" s="310"/>
      <c r="AQ346" s="698" t="s">
        <v>1355</v>
      </c>
      <c r="AR346" s="310"/>
      <c r="AS346" s="310"/>
    </row>
    <row r="347" spans="13:45" customFormat="1" ht="11.25" customHeight="1">
      <c r="M347" s="718"/>
      <c r="N347" s="460"/>
      <c r="O347" s="461"/>
      <c r="AB347" s="248"/>
      <c r="AC347" s="248"/>
      <c r="AD347" s="248"/>
      <c r="AE347" s="462"/>
      <c r="AF347" s="462"/>
      <c r="AG347" s="462"/>
      <c r="AH347" s="248"/>
      <c r="AI347" s="248"/>
      <c r="AJ347" s="248"/>
      <c r="AK347" s="266"/>
      <c r="AL347" s="266"/>
      <c r="AM347" s="266"/>
      <c r="AN347" s="310"/>
      <c r="AO347" s="310"/>
      <c r="AP347" s="310"/>
      <c r="AQ347" s="698"/>
      <c r="AR347" s="310"/>
      <c r="AS347" s="310"/>
    </row>
    <row r="348" spans="13:45" customFormat="1" ht="11.25" customHeight="1">
      <c r="M348" s="490" t="s">
        <v>1360</v>
      </c>
      <c r="N348" s="463" t="s">
        <v>757</v>
      </c>
      <c r="O348" s="189"/>
      <c r="AB348" s="248"/>
      <c r="AC348" s="248"/>
      <c r="AD348" s="248"/>
      <c r="AE348" s="462"/>
      <c r="AF348" s="462"/>
      <c r="AG348" s="462"/>
      <c r="AH348" s="248"/>
      <c r="AI348" s="248"/>
      <c r="AJ348" s="248"/>
      <c r="AK348" s="241"/>
      <c r="AL348" s="241"/>
      <c r="AM348" s="241"/>
      <c r="AN348" s="310"/>
      <c r="AO348" s="310"/>
      <c r="AP348" s="310"/>
      <c r="AQ348" s="36"/>
      <c r="AR348" s="310"/>
      <c r="AS348" s="310"/>
    </row>
    <row r="349" spans="13:45" customFormat="1" ht="11.25" customHeight="1">
      <c r="M349" s="696" t="s">
        <v>1549</v>
      </c>
      <c r="N349" s="697" t="s">
        <v>1304</v>
      </c>
      <c r="O349" s="189" t="s">
        <v>507</v>
      </c>
      <c r="AB349" s="248"/>
      <c r="AC349" s="248"/>
      <c r="AD349" s="248"/>
      <c r="AE349" s="462"/>
      <c r="AF349" s="462"/>
      <c r="AG349" s="462"/>
      <c r="AH349" s="248"/>
      <c r="AI349" s="248"/>
      <c r="AJ349" s="248"/>
      <c r="AK349" s="183">
        <f>AL349+AM349</f>
        <v>0</v>
      </c>
      <c r="AL349" s="183">
        <f>SUM(AL350:AL352)</f>
        <v>0</v>
      </c>
      <c r="AM349" s="183">
        <f>SUM(AM350:AM352)</f>
        <v>0</v>
      </c>
      <c r="AN349" s="310"/>
      <c r="AO349" s="310"/>
      <c r="AP349" s="310"/>
      <c r="AQ349" s="698" t="s">
        <v>1328</v>
      </c>
      <c r="AR349" s="310"/>
      <c r="AS349" s="310"/>
    </row>
    <row r="350" spans="13:45" customFormat="1" ht="11.25" customHeight="1">
      <c r="M350" s="696" t="s">
        <v>1550</v>
      </c>
      <c r="N350" s="699" t="s">
        <v>713</v>
      </c>
      <c r="O350" s="189" t="s">
        <v>507</v>
      </c>
      <c r="AB350" s="248"/>
      <c r="AC350" s="248"/>
      <c r="AD350" s="248"/>
      <c r="AE350" s="462"/>
      <c r="AF350" s="462"/>
      <c r="AG350" s="462"/>
      <c r="AH350" s="248"/>
      <c r="AI350" s="248"/>
      <c r="AJ350" s="248"/>
      <c r="AK350" s="240">
        <f>AK401</f>
        <v>0</v>
      </c>
      <c r="AL350" s="240">
        <f>AL401</f>
        <v>0</v>
      </c>
      <c r="AM350" s="240">
        <f>AM401</f>
        <v>0</v>
      </c>
      <c r="AN350" s="310"/>
      <c r="AO350" s="310"/>
      <c r="AP350" s="310"/>
      <c r="AQ350" s="698" t="s">
        <v>1329</v>
      </c>
      <c r="AR350" s="310"/>
      <c r="AS350" s="310"/>
    </row>
    <row r="351" spans="13:45" customFormat="1" ht="11.25" customHeight="1">
      <c r="M351" s="696" t="s">
        <v>1551</v>
      </c>
      <c r="N351" s="699" t="s">
        <v>715</v>
      </c>
      <c r="O351" s="189" t="s">
        <v>507</v>
      </c>
      <c r="AB351" s="248"/>
      <c r="AC351" s="248"/>
      <c r="AD351" s="248"/>
      <c r="AE351" s="462"/>
      <c r="AF351" s="462"/>
      <c r="AG351" s="462"/>
      <c r="AH351" s="248"/>
      <c r="AI351" s="248"/>
      <c r="AJ351" s="248"/>
      <c r="AK351" s="240">
        <f>AK409</f>
        <v>0</v>
      </c>
      <c r="AL351" s="240">
        <f>AL409</f>
        <v>0</v>
      </c>
      <c r="AM351" s="240">
        <f>AM409</f>
        <v>0</v>
      </c>
      <c r="AN351" s="310"/>
      <c r="AO351" s="310"/>
      <c r="AP351" s="310"/>
      <c r="AQ351" s="698" t="s">
        <v>1330</v>
      </c>
      <c r="AR351" s="310"/>
      <c r="AS351" s="310"/>
    </row>
    <row r="352" spans="13:45" customFormat="1" ht="11.25" customHeight="1">
      <c r="M352" s="696" t="s">
        <v>1552</v>
      </c>
      <c r="N352" s="699" t="s">
        <v>716</v>
      </c>
      <c r="O352" s="189" t="s">
        <v>507</v>
      </c>
      <c r="AB352" s="248"/>
      <c r="AC352" s="248"/>
      <c r="AD352" s="248"/>
      <c r="AE352" s="462"/>
      <c r="AF352" s="462"/>
      <c r="AG352" s="462"/>
      <c r="AH352" s="248"/>
      <c r="AI352" s="248"/>
      <c r="AJ352" s="248"/>
      <c r="AK352" s="183">
        <f t="shared" ref="AK352:AK389" si="25">AL352+AM352</f>
        <v>0</v>
      </c>
      <c r="AL352" s="196"/>
      <c r="AM352" s="196"/>
      <c r="AN352" s="310"/>
      <c r="AO352" s="310"/>
      <c r="AP352" s="310"/>
      <c r="AQ352" s="698" t="s">
        <v>1331</v>
      </c>
      <c r="AR352" s="310"/>
      <c r="AS352" s="310"/>
    </row>
    <row r="353" spans="13:45" customFormat="1" ht="11.25" customHeight="1">
      <c r="M353" s="696" t="s">
        <v>1553</v>
      </c>
      <c r="N353" s="700" t="s">
        <v>1305</v>
      </c>
      <c r="O353" s="189" t="s">
        <v>507</v>
      </c>
      <c r="AB353" s="248"/>
      <c r="AC353" s="248"/>
      <c r="AD353" s="248"/>
      <c r="AE353" s="462"/>
      <c r="AF353" s="462"/>
      <c r="AG353" s="462"/>
      <c r="AH353" s="248"/>
      <c r="AI353" s="248"/>
      <c r="AJ353" s="248"/>
      <c r="AK353" s="183">
        <f t="shared" si="25"/>
        <v>0</v>
      </c>
      <c r="AL353" s="196"/>
      <c r="AM353" s="196"/>
      <c r="AN353" s="310"/>
      <c r="AO353" s="310"/>
      <c r="AP353" s="310"/>
      <c r="AQ353" s="698" t="s">
        <v>1340</v>
      </c>
      <c r="AR353" s="310"/>
      <c r="AS353" s="310"/>
    </row>
    <row r="354" spans="13:45" customFormat="1" ht="11.25" customHeight="1">
      <c r="M354" s="696" t="s">
        <v>1554</v>
      </c>
      <c r="N354" s="700" t="s">
        <v>1306</v>
      </c>
      <c r="O354" s="189" t="s">
        <v>507</v>
      </c>
      <c r="AB354" s="248"/>
      <c r="AC354" s="248"/>
      <c r="AD354" s="248"/>
      <c r="AE354" s="462"/>
      <c r="AF354" s="462"/>
      <c r="AG354" s="462"/>
      <c r="AH354" s="248"/>
      <c r="AI354" s="248"/>
      <c r="AJ354" s="248"/>
      <c r="AK354" s="183">
        <f t="shared" si="25"/>
        <v>0</v>
      </c>
      <c r="AL354" s="196"/>
      <c r="AM354" s="196"/>
      <c r="AN354" s="310"/>
      <c r="AO354" s="310"/>
      <c r="AP354" s="310"/>
      <c r="AQ354" s="698" t="s">
        <v>1341</v>
      </c>
      <c r="AR354" s="310"/>
      <c r="AS354" s="310"/>
    </row>
    <row r="355" spans="13:45" customFormat="1" ht="11.25" customHeight="1">
      <c r="M355" s="696" t="s">
        <v>1555</v>
      </c>
      <c r="N355" s="700" t="s">
        <v>1307</v>
      </c>
      <c r="O355" s="189" t="s">
        <v>507</v>
      </c>
      <c r="AB355" s="248"/>
      <c r="AC355" s="248"/>
      <c r="AD355" s="248"/>
      <c r="AE355" s="462"/>
      <c r="AF355" s="462"/>
      <c r="AG355" s="462"/>
      <c r="AH355" s="248"/>
      <c r="AI355" s="248"/>
      <c r="AJ355" s="248"/>
      <c r="AK355" s="183">
        <f t="shared" si="25"/>
        <v>0</v>
      </c>
      <c r="AL355" s="196"/>
      <c r="AM355" s="196"/>
      <c r="AN355" s="310"/>
      <c r="AO355" s="310"/>
      <c r="AP355" s="310"/>
      <c r="AQ355" s="698" t="s">
        <v>1342</v>
      </c>
      <c r="AR355" s="310"/>
      <c r="AS355" s="310"/>
    </row>
    <row r="356" spans="13:45" customFormat="1" ht="11.25" customHeight="1">
      <c r="M356" s="696" t="s">
        <v>1556</v>
      </c>
      <c r="N356" s="700" t="s">
        <v>1308</v>
      </c>
      <c r="O356" s="189" t="s">
        <v>507</v>
      </c>
      <c r="AB356" s="248"/>
      <c r="AC356" s="248"/>
      <c r="AD356" s="248"/>
      <c r="AE356" s="462"/>
      <c r="AF356" s="462"/>
      <c r="AG356" s="462"/>
      <c r="AH356" s="248"/>
      <c r="AI356" s="248"/>
      <c r="AJ356" s="248"/>
      <c r="AK356" s="183">
        <f t="shared" si="25"/>
        <v>0</v>
      </c>
      <c r="AL356" s="196"/>
      <c r="AM356" s="196"/>
      <c r="AN356" s="310"/>
      <c r="AO356" s="310"/>
      <c r="AP356" s="310"/>
      <c r="AQ356" s="698" t="s">
        <v>1339</v>
      </c>
      <c r="AR356" s="310"/>
      <c r="AS356" s="310"/>
    </row>
    <row r="357" spans="13:45" customFormat="1" ht="11.25" customHeight="1">
      <c r="M357" s="696" t="s">
        <v>1557</v>
      </c>
      <c r="N357" s="701" t="s">
        <v>684</v>
      </c>
      <c r="O357" s="189" t="s">
        <v>758</v>
      </c>
      <c r="AB357" s="248"/>
      <c r="AC357" s="248"/>
      <c r="AD357" s="248"/>
      <c r="AE357" s="462"/>
      <c r="AF357" s="462"/>
      <c r="AG357" s="462"/>
      <c r="AH357" s="248"/>
      <c r="AI357" s="248"/>
      <c r="AJ357" s="248"/>
      <c r="AK357" s="183">
        <f t="shared" si="25"/>
        <v>0</v>
      </c>
      <c r="AL357" s="196"/>
      <c r="AM357" s="196"/>
      <c r="AN357" s="310"/>
      <c r="AO357" s="310"/>
      <c r="AP357" s="310"/>
      <c r="AQ357" s="698" t="s">
        <v>1332</v>
      </c>
      <c r="AR357" s="310"/>
      <c r="AS357" s="310"/>
    </row>
    <row r="358" spans="13:45" customFormat="1" ht="11.25" customHeight="1">
      <c r="M358" s="696" t="s">
        <v>1558</v>
      </c>
      <c r="N358" s="702" t="s">
        <v>718</v>
      </c>
      <c r="O358" s="189" t="s">
        <v>758</v>
      </c>
      <c r="AB358" s="248"/>
      <c r="AC358" s="248"/>
      <c r="AD358" s="248"/>
      <c r="AE358" s="462"/>
      <c r="AF358" s="462"/>
      <c r="AG358" s="462"/>
      <c r="AH358" s="248"/>
      <c r="AI358" s="248"/>
      <c r="AJ358" s="248"/>
      <c r="AK358" s="183">
        <f t="shared" si="25"/>
        <v>0</v>
      </c>
      <c r="AL358" s="196"/>
      <c r="AM358" s="196"/>
      <c r="AN358" s="310"/>
      <c r="AO358" s="310"/>
      <c r="AP358" s="310"/>
      <c r="AQ358" s="698" t="s">
        <v>1333</v>
      </c>
      <c r="AR358" s="310"/>
      <c r="AS358" s="310"/>
    </row>
    <row r="359" spans="13:45" customFormat="1" ht="11.25" customHeight="1">
      <c r="M359" s="696" t="s">
        <v>1559</v>
      </c>
      <c r="N359" s="703" t="s">
        <v>722</v>
      </c>
      <c r="O359" s="189" t="s">
        <v>758</v>
      </c>
      <c r="AB359" s="248"/>
      <c r="AC359" s="248"/>
      <c r="AD359" s="248"/>
      <c r="AE359" s="462"/>
      <c r="AF359" s="462"/>
      <c r="AG359" s="462"/>
      <c r="AH359" s="248"/>
      <c r="AI359" s="248"/>
      <c r="AJ359" s="248"/>
      <c r="AK359" s="183">
        <f t="shared" si="25"/>
        <v>0</v>
      </c>
      <c r="AL359" s="183">
        <f>SUM(AL360:AL363)</f>
        <v>0</v>
      </c>
      <c r="AM359" s="183">
        <f>SUM(AM360:AM363)</f>
        <v>0</v>
      </c>
      <c r="AN359" s="310"/>
      <c r="AO359" s="310"/>
      <c r="AP359" s="310"/>
      <c r="AQ359" s="698" t="s">
        <v>1334</v>
      </c>
      <c r="AR359" s="310"/>
      <c r="AS359" s="310"/>
    </row>
    <row r="360" spans="13:45" customFormat="1" ht="11.25" customHeight="1">
      <c r="M360" s="696" t="s">
        <v>1560</v>
      </c>
      <c r="N360" s="704" t="s">
        <v>1309</v>
      </c>
      <c r="O360" s="189" t="s">
        <v>758</v>
      </c>
      <c r="AB360" s="248"/>
      <c r="AC360" s="248"/>
      <c r="AD360" s="248"/>
      <c r="AE360" s="462"/>
      <c r="AF360" s="462"/>
      <c r="AG360" s="462"/>
      <c r="AH360" s="248"/>
      <c r="AI360" s="248"/>
      <c r="AJ360" s="248"/>
      <c r="AK360" s="183">
        <f t="shared" si="25"/>
        <v>0</v>
      </c>
      <c r="AL360" s="196"/>
      <c r="AM360" s="196"/>
      <c r="AN360" s="310"/>
      <c r="AO360" s="310"/>
      <c r="AP360" s="310"/>
      <c r="AQ360" s="698" t="s">
        <v>1335</v>
      </c>
      <c r="AR360" s="310"/>
      <c r="AS360" s="310"/>
    </row>
    <row r="361" spans="13:45" customFormat="1" ht="11.25" customHeight="1">
      <c r="M361" s="696" t="s">
        <v>1561</v>
      </c>
      <c r="N361" s="704" t="s">
        <v>1310</v>
      </c>
      <c r="O361" s="189" t="s">
        <v>758</v>
      </c>
      <c r="AB361" s="248"/>
      <c r="AC361" s="248"/>
      <c r="AD361" s="248"/>
      <c r="AE361" s="462"/>
      <c r="AF361" s="462"/>
      <c r="AG361" s="462"/>
      <c r="AH361" s="248"/>
      <c r="AI361" s="248"/>
      <c r="AJ361" s="248"/>
      <c r="AK361" s="183">
        <f t="shared" si="25"/>
        <v>0</v>
      </c>
      <c r="AL361" s="196"/>
      <c r="AM361" s="196"/>
      <c r="AN361" s="310"/>
      <c r="AO361" s="310"/>
      <c r="AP361" s="310"/>
      <c r="AQ361" s="698" t="s">
        <v>1336</v>
      </c>
      <c r="AR361" s="310"/>
      <c r="AS361" s="310"/>
    </row>
    <row r="362" spans="13:45" customFormat="1" ht="11.25" customHeight="1">
      <c r="M362" s="696" t="s">
        <v>1562</v>
      </c>
      <c r="N362" s="704" t="s">
        <v>1311</v>
      </c>
      <c r="O362" s="189" t="s">
        <v>758</v>
      </c>
      <c r="AB362" s="248"/>
      <c r="AC362" s="248"/>
      <c r="AD362" s="248"/>
      <c r="AE362" s="462"/>
      <c r="AF362" s="462"/>
      <c r="AG362" s="462"/>
      <c r="AH362" s="248"/>
      <c r="AI362" s="248"/>
      <c r="AJ362" s="248"/>
      <c r="AK362" s="183">
        <f t="shared" si="25"/>
        <v>0</v>
      </c>
      <c r="AL362" s="196"/>
      <c r="AM362" s="196"/>
      <c r="AN362" s="310"/>
      <c r="AO362" s="310"/>
      <c r="AP362" s="310"/>
      <c r="AQ362" s="698" t="s">
        <v>1337</v>
      </c>
      <c r="AR362" s="310"/>
      <c r="AS362" s="310"/>
    </row>
    <row r="363" spans="13:45" customFormat="1" ht="11.25" customHeight="1">
      <c r="M363" s="696" t="s">
        <v>1563</v>
      </c>
      <c r="N363" s="704" t="s">
        <v>1312</v>
      </c>
      <c r="O363" s="189" t="s">
        <v>758</v>
      </c>
      <c r="AB363" s="248"/>
      <c r="AC363" s="248"/>
      <c r="AD363" s="248"/>
      <c r="AE363" s="462"/>
      <c r="AF363" s="462"/>
      <c r="AG363" s="462"/>
      <c r="AH363" s="248"/>
      <c r="AI363" s="248"/>
      <c r="AJ363" s="248"/>
      <c r="AK363" s="183">
        <f t="shared" si="25"/>
        <v>0</v>
      </c>
      <c r="AL363" s="196"/>
      <c r="AM363" s="196"/>
      <c r="AN363" s="310"/>
      <c r="AO363" s="310"/>
      <c r="AP363" s="310"/>
      <c r="AQ363" s="698" t="s">
        <v>1338</v>
      </c>
      <c r="AR363" s="310"/>
      <c r="AS363" s="310"/>
    </row>
    <row r="364" spans="13:45" customFormat="1" ht="11.25" customHeight="1">
      <c r="M364" s="696" t="s">
        <v>1564</v>
      </c>
      <c r="N364" s="705" t="s">
        <v>720</v>
      </c>
      <c r="O364" s="189" t="s">
        <v>758</v>
      </c>
      <c r="AB364" s="248"/>
      <c r="AC364" s="248"/>
      <c r="AD364" s="248"/>
      <c r="AE364" s="462"/>
      <c r="AF364" s="462"/>
      <c r="AG364" s="462"/>
      <c r="AH364" s="248"/>
      <c r="AI364" s="248"/>
      <c r="AJ364" s="248"/>
      <c r="AK364" s="183">
        <f t="shared" si="25"/>
        <v>0</v>
      </c>
      <c r="AL364" s="183">
        <f>SUM(AL365:AL370)</f>
        <v>0</v>
      </c>
      <c r="AM364" s="183">
        <f>SUM(AM365:AM370)</f>
        <v>0</v>
      </c>
      <c r="AN364" s="310"/>
      <c r="AO364" s="310"/>
      <c r="AP364" s="310"/>
      <c r="AQ364" s="698" t="s">
        <v>1343</v>
      </c>
      <c r="AR364" s="310"/>
      <c r="AS364" s="310"/>
    </row>
    <row r="365" spans="13:45" customFormat="1" ht="11.25" customHeight="1">
      <c r="M365" s="696" t="s">
        <v>1872</v>
      </c>
      <c r="N365" s="706" t="s">
        <v>1313</v>
      </c>
      <c r="O365" s="189" t="s">
        <v>758</v>
      </c>
      <c r="AB365" s="248"/>
      <c r="AC365" s="248"/>
      <c r="AD365" s="248"/>
      <c r="AE365" s="462"/>
      <c r="AF365" s="462"/>
      <c r="AG365" s="462"/>
      <c r="AH365" s="248"/>
      <c r="AI365" s="248"/>
      <c r="AJ365" s="248"/>
      <c r="AK365" s="183">
        <f t="shared" si="25"/>
        <v>0</v>
      </c>
      <c r="AL365" s="196"/>
      <c r="AM365" s="196"/>
      <c r="AN365" s="310"/>
      <c r="AO365" s="310"/>
      <c r="AP365" s="310"/>
      <c r="AQ365" s="698" t="s">
        <v>1866</v>
      </c>
      <c r="AR365" s="310"/>
      <c r="AS365" s="310"/>
    </row>
    <row r="366" spans="13:45" customFormat="1" ht="11.25" customHeight="1">
      <c r="M366" s="696" t="s">
        <v>1853</v>
      </c>
      <c r="N366" s="706" t="s">
        <v>1314</v>
      </c>
      <c r="O366" s="189" t="s">
        <v>758</v>
      </c>
      <c r="AB366" s="248"/>
      <c r="AC366" s="248"/>
      <c r="AD366" s="248"/>
      <c r="AE366" s="462"/>
      <c r="AF366" s="462"/>
      <c r="AG366" s="462"/>
      <c r="AH366" s="248"/>
      <c r="AI366" s="248"/>
      <c r="AJ366" s="248"/>
      <c r="AK366" s="183">
        <f t="shared" si="25"/>
        <v>0</v>
      </c>
      <c r="AL366" s="196"/>
      <c r="AM366" s="196"/>
      <c r="AN366" s="310"/>
      <c r="AO366" s="310"/>
      <c r="AP366" s="310"/>
      <c r="AQ366" s="698" t="s">
        <v>1847</v>
      </c>
      <c r="AR366" s="310"/>
      <c r="AS366" s="310"/>
    </row>
    <row r="367" spans="13:45" customFormat="1" ht="11.25" customHeight="1">
      <c r="M367" s="696" t="s">
        <v>1834</v>
      </c>
      <c r="N367" s="706" t="s">
        <v>1315</v>
      </c>
      <c r="O367" s="189" t="s">
        <v>758</v>
      </c>
      <c r="AB367" s="248"/>
      <c r="AC367" s="248"/>
      <c r="AD367" s="248"/>
      <c r="AE367" s="462"/>
      <c r="AF367" s="462"/>
      <c r="AG367" s="462"/>
      <c r="AH367" s="248"/>
      <c r="AI367" s="248"/>
      <c r="AJ367" s="248"/>
      <c r="AK367" s="183">
        <f t="shared" si="25"/>
        <v>0</v>
      </c>
      <c r="AL367" s="196"/>
      <c r="AM367" s="196"/>
      <c r="AN367" s="310"/>
      <c r="AO367" s="310"/>
      <c r="AP367" s="310"/>
      <c r="AQ367" s="698" t="s">
        <v>1827</v>
      </c>
      <c r="AR367" s="310"/>
      <c r="AS367" s="310"/>
    </row>
    <row r="368" spans="13:45" customFormat="1" ht="11.25" customHeight="1">
      <c r="M368" s="696" t="s">
        <v>1565</v>
      </c>
      <c r="N368" s="706" t="s">
        <v>1316</v>
      </c>
      <c r="O368" s="189" t="s">
        <v>758</v>
      </c>
      <c r="AB368" s="248"/>
      <c r="AC368" s="248"/>
      <c r="AD368" s="248"/>
      <c r="AE368" s="462"/>
      <c r="AF368" s="462"/>
      <c r="AG368" s="462"/>
      <c r="AH368" s="248"/>
      <c r="AI368" s="248"/>
      <c r="AJ368" s="248"/>
      <c r="AK368" s="183">
        <f t="shared" si="25"/>
        <v>0</v>
      </c>
      <c r="AL368" s="196"/>
      <c r="AM368" s="196"/>
      <c r="AN368" s="310"/>
      <c r="AO368" s="310"/>
      <c r="AP368" s="310"/>
      <c r="AQ368" s="698" t="s">
        <v>1344</v>
      </c>
      <c r="AR368" s="310"/>
      <c r="AS368" s="310"/>
    </row>
    <row r="369" spans="13:45" customFormat="1" ht="11.25" customHeight="1">
      <c r="M369" s="696" t="s">
        <v>1566</v>
      </c>
      <c r="N369" s="706" t="s">
        <v>1317</v>
      </c>
      <c r="O369" s="189" t="s">
        <v>758</v>
      </c>
      <c r="AB369" s="248"/>
      <c r="AC369" s="248"/>
      <c r="AD369" s="248"/>
      <c r="AE369" s="462"/>
      <c r="AF369" s="462"/>
      <c r="AG369" s="462"/>
      <c r="AH369" s="248"/>
      <c r="AI369" s="248"/>
      <c r="AJ369" s="248"/>
      <c r="AK369" s="183">
        <f t="shared" si="25"/>
        <v>0</v>
      </c>
      <c r="AL369" s="196"/>
      <c r="AM369" s="196"/>
      <c r="AN369" s="310"/>
      <c r="AO369" s="310"/>
      <c r="AP369" s="310"/>
      <c r="AQ369" s="698" t="s">
        <v>1345</v>
      </c>
      <c r="AR369" s="310"/>
      <c r="AS369" s="310"/>
    </row>
    <row r="370" spans="13:45" customFormat="1" ht="11.25" customHeight="1">
      <c r="M370" s="696" t="s">
        <v>1567</v>
      </c>
      <c r="N370" s="706" t="s">
        <v>1318</v>
      </c>
      <c r="O370" s="189" t="s">
        <v>758</v>
      </c>
      <c r="AB370" s="248"/>
      <c r="AC370" s="248"/>
      <c r="AD370" s="248"/>
      <c r="AE370" s="462"/>
      <c r="AF370" s="462"/>
      <c r="AG370" s="462"/>
      <c r="AH370" s="248"/>
      <c r="AI370" s="248"/>
      <c r="AJ370" s="248"/>
      <c r="AK370" s="183">
        <f t="shared" si="25"/>
        <v>0</v>
      </c>
      <c r="AL370" s="196"/>
      <c r="AM370" s="196"/>
      <c r="AN370" s="310"/>
      <c r="AO370" s="310"/>
      <c r="AP370" s="310"/>
      <c r="AQ370" s="698" t="s">
        <v>1346</v>
      </c>
      <c r="AR370" s="310"/>
      <c r="AS370" s="310"/>
    </row>
    <row r="371" spans="13:45" customFormat="1" ht="11.25" customHeight="1">
      <c r="M371" s="696" t="s">
        <v>1568</v>
      </c>
      <c r="N371" s="707" t="s">
        <v>721</v>
      </c>
      <c r="O371" s="189" t="s">
        <v>758</v>
      </c>
      <c r="AB371" s="248"/>
      <c r="AC371" s="248"/>
      <c r="AD371" s="248"/>
      <c r="AE371" s="462"/>
      <c r="AF371" s="462"/>
      <c r="AG371" s="462"/>
      <c r="AH371" s="248"/>
      <c r="AI371" s="248"/>
      <c r="AJ371" s="248"/>
      <c r="AK371" s="183">
        <f t="shared" si="25"/>
        <v>0</v>
      </c>
      <c r="AL371" s="196"/>
      <c r="AM371" s="196"/>
      <c r="AN371" s="310"/>
      <c r="AO371" s="310"/>
      <c r="AP371" s="310"/>
      <c r="AQ371" s="698" t="s">
        <v>1347</v>
      </c>
      <c r="AR371" s="310"/>
      <c r="AS371" s="310"/>
    </row>
    <row r="372" spans="13:45" customFormat="1" ht="11.25" customHeight="1">
      <c r="M372" s="696" t="s">
        <v>1569</v>
      </c>
      <c r="N372" s="708" t="s">
        <v>712</v>
      </c>
      <c r="O372" s="189" t="s">
        <v>758</v>
      </c>
      <c r="AB372" s="248"/>
      <c r="AC372" s="248"/>
      <c r="AD372" s="248"/>
      <c r="AE372" s="462"/>
      <c r="AF372" s="462"/>
      <c r="AG372" s="462"/>
      <c r="AH372" s="248"/>
      <c r="AI372" s="248"/>
      <c r="AJ372" s="248"/>
      <c r="AK372" s="183">
        <f t="shared" si="25"/>
        <v>0</v>
      </c>
      <c r="AL372" s="183">
        <f>SUM(AL373:AL389)</f>
        <v>0</v>
      </c>
      <c r="AM372" s="183">
        <f>SUM(AM373:AM389)</f>
        <v>0</v>
      </c>
      <c r="AN372" s="310"/>
      <c r="AO372" s="310"/>
      <c r="AP372" s="310"/>
      <c r="AQ372" s="698" t="s">
        <v>1348</v>
      </c>
      <c r="AR372" s="310"/>
      <c r="AS372" s="310"/>
    </row>
    <row r="373" spans="13:45" customFormat="1" ht="11.25" customHeight="1">
      <c r="M373" s="696" t="s">
        <v>2739</v>
      </c>
      <c r="N373" s="709" t="s">
        <v>1319</v>
      </c>
      <c r="O373" s="189" t="s">
        <v>758</v>
      </c>
      <c r="AB373" s="248"/>
      <c r="AC373" s="248"/>
      <c r="AD373" s="248"/>
      <c r="AE373" s="462"/>
      <c r="AF373" s="462"/>
      <c r="AG373" s="462"/>
      <c r="AH373" s="248"/>
      <c r="AI373" s="248"/>
      <c r="AJ373" s="248"/>
      <c r="AK373" s="183">
        <f t="shared" si="25"/>
        <v>0</v>
      </c>
      <c r="AL373" s="196"/>
      <c r="AM373" s="196"/>
      <c r="AN373" s="310"/>
      <c r="AO373" s="310"/>
      <c r="AP373" s="310"/>
      <c r="AQ373" s="698" t="s">
        <v>2612</v>
      </c>
      <c r="AR373" s="310"/>
      <c r="AS373" s="310"/>
    </row>
    <row r="374" spans="13:45" customFormat="1" ht="11.25" customHeight="1">
      <c r="M374" s="696" t="s">
        <v>2740</v>
      </c>
      <c r="N374" s="709" t="s">
        <v>1320</v>
      </c>
      <c r="O374" s="189" t="s">
        <v>758</v>
      </c>
      <c r="AB374" s="248"/>
      <c r="AC374" s="248"/>
      <c r="AD374" s="248"/>
      <c r="AE374" s="462"/>
      <c r="AF374" s="462"/>
      <c r="AG374" s="462"/>
      <c r="AH374" s="248"/>
      <c r="AI374" s="248"/>
      <c r="AJ374" s="248"/>
      <c r="AK374" s="183">
        <f t="shared" si="25"/>
        <v>0</v>
      </c>
      <c r="AL374" s="196"/>
      <c r="AM374" s="196"/>
      <c r="AN374" s="310"/>
      <c r="AO374" s="310"/>
      <c r="AP374" s="310"/>
      <c r="AQ374" s="698" t="s">
        <v>2614</v>
      </c>
      <c r="AR374" s="310"/>
      <c r="AS374" s="310"/>
    </row>
    <row r="375" spans="13:45" customFormat="1" ht="11.25" customHeight="1">
      <c r="M375" s="696" t="s">
        <v>2741</v>
      </c>
      <c r="N375" s="709" t="s">
        <v>1321</v>
      </c>
      <c r="O375" s="189" t="s">
        <v>758</v>
      </c>
      <c r="AB375" s="248"/>
      <c r="AC375" s="248"/>
      <c r="AD375" s="248"/>
      <c r="AE375" s="462"/>
      <c r="AF375" s="462"/>
      <c r="AG375" s="462"/>
      <c r="AH375" s="248"/>
      <c r="AI375" s="248"/>
      <c r="AJ375" s="248"/>
      <c r="AK375" s="183">
        <f t="shared" si="25"/>
        <v>0</v>
      </c>
      <c r="AL375" s="196"/>
      <c r="AM375" s="196"/>
      <c r="AN375" s="310"/>
      <c r="AO375" s="310"/>
      <c r="AP375" s="310"/>
      <c r="AQ375" s="698" t="s">
        <v>2616</v>
      </c>
      <c r="AR375" s="310"/>
      <c r="AS375" s="310"/>
    </row>
    <row r="376" spans="13:45" customFormat="1" ht="11.25" customHeight="1">
      <c r="M376" s="696" t="s">
        <v>2742</v>
      </c>
      <c r="N376" s="709" t="s">
        <v>2618</v>
      </c>
      <c r="O376" s="189" t="s">
        <v>758</v>
      </c>
      <c r="AB376" s="248"/>
      <c r="AC376" s="248"/>
      <c r="AD376" s="248"/>
      <c r="AE376" s="462"/>
      <c r="AF376" s="462"/>
      <c r="AG376" s="462"/>
      <c r="AH376" s="248"/>
      <c r="AI376" s="248"/>
      <c r="AJ376" s="248"/>
      <c r="AK376" s="183">
        <f t="shared" si="25"/>
        <v>0</v>
      </c>
      <c r="AL376" s="196"/>
      <c r="AM376" s="196"/>
      <c r="AN376" s="310"/>
      <c r="AO376" s="310"/>
      <c r="AP376" s="310"/>
      <c r="AQ376" s="698" t="s">
        <v>2619</v>
      </c>
      <c r="AR376" s="310"/>
      <c r="AS376" s="310"/>
    </row>
    <row r="377" spans="13:45" customFormat="1" ht="11.25" customHeight="1">
      <c r="M377" s="696" t="s">
        <v>2743</v>
      </c>
      <c r="N377" s="709" t="s">
        <v>2621</v>
      </c>
      <c r="O377" s="189" t="s">
        <v>758</v>
      </c>
      <c r="AB377" s="248"/>
      <c r="AC377" s="248"/>
      <c r="AD377" s="248"/>
      <c r="AE377" s="462"/>
      <c r="AF377" s="462"/>
      <c r="AG377" s="462"/>
      <c r="AH377" s="248"/>
      <c r="AI377" s="248"/>
      <c r="AJ377" s="248"/>
      <c r="AK377" s="183">
        <f t="shared" si="25"/>
        <v>0</v>
      </c>
      <c r="AL377" s="196"/>
      <c r="AM377" s="196"/>
      <c r="AN377" s="310"/>
      <c r="AO377" s="310"/>
      <c r="AP377" s="310"/>
      <c r="AQ377" s="698" t="s">
        <v>2622</v>
      </c>
      <c r="AR377" s="310"/>
      <c r="AS377" s="310"/>
    </row>
    <row r="378" spans="13:45" customFormat="1" ht="11.25" customHeight="1">
      <c r="M378" s="696" t="s">
        <v>2744</v>
      </c>
      <c r="N378" s="709" t="s">
        <v>1322</v>
      </c>
      <c r="O378" s="189" t="s">
        <v>758</v>
      </c>
      <c r="AB378" s="248"/>
      <c r="AC378" s="248"/>
      <c r="AD378" s="248"/>
      <c r="AE378" s="462"/>
      <c r="AF378" s="462"/>
      <c r="AG378" s="462"/>
      <c r="AH378" s="248"/>
      <c r="AI378" s="248"/>
      <c r="AJ378" s="248"/>
      <c r="AK378" s="183">
        <f t="shared" si="25"/>
        <v>0</v>
      </c>
      <c r="AL378" s="196"/>
      <c r="AM378" s="196"/>
      <c r="AN378" s="310"/>
      <c r="AO378" s="310"/>
      <c r="AP378" s="310"/>
      <c r="AQ378" s="698" t="s">
        <v>2624</v>
      </c>
      <c r="AR378" s="310"/>
      <c r="AS378" s="310"/>
    </row>
    <row r="379" spans="13:45" customFormat="1" ht="11.25" customHeight="1">
      <c r="M379" s="696" t="s">
        <v>2745</v>
      </c>
      <c r="N379" s="709" t="s">
        <v>2626</v>
      </c>
      <c r="O379" s="189" t="s">
        <v>758</v>
      </c>
      <c r="AB379" s="248"/>
      <c r="AC379" s="248"/>
      <c r="AD379" s="248"/>
      <c r="AE379" s="462"/>
      <c r="AF379" s="462"/>
      <c r="AG379" s="462"/>
      <c r="AH379" s="248"/>
      <c r="AI379" s="248"/>
      <c r="AJ379" s="248"/>
      <c r="AK379" s="183">
        <f t="shared" si="25"/>
        <v>0</v>
      </c>
      <c r="AL379" s="196"/>
      <c r="AM379" s="196"/>
      <c r="AN379" s="310"/>
      <c r="AO379" s="310"/>
      <c r="AP379" s="310"/>
      <c r="AQ379" s="698" t="s">
        <v>2627</v>
      </c>
      <c r="AR379" s="310"/>
      <c r="AS379" s="310"/>
    </row>
    <row r="380" spans="13:45" customFormat="1" ht="11.25" customHeight="1">
      <c r="M380" s="696" t="s">
        <v>2746</v>
      </c>
      <c r="N380" s="709" t="s">
        <v>1323</v>
      </c>
      <c r="O380" s="189" t="s">
        <v>758</v>
      </c>
      <c r="AB380" s="248"/>
      <c r="AC380" s="248"/>
      <c r="AD380" s="248"/>
      <c r="AE380" s="462"/>
      <c r="AF380" s="462"/>
      <c r="AG380" s="462"/>
      <c r="AH380" s="248"/>
      <c r="AI380" s="248"/>
      <c r="AJ380" s="248"/>
      <c r="AK380" s="183">
        <f t="shared" si="25"/>
        <v>0</v>
      </c>
      <c r="AL380" s="196"/>
      <c r="AM380" s="196"/>
      <c r="AN380" s="310"/>
      <c r="AO380" s="310"/>
      <c r="AP380" s="310"/>
      <c r="AQ380" s="698" t="s">
        <v>2629</v>
      </c>
      <c r="AR380" s="310"/>
      <c r="AS380" s="310"/>
    </row>
    <row r="381" spans="13:45" customFormat="1" ht="11.25" customHeight="1">
      <c r="M381" s="696" t="s">
        <v>2747</v>
      </c>
      <c r="N381" s="709" t="s">
        <v>1324</v>
      </c>
      <c r="O381" s="189" t="s">
        <v>758</v>
      </c>
      <c r="AB381" s="248"/>
      <c r="AC381" s="248"/>
      <c r="AD381" s="248"/>
      <c r="AE381" s="462"/>
      <c r="AF381" s="462"/>
      <c r="AG381" s="462"/>
      <c r="AH381" s="248"/>
      <c r="AI381" s="248"/>
      <c r="AJ381" s="248"/>
      <c r="AK381" s="183">
        <f t="shared" si="25"/>
        <v>0</v>
      </c>
      <c r="AL381" s="196"/>
      <c r="AM381" s="196"/>
      <c r="AN381" s="310"/>
      <c r="AO381" s="310"/>
      <c r="AP381" s="310"/>
      <c r="AQ381" s="698" t="s">
        <v>2631</v>
      </c>
      <c r="AR381" s="310"/>
      <c r="AS381" s="310"/>
    </row>
    <row r="382" spans="13:45" customFormat="1" ht="11.25" customHeight="1">
      <c r="M382" s="696" t="s">
        <v>2748</v>
      </c>
      <c r="N382" s="709" t="s">
        <v>2633</v>
      </c>
      <c r="O382" s="189" t="s">
        <v>758</v>
      </c>
      <c r="AB382" s="248"/>
      <c r="AC382" s="248"/>
      <c r="AD382" s="248"/>
      <c r="AE382" s="462"/>
      <c r="AF382" s="462"/>
      <c r="AG382" s="462"/>
      <c r="AH382" s="248"/>
      <c r="AI382" s="248"/>
      <c r="AJ382" s="248"/>
      <c r="AK382" s="183">
        <f t="shared" si="25"/>
        <v>0</v>
      </c>
      <c r="AL382" s="196"/>
      <c r="AM382" s="196"/>
      <c r="AN382" s="310"/>
      <c r="AO382" s="310"/>
      <c r="AP382" s="310"/>
      <c r="AQ382" s="698" t="s">
        <v>2634</v>
      </c>
      <c r="AR382" s="310"/>
      <c r="AS382" s="310"/>
    </row>
    <row r="383" spans="13:45" customFormat="1" ht="11.25" customHeight="1">
      <c r="M383" s="696" t="s">
        <v>2749</v>
      </c>
      <c r="N383" s="709" t="s">
        <v>2636</v>
      </c>
      <c r="O383" s="189" t="s">
        <v>758</v>
      </c>
      <c r="AB383" s="248"/>
      <c r="AC383" s="248"/>
      <c r="AD383" s="248"/>
      <c r="AE383" s="462"/>
      <c r="AF383" s="462"/>
      <c r="AG383" s="462"/>
      <c r="AH383" s="248"/>
      <c r="AI383" s="248"/>
      <c r="AJ383" s="248"/>
      <c r="AK383" s="183">
        <f t="shared" si="25"/>
        <v>0</v>
      </c>
      <c r="AL383" s="196"/>
      <c r="AM383" s="196"/>
      <c r="AN383" s="310"/>
      <c r="AO383" s="310"/>
      <c r="AP383" s="310"/>
      <c r="AQ383" s="698" t="s">
        <v>2637</v>
      </c>
      <c r="AR383" s="310"/>
      <c r="AS383" s="310"/>
    </row>
    <row r="384" spans="13:45" customFormat="1" ht="11.25" customHeight="1">
      <c r="M384" s="696" t="s">
        <v>2750</v>
      </c>
      <c r="N384" s="709" t="s">
        <v>2639</v>
      </c>
      <c r="O384" s="189" t="s">
        <v>758</v>
      </c>
      <c r="AB384" s="248"/>
      <c r="AC384" s="248"/>
      <c r="AD384" s="248"/>
      <c r="AE384" s="462"/>
      <c r="AF384" s="462"/>
      <c r="AG384" s="462"/>
      <c r="AH384" s="248"/>
      <c r="AI384" s="248"/>
      <c r="AJ384" s="248"/>
      <c r="AK384" s="183">
        <f t="shared" si="25"/>
        <v>0</v>
      </c>
      <c r="AL384" s="196"/>
      <c r="AM384" s="196"/>
      <c r="AN384" s="310"/>
      <c r="AO384" s="310"/>
      <c r="AP384" s="310"/>
      <c r="AQ384" s="698" t="s">
        <v>2640</v>
      </c>
      <c r="AR384" s="310"/>
      <c r="AS384" s="310"/>
    </row>
    <row r="385" spans="13:45" customFormat="1" ht="11.25" customHeight="1">
      <c r="M385" s="696" t="s">
        <v>2751</v>
      </c>
      <c r="N385" s="709" t="s">
        <v>2642</v>
      </c>
      <c r="O385" s="189" t="s">
        <v>758</v>
      </c>
      <c r="AB385" s="248"/>
      <c r="AC385" s="248"/>
      <c r="AD385" s="248"/>
      <c r="AE385" s="462"/>
      <c r="AF385" s="462"/>
      <c r="AG385" s="462"/>
      <c r="AH385" s="248"/>
      <c r="AI385" s="248"/>
      <c r="AJ385" s="248"/>
      <c r="AK385" s="183">
        <f t="shared" si="25"/>
        <v>0</v>
      </c>
      <c r="AL385" s="196"/>
      <c r="AM385" s="196"/>
      <c r="AN385" s="310"/>
      <c r="AO385" s="310"/>
      <c r="AP385" s="310"/>
      <c r="AQ385" s="698" t="s">
        <v>2643</v>
      </c>
      <c r="AR385" s="310"/>
      <c r="AS385" s="310"/>
    </row>
    <row r="386" spans="13:45" customFormat="1" ht="11.25" customHeight="1">
      <c r="M386" s="696" t="s">
        <v>2752</v>
      </c>
      <c r="N386" s="709" t="s">
        <v>2645</v>
      </c>
      <c r="O386" s="189" t="s">
        <v>758</v>
      </c>
      <c r="AB386" s="248"/>
      <c r="AC386" s="248"/>
      <c r="AD386" s="248"/>
      <c r="AE386" s="462"/>
      <c r="AF386" s="462"/>
      <c r="AG386" s="462"/>
      <c r="AH386" s="248"/>
      <c r="AI386" s="248"/>
      <c r="AJ386" s="248"/>
      <c r="AK386" s="183">
        <f t="shared" si="25"/>
        <v>0</v>
      </c>
      <c r="AL386" s="196"/>
      <c r="AM386" s="196"/>
      <c r="AN386" s="310"/>
      <c r="AO386" s="310"/>
      <c r="AP386" s="310"/>
      <c r="AQ386" s="698" t="s">
        <v>2646</v>
      </c>
      <c r="AR386" s="310"/>
      <c r="AS386" s="310"/>
    </row>
    <row r="387" spans="13:45" customFormat="1" ht="11.25" customHeight="1">
      <c r="M387" s="696" t="s">
        <v>2753</v>
      </c>
      <c r="N387" s="709" t="s">
        <v>1325</v>
      </c>
      <c r="O387" s="189" t="s">
        <v>758</v>
      </c>
      <c r="AB387" s="248"/>
      <c r="AC387" s="248"/>
      <c r="AD387" s="248"/>
      <c r="AE387" s="462"/>
      <c r="AF387" s="462"/>
      <c r="AG387" s="462"/>
      <c r="AH387" s="248"/>
      <c r="AI387" s="248"/>
      <c r="AJ387" s="248"/>
      <c r="AK387" s="183">
        <f t="shared" si="25"/>
        <v>0</v>
      </c>
      <c r="AL387" s="196"/>
      <c r="AM387" s="196"/>
      <c r="AN387" s="310"/>
      <c r="AO387" s="310"/>
      <c r="AP387" s="310"/>
      <c r="AQ387" s="698" t="s">
        <v>2648</v>
      </c>
      <c r="AR387" s="310"/>
      <c r="AS387" s="310"/>
    </row>
    <row r="388" spans="13:45" customFormat="1" ht="11.25" customHeight="1">
      <c r="M388" s="696" t="s">
        <v>2754</v>
      </c>
      <c r="N388" s="709" t="s">
        <v>1326</v>
      </c>
      <c r="O388" s="189" t="s">
        <v>758</v>
      </c>
      <c r="AB388" s="248"/>
      <c r="AC388" s="248"/>
      <c r="AD388" s="248"/>
      <c r="AE388" s="462"/>
      <c r="AF388" s="462"/>
      <c r="AG388" s="462"/>
      <c r="AH388" s="248"/>
      <c r="AI388" s="248"/>
      <c r="AJ388" s="248"/>
      <c r="AK388" s="183">
        <f t="shared" si="25"/>
        <v>0</v>
      </c>
      <c r="AL388" s="196"/>
      <c r="AM388" s="196"/>
      <c r="AN388" s="310"/>
      <c r="AO388" s="310"/>
      <c r="AP388" s="310"/>
      <c r="AQ388" s="698" t="s">
        <v>2650</v>
      </c>
      <c r="AR388" s="310"/>
      <c r="AS388" s="310"/>
    </row>
    <row r="389" spans="13:45" customFormat="1" ht="11.25" customHeight="1">
      <c r="M389" s="696" t="s">
        <v>2755</v>
      </c>
      <c r="N389" s="709" t="s">
        <v>2652</v>
      </c>
      <c r="O389" s="189" t="s">
        <v>758</v>
      </c>
      <c r="AB389" s="248"/>
      <c r="AC389" s="248"/>
      <c r="AD389" s="248"/>
      <c r="AE389" s="462"/>
      <c r="AF389" s="462"/>
      <c r="AG389" s="462"/>
      <c r="AH389" s="248"/>
      <c r="AI389" s="248"/>
      <c r="AJ389" s="248"/>
      <c r="AK389" s="183">
        <f t="shared" si="25"/>
        <v>0</v>
      </c>
      <c r="AL389" s="196"/>
      <c r="AM389" s="196"/>
      <c r="AN389" s="310"/>
      <c r="AO389" s="310"/>
      <c r="AP389" s="310"/>
      <c r="AQ389" s="698" t="s">
        <v>2653</v>
      </c>
      <c r="AR389" s="310"/>
      <c r="AS389" s="310"/>
    </row>
    <row r="390" spans="13:45" customFormat="1" ht="11.25" customHeight="1">
      <c r="M390" s="696" t="s">
        <v>1570</v>
      </c>
      <c r="N390" s="710" t="s">
        <v>1364</v>
      </c>
      <c r="O390" s="189" t="s">
        <v>284</v>
      </c>
      <c r="AB390" s="248"/>
      <c r="AC390" s="248"/>
      <c r="AD390" s="248"/>
      <c r="AE390" s="462"/>
      <c r="AF390" s="462"/>
      <c r="AG390" s="462"/>
      <c r="AH390" s="248"/>
      <c r="AI390" s="248"/>
      <c r="AJ390" s="248"/>
      <c r="AK390" s="240">
        <f t="shared" ref="AK390:AM391" si="26">AK1068</f>
        <v>0</v>
      </c>
      <c r="AL390" s="240">
        <f t="shared" si="26"/>
        <v>0</v>
      </c>
      <c r="AM390" s="240">
        <f t="shared" si="26"/>
        <v>0</v>
      </c>
      <c r="AN390" s="310"/>
      <c r="AO390" s="310"/>
      <c r="AP390" s="310"/>
      <c r="AQ390" s="698" t="s">
        <v>1366</v>
      </c>
      <c r="AR390" s="310"/>
      <c r="AS390" s="310"/>
    </row>
    <row r="391" spans="13:45" customFormat="1" ht="11.25" customHeight="1">
      <c r="M391" s="696" t="s">
        <v>1571</v>
      </c>
      <c r="N391" s="710" t="s">
        <v>1365</v>
      </c>
      <c r="O391" s="189" t="s">
        <v>669</v>
      </c>
      <c r="AB391" s="248"/>
      <c r="AC391" s="248"/>
      <c r="AD391" s="248"/>
      <c r="AE391" s="462"/>
      <c r="AF391" s="462"/>
      <c r="AG391" s="462"/>
      <c r="AH391" s="248"/>
      <c r="AI391" s="248"/>
      <c r="AJ391" s="248"/>
      <c r="AK391" s="240">
        <f t="shared" si="26"/>
        <v>0</v>
      </c>
      <c r="AL391" s="240">
        <f t="shared" si="26"/>
        <v>0</v>
      </c>
      <c r="AM391" s="240">
        <f t="shared" si="26"/>
        <v>0</v>
      </c>
      <c r="AN391" s="310"/>
      <c r="AO391" s="310"/>
      <c r="AP391" s="310"/>
      <c r="AQ391" s="698" t="s">
        <v>1367</v>
      </c>
      <c r="AR391" s="310"/>
      <c r="AS391" s="310"/>
    </row>
    <row r="392" spans="13:45" customFormat="1" ht="11.25" customHeight="1">
      <c r="M392" s="696" t="s">
        <v>1572</v>
      </c>
      <c r="N392" s="719" t="s">
        <v>1327</v>
      </c>
      <c r="O392" s="189" t="s">
        <v>758</v>
      </c>
      <c r="AB392" s="248"/>
      <c r="AC392" s="248"/>
      <c r="AD392" s="248"/>
      <c r="AE392" s="462"/>
      <c r="AF392" s="462"/>
      <c r="AG392" s="462"/>
      <c r="AH392" s="248"/>
      <c r="AI392" s="248"/>
      <c r="AJ392" s="248"/>
      <c r="AK392" s="183">
        <f t="shared" ref="AK392:AK398" si="27">AL392+AM392</f>
        <v>0</v>
      </c>
      <c r="AL392" s="196"/>
      <c r="AM392" s="196"/>
      <c r="AN392" s="310"/>
      <c r="AO392" s="310"/>
      <c r="AP392" s="310"/>
      <c r="AQ392" s="698" t="s">
        <v>1357</v>
      </c>
      <c r="AR392" s="310"/>
      <c r="AS392" s="310"/>
    </row>
    <row r="393" spans="13:45" customFormat="1" ht="11.25" customHeight="1">
      <c r="M393" s="696" t="s">
        <v>1573</v>
      </c>
      <c r="N393" s="712" t="s">
        <v>723</v>
      </c>
      <c r="O393" s="189" t="s">
        <v>758</v>
      </c>
      <c r="AB393" s="248"/>
      <c r="AC393" s="248"/>
      <c r="AD393" s="248"/>
      <c r="AE393" s="462"/>
      <c r="AF393" s="462"/>
      <c r="AG393" s="462"/>
      <c r="AH393" s="248"/>
      <c r="AI393" s="248"/>
      <c r="AJ393" s="248"/>
      <c r="AK393" s="183">
        <f t="shared" si="27"/>
        <v>0</v>
      </c>
      <c r="AL393" s="196"/>
      <c r="AM393" s="196"/>
      <c r="AN393" s="310"/>
      <c r="AO393" s="310"/>
      <c r="AP393" s="310"/>
      <c r="AQ393" s="698" t="s">
        <v>1350</v>
      </c>
      <c r="AR393" s="310"/>
      <c r="AS393" s="310"/>
    </row>
    <row r="394" spans="13:45" customFormat="1" ht="11.25" customHeight="1">
      <c r="M394" s="696" t="s">
        <v>1574</v>
      </c>
      <c r="N394" s="713" t="s">
        <v>748</v>
      </c>
      <c r="O394" s="189" t="s">
        <v>758</v>
      </c>
      <c r="AB394" s="248"/>
      <c r="AC394" s="248"/>
      <c r="AD394" s="248"/>
      <c r="AE394" s="462"/>
      <c r="AF394" s="462"/>
      <c r="AG394" s="462"/>
      <c r="AH394" s="248"/>
      <c r="AI394" s="248"/>
      <c r="AJ394" s="248"/>
      <c r="AK394" s="183">
        <f t="shared" si="27"/>
        <v>0</v>
      </c>
      <c r="AL394" s="196"/>
      <c r="AM394" s="196"/>
      <c r="AN394" s="310"/>
      <c r="AO394" s="310"/>
      <c r="AP394" s="310"/>
      <c r="AQ394" s="698" t="s">
        <v>1351</v>
      </c>
      <c r="AR394" s="310"/>
      <c r="AS394" s="310"/>
    </row>
    <row r="395" spans="13:45" customFormat="1" ht="11.25" customHeight="1">
      <c r="M395" s="696" t="s">
        <v>1575</v>
      </c>
      <c r="N395" s="714" t="s">
        <v>315</v>
      </c>
      <c r="O395" s="189" t="s">
        <v>758</v>
      </c>
      <c r="AB395" s="248"/>
      <c r="AC395" s="248"/>
      <c r="AD395" s="248"/>
      <c r="AE395" s="462"/>
      <c r="AF395" s="462"/>
      <c r="AG395" s="462"/>
      <c r="AH395" s="248"/>
      <c r="AI395" s="248"/>
      <c r="AJ395" s="248"/>
      <c r="AK395" s="183">
        <f t="shared" si="27"/>
        <v>0</v>
      </c>
      <c r="AL395" s="196"/>
      <c r="AM395" s="196"/>
      <c r="AN395" s="310"/>
      <c r="AO395" s="310"/>
      <c r="AP395" s="310"/>
      <c r="AQ395" s="698" t="s">
        <v>1352</v>
      </c>
      <c r="AR395" s="310"/>
      <c r="AS395" s="310"/>
    </row>
    <row r="396" spans="13:45" customFormat="1" ht="11.25" customHeight="1">
      <c r="M396" s="696" t="s">
        <v>1576</v>
      </c>
      <c r="N396" s="715" t="s">
        <v>316</v>
      </c>
      <c r="O396" s="189" t="s">
        <v>758</v>
      </c>
      <c r="AB396" s="248"/>
      <c r="AC396" s="248"/>
      <c r="AD396" s="248"/>
      <c r="AE396" s="462"/>
      <c r="AF396" s="462"/>
      <c r="AG396" s="462"/>
      <c r="AH396" s="248"/>
      <c r="AI396" s="248"/>
      <c r="AJ396" s="248"/>
      <c r="AK396" s="183">
        <f t="shared" si="27"/>
        <v>0</v>
      </c>
      <c r="AL396" s="196"/>
      <c r="AM396" s="196"/>
      <c r="AN396" s="310"/>
      <c r="AO396" s="310"/>
      <c r="AP396" s="310"/>
      <c r="AQ396" s="698" t="s">
        <v>1354</v>
      </c>
      <c r="AR396" s="310"/>
      <c r="AS396" s="310"/>
    </row>
    <row r="397" spans="13:45" customFormat="1" ht="11.25" customHeight="1">
      <c r="M397" s="696" t="s">
        <v>1577</v>
      </c>
      <c r="N397" s="716" t="s">
        <v>317</v>
      </c>
      <c r="O397" s="189" t="s">
        <v>758</v>
      </c>
      <c r="AB397" s="248"/>
      <c r="AC397" s="248"/>
      <c r="AD397" s="248"/>
      <c r="AE397" s="462"/>
      <c r="AF397" s="462"/>
      <c r="AG397" s="462"/>
      <c r="AH397" s="248"/>
      <c r="AI397" s="248"/>
      <c r="AJ397" s="248"/>
      <c r="AK397" s="183">
        <f t="shared" si="27"/>
        <v>0</v>
      </c>
      <c r="AL397" s="196"/>
      <c r="AM397" s="196"/>
      <c r="AN397" s="310"/>
      <c r="AO397" s="310"/>
      <c r="AP397" s="310"/>
      <c r="AQ397" s="698" t="s">
        <v>1353</v>
      </c>
      <c r="AR397" s="310"/>
      <c r="AS397" s="310"/>
    </row>
    <row r="398" spans="13:45" customFormat="1" ht="11.25" customHeight="1">
      <c r="M398" s="696" t="s">
        <v>1578</v>
      </c>
      <c r="N398" s="701" t="s">
        <v>318</v>
      </c>
      <c r="O398" s="189" t="s">
        <v>758</v>
      </c>
      <c r="AB398" s="248"/>
      <c r="AC398" s="248"/>
      <c r="AD398" s="248"/>
      <c r="AE398" s="462"/>
      <c r="AF398" s="462"/>
      <c r="AG398" s="462"/>
      <c r="AH398" s="248"/>
      <c r="AI398" s="248"/>
      <c r="AJ398" s="248"/>
      <c r="AK398" s="183">
        <f t="shared" si="27"/>
        <v>0</v>
      </c>
      <c r="AL398" s="196"/>
      <c r="AM398" s="196"/>
      <c r="AN398" s="310"/>
      <c r="AO398" s="310"/>
      <c r="AP398" s="310"/>
      <c r="AQ398" s="698" t="s">
        <v>1355</v>
      </c>
      <c r="AR398" s="310"/>
      <c r="AS398" s="310"/>
    </row>
    <row r="399" spans="13:45" customFormat="1" ht="11.25" customHeight="1">
      <c r="M399" s="718"/>
      <c r="N399" s="460"/>
      <c r="O399" s="461"/>
      <c r="AB399" s="248"/>
      <c r="AC399" s="248"/>
      <c r="AD399" s="248"/>
      <c r="AE399" s="462"/>
      <c r="AF399" s="462"/>
      <c r="AG399" s="462"/>
      <c r="AH399" s="248"/>
      <c r="AI399" s="248"/>
      <c r="AJ399" s="248"/>
      <c r="AK399" s="462"/>
      <c r="AL399" s="462"/>
      <c r="AM399" s="462"/>
      <c r="AN399" s="310"/>
      <c r="AO399" s="310"/>
      <c r="AP399" s="310"/>
      <c r="AQ399" s="698"/>
      <c r="AR399" s="310"/>
      <c r="AS399" s="310"/>
    </row>
    <row r="400" spans="13:45" customFormat="1" ht="11.25" customHeight="1">
      <c r="M400" s="490" t="s">
        <v>1885</v>
      </c>
      <c r="N400" s="463" t="s">
        <v>1884</v>
      </c>
      <c r="O400" s="189"/>
      <c r="AB400" s="248"/>
      <c r="AC400" s="248"/>
      <c r="AD400" s="248"/>
      <c r="AE400" s="462"/>
      <c r="AF400" s="462"/>
      <c r="AG400" s="462"/>
      <c r="AH400" s="248"/>
      <c r="AI400" s="248"/>
      <c r="AJ400" s="248"/>
      <c r="AK400" s="241"/>
      <c r="AL400" s="241"/>
      <c r="AM400" s="241"/>
      <c r="AN400" s="310"/>
      <c r="AO400" s="310"/>
      <c r="AP400" s="310"/>
      <c r="AQ400" s="36"/>
      <c r="AR400" s="310"/>
      <c r="AS400" s="310"/>
    </row>
    <row r="401" spans="13:45" customFormat="1" ht="11.25" customHeight="1">
      <c r="M401" s="696" t="s">
        <v>1886</v>
      </c>
      <c r="N401" s="699" t="s">
        <v>713</v>
      </c>
      <c r="O401" s="189" t="s">
        <v>507</v>
      </c>
      <c r="AB401" s="248"/>
      <c r="AC401" s="248"/>
      <c r="AD401" s="248"/>
      <c r="AE401" s="462"/>
      <c r="AF401" s="462"/>
      <c r="AG401" s="462"/>
      <c r="AH401" s="248"/>
      <c r="AI401" s="248"/>
      <c r="AJ401" s="248"/>
      <c r="AK401" s="183">
        <f t="shared" ref="AK401:AK416" si="28">AL401+AM401</f>
        <v>0</v>
      </c>
      <c r="AL401" s="183">
        <f>SUM(AL402:AL408)</f>
        <v>0</v>
      </c>
      <c r="AM401" s="183">
        <f>SUM(AM402:AM408)</f>
        <v>0</v>
      </c>
      <c r="AN401" s="310"/>
      <c r="AO401" s="310"/>
      <c r="AP401" s="310"/>
      <c r="AQ401" s="698" t="s">
        <v>1329</v>
      </c>
      <c r="AR401" s="310"/>
      <c r="AS401" s="310"/>
    </row>
    <row r="402" spans="13:45" customFormat="1" ht="11.25" customHeight="1">
      <c r="M402" s="696" t="s">
        <v>1887</v>
      </c>
      <c r="N402" s="458" t="s">
        <v>1369</v>
      </c>
      <c r="O402" s="189" t="s">
        <v>507</v>
      </c>
      <c r="AB402" s="248"/>
      <c r="AC402" s="248"/>
      <c r="AD402" s="248"/>
      <c r="AE402" s="462"/>
      <c r="AF402" s="462"/>
      <c r="AG402" s="462"/>
      <c r="AH402" s="248"/>
      <c r="AI402" s="248"/>
      <c r="AJ402" s="248"/>
      <c r="AK402" s="183">
        <f t="shared" si="28"/>
        <v>0</v>
      </c>
      <c r="AL402" s="196"/>
      <c r="AM402" s="196"/>
      <c r="AN402" s="310"/>
      <c r="AO402" s="310"/>
      <c r="AP402" s="310"/>
      <c r="AQ402" s="698" t="s">
        <v>1329</v>
      </c>
      <c r="AR402" s="310"/>
      <c r="AS402" s="310"/>
    </row>
    <row r="403" spans="13:45" customFormat="1" ht="11.25" customHeight="1">
      <c r="M403" s="696" t="s">
        <v>1888</v>
      </c>
      <c r="N403" s="458" t="s">
        <v>1370</v>
      </c>
      <c r="O403" s="189" t="s">
        <v>507</v>
      </c>
      <c r="AB403" s="248"/>
      <c r="AC403" s="248"/>
      <c r="AD403" s="248"/>
      <c r="AE403" s="462"/>
      <c r="AF403" s="462"/>
      <c r="AG403" s="462"/>
      <c r="AH403" s="248"/>
      <c r="AI403" s="248"/>
      <c r="AJ403" s="248"/>
      <c r="AK403" s="183">
        <f t="shared" si="28"/>
        <v>0</v>
      </c>
      <c r="AL403" s="196"/>
      <c r="AM403" s="196"/>
      <c r="AN403" s="310"/>
      <c r="AO403" s="310"/>
      <c r="AP403" s="310"/>
      <c r="AQ403" s="698" t="s">
        <v>1329</v>
      </c>
      <c r="AR403" s="310"/>
      <c r="AS403" s="310"/>
    </row>
    <row r="404" spans="13:45" customFormat="1" ht="11.25" customHeight="1">
      <c r="M404" s="696" t="s">
        <v>1889</v>
      </c>
      <c r="N404" s="458" t="s">
        <v>1371</v>
      </c>
      <c r="O404" s="189" t="s">
        <v>507</v>
      </c>
      <c r="AB404" s="248"/>
      <c r="AC404" s="248"/>
      <c r="AD404" s="248"/>
      <c r="AE404" s="462"/>
      <c r="AF404" s="462"/>
      <c r="AG404" s="462"/>
      <c r="AH404" s="248"/>
      <c r="AI404" s="248"/>
      <c r="AJ404" s="248"/>
      <c r="AK404" s="183">
        <f t="shared" si="28"/>
        <v>0</v>
      </c>
      <c r="AL404" s="196"/>
      <c r="AM404" s="196"/>
      <c r="AN404" s="310"/>
      <c r="AO404" s="310"/>
      <c r="AP404" s="310"/>
      <c r="AQ404" s="698" t="s">
        <v>1329</v>
      </c>
      <c r="AR404" s="310"/>
      <c r="AS404" s="310"/>
    </row>
    <row r="405" spans="13:45" customFormat="1" ht="11.25" customHeight="1">
      <c r="M405" s="696" t="s">
        <v>1890</v>
      </c>
      <c r="N405" s="458" t="s">
        <v>1372</v>
      </c>
      <c r="O405" s="189" t="s">
        <v>507</v>
      </c>
      <c r="AB405" s="248"/>
      <c r="AC405" s="248"/>
      <c r="AD405" s="248"/>
      <c r="AE405" s="462"/>
      <c r="AF405" s="462"/>
      <c r="AG405" s="462"/>
      <c r="AH405" s="248"/>
      <c r="AI405" s="248"/>
      <c r="AJ405" s="248"/>
      <c r="AK405" s="183">
        <f t="shared" si="28"/>
        <v>0</v>
      </c>
      <c r="AL405" s="196"/>
      <c r="AM405" s="196"/>
      <c r="AN405" s="310"/>
      <c r="AO405" s="310"/>
      <c r="AP405" s="310"/>
      <c r="AQ405" s="698" t="s">
        <v>1329</v>
      </c>
      <c r="AR405" s="310"/>
      <c r="AS405" s="310"/>
    </row>
    <row r="406" spans="13:45" customFormat="1" ht="11.25" customHeight="1">
      <c r="M406" s="696" t="s">
        <v>1891</v>
      </c>
      <c r="N406" s="458" t="s">
        <v>1373</v>
      </c>
      <c r="O406" s="189" t="s">
        <v>507</v>
      </c>
      <c r="AB406" s="248"/>
      <c r="AC406" s="248"/>
      <c r="AD406" s="248"/>
      <c r="AE406" s="462"/>
      <c r="AF406" s="462"/>
      <c r="AG406" s="462"/>
      <c r="AH406" s="248"/>
      <c r="AI406" s="248"/>
      <c r="AJ406" s="248"/>
      <c r="AK406" s="183">
        <f t="shared" si="28"/>
        <v>0</v>
      </c>
      <c r="AL406" s="196"/>
      <c r="AM406" s="196"/>
      <c r="AN406" s="310"/>
      <c r="AO406" s="310"/>
      <c r="AP406" s="310"/>
      <c r="AQ406" s="698" t="s">
        <v>1329</v>
      </c>
      <c r="AR406" s="310"/>
      <c r="AS406" s="310"/>
    </row>
    <row r="407" spans="13:45" customFormat="1" ht="11.25" customHeight="1">
      <c r="M407" s="696" t="s">
        <v>1892</v>
      </c>
      <c r="N407" s="458" t="s">
        <v>1374</v>
      </c>
      <c r="O407" s="189" t="s">
        <v>507</v>
      </c>
      <c r="AB407" s="248"/>
      <c r="AC407" s="248"/>
      <c r="AD407" s="248"/>
      <c r="AE407" s="462"/>
      <c r="AF407" s="462"/>
      <c r="AG407" s="462"/>
      <c r="AH407" s="248"/>
      <c r="AI407" s="248"/>
      <c r="AJ407" s="248"/>
      <c r="AK407" s="183">
        <f t="shared" si="28"/>
        <v>0</v>
      </c>
      <c r="AL407" s="196"/>
      <c r="AM407" s="196"/>
      <c r="AN407" s="310"/>
      <c r="AO407" s="310"/>
      <c r="AP407" s="310"/>
      <c r="AQ407" s="698" t="s">
        <v>1329</v>
      </c>
      <c r="AR407" s="310"/>
      <c r="AS407" s="310"/>
    </row>
    <row r="408" spans="13:45" customFormat="1" ht="11.25" customHeight="1">
      <c r="M408" s="696" t="s">
        <v>1893</v>
      </c>
      <c r="N408" s="458" t="s">
        <v>1375</v>
      </c>
      <c r="O408" s="189" t="s">
        <v>507</v>
      </c>
      <c r="AB408" s="248"/>
      <c r="AC408" s="248"/>
      <c r="AD408" s="248"/>
      <c r="AE408" s="462"/>
      <c r="AF408" s="462"/>
      <c r="AG408" s="462"/>
      <c r="AH408" s="248"/>
      <c r="AI408" s="248"/>
      <c r="AJ408" s="248"/>
      <c r="AK408" s="183">
        <f t="shared" si="28"/>
        <v>0</v>
      </c>
      <c r="AL408" s="196"/>
      <c r="AM408" s="196"/>
      <c r="AN408" s="310"/>
      <c r="AO408" s="310"/>
      <c r="AP408" s="310"/>
      <c r="AQ408" s="698" t="s">
        <v>1329</v>
      </c>
      <c r="AR408" s="310"/>
      <c r="AS408" s="310"/>
    </row>
    <row r="409" spans="13:45" customFormat="1" ht="11.25" customHeight="1">
      <c r="M409" s="696" t="s">
        <v>2107</v>
      </c>
      <c r="N409" s="699" t="s">
        <v>715</v>
      </c>
      <c r="O409" s="189" t="s">
        <v>507</v>
      </c>
      <c r="AB409" s="248"/>
      <c r="AC409" s="248"/>
      <c r="AD409" s="248"/>
      <c r="AE409" s="462"/>
      <c r="AF409" s="462"/>
      <c r="AG409" s="462"/>
      <c r="AH409" s="248"/>
      <c r="AI409" s="248"/>
      <c r="AJ409" s="248"/>
      <c r="AK409" s="183">
        <f t="shared" si="28"/>
        <v>0</v>
      </c>
      <c r="AL409" s="183">
        <f>SUM(AL410:AL416)</f>
        <v>0</v>
      </c>
      <c r="AM409" s="183">
        <f>SUM(AM410:AM416)</f>
        <v>0</v>
      </c>
      <c r="AN409" s="310"/>
      <c r="AO409" s="310"/>
      <c r="AP409" s="310"/>
      <c r="AQ409" s="698" t="s">
        <v>1330</v>
      </c>
      <c r="AR409" s="310"/>
      <c r="AS409" s="310"/>
    </row>
    <row r="410" spans="13:45" customFormat="1" ht="11.25" customHeight="1">
      <c r="M410" s="696" t="s">
        <v>1894</v>
      </c>
      <c r="N410" s="458" t="s">
        <v>1369</v>
      </c>
      <c r="O410" s="189" t="s">
        <v>507</v>
      </c>
      <c r="AB410" s="248"/>
      <c r="AC410" s="248"/>
      <c r="AD410" s="248"/>
      <c r="AE410" s="462"/>
      <c r="AF410" s="462"/>
      <c r="AG410" s="462"/>
      <c r="AH410" s="248"/>
      <c r="AI410" s="248"/>
      <c r="AJ410" s="248"/>
      <c r="AK410" s="183">
        <f t="shared" si="28"/>
        <v>0</v>
      </c>
      <c r="AL410" s="196"/>
      <c r="AM410" s="196"/>
      <c r="AN410" s="310"/>
      <c r="AO410" s="310"/>
      <c r="AP410" s="310"/>
      <c r="AQ410" s="698" t="s">
        <v>1330</v>
      </c>
      <c r="AR410" s="310"/>
      <c r="AS410" s="310"/>
    </row>
    <row r="411" spans="13:45" customFormat="1" ht="11.25" customHeight="1">
      <c r="M411" s="696" t="s">
        <v>1895</v>
      </c>
      <c r="N411" s="458" t="s">
        <v>1370</v>
      </c>
      <c r="O411" s="189" t="s">
        <v>507</v>
      </c>
      <c r="AB411" s="248"/>
      <c r="AC411" s="248"/>
      <c r="AD411" s="248"/>
      <c r="AE411" s="462"/>
      <c r="AF411" s="462"/>
      <c r="AG411" s="462"/>
      <c r="AH411" s="248"/>
      <c r="AI411" s="248"/>
      <c r="AJ411" s="248"/>
      <c r="AK411" s="183">
        <f t="shared" si="28"/>
        <v>0</v>
      </c>
      <c r="AL411" s="196"/>
      <c r="AM411" s="196"/>
      <c r="AN411" s="310"/>
      <c r="AO411" s="310"/>
      <c r="AP411" s="310"/>
      <c r="AQ411" s="698" t="s">
        <v>1330</v>
      </c>
      <c r="AR411" s="310"/>
      <c r="AS411" s="310"/>
    </row>
    <row r="412" spans="13:45" customFormat="1" ht="11.25" customHeight="1">
      <c r="M412" s="696" t="s">
        <v>1896</v>
      </c>
      <c r="N412" s="458" t="s">
        <v>1371</v>
      </c>
      <c r="O412" s="189" t="s">
        <v>507</v>
      </c>
      <c r="AB412" s="248"/>
      <c r="AC412" s="248"/>
      <c r="AD412" s="248"/>
      <c r="AE412" s="462"/>
      <c r="AF412" s="462"/>
      <c r="AG412" s="462"/>
      <c r="AH412" s="248"/>
      <c r="AI412" s="248"/>
      <c r="AJ412" s="248"/>
      <c r="AK412" s="183">
        <f t="shared" si="28"/>
        <v>0</v>
      </c>
      <c r="AL412" s="196"/>
      <c r="AM412" s="196"/>
      <c r="AN412" s="310"/>
      <c r="AO412" s="310"/>
      <c r="AP412" s="310"/>
      <c r="AQ412" s="698" t="s">
        <v>1330</v>
      </c>
      <c r="AR412" s="310"/>
      <c r="AS412" s="310"/>
    </row>
    <row r="413" spans="13:45" customFormat="1" ht="11.25" customHeight="1">
      <c r="M413" s="696" t="s">
        <v>1897</v>
      </c>
      <c r="N413" s="458" t="s">
        <v>1372</v>
      </c>
      <c r="O413" s="189" t="s">
        <v>507</v>
      </c>
      <c r="AB413" s="248"/>
      <c r="AC413" s="248"/>
      <c r="AD413" s="248"/>
      <c r="AE413" s="462"/>
      <c r="AF413" s="462"/>
      <c r="AG413" s="462"/>
      <c r="AH413" s="248"/>
      <c r="AI413" s="248"/>
      <c r="AJ413" s="248"/>
      <c r="AK413" s="183">
        <f t="shared" si="28"/>
        <v>0</v>
      </c>
      <c r="AL413" s="196"/>
      <c r="AM413" s="196"/>
      <c r="AN413" s="310"/>
      <c r="AO413" s="310"/>
      <c r="AP413" s="310"/>
      <c r="AQ413" s="698" t="s">
        <v>1330</v>
      </c>
      <c r="AR413" s="310"/>
      <c r="AS413" s="310"/>
    </row>
    <row r="414" spans="13:45" customFormat="1" ht="11.25" customHeight="1">
      <c r="M414" s="696" t="s">
        <v>1898</v>
      </c>
      <c r="N414" s="458" t="s">
        <v>1373</v>
      </c>
      <c r="O414" s="189" t="s">
        <v>507</v>
      </c>
      <c r="AB414" s="248"/>
      <c r="AC414" s="248"/>
      <c r="AD414" s="248"/>
      <c r="AE414" s="462"/>
      <c r="AF414" s="462"/>
      <c r="AG414" s="462"/>
      <c r="AH414" s="248"/>
      <c r="AI414" s="248"/>
      <c r="AJ414" s="248"/>
      <c r="AK414" s="183">
        <f t="shared" si="28"/>
        <v>0</v>
      </c>
      <c r="AL414" s="196"/>
      <c r="AM414" s="196"/>
      <c r="AN414" s="310"/>
      <c r="AO414" s="310"/>
      <c r="AP414" s="310"/>
      <c r="AQ414" s="698" t="s">
        <v>1330</v>
      </c>
      <c r="AR414" s="310"/>
      <c r="AS414" s="310"/>
    </row>
    <row r="415" spans="13:45" customFormat="1" ht="11.25" customHeight="1">
      <c r="M415" s="696" t="s">
        <v>1899</v>
      </c>
      <c r="N415" s="458" t="s">
        <v>1374</v>
      </c>
      <c r="O415" s="189" t="s">
        <v>507</v>
      </c>
      <c r="AB415" s="248"/>
      <c r="AC415" s="248"/>
      <c r="AD415" s="248"/>
      <c r="AE415" s="462"/>
      <c r="AF415" s="462"/>
      <c r="AG415" s="462"/>
      <c r="AH415" s="248"/>
      <c r="AI415" s="248"/>
      <c r="AJ415" s="248"/>
      <c r="AK415" s="183">
        <f t="shared" si="28"/>
        <v>0</v>
      </c>
      <c r="AL415" s="196"/>
      <c r="AM415" s="196"/>
      <c r="AN415" s="310"/>
      <c r="AO415" s="310"/>
      <c r="AP415" s="310"/>
      <c r="AQ415" s="698" t="s">
        <v>1330</v>
      </c>
      <c r="AR415" s="310"/>
      <c r="AS415" s="310"/>
    </row>
    <row r="416" spans="13:45" customFormat="1" ht="11.25" customHeight="1">
      <c r="M416" s="696" t="s">
        <v>1900</v>
      </c>
      <c r="N416" s="458" t="s">
        <v>1375</v>
      </c>
      <c r="O416" s="189" t="s">
        <v>507</v>
      </c>
      <c r="AB416" s="248"/>
      <c r="AC416" s="248"/>
      <c r="AD416" s="248"/>
      <c r="AE416" s="462"/>
      <c r="AF416" s="462"/>
      <c r="AG416" s="462"/>
      <c r="AH416" s="248"/>
      <c r="AI416" s="248"/>
      <c r="AJ416" s="248"/>
      <c r="AK416" s="183">
        <f t="shared" si="28"/>
        <v>0</v>
      </c>
      <c r="AL416" s="196"/>
      <c r="AM416" s="196"/>
      <c r="AN416" s="310"/>
      <c r="AO416" s="310"/>
      <c r="AP416" s="310"/>
      <c r="AQ416" s="698" t="s">
        <v>1330</v>
      </c>
      <c r="AR416" s="310"/>
      <c r="AS416" s="310"/>
    </row>
    <row r="417" spans="13:45" customFormat="1" ht="11.25" customHeight="1">
      <c r="M417" s="492"/>
      <c r="N417" s="464"/>
      <c r="O417" s="189"/>
      <c r="AB417" s="248"/>
      <c r="AC417" s="248"/>
      <c r="AD417" s="248"/>
      <c r="AE417" s="241"/>
      <c r="AF417" s="241"/>
      <c r="AG417" s="241"/>
      <c r="AH417" s="248"/>
      <c r="AI417" s="248"/>
      <c r="AJ417" s="248"/>
      <c r="AK417" s="241"/>
      <c r="AL417" s="241"/>
      <c r="AM417" s="241"/>
      <c r="AN417" s="310"/>
      <c r="AO417" s="310"/>
      <c r="AP417" s="310"/>
      <c r="AQ417" s="36"/>
      <c r="AR417" s="310"/>
      <c r="AS417" s="310"/>
    </row>
    <row r="418" spans="13:45" customFormat="1" ht="11.25" customHeight="1">
      <c r="M418" s="490"/>
      <c r="N418" s="463" t="s">
        <v>759</v>
      </c>
      <c r="O418" s="189"/>
      <c r="AB418" s="248"/>
      <c r="AC418" s="248"/>
      <c r="AD418" s="248"/>
      <c r="AE418" s="241"/>
      <c r="AF418" s="241"/>
      <c r="AG418" s="241"/>
      <c r="AH418" s="248"/>
      <c r="AI418" s="248"/>
      <c r="AJ418" s="248"/>
      <c r="AK418" s="241"/>
      <c r="AL418" s="241"/>
      <c r="AM418" s="241"/>
      <c r="AN418" s="310"/>
      <c r="AO418" s="310"/>
      <c r="AP418" s="310"/>
      <c r="AQ418" s="36"/>
      <c r="AR418" s="310"/>
      <c r="AS418" s="310"/>
    </row>
    <row r="419" spans="13:45" customFormat="1" ht="11.25" customHeight="1">
      <c r="M419" s="493"/>
      <c r="N419" s="457"/>
      <c r="O419" s="189"/>
      <c r="AB419" s="248"/>
      <c r="AC419" s="248"/>
      <c r="AD419" s="248"/>
      <c r="AE419" s="241"/>
      <c r="AF419" s="241"/>
      <c r="AG419" s="241"/>
      <c r="AH419" s="248"/>
      <c r="AI419" s="248"/>
      <c r="AJ419" s="248"/>
      <c r="AK419" s="241"/>
      <c r="AL419" s="241"/>
      <c r="AM419" s="241"/>
      <c r="AN419" s="310"/>
      <c r="AO419" s="310"/>
      <c r="AP419" s="310"/>
      <c r="AQ419" s="36"/>
      <c r="AR419" s="310"/>
      <c r="AS419" s="310"/>
    </row>
    <row r="420" spans="13:45" customFormat="1" ht="11.25" customHeight="1">
      <c r="M420" s="490" t="s">
        <v>1368</v>
      </c>
      <c r="N420" s="463" t="s">
        <v>760</v>
      </c>
      <c r="O420" s="189"/>
      <c r="AB420" s="248"/>
      <c r="AC420" s="248"/>
      <c r="AD420" s="248"/>
      <c r="AE420" s="241"/>
      <c r="AF420" s="241"/>
      <c r="AG420" s="241"/>
      <c r="AH420" s="248"/>
      <c r="AI420" s="248"/>
      <c r="AJ420" s="248"/>
      <c r="AK420" s="241"/>
      <c r="AL420" s="241"/>
      <c r="AM420" s="241"/>
      <c r="AN420" s="310"/>
      <c r="AO420" s="310"/>
      <c r="AP420" s="310"/>
      <c r="AQ420" s="36"/>
      <c r="AR420" s="310"/>
      <c r="AS420" s="310"/>
    </row>
    <row r="421" spans="13:45" customFormat="1" ht="11.25" customHeight="1">
      <c r="M421" s="696" t="s">
        <v>1579</v>
      </c>
      <c r="N421" s="697" t="s">
        <v>1304</v>
      </c>
      <c r="O421" s="189" t="s">
        <v>506</v>
      </c>
      <c r="AB421" s="248"/>
      <c r="AC421" s="248"/>
      <c r="AD421" s="248"/>
      <c r="AE421" s="462"/>
      <c r="AF421" s="462"/>
      <c r="AG421" s="462"/>
      <c r="AH421" s="248"/>
      <c r="AI421" s="248"/>
      <c r="AJ421" s="248"/>
      <c r="AK421" s="686">
        <f>IF(AK349=0,0,AK473/AK349*1000)</f>
        <v>0</v>
      </c>
      <c r="AL421" s="686">
        <f>IF(AL349=0,0,AL473/AL349*1000)</f>
        <v>0</v>
      </c>
      <c r="AM421" s="686">
        <f>IF(AM349=0,0,AM473/AM349*1000)</f>
        <v>0</v>
      </c>
      <c r="AN421" s="310"/>
      <c r="AO421" s="310"/>
      <c r="AP421" s="310"/>
      <c r="AQ421" s="698" t="s">
        <v>1328</v>
      </c>
      <c r="AR421" s="310"/>
      <c r="AS421" s="310"/>
    </row>
    <row r="422" spans="13:45" customFormat="1" ht="11.25" customHeight="1">
      <c r="M422" s="696" t="s">
        <v>1580</v>
      </c>
      <c r="N422" s="699" t="s">
        <v>713</v>
      </c>
      <c r="O422" s="189" t="s">
        <v>506</v>
      </c>
      <c r="AB422" s="248"/>
      <c r="AC422" s="248"/>
      <c r="AD422" s="248"/>
      <c r="AE422" s="462"/>
      <c r="AF422" s="462"/>
      <c r="AG422" s="462"/>
      <c r="AH422" s="248"/>
      <c r="AI422" s="248"/>
      <c r="AJ422" s="248"/>
      <c r="AK422" s="686">
        <f t="shared" ref="AK422:AK461" si="29">IF(AK350=0,0,AK474/AK350*1000)</f>
        <v>0</v>
      </c>
      <c r="AL422" s="196"/>
      <c r="AM422" s="196"/>
      <c r="AN422" s="310"/>
      <c r="AO422" s="310"/>
      <c r="AP422" s="310"/>
      <c r="AQ422" s="698" t="s">
        <v>1329</v>
      </c>
      <c r="AR422" s="310"/>
      <c r="AS422" s="310"/>
    </row>
    <row r="423" spans="13:45" customFormat="1" ht="11.25" customHeight="1">
      <c r="M423" s="696" t="s">
        <v>1581</v>
      </c>
      <c r="N423" s="699" t="s">
        <v>715</v>
      </c>
      <c r="O423" s="189" t="s">
        <v>506</v>
      </c>
      <c r="AB423" s="248"/>
      <c r="AC423" s="248"/>
      <c r="AD423" s="248"/>
      <c r="AE423" s="462"/>
      <c r="AF423" s="462"/>
      <c r="AG423" s="462"/>
      <c r="AH423" s="248"/>
      <c r="AI423" s="248"/>
      <c r="AJ423" s="248"/>
      <c r="AK423" s="686">
        <f t="shared" si="29"/>
        <v>0</v>
      </c>
      <c r="AL423" s="196"/>
      <c r="AM423" s="196"/>
      <c r="AN423" s="310"/>
      <c r="AO423" s="310"/>
      <c r="AP423" s="310"/>
      <c r="AQ423" s="698" t="s">
        <v>1330</v>
      </c>
      <c r="AR423" s="310"/>
      <c r="AS423" s="310"/>
    </row>
    <row r="424" spans="13:45" customFormat="1" ht="11.25" customHeight="1">
      <c r="M424" s="696" t="s">
        <v>1582</v>
      </c>
      <c r="N424" s="699" t="s">
        <v>716</v>
      </c>
      <c r="O424" s="189" t="s">
        <v>506</v>
      </c>
      <c r="AB424" s="248"/>
      <c r="AC424" s="248"/>
      <c r="AD424" s="248"/>
      <c r="AE424" s="462"/>
      <c r="AF424" s="462"/>
      <c r="AG424" s="462"/>
      <c r="AH424" s="248"/>
      <c r="AI424" s="248"/>
      <c r="AJ424" s="248"/>
      <c r="AK424" s="686">
        <f t="shared" si="29"/>
        <v>0</v>
      </c>
      <c r="AL424" s="196"/>
      <c r="AM424" s="196"/>
      <c r="AN424" s="310"/>
      <c r="AO424" s="310"/>
      <c r="AP424" s="310"/>
      <c r="AQ424" s="698" t="s">
        <v>1331</v>
      </c>
      <c r="AR424" s="310"/>
      <c r="AS424" s="310"/>
    </row>
    <row r="425" spans="13:45" customFormat="1" ht="11.25" customHeight="1">
      <c r="M425" s="696" t="s">
        <v>1583</v>
      </c>
      <c r="N425" s="700" t="s">
        <v>1305</v>
      </c>
      <c r="O425" s="189" t="s">
        <v>506</v>
      </c>
      <c r="AB425" s="248"/>
      <c r="AC425" s="248"/>
      <c r="AD425" s="248"/>
      <c r="AE425" s="462"/>
      <c r="AF425" s="462"/>
      <c r="AG425" s="462"/>
      <c r="AH425" s="248"/>
      <c r="AI425" s="248"/>
      <c r="AJ425" s="248"/>
      <c r="AK425" s="686">
        <f t="shared" si="29"/>
        <v>0</v>
      </c>
      <c r="AL425" s="196"/>
      <c r="AM425" s="196"/>
      <c r="AN425" s="310"/>
      <c r="AO425" s="310"/>
      <c r="AP425" s="310"/>
      <c r="AQ425" s="698" t="s">
        <v>1340</v>
      </c>
      <c r="AR425" s="310"/>
      <c r="AS425" s="310"/>
    </row>
    <row r="426" spans="13:45" customFormat="1" ht="11.25" customHeight="1">
      <c r="M426" s="696" t="s">
        <v>1584</v>
      </c>
      <c r="N426" s="700" t="s">
        <v>1306</v>
      </c>
      <c r="O426" s="189" t="s">
        <v>506</v>
      </c>
      <c r="AB426" s="248"/>
      <c r="AC426" s="248"/>
      <c r="AD426" s="248"/>
      <c r="AE426" s="462"/>
      <c r="AF426" s="462"/>
      <c r="AG426" s="462"/>
      <c r="AH426" s="248"/>
      <c r="AI426" s="248"/>
      <c r="AJ426" s="248"/>
      <c r="AK426" s="686">
        <f t="shared" si="29"/>
        <v>0</v>
      </c>
      <c r="AL426" s="196"/>
      <c r="AM426" s="196"/>
      <c r="AN426" s="310"/>
      <c r="AO426" s="310"/>
      <c r="AP426" s="310"/>
      <c r="AQ426" s="698" t="s">
        <v>1341</v>
      </c>
      <c r="AR426" s="310"/>
      <c r="AS426" s="310"/>
    </row>
    <row r="427" spans="13:45" customFormat="1" ht="11.25" customHeight="1">
      <c r="M427" s="696" t="s">
        <v>1585</v>
      </c>
      <c r="N427" s="700" t="s">
        <v>1307</v>
      </c>
      <c r="O427" s="189" t="s">
        <v>506</v>
      </c>
      <c r="AB427" s="248"/>
      <c r="AC427" s="248"/>
      <c r="AD427" s="248"/>
      <c r="AE427" s="462"/>
      <c r="AF427" s="462"/>
      <c r="AG427" s="462"/>
      <c r="AH427" s="248"/>
      <c r="AI427" s="248"/>
      <c r="AJ427" s="248"/>
      <c r="AK427" s="686">
        <f t="shared" si="29"/>
        <v>0</v>
      </c>
      <c r="AL427" s="196"/>
      <c r="AM427" s="196"/>
      <c r="AN427" s="310"/>
      <c r="AO427" s="310"/>
      <c r="AP427" s="310"/>
      <c r="AQ427" s="698" t="s">
        <v>1342</v>
      </c>
      <c r="AR427" s="310"/>
      <c r="AS427" s="310"/>
    </row>
    <row r="428" spans="13:45" customFormat="1" ht="11.25" customHeight="1">
      <c r="M428" s="696" t="s">
        <v>1586</v>
      </c>
      <c r="N428" s="700" t="s">
        <v>1308</v>
      </c>
      <c r="O428" s="189" t="s">
        <v>506</v>
      </c>
      <c r="AB428" s="248"/>
      <c r="AC428" s="248"/>
      <c r="AD428" s="248"/>
      <c r="AE428" s="462"/>
      <c r="AF428" s="462"/>
      <c r="AG428" s="462"/>
      <c r="AH428" s="248"/>
      <c r="AI428" s="248"/>
      <c r="AJ428" s="248"/>
      <c r="AK428" s="686">
        <f t="shared" si="29"/>
        <v>0</v>
      </c>
      <c r="AL428" s="196"/>
      <c r="AM428" s="196"/>
      <c r="AN428" s="310"/>
      <c r="AO428" s="310"/>
      <c r="AP428" s="310"/>
      <c r="AQ428" s="698" t="s">
        <v>1339</v>
      </c>
      <c r="AR428" s="310"/>
      <c r="AS428" s="310"/>
    </row>
    <row r="429" spans="13:45" customFormat="1" ht="11.25" customHeight="1">
      <c r="M429" s="696" t="s">
        <v>1587</v>
      </c>
      <c r="N429" s="701" t="s">
        <v>684</v>
      </c>
      <c r="O429" s="189" t="s">
        <v>751</v>
      </c>
      <c r="AB429" s="248"/>
      <c r="AC429" s="248"/>
      <c r="AD429" s="248"/>
      <c r="AE429" s="462"/>
      <c r="AF429" s="462"/>
      <c r="AG429" s="462"/>
      <c r="AH429" s="248"/>
      <c r="AI429" s="248"/>
      <c r="AJ429" s="248"/>
      <c r="AK429" s="686">
        <f t="shared" si="29"/>
        <v>0</v>
      </c>
      <c r="AL429" s="196"/>
      <c r="AM429" s="196"/>
      <c r="AN429" s="310"/>
      <c r="AO429" s="310"/>
      <c r="AP429" s="310"/>
      <c r="AQ429" s="698" t="s">
        <v>1332</v>
      </c>
      <c r="AR429" s="310"/>
      <c r="AS429" s="310"/>
    </row>
    <row r="430" spans="13:45" customFormat="1" ht="11.25" customHeight="1">
      <c r="M430" s="696" t="s">
        <v>1588</v>
      </c>
      <c r="N430" s="702" t="s">
        <v>718</v>
      </c>
      <c r="O430" s="189" t="s">
        <v>751</v>
      </c>
      <c r="AB430" s="248"/>
      <c r="AC430" s="248"/>
      <c r="AD430" s="248"/>
      <c r="AE430" s="462"/>
      <c r="AF430" s="462"/>
      <c r="AG430" s="462"/>
      <c r="AH430" s="248"/>
      <c r="AI430" s="248"/>
      <c r="AJ430" s="248"/>
      <c r="AK430" s="686">
        <f t="shared" si="29"/>
        <v>0</v>
      </c>
      <c r="AL430" s="196"/>
      <c r="AM430" s="196"/>
      <c r="AN430" s="310"/>
      <c r="AO430" s="310"/>
      <c r="AP430" s="310"/>
      <c r="AQ430" s="698" t="s">
        <v>1333</v>
      </c>
      <c r="AR430" s="310"/>
      <c r="AS430" s="310"/>
    </row>
    <row r="431" spans="13:45" customFormat="1" ht="11.25" customHeight="1">
      <c r="M431" s="696" t="s">
        <v>1589</v>
      </c>
      <c r="N431" s="703" t="s">
        <v>722</v>
      </c>
      <c r="O431" s="189" t="s">
        <v>751</v>
      </c>
      <c r="AB431" s="248"/>
      <c r="AC431" s="248"/>
      <c r="AD431" s="248"/>
      <c r="AE431" s="462"/>
      <c r="AF431" s="462"/>
      <c r="AG431" s="462"/>
      <c r="AH431" s="248"/>
      <c r="AI431" s="248"/>
      <c r="AJ431" s="248"/>
      <c r="AK431" s="686">
        <f t="shared" si="29"/>
        <v>0</v>
      </c>
      <c r="AL431" s="686">
        <f>IF(AL359=0,0,AL483/AL359*1000)</f>
        <v>0</v>
      </c>
      <c r="AM431" s="686">
        <f>IF(AM359=0,0,AM483/AM359*1000)</f>
        <v>0</v>
      </c>
      <c r="AN431" s="310"/>
      <c r="AO431" s="310"/>
      <c r="AP431" s="310"/>
      <c r="AQ431" s="698" t="s">
        <v>1334</v>
      </c>
      <c r="AR431" s="310"/>
      <c r="AS431" s="310"/>
    </row>
    <row r="432" spans="13:45" customFormat="1" ht="11.25" customHeight="1">
      <c r="M432" s="696" t="s">
        <v>1590</v>
      </c>
      <c r="N432" s="704" t="s">
        <v>1309</v>
      </c>
      <c r="O432" s="189" t="s">
        <v>751</v>
      </c>
      <c r="AB432" s="248"/>
      <c r="AC432" s="248"/>
      <c r="AD432" s="248"/>
      <c r="AE432" s="462"/>
      <c r="AF432" s="462"/>
      <c r="AG432" s="462"/>
      <c r="AH432" s="248"/>
      <c r="AI432" s="248"/>
      <c r="AJ432" s="248"/>
      <c r="AK432" s="686">
        <f t="shared" si="29"/>
        <v>0</v>
      </c>
      <c r="AL432" s="196"/>
      <c r="AM432" s="196"/>
      <c r="AN432" s="310"/>
      <c r="AO432" s="310"/>
      <c r="AP432" s="310"/>
      <c r="AQ432" s="698" t="s">
        <v>1335</v>
      </c>
      <c r="AR432" s="310"/>
      <c r="AS432" s="310"/>
    </row>
    <row r="433" spans="13:45" customFormat="1" ht="11.25" customHeight="1">
      <c r="M433" s="696" t="s">
        <v>1591</v>
      </c>
      <c r="N433" s="704" t="s">
        <v>1310</v>
      </c>
      <c r="O433" s="189" t="s">
        <v>751</v>
      </c>
      <c r="AB433" s="248"/>
      <c r="AC433" s="248"/>
      <c r="AD433" s="248"/>
      <c r="AE433" s="462"/>
      <c r="AF433" s="462"/>
      <c r="AG433" s="462"/>
      <c r="AH433" s="248"/>
      <c r="AI433" s="248"/>
      <c r="AJ433" s="248"/>
      <c r="AK433" s="686">
        <f t="shared" si="29"/>
        <v>0</v>
      </c>
      <c r="AL433" s="196"/>
      <c r="AM433" s="196"/>
      <c r="AN433" s="310"/>
      <c r="AO433" s="310"/>
      <c r="AP433" s="310"/>
      <c r="AQ433" s="698" t="s">
        <v>1336</v>
      </c>
      <c r="AR433" s="310"/>
      <c r="AS433" s="310"/>
    </row>
    <row r="434" spans="13:45" customFormat="1" ht="11.25" customHeight="1">
      <c r="M434" s="696" t="s">
        <v>1592</v>
      </c>
      <c r="N434" s="704" t="s">
        <v>1311</v>
      </c>
      <c r="O434" s="189" t="s">
        <v>751</v>
      </c>
      <c r="AB434" s="248"/>
      <c r="AC434" s="248"/>
      <c r="AD434" s="248"/>
      <c r="AE434" s="462"/>
      <c r="AF434" s="462"/>
      <c r="AG434" s="462"/>
      <c r="AH434" s="248"/>
      <c r="AI434" s="248"/>
      <c r="AJ434" s="248"/>
      <c r="AK434" s="686">
        <f t="shared" si="29"/>
        <v>0</v>
      </c>
      <c r="AL434" s="196"/>
      <c r="AM434" s="196"/>
      <c r="AN434" s="310"/>
      <c r="AO434" s="310"/>
      <c r="AP434" s="310"/>
      <c r="AQ434" s="698" t="s">
        <v>1337</v>
      </c>
      <c r="AR434" s="310"/>
      <c r="AS434" s="310"/>
    </row>
    <row r="435" spans="13:45" customFormat="1" ht="11.25" customHeight="1">
      <c r="M435" s="696" t="s">
        <v>1593</v>
      </c>
      <c r="N435" s="704" t="s">
        <v>1312</v>
      </c>
      <c r="O435" s="189" t="s">
        <v>751</v>
      </c>
      <c r="AB435" s="248"/>
      <c r="AC435" s="248"/>
      <c r="AD435" s="248"/>
      <c r="AE435" s="462"/>
      <c r="AF435" s="462"/>
      <c r="AG435" s="462"/>
      <c r="AH435" s="248"/>
      <c r="AI435" s="248"/>
      <c r="AJ435" s="248"/>
      <c r="AK435" s="686">
        <f t="shared" si="29"/>
        <v>0</v>
      </c>
      <c r="AL435" s="196"/>
      <c r="AM435" s="196"/>
      <c r="AN435" s="310"/>
      <c r="AO435" s="310"/>
      <c r="AP435" s="310"/>
      <c r="AQ435" s="698" t="s">
        <v>1338</v>
      </c>
      <c r="AR435" s="310"/>
      <c r="AS435" s="310"/>
    </row>
    <row r="436" spans="13:45" customFormat="1" ht="11.25" customHeight="1">
      <c r="M436" s="696" t="s">
        <v>1594</v>
      </c>
      <c r="N436" s="705" t="s">
        <v>720</v>
      </c>
      <c r="O436" s="189" t="s">
        <v>751</v>
      </c>
      <c r="AB436" s="248"/>
      <c r="AC436" s="248"/>
      <c r="AD436" s="248"/>
      <c r="AE436" s="462"/>
      <c r="AF436" s="462"/>
      <c r="AG436" s="462"/>
      <c r="AH436" s="248"/>
      <c r="AI436" s="248"/>
      <c r="AJ436" s="248"/>
      <c r="AK436" s="686">
        <f t="shared" si="29"/>
        <v>0</v>
      </c>
      <c r="AL436" s="686">
        <f>IF(AL364=0,0,AL488/AL364*1000)</f>
        <v>0</v>
      </c>
      <c r="AM436" s="686">
        <f>IF(AM364=0,0,AM488/AM364*1000)</f>
        <v>0</v>
      </c>
      <c r="AN436" s="310"/>
      <c r="AO436" s="310"/>
      <c r="AP436" s="310"/>
      <c r="AQ436" s="698" t="s">
        <v>1343</v>
      </c>
      <c r="AR436" s="310"/>
      <c r="AS436" s="310"/>
    </row>
    <row r="437" spans="13:45" customFormat="1" ht="11.25" customHeight="1">
      <c r="M437" s="696" t="s">
        <v>1873</v>
      </c>
      <c r="N437" s="706" t="s">
        <v>1313</v>
      </c>
      <c r="O437" s="189" t="s">
        <v>751</v>
      </c>
      <c r="AB437" s="248"/>
      <c r="AC437" s="248"/>
      <c r="AD437" s="248"/>
      <c r="AE437" s="462"/>
      <c r="AF437" s="462"/>
      <c r="AG437" s="462"/>
      <c r="AH437" s="248"/>
      <c r="AI437" s="248"/>
      <c r="AJ437" s="248"/>
      <c r="AK437" s="686">
        <f t="shared" si="29"/>
        <v>0</v>
      </c>
      <c r="AL437" s="196"/>
      <c r="AM437" s="196"/>
      <c r="AN437" s="310"/>
      <c r="AO437" s="310"/>
      <c r="AP437" s="310"/>
      <c r="AQ437" s="698" t="s">
        <v>1866</v>
      </c>
      <c r="AR437" s="310"/>
      <c r="AS437" s="310"/>
    </row>
    <row r="438" spans="13:45" customFormat="1" ht="11.25" customHeight="1">
      <c r="M438" s="696" t="s">
        <v>1854</v>
      </c>
      <c r="N438" s="706" t="s">
        <v>1314</v>
      </c>
      <c r="O438" s="189" t="s">
        <v>751</v>
      </c>
      <c r="AB438" s="248"/>
      <c r="AC438" s="248"/>
      <c r="AD438" s="248"/>
      <c r="AE438" s="462"/>
      <c r="AF438" s="462"/>
      <c r="AG438" s="462"/>
      <c r="AH438" s="248"/>
      <c r="AI438" s="248"/>
      <c r="AJ438" s="248"/>
      <c r="AK438" s="686">
        <f t="shared" si="29"/>
        <v>0</v>
      </c>
      <c r="AL438" s="196"/>
      <c r="AM438" s="196"/>
      <c r="AN438" s="310"/>
      <c r="AO438" s="310"/>
      <c r="AP438" s="310"/>
      <c r="AQ438" s="698" t="s">
        <v>1847</v>
      </c>
      <c r="AR438" s="310"/>
      <c r="AS438" s="310"/>
    </row>
    <row r="439" spans="13:45" customFormat="1" ht="11.25" customHeight="1">
      <c r="M439" s="696" t="s">
        <v>1835</v>
      </c>
      <c r="N439" s="706" t="s">
        <v>1315</v>
      </c>
      <c r="O439" s="189" t="s">
        <v>751</v>
      </c>
      <c r="AB439" s="248"/>
      <c r="AC439" s="248"/>
      <c r="AD439" s="248"/>
      <c r="AE439" s="462"/>
      <c r="AF439" s="462"/>
      <c r="AG439" s="462"/>
      <c r="AH439" s="248"/>
      <c r="AI439" s="248"/>
      <c r="AJ439" s="248"/>
      <c r="AK439" s="686">
        <f t="shared" si="29"/>
        <v>0</v>
      </c>
      <c r="AL439" s="196"/>
      <c r="AM439" s="196"/>
      <c r="AN439" s="310"/>
      <c r="AO439" s="310"/>
      <c r="AP439" s="310"/>
      <c r="AQ439" s="698" t="s">
        <v>1827</v>
      </c>
      <c r="AR439" s="310"/>
      <c r="AS439" s="310"/>
    </row>
    <row r="440" spans="13:45" customFormat="1" ht="11.25" customHeight="1">
      <c r="M440" s="696" t="s">
        <v>1595</v>
      </c>
      <c r="N440" s="706" t="s">
        <v>1316</v>
      </c>
      <c r="O440" s="189" t="s">
        <v>751</v>
      </c>
      <c r="AB440" s="248"/>
      <c r="AC440" s="248"/>
      <c r="AD440" s="248"/>
      <c r="AE440" s="462"/>
      <c r="AF440" s="462"/>
      <c r="AG440" s="462"/>
      <c r="AH440" s="248"/>
      <c r="AI440" s="248"/>
      <c r="AJ440" s="248"/>
      <c r="AK440" s="686">
        <f t="shared" si="29"/>
        <v>0</v>
      </c>
      <c r="AL440" s="196"/>
      <c r="AM440" s="196"/>
      <c r="AN440" s="310"/>
      <c r="AO440" s="310"/>
      <c r="AP440" s="310"/>
      <c r="AQ440" s="698" t="s">
        <v>1344</v>
      </c>
      <c r="AR440" s="310"/>
      <c r="AS440" s="310"/>
    </row>
    <row r="441" spans="13:45" customFormat="1" ht="11.25" customHeight="1">
      <c r="M441" s="696" t="s">
        <v>1596</v>
      </c>
      <c r="N441" s="706" t="s">
        <v>1317</v>
      </c>
      <c r="O441" s="189" t="s">
        <v>751</v>
      </c>
      <c r="AB441" s="248"/>
      <c r="AC441" s="248"/>
      <c r="AD441" s="248"/>
      <c r="AE441" s="462"/>
      <c r="AF441" s="462"/>
      <c r="AG441" s="462"/>
      <c r="AH441" s="248"/>
      <c r="AI441" s="248"/>
      <c r="AJ441" s="248"/>
      <c r="AK441" s="686">
        <f t="shared" si="29"/>
        <v>0</v>
      </c>
      <c r="AL441" s="196"/>
      <c r="AM441" s="196"/>
      <c r="AN441" s="310"/>
      <c r="AO441" s="310"/>
      <c r="AP441" s="310"/>
      <c r="AQ441" s="698" t="s">
        <v>1345</v>
      </c>
      <c r="AR441" s="310"/>
      <c r="AS441" s="310"/>
    </row>
    <row r="442" spans="13:45" customFormat="1" ht="11.25" customHeight="1">
      <c r="M442" s="696" t="s">
        <v>1597</v>
      </c>
      <c r="N442" s="706" t="s">
        <v>1318</v>
      </c>
      <c r="O442" s="189" t="s">
        <v>751</v>
      </c>
      <c r="AB442" s="248"/>
      <c r="AC442" s="248"/>
      <c r="AD442" s="248"/>
      <c r="AE442" s="462"/>
      <c r="AF442" s="462"/>
      <c r="AG442" s="462"/>
      <c r="AH442" s="248"/>
      <c r="AI442" s="248"/>
      <c r="AJ442" s="248"/>
      <c r="AK442" s="686">
        <f t="shared" si="29"/>
        <v>0</v>
      </c>
      <c r="AL442" s="196"/>
      <c r="AM442" s="196"/>
      <c r="AN442" s="310"/>
      <c r="AO442" s="310"/>
      <c r="AP442" s="310"/>
      <c r="AQ442" s="698" t="s">
        <v>1346</v>
      </c>
      <c r="AR442" s="310"/>
      <c r="AS442" s="310"/>
    </row>
    <row r="443" spans="13:45" customFormat="1" ht="11.25" customHeight="1">
      <c r="M443" s="696" t="s">
        <v>1598</v>
      </c>
      <c r="N443" s="707" t="s">
        <v>721</v>
      </c>
      <c r="O443" s="189" t="s">
        <v>751</v>
      </c>
      <c r="AB443" s="248"/>
      <c r="AC443" s="248"/>
      <c r="AD443" s="248"/>
      <c r="AE443" s="462"/>
      <c r="AF443" s="462"/>
      <c r="AG443" s="462"/>
      <c r="AH443" s="248"/>
      <c r="AI443" s="248"/>
      <c r="AJ443" s="248"/>
      <c r="AK443" s="686">
        <f t="shared" si="29"/>
        <v>0</v>
      </c>
      <c r="AL443" s="196"/>
      <c r="AM443" s="196"/>
      <c r="AN443" s="310"/>
      <c r="AO443" s="310"/>
      <c r="AP443" s="310"/>
      <c r="AQ443" s="698" t="s">
        <v>1347</v>
      </c>
      <c r="AR443" s="310"/>
      <c r="AS443" s="310"/>
    </row>
    <row r="444" spans="13:45" customFormat="1" ht="11.25" customHeight="1">
      <c r="M444" s="696" t="s">
        <v>1599</v>
      </c>
      <c r="N444" s="708" t="s">
        <v>712</v>
      </c>
      <c r="O444" s="189" t="s">
        <v>751</v>
      </c>
      <c r="AB444" s="248"/>
      <c r="AC444" s="248"/>
      <c r="AD444" s="248"/>
      <c r="AE444" s="462"/>
      <c r="AF444" s="462"/>
      <c r="AG444" s="462"/>
      <c r="AH444" s="248"/>
      <c r="AI444" s="248"/>
      <c r="AJ444" s="248"/>
      <c r="AK444" s="686">
        <f t="shared" si="29"/>
        <v>0</v>
      </c>
      <c r="AL444" s="686">
        <f>IF(AL372=0,0,AL496/AL372*1000)</f>
        <v>0</v>
      </c>
      <c r="AM444" s="686">
        <f>IF(AM372=0,0,AM496/AM372*1000)</f>
        <v>0</v>
      </c>
      <c r="AN444" s="310"/>
      <c r="AO444" s="310"/>
      <c r="AP444" s="310"/>
      <c r="AQ444" s="698" t="s">
        <v>1348</v>
      </c>
      <c r="AR444" s="310"/>
      <c r="AS444" s="310"/>
    </row>
    <row r="445" spans="13:45" customFormat="1" ht="11.25" customHeight="1">
      <c r="M445" s="696" t="s">
        <v>2756</v>
      </c>
      <c r="N445" s="709" t="s">
        <v>1319</v>
      </c>
      <c r="O445" s="189" t="s">
        <v>751</v>
      </c>
      <c r="AB445" s="248"/>
      <c r="AC445" s="248"/>
      <c r="AD445" s="248"/>
      <c r="AE445" s="462"/>
      <c r="AF445" s="462"/>
      <c r="AG445" s="462"/>
      <c r="AH445" s="248"/>
      <c r="AI445" s="248"/>
      <c r="AJ445" s="248"/>
      <c r="AK445" s="686">
        <f t="shared" si="29"/>
        <v>0</v>
      </c>
      <c r="AL445" s="196"/>
      <c r="AM445" s="196"/>
      <c r="AN445" s="310"/>
      <c r="AO445" s="310"/>
      <c r="AP445" s="310"/>
      <c r="AQ445" s="698" t="s">
        <v>2612</v>
      </c>
      <c r="AR445" s="310"/>
      <c r="AS445" s="310"/>
    </row>
    <row r="446" spans="13:45" customFormat="1" ht="11.25" customHeight="1">
      <c r="M446" s="696" t="s">
        <v>2757</v>
      </c>
      <c r="N446" s="709" t="s">
        <v>1320</v>
      </c>
      <c r="O446" s="189" t="s">
        <v>751</v>
      </c>
      <c r="AB446" s="248"/>
      <c r="AC446" s="248"/>
      <c r="AD446" s="248"/>
      <c r="AE446" s="462"/>
      <c r="AF446" s="462"/>
      <c r="AG446" s="462"/>
      <c r="AH446" s="248"/>
      <c r="AI446" s="248"/>
      <c r="AJ446" s="248"/>
      <c r="AK446" s="686">
        <f t="shared" si="29"/>
        <v>0</v>
      </c>
      <c r="AL446" s="196"/>
      <c r="AM446" s="196"/>
      <c r="AN446" s="310"/>
      <c r="AO446" s="310"/>
      <c r="AP446" s="310"/>
      <c r="AQ446" s="698" t="s">
        <v>2614</v>
      </c>
      <c r="AR446" s="310"/>
      <c r="AS446" s="310"/>
    </row>
    <row r="447" spans="13:45" customFormat="1" ht="11.25" customHeight="1">
      <c r="M447" s="696" t="s">
        <v>2758</v>
      </c>
      <c r="N447" s="709" t="s">
        <v>1321</v>
      </c>
      <c r="O447" s="189" t="s">
        <v>751</v>
      </c>
      <c r="AB447" s="248"/>
      <c r="AC447" s="248"/>
      <c r="AD447" s="248"/>
      <c r="AE447" s="462"/>
      <c r="AF447" s="462"/>
      <c r="AG447" s="462"/>
      <c r="AH447" s="248"/>
      <c r="AI447" s="248"/>
      <c r="AJ447" s="248"/>
      <c r="AK447" s="686">
        <f t="shared" si="29"/>
        <v>0</v>
      </c>
      <c r="AL447" s="196"/>
      <c r="AM447" s="196"/>
      <c r="AN447" s="310"/>
      <c r="AO447" s="310"/>
      <c r="AP447" s="310"/>
      <c r="AQ447" s="698" t="s">
        <v>2616</v>
      </c>
      <c r="AR447" s="310"/>
      <c r="AS447" s="310"/>
    </row>
    <row r="448" spans="13:45" customFormat="1" ht="11.25" customHeight="1">
      <c r="M448" s="696" t="s">
        <v>2759</v>
      </c>
      <c r="N448" s="709" t="s">
        <v>2618</v>
      </c>
      <c r="O448" s="189" t="s">
        <v>751</v>
      </c>
      <c r="AB448" s="248"/>
      <c r="AC448" s="248"/>
      <c r="AD448" s="248"/>
      <c r="AE448" s="462"/>
      <c r="AF448" s="462"/>
      <c r="AG448" s="462"/>
      <c r="AH448" s="248"/>
      <c r="AI448" s="248"/>
      <c r="AJ448" s="248"/>
      <c r="AK448" s="686">
        <f t="shared" si="29"/>
        <v>0</v>
      </c>
      <c r="AL448" s="196"/>
      <c r="AM448" s="196"/>
      <c r="AN448" s="310"/>
      <c r="AO448" s="310"/>
      <c r="AP448" s="310"/>
      <c r="AQ448" s="698" t="s">
        <v>2619</v>
      </c>
      <c r="AR448" s="310"/>
      <c r="AS448" s="310"/>
    </row>
    <row r="449" spans="13:45" customFormat="1" ht="11.25" customHeight="1">
      <c r="M449" s="696" t="s">
        <v>2760</v>
      </c>
      <c r="N449" s="709" t="s">
        <v>2621</v>
      </c>
      <c r="O449" s="189" t="s">
        <v>751</v>
      </c>
      <c r="AB449" s="248"/>
      <c r="AC449" s="248"/>
      <c r="AD449" s="248"/>
      <c r="AE449" s="462"/>
      <c r="AF449" s="462"/>
      <c r="AG449" s="462"/>
      <c r="AH449" s="248"/>
      <c r="AI449" s="248"/>
      <c r="AJ449" s="248"/>
      <c r="AK449" s="686">
        <f t="shared" si="29"/>
        <v>0</v>
      </c>
      <c r="AL449" s="196"/>
      <c r="AM449" s="196"/>
      <c r="AN449" s="310"/>
      <c r="AO449" s="310"/>
      <c r="AP449" s="310"/>
      <c r="AQ449" s="698" t="s">
        <v>2622</v>
      </c>
      <c r="AR449" s="310"/>
      <c r="AS449" s="310"/>
    </row>
    <row r="450" spans="13:45" customFormat="1" ht="11.25" customHeight="1">
      <c r="M450" s="696" t="s">
        <v>2761</v>
      </c>
      <c r="N450" s="709" t="s">
        <v>1322</v>
      </c>
      <c r="O450" s="189" t="s">
        <v>751</v>
      </c>
      <c r="AB450" s="248"/>
      <c r="AC450" s="248"/>
      <c r="AD450" s="248"/>
      <c r="AE450" s="462"/>
      <c r="AF450" s="462"/>
      <c r="AG450" s="462"/>
      <c r="AH450" s="248"/>
      <c r="AI450" s="248"/>
      <c r="AJ450" s="248"/>
      <c r="AK450" s="686">
        <f t="shared" si="29"/>
        <v>0</v>
      </c>
      <c r="AL450" s="196"/>
      <c r="AM450" s="196"/>
      <c r="AN450" s="310"/>
      <c r="AO450" s="310"/>
      <c r="AP450" s="310"/>
      <c r="AQ450" s="698" t="s">
        <v>2624</v>
      </c>
      <c r="AR450" s="310"/>
      <c r="AS450" s="310"/>
    </row>
    <row r="451" spans="13:45" customFormat="1" ht="11.25" customHeight="1">
      <c r="M451" s="696" t="s">
        <v>2762</v>
      </c>
      <c r="N451" s="709" t="s">
        <v>2626</v>
      </c>
      <c r="O451" s="189" t="s">
        <v>751</v>
      </c>
      <c r="AB451" s="248"/>
      <c r="AC451" s="248"/>
      <c r="AD451" s="248"/>
      <c r="AE451" s="462"/>
      <c r="AF451" s="462"/>
      <c r="AG451" s="462"/>
      <c r="AH451" s="248"/>
      <c r="AI451" s="248"/>
      <c r="AJ451" s="248"/>
      <c r="AK451" s="686">
        <f t="shared" si="29"/>
        <v>0</v>
      </c>
      <c r="AL451" s="196"/>
      <c r="AM451" s="196"/>
      <c r="AN451" s="310"/>
      <c r="AO451" s="310"/>
      <c r="AP451" s="310"/>
      <c r="AQ451" s="698" t="s">
        <v>2627</v>
      </c>
      <c r="AR451" s="310"/>
      <c r="AS451" s="310"/>
    </row>
    <row r="452" spans="13:45" customFormat="1" ht="11.25" customHeight="1">
      <c r="M452" s="696" t="s">
        <v>2763</v>
      </c>
      <c r="N452" s="709" t="s">
        <v>1323</v>
      </c>
      <c r="O452" s="189" t="s">
        <v>751</v>
      </c>
      <c r="AB452" s="248"/>
      <c r="AC452" s="248"/>
      <c r="AD452" s="248"/>
      <c r="AE452" s="462"/>
      <c r="AF452" s="462"/>
      <c r="AG452" s="462"/>
      <c r="AH452" s="248"/>
      <c r="AI452" s="248"/>
      <c r="AJ452" s="248"/>
      <c r="AK452" s="686">
        <f t="shared" si="29"/>
        <v>0</v>
      </c>
      <c r="AL452" s="196"/>
      <c r="AM452" s="196"/>
      <c r="AN452" s="310"/>
      <c r="AO452" s="310"/>
      <c r="AP452" s="310"/>
      <c r="AQ452" s="698" t="s">
        <v>2629</v>
      </c>
      <c r="AR452" s="310"/>
      <c r="AS452" s="310"/>
    </row>
    <row r="453" spans="13:45" customFormat="1" ht="11.25" customHeight="1">
      <c r="M453" s="696" t="s">
        <v>2764</v>
      </c>
      <c r="N453" s="709" t="s">
        <v>1324</v>
      </c>
      <c r="O453" s="189" t="s">
        <v>751</v>
      </c>
      <c r="AB453" s="248"/>
      <c r="AC453" s="248"/>
      <c r="AD453" s="248"/>
      <c r="AE453" s="462"/>
      <c r="AF453" s="462"/>
      <c r="AG453" s="462"/>
      <c r="AH453" s="248"/>
      <c r="AI453" s="248"/>
      <c r="AJ453" s="248"/>
      <c r="AK453" s="686">
        <f t="shared" si="29"/>
        <v>0</v>
      </c>
      <c r="AL453" s="196"/>
      <c r="AM453" s="196"/>
      <c r="AN453" s="310"/>
      <c r="AO453" s="310"/>
      <c r="AP453" s="310"/>
      <c r="AQ453" s="698" t="s">
        <v>2631</v>
      </c>
      <c r="AR453" s="310"/>
      <c r="AS453" s="310"/>
    </row>
    <row r="454" spans="13:45" customFormat="1" ht="11.25" customHeight="1">
      <c r="M454" s="696" t="s">
        <v>2765</v>
      </c>
      <c r="N454" s="709" t="s">
        <v>2633</v>
      </c>
      <c r="O454" s="189" t="s">
        <v>751</v>
      </c>
      <c r="AB454" s="248"/>
      <c r="AC454" s="248"/>
      <c r="AD454" s="248"/>
      <c r="AE454" s="462"/>
      <c r="AF454" s="462"/>
      <c r="AG454" s="462"/>
      <c r="AH454" s="248"/>
      <c r="AI454" s="248"/>
      <c r="AJ454" s="248"/>
      <c r="AK454" s="686">
        <f t="shared" si="29"/>
        <v>0</v>
      </c>
      <c r="AL454" s="196"/>
      <c r="AM454" s="196"/>
      <c r="AN454" s="310"/>
      <c r="AO454" s="310"/>
      <c r="AP454" s="310"/>
      <c r="AQ454" s="698" t="s">
        <v>2634</v>
      </c>
      <c r="AR454" s="310"/>
      <c r="AS454" s="310"/>
    </row>
    <row r="455" spans="13:45" customFormat="1" ht="11.25" customHeight="1">
      <c r="M455" s="696" t="s">
        <v>2766</v>
      </c>
      <c r="N455" s="709" t="s">
        <v>2636</v>
      </c>
      <c r="O455" s="189" t="s">
        <v>751</v>
      </c>
      <c r="AB455" s="248"/>
      <c r="AC455" s="248"/>
      <c r="AD455" s="248"/>
      <c r="AE455" s="462"/>
      <c r="AF455" s="462"/>
      <c r="AG455" s="462"/>
      <c r="AH455" s="248"/>
      <c r="AI455" s="248"/>
      <c r="AJ455" s="248"/>
      <c r="AK455" s="686">
        <f t="shared" si="29"/>
        <v>0</v>
      </c>
      <c r="AL455" s="196"/>
      <c r="AM455" s="196"/>
      <c r="AN455" s="310"/>
      <c r="AO455" s="310"/>
      <c r="AP455" s="310"/>
      <c r="AQ455" s="698" t="s">
        <v>2637</v>
      </c>
      <c r="AR455" s="310"/>
      <c r="AS455" s="310"/>
    </row>
    <row r="456" spans="13:45" customFormat="1" ht="11.25" customHeight="1">
      <c r="M456" s="696" t="s">
        <v>2767</v>
      </c>
      <c r="N456" s="709" t="s">
        <v>2639</v>
      </c>
      <c r="O456" s="189" t="s">
        <v>751</v>
      </c>
      <c r="AB456" s="248"/>
      <c r="AC456" s="248"/>
      <c r="AD456" s="248"/>
      <c r="AE456" s="462"/>
      <c r="AF456" s="462"/>
      <c r="AG456" s="462"/>
      <c r="AH456" s="248"/>
      <c r="AI456" s="248"/>
      <c r="AJ456" s="248"/>
      <c r="AK456" s="686">
        <f t="shared" si="29"/>
        <v>0</v>
      </c>
      <c r="AL456" s="196"/>
      <c r="AM456" s="196"/>
      <c r="AN456" s="310"/>
      <c r="AO456" s="310"/>
      <c r="AP456" s="310"/>
      <c r="AQ456" s="698" t="s">
        <v>2640</v>
      </c>
      <c r="AR456" s="310"/>
      <c r="AS456" s="310"/>
    </row>
    <row r="457" spans="13:45" customFormat="1" ht="11.25" customHeight="1">
      <c r="M457" s="696" t="s">
        <v>2768</v>
      </c>
      <c r="N457" s="709" t="s">
        <v>2642</v>
      </c>
      <c r="O457" s="189" t="s">
        <v>751</v>
      </c>
      <c r="AB457" s="248"/>
      <c r="AC457" s="248"/>
      <c r="AD457" s="248"/>
      <c r="AE457" s="462"/>
      <c r="AF457" s="462"/>
      <c r="AG457" s="462"/>
      <c r="AH457" s="248"/>
      <c r="AI457" s="248"/>
      <c r="AJ457" s="248"/>
      <c r="AK457" s="686">
        <f t="shared" si="29"/>
        <v>0</v>
      </c>
      <c r="AL457" s="196"/>
      <c r="AM457" s="196"/>
      <c r="AN457" s="310"/>
      <c r="AO457" s="310"/>
      <c r="AP457" s="310"/>
      <c r="AQ457" s="698" t="s">
        <v>2643</v>
      </c>
      <c r="AR457" s="310"/>
      <c r="AS457" s="310"/>
    </row>
    <row r="458" spans="13:45" customFormat="1" ht="11.25" customHeight="1">
      <c r="M458" s="696" t="s">
        <v>2769</v>
      </c>
      <c r="N458" s="709" t="s">
        <v>2645</v>
      </c>
      <c r="O458" s="189" t="s">
        <v>751</v>
      </c>
      <c r="AB458" s="248"/>
      <c r="AC458" s="248"/>
      <c r="AD458" s="248"/>
      <c r="AE458" s="462"/>
      <c r="AF458" s="462"/>
      <c r="AG458" s="462"/>
      <c r="AH458" s="248"/>
      <c r="AI458" s="248"/>
      <c r="AJ458" s="248"/>
      <c r="AK458" s="686">
        <f t="shared" si="29"/>
        <v>0</v>
      </c>
      <c r="AL458" s="196"/>
      <c r="AM458" s="196"/>
      <c r="AN458" s="310"/>
      <c r="AO458" s="310"/>
      <c r="AP458" s="310"/>
      <c r="AQ458" s="698" t="s">
        <v>2646</v>
      </c>
      <c r="AR458" s="310"/>
      <c r="AS458" s="310"/>
    </row>
    <row r="459" spans="13:45" customFormat="1" ht="11.25" customHeight="1">
      <c r="M459" s="696" t="s">
        <v>2770</v>
      </c>
      <c r="N459" s="709" t="s">
        <v>1325</v>
      </c>
      <c r="O459" s="189" t="s">
        <v>751</v>
      </c>
      <c r="AB459" s="248"/>
      <c r="AC459" s="248"/>
      <c r="AD459" s="248"/>
      <c r="AE459" s="462"/>
      <c r="AF459" s="462"/>
      <c r="AG459" s="462"/>
      <c r="AH459" s="248"/>
      <c r="AI459" s="248"/>
      <c r="AJ459" s="248"/>
      <c r="AK459" s="686">
        <f t="shared" si="29"/>
        <v>0</v>
      </c>
      <c r="AL459" s="196"/>
      <c r="AM459" s="196"/>
      <c r="AN459" s="310"/>
      <c r="AO459" s="310"/>
      <c r="AP459" s="310"/>
      <c r="AQ459" s="698" t="s">
        <v>2648</v>
      </c>
      <c r="AR459" s="310"/>
      <c r="AS459" s="310"/>
    </row>
    <row r="460" spans="13:45" customFormat="1" ht="11.25" customHeight="1">
      <c r="M460" s="696" t="s">
        <v>2771</v>
      </c>
      <c r="N460" s="709" t="s">
        <v>1326</v>
      </c>
      <c r="O460" s="189" t="s">
        <v>751</v>
      </c>
      <c r="AB460" s="248"/>
      <c r="AC460" s="248"/>
      <c r="AD460" s="248"/>
      <c r="AE460" s="462"/>
      <c r="AF460" s="462"/>
      <c r="AG460" s="462"/>
      <c r="AH460" s="248"/>
      <c r="AI460" s="248"/>
      <c r="AJ460" s="248"/>
      <c r="AK460" s="686">
        <f t="shared" si="29"/>
        <v>0</v>
      </c>
      <c r="AL460" s="196"/>
      <c r="AM460" s="196"/>
      <c r="AN460" s="310"/>
      <c r="AO460" s="310"/>
      <c r="AP460" s="310"/>
      <c r="AQ460" s="698" t="s">
        <v>2650</v>
      </c>
      <c r="AR460" s="310"/>
      <c r="AS460" s="310"/>
    </row>
    <row r="461" spans="13:45" customFormat="1" ht="11.25" customHeight="1">
      <c r="M461" s="696" t="s">
        <v>2772</v>
      </c>
      <c r="N461" s="709" t="s">
        <v>2652</v>
      </c>
      <c r="O461" s="189" t="s">
        <v>751</v>
      </c>
      <c r="AB461" s="248"/>
      <c r="AC461" s="248"/>
      <c r="AD461" s="248"/>
      <c r="AE461" s="462"/>
      <c r="AF461" s="462"/>
      <c r="AG461" s="462"/>
      <c r="AH461" s="248"/>
      <c r="AI461" s="248"/>
      <c r="AJ461" s="248"/>
      <c r="AK461" s="686">
        <f t="shared" si="29"/>
        <v>0</v>
      </c>
      <c r="AL461" s="196"/>
      <c r="AM461" s="196"/>
      <c r="AN461" s="310"/>
      <c r="AO461" s="310"/>
      <c r="AP461" s="310"/>
      <c r="AQ461" s="698" t="s">
        <v>2653</v>
      </c>
      <c r="AR461" s="310"/>
      <c r="AS461" s="310"/>
    </row>
    <row r="462" spans="13:45" customFormat="1" ht="11.25" customHeight="1">
      <c r="M462" s="718"/>
      <c r="N462" s="460"/>
      <c r="O462" s="461"/>
      <c r="AB462" s="248"/>
      <c r="AC462" s="248"/>
      <c r="AD462" s="248"/>
      <c r="AE462" s="462"/>
      <c r="AF462" s="462"/>
      <c r="AG462" s="462"/>
      <c r="AH462" s="248"/>
      <c r="AI462" s="248"/>
      <c r="AJ462" s="248"/>
      <c r="AK462" s="462"/>
      <c r="AL462" s="462"/>
      <c r="AM462" s="462"/>
      <c r="AN462" s="310"/>
      <c r="AO462" s="310"/>
      <c r="AP462" s="310"/>
      <c r="AQ462" s="698"/>
      <c r="AR462" s="310"/>
      <c r="AS462" s="310"/>
    </row>
    <row r="463" spans="13:45" customFormat="1" ht="11.25" customHeight="1">
      <c r="M463" s="718"/>
      <c r="N463" s="460"/>
      <c r="O463" s="461"/>
      <c r="AB463" s="248"/>
      <c r="AC463" s="248"/>
      <c r="AD463" s="248"/>
      <c r="AE463" s="462"/>
      <c r="AF463" s="462"/>
      <c r="AG463" s="462"/>
      <c r="AH463" s="248"/>
      <c r="AI463" s="248"/>
      <c r="AJ463" s="248"/>
      <c r="AK463" s="462"/>
      <c r="AL463" s="462"/>
      <c r="AM463" s="462"/>
      <c r="AN463" s="310"/>
      <c r="AO463" s="310"/>
      <c r="AP463" s="310"/>
      <c r="AQ463" s="698"/>
      <c r="AR463" s="310"/>
      <c r="AS463" s="310"/>
    </row>
    <row r="464" spans="13:45" customFormat="1" ht="11.25" customHeight="1">
      <c r="M464" s="696" t="s">
        <v>1600</v>
      </c>
      <c r="N464" s="719" t="s">
        <v>1327</v>
      </c>
      <c r="O464" s="189" t="s">
        <v>751</v>
      </c>
      <c r="AB464" s="248"/>
      <c r="AC464" s="248"/>
      <c r="AD464" s="248"/>
      <c r="AE464" s="462"/>
      <c r="AF464" s="462"/>
      <c r="AG464" s="462"/>
      <c r="AH464" s="248"/>
      <c r="AI464" s="248"/>
      <c r="AJ464" s="248"/>
      <c r="AK464" s="686">
        <f t="shared" ref="AK464:AK470" si="30">IF(AK392=0,0,AK516/AK392*1000)</f>
        <v>0</v>
      </c>
      <c r="AL464" s="196"/>
      <c r="AM464" s="196"/>
      <c r="AN464" s="310"/>
      <c r="AO464" s="310"/>
      <c r="AP464" s="310"/>
      <c r="AQ464" s="698" t="s">
        <v>1357</v>
      </c>
      <c r="AR464" s="310"/>
      <c r="AS464" s="310"/>
    </row>
    <row r="465" spans="13:45" customFormat="1" ht="11.25" customHeight="1">
      <c r="M465" s="696" t="s">
        <v>1601</v>
      </c>
      <c r="N465" s="712" t="s">
        <v>723</v>
      </c>
      <c r="O465" s="189" t="s">
        <v>751</v>
      </c>
      <c r="AB465" s="248"/>
      <c r="AC465" s="248"/>
      <c r="AD465" s="248"/>
      <c r="AE465" s="462"/>
      <c r="AF465" s="462"/>
      <c r="AG465" s="462"/>
      <c r="AH465" s="248"/>
      <c r="AI465" s="248"/>
      <c r="AJ465" s="248"/>
      <c r="AK465" s="686">
        <f t="shared" si="30"/>
        <v>0</v>
      </c>
      <c r="AL465" s="196"/>
      <c r="AM465" s="196"/>
      <c r="AN465" s="310"/>
      <c r="AO465" s="310"/>
      <c r="AP465" s="310"/>
      <c r="AQ465" s="698" t="s">
        <v>1350</v>
      </c>
      <c r="AR465" s="310"/>
      <c r="AS465" s="310"/>
    </row>
    <row r="466" spans="13:45" customFormat="1" ht="11.25" customHeight="1">
      <c r="M466" s="696" t="s">
        <v>1602</v>
      </c>
      <c r="N466" s="713" t="s">
        <v>748</v>
      </c>
      <c r="O466" s="189" t="s">
        <v>751</v>
      </c>
      <c r="AB466" s="248"/>
      <c r="AC466" s="248"/>
      <c r="AD466" s="248"/>
      <c r="AE466" s="462"/>
      <c r="AF466" s="462"/>
      <c r="AG466" s="462"/>
      <c r="AH466" s="248"/>
      <c r="AI466" s="248"/>
      <c r="AJ466" s="248"/>
      <c r="AK466" s="686">
        <f t="shared" si="30"/>
        <v>0</v>
      </c>
      <c r="AL466" s="196"/>
      <c r="AM466" s="196"/>
      <c r="AN466" s="310"/>
      <c r="AO466" s="310"/>
      <c r="AP466" s="310"/>
      <c r="AQ466" s="698" t="s">
        <v>1351</v>
      </c>
      <c r="AR466" s="310"/>
      <c r="AS466" s="310"/>
    </row>
    <row r="467" spans="13:45" customFormat="1" ht="11.25" customHeight="1">
      <c r="M467" s="696" t="s">
        <v>1603</v>
      </c>
      <c r="N467" s="714" t="s">
        <v>315</v>
      </c>
      <c r="O467" s="189" t="s">
        <v>751</v>
      </c>
      <c r="AB467" s="248"/>
      <c r="AC467" s="248"/>
      <c r="AD467" s="248"/>
      <c r="AE467" s="462"/>
      <c r="AF467" s="462"/>
      <c r="AG467" s="462"/>
      <c r="AH467" s="248"/>
      <c r="AI467" s="248"/>
      <c r="AJ467" s="248"/>
      <c r="AK467" s="686">
        <f t="shared" si="30"/>
        <v>0</v>
      </c>
      <c r="AL467" s="196"/>
      <c r="AM467" s="196"/>
      <c r="AN467" s="310"/>
      <c r="AO467" s="310"/>
      <c r="AP467" s="310"/>
      <c r="AQ467" s="698" t="s">
        <v>1352</v>
      </c>
      <c r="AR467" s="310"/>
      <c r="AS467" s="310"/>
    </row>
    <row r="468" spans="13:45" customFormat="1" ht="11.25" customHeight="1">
      <c r="M468" s="696" t="s">
        <v>1604</v>
      </c>
      <c r="N468" s="715" t="s">
        <v>316</v>
      </c>
      <c r="O468" s="189" t="s">
        <v>751</v>
      </c>
      <c r="AB468" s="248"/>
      <c r="AC468" s="248"/>
      <c r="AD468" s="248"/>
      <c r="AE468" s="462"/>
      <c r="AF468" s="462"/>
      <c r="AG468" s="462"/>
      <c r="AH468" s="248"/>
      <c r="AI468" s="248"/>
      <c r="AJ468" s="248"/>
      <c r="AK468" s="686">
        <f t="shared" si="30"/>
        <v>0</v>
      </c>
      <c r="AL468" s="196"/>
      <c r="AM468" s="196"/>
      <c r="AN468" s="310"/>
      <c r="AO468" s="310"/>
      <c r="AP468" s="310"/>
      <c r="AQ468" s="698" t="s">
        <v>1354</v>
      </c>
      <c r="AR468" s="310"/>
      <c r="AS468" s="310"/>
    </row>
    <row r="469" spans="13:45" customFormat="1" ht="11.25" customHeight="1">
      <c r="M469" s="696" t="s">
        <v>1605</v>
      </c>
      <c r="N469" s="716" t="s">
        <v>317</v>
      </c>
      <c r="O469" s="189" t="s">
        <v>751</v>
      </c>
      <c r="AB469" s="248"/>
      <c r="AC469" s="248"/>
      <c r="AD469" s="248"/>
      <c r="AE469" s="462"/>
      <c r="AF469" s="462"/>
      <c r="AG469" s="462"/>
      <c r="AH469" s="248"/>
      <c r="AI469" s="248"/>
      <c r="AJ469" s="248"/>
      <c r="AK469" s="686">
        <f t="shared" si="30"/>
        <v>0</v>
      </c>
      <c r="AL469" s="196"/>
      <c r="AM469" s="196"/>
      <c r="AN469" s="310"/>
      <c r="AO469" s="310"/>
      <c r="AP469" s="310"/>
      <c r="AQ469" s="698" t="s">
        <v>1353</v>
      </c>
      <c r="AR469" s="310"/>
      <c r="AS469" s="310"/>
    </row>
    <row r="470" spans="13:45" customFormat="1" ht="11.25" customHeight="1">
      <c r="M470" s="696" t="s">
        <v>1606</v>
      </c>
      <c r="N470" s="701" t="s">
        <v>318</v>
      </c>
      <c r="O470" s="189" t="s">
        <v>751</v>
      </c>
      <c r="AB470" s="248"/>
      <c r="AC470" s="248"/>
      <c r="AD470" s="248"/>
      <c r="AE470" s="462"/>
      <c r="AF470" s="462"/>
      <c r="AG470" s="462"/>
      <c r="AH470" s="248"/>
      <c r="AI470" s="248"/>
      <c r="AJ470" s="248"/>
      <c r="AK470" s="686">
        <f t="shared" si="30"/>
        <v>0</v>
      </c>
      <c r="AL470" s="196"/>
      <c r="AM470" s="196"/>
      <c r="AN470" s="310"/>
      <c r="AO470" s="310"/>
      <c r="AP470" s="310"/>
      <c r="AQ470" s="698" t="s">
        <v>1355</v>
      </c>
      <c r="AR470" s="310"/>
      <c r="AS470" s="310"/>
    </row>
    <row r="471" spans="13:45" customFormat="1" ht="11.25" customHeight="1">
      <c r="M471" s="718"/>
      <c r="N471" s="460"/>
      <c r="O471" s="461"/>
      <c r="AB471" s="248"/>
      <c r="AC471" s="248"/>
      <c r="AD471" s="248"/>
      <c r="AE471" s="462"/>
      <c r="AF471" s="462"/>
      <c r="AG471" s="462"/>
      <c r="AH471" s="248"/>
      <c r="AI471" s="248"/>
      <c r="AJ471" s="248"/>
      <c r="AK471" s="266"/>
      <c r="AL471" s="266"/>
      <c r="AM471" s="266"/>
      <c r="AN471" s="310"/>
      <c r="AO471" s="310"/>
      <c r="AP471" s="310"/>
      <c r="AQ471" s="698"/>
      <c r="AR471" s="310"/>
      <c r="AS471" s="310"/>
    </row>
    <row r="472" spans="13:45" customFormat="1" ht="11.25" customHeight="1">
      <c r="M472" s="490" t="s">
        <v>1797</v>
      </c>
      <c r="N472" s="463" t="s">
        <v>761</v>
      </c>
      <c r="O472" s="189" t="s">
        <v>195</v>
      </c>
      <c r="AB472" s="248"/>
      <c r="AC472" s="248"/>
      <c r="AD472" s="248"/>
      <c r="AE472" s="263">
        <f>SUM(AE473,AE477:AE482,AE483,AE488,AE495,AE496,AE516:AE522)</f>
        <v>0</v>
      </c>
      <c r="AF472" s="263">
        <f>SUM(AF473,AF477:AF482,AF483,AF488,AF495,AF496,AF516:AF522)</f>
        <v>0</v>
      </c>
      <c r="AG472" s="263">
        <f>SUM(AG473,AG477:AG482,AG483,AG488,AG495,AG496,AG516:AG522)</f>
        <v>0</v>
      </c>
      <c r="AH472" s="248"/>
      <c r="AI472" s="248"/>
      <c r="AJ472" s="248"/>
      <c r="AK472" s="263">
        <f>SUM(AK473,AK477:AK482,AK483,AK488,AK495,AK496,AK516:AK522)</f>
        <v>0</v>
      </c>
      <c r="AL472" s="263">
        <f>SUM(AL473,AL477:AL482,AL483,AL488,AL495,AL496,AL516:AL522)</f>
        <v>0</v>
      </c>
      <c r="AM472" s="263">
        <f>SUM(AM473,AM477:AM482,AM483,AM488,AM495,AM496,AM516:AM522)</f>
        <v>0</v>
      </c>
      <c r="AN472" s="310"/>
      <c r="AO472" s="310"/>
      <c r="AP472" s="310"/>
      <c r="AQ472" s="36"/>
      <c r="AR472" s="310"/>
      <c r="AS472" s="310"/>
    </row>
    <row r="473" spans="13:45" customFormat="1" ht="11.25" customHeight="1">
      <c r="M473" s="696" t="s">
        <v>1798</v>
      </c>
      <c r="N473" s="697" t="s">
        <v>1304</v>
      </c>
      <c r="O473" s="189" t="s">
        <v>195</v>
      </c>
      <c r="AB473" s="248"/>
      <c r="AC473" s="248"/>
      <c r="AD473" s="248"/>
      <c r="AE473" s="462"/>
      <c r="AF473" s="462"/>
      <c r="AG473" s="462"/>
      <c r="AH473" s="248"/>
      <c r="AI473" s="248"/>
      <c r="AJ473" s="248"/>
      <c r="AK473" s="183">
        <f t="shared" ref="AK473:AK513" si="31">AL473+AM473</f>
        <v>0</v>
      </c>
      <c r="AL473" s="183">
        <f>SUM(AL474:AL476)</f>
        <v>0</v>
      </c>
      <c r="AM473" s="183">
        <f>SUM(AM474:AM476)</f>
        <v>0</v>
      </c>
      <c r="AN473" s="310"/>
      <c r="AO473" s="310"/>
      <c r="AP473" s="310"/>
      <c r="AQ473" s="698" t="s">
        <v>1328</v>
      </c>
      <c r="AR473" s="310"/>
      <c r="AS473" s="310"/>
    </row>
    <row r="474" spans="13:45" customFormat="1" ht="11.25" customHeight="1">
      <c r="M474" s="696" t="s">
        <v>1799</v>
      </c>
      <c r="N474" s="699" t="s">
        <v>713</v>
      </c>
      <c r="O474" s="189" t="s">
        <v>195</v>
      </c>
      <c r="AB474" s="248"/>
      <c r="AC474" s="248"/>
      <c r="AD474" s="248"/>
      <c r="AE474" s="462"/>
      <c r="AF474" s="462"/>
      <c r="AG474" s="462"/>
      <c r="AH474" s="248"/>
      <c r="AI474" s="248"/>
      <c r="AJ474" s="248"/>
      <c r="AK474" s="183">
        <f t="shared" si="31"/>
        <v>0</v>
      </c>
      <c r="AL474" s="183">
        <f t="shared" ref="AL474:AM482" si="32">AL422*AL350/1000</f>
        <v>0</v>
      </c>
      <c r="AM474" s="183">
        <f t="shared" si="32"/>
        <v>0</v>
      </c>
      <c r="AN474" s="310"/>
      <c r="AO474" s="310"/>
      <c r="AP474" s="310"/>
      <c r="AQ474" s="698" t="s">
        <v>1329</v>
      </c>
      <c r="AR474" s="310"/>
      <c r="AS474" s="310"/>
    </row>
    <row r="475" spans="13:45" customFormat="1" ht="11.25" customHeight="1">
      <c r="M475" s="696" t="s">
        <v>1800</v>
      </c>
      <c r="N475" s="699" t="s">
        <v>715</v>
      </c>
      <c r="O475" s="189" t="s">
        <v>195</v>
      </c>
      <c r="AB475" s="248"/>
      <c r="AC475" s="248"/>
      <c r="AD475" s="248"/>
      <c r="AE475" s="462"/>
      <c r="AF475" s="462"/>
      <c r="AG475" s="462"/>
      <c r="AH475" s="248"/>
      <c r="AI475" s="248"/>
      <c r="AJ475" s="248"/>
      <c r="AK475" s="183">
        <f t="shared" si="31"/>
        <v>0</v>
      </c>
      <c r="AL475" s="183">
        <f t="shared" si="32"/>
        <v>0</v>
      </c>
      <c r="AM475" s="183">
        <f t="shared" si="32"/>
        <v>0</v>
      </c>
      <c r="AN475" s="310"/>
      <c r="AO475" s="310"/>
      <c r="AP475" s="310"/>
      <c r="AQ475" s="698" t="s">
        <v>1330</v>
      </c>
      <c r="AR475" s="310"/>
      <c r="AS475" s="310"/>
    </row>
    <row r="476" spans="13:45" customFormat="1" ht="11.25" customHeight="1">
      <c r="M476" s="696" t="s">
        <v>1801</v>
      </c>
      <c r="N476" s="699" t="s">
        <v>716</v>
      </c>
      <c r="O476" s="189" t="s">
        <v>195</v>
      </c>
      <c r="AB476" s="248"/>
      <c r="AC476" s="248"/>
      <c r="AD476" s="248"/>
      <c r="AE476" s="462"/>
      <c r="AF476" s="462"/>
      <c r="AG476" s="462"/>
      <c r="AH476" s="248"/>
      <c r="AI476" s="248"/>
      <c r="AJ476" s="248"/>
      <c r="AK476" s="183">
        <f t="shared" si="31"/>
        <v>0</v>
      </c>
      <c r="AL476" s="183">
        <f t="shared" si="32"/>
        <v>0</v>
      </c>
      <c r="AM476" s="183">
        <f t="shared" si="32"/>
        <v>0</v>
      </c>
      <c r="AN476" s="310"/>
      <c r="AO476" s="310"/>
      <c r="AP476" s="310"/>
      <c r="AQ476" s="698" t="s">
        <v>1331</v>
      </c>
      <c r="AR476" s="310"/>
      <c r="AS476" s="310"/>
    </row>
    <row r="477" spans="13:45" customFormat="1" ht="11.25" customHeight="1">
      <c r="M477" s="696" t="s">
        <v>1802</v>
      </c>
      <c r="N477" s="700" t="s">
        <v>1305</v>
      </c>
      <c r="O477" s="189" t="s">
        <v>195</v>
      </c>
      <c r="AB477" s="248"/>
      <c r="AC477" s="248"/>
      <c r="AD477" s="248"/>
      <c r="AE477" s="462"/>
      <c r="AF477" s="462"/>
      <c r="AG477" s="462"/>
      <c r="AH477" s="248"/>
      <c r="AI477" s="248"/>
      <c r="AJ477" s="248"/>
      <c r="AK477" s="183">
        <f t="shared" si="31"/>
        <v>0</v>
      </c>
      <c r="AL477" s="183">
        <f t="shared" si="32"/>
        <v>0</v>
      </c>
      <c r="AM477" s="183">
        <f t="shared" si="32"/>
        <v>0</v>
      </c>
      <c r="AN477" s="310"/>
      <c r="AO477" s="310"/>
      <c r="AP477" s="310"/>
      <c r="AQ477" s="698" t="s">
        <v>1340</v>
      </c>
      <c r="AR477" s="310"/>
      <c r="AS477" s="310"/>
    </row>
    <row r="478" spans="13:45" customFormat="1" ht="11.25" customHeight="1">
      <c r="M478" s="696" t="s">
        <v>1803</v>
      </c>
      <c r="N478" s="700" t="s">
        <v>1306</v>
      </c>
      <c r="O478" s="189" t="s">
        <v>195</v>
      </c>
      <c r="AB478" s="248"/>
      <c r="AC478" s="248"/>
      <c r="AD478" s="248"/>
      <c r="AE478" s="462"/>
      <c r="AF478" s="462"/>
      <c r="AG478" s="462"/>
      <c r="AH478" s="248"/>
      <c r="AI478" s="248"/>
      <c r="AJ478" s="248"/>
      <c r="AK478" s="183">
        <f t="shared" si="31"/>
        <v>0</v>
      </c>
      <c r="AL478" s="183">
        <f t="shared" si="32"/>
        <v>0</v>
      </c>
      <c r="AM478" s="183">
        <f t="shared" si="32"/>
        <v>0</v>
      </c>
      <c r="AN478" s="310"/>
      <c r="AO478" s="310"/>
      <c r="AP478" s="310"/>
      <c r="AQ478" s="698" t="s">
        <v>1341</v>
      </c>
      <c r="AR478" s="310"/>
      <c r="AS478" s="310"/>
    </row>
    <row r="479" spans="13:45" customFormat="1" ht="11.25" customHeight="1">
      <c r="M479" s="696" t="s">
        <v>1804</v>
      </c>
      <c r="N479" s="700" t="s">
        <v>1307</v>
      </c>
      <c r="O479" s="189" t="s">
        <v>195</v>
      </c>
      <c r="AB479" s="248"/>
      <c r="AC479" s="248"/>
      <c r="AD479" s="248"/>
      <c r="AE479" s="462"/>
      <c r="AF479" s="462"/>
      <c r="AG479" s="462"/>
      <c r="AH479" s="248"/>
      <c r="AI479" s="248"/>
      <c r="AJ479" s="248"/>
      <c r="AK479" s="183">
        <f t="shared" si="31"/>
        <v>0</v>
      </c>
      <c r="AL479" s="183">
        <f t="shared" si="32"/>
        <v>0</v>
      </c>
      <c r="AM479" s="183">
        <f t="shared" si="32"/>
        <v>0</v>
      </c>
      <c r="AN479" s="310"/>
      <c r="AO479" s="310"/>
      <c r="AP479" s="310"/>
      <c r="AQ479" s="698" t="s">
        <v>1342</v>
      </c>
      <c r="AR479" s="310"/>
      <c r="AS479" s="310"/>
    </row>
    <row r="480" spans="13:45" customFormat="1" ht="11.25" customHeight="1">
      <c r="M480" s="696" t="s">
        <v>1805</v>
      </c>
      <c r="N480" s="700" t="s">
        <v>1308</v>
      </c>
      <c r="O480" s="189" t="s">
        <v>195</v>
      </c>
      <c r="AB480" s="248"/>
      <c r="AC480" s="248"/>
      <c r="AD480" s="248"/>
      <c r="AE480" s="462"/>
      <c r="AF480" s="462"/>
      <c r="AG480" s="462"/>
      <c r="AH480" s="248"/>
      <c r="AI480" s="248"/>
      <c r="AJ480" s="248"/>
      <c r="AK480" s="183">
        <f t="shared" si="31"/>
        <v>0</v>
      </c>
      <c r="AL480" s="183">
        <f t="shared" si="32"/>
        <v>0</v>
      </c>
      <c r="AM480" s="183">
        <f t="shared" si="32"/>
        <v>0</v>
      </c>
      <c r="AN480" s="310"/>
      <c r="AO480" s="310"/>
      <c r="AP480" s="310"/>
      <c r="AQ480" s="698" t="s">
        <v>1339</v>
      </c>
      <c r="AR480" s="310"/>
      <c r="AS480" s="310"/>
    </row>
    <row r="481" spans="13:45" customFormat="1" ht="11.25" customHeight="1">
      <c r="M481" s="696" t="s">
        <v>1806</v>
      </c>
      <c r="N481" s="701" t="s">
        <v>684</v>
      </c>
      <c r="O481" s="189" t="s">
        <v>195</v>
      </c>
      <c r="AB481" s="248"/>
      <c r="AC481" s="248"/>
      <c r="AD481" s="248"/>
      <c r="AE481" s="462"/>
      <c r="AF481" s="462"/>
      <c r="AG481" s="462"/>
      <c r="AH481" s="248"/>
      <c r="AI481" s="248"/>
      <c r="AJ481" s="248"/>
      <c r="AK481" s="183">
        <f t="shared" si="31"/>
        <v>0</v>
      </c>
      <c r="AL481" s="183">
        <f t="shared" si="32"/>
        <v>0</v>
      </c>
      <c r="AM481" s="183">
        <f t="shared" si="32"/>
        <v>0</v>
      </c>
      <c r="AN481" s="310"/>
      <c r="AO481" s="310"/>
      <c r="AP481" s="310"/>
      <c r="AQ481" s="698" t="s">
        <v>1332</v>
      </c>
      <c r="AR481" s="310"/>
      <c r="AS481" s="310"/>
    </row>
    <row r="482" spans="13:45" customFormat="1" ht="11.25" customHeight="1">
      <c r="M482" s="696" t="s">
        <v>1807</v>
      </c>
      <c r="N482" s="702" t="s">
        <v>718</v>
      </c>
      <c r="O482" s="189" t="s">
        <v>195</v>
      </c>
      <c r="AB482" s="248"/>
      <c r="AC482" s="248"/>
      <c r="AD482" s="248"/>
      <c r="AE482" s="462"/>
      <c r="AF482" s="462"/>
      <c r="AG482" s="462"/>
      <c r="AH482" s="248"/>
      <c r="AI482" s="248"/>
      <c r="AJ482" s="248"/>
      <c r="AK482" s="183">
        <f t="shared" si="31"/>
        <v>0</v>
      </c>
      <c r="AL482" s="183">
        <f t="shared" si="32"/>
        <v>0</v>
      </c>
      <c r="AM482" s="183">
        <f t="shared" si="32"/>
        <v>0</v>
      </c>
      <c r="AN482" s="310"/>
      <c r="AO482" s="310"/>
      <c r="AP482" s="310"/>
      <c r="AQ482" s="698" t="s">
        <v>1333</v>
      </c>
      <c r="AR482" s="310"/>
      <c r="AS482" s="310"/>
    </row>
    <row r="483" spans="13:45" customFormat="1" ht="11.25" customHeight="1">
      <c r="M483" s="696" t="s">
        <v>1808</v>
      </c>
      <c r="N483" s="703" t="s">
        <v>722</v>
      </c>
      <c r="O483" s="189" t="s">
        <v>195</v>
      </c>
      <c r="AB483" s="248"/>
      <c r="AC483" s="248"/>
      <c r="AD483" s="248"/>
      <c r="AE483" s="462"/>
      <c r="AF483" s="462"/>
      <c r="AG483" s="462"/>
      <c r="AH483" s="248"/>
      <c r="AI483" s="248"/>
      <c r="AJ483" s="248"/>
      <c r="AK483" s="183">
        <f t="shared" si="31"/>
        <v>0</v>
      </c>
      <c r="AL483" s="183">
        <f>SUM(AL484:AL487)</f>
        <v>0</v>
      </c>
      <c r="AM483" s="183">
        <f>SUM(AM484:AM487)</f>
        <v>0</v>
      </c>
      <c r="AN483" s="310"/>
      <c r="AO483" s="310"/>
      <c r="AP483" s="310"/>
      <c r="AQ483" s="698" t="s">
        <v>1334</v>
      </c>
      <c r="AR483" s="310"/>
      <c r="AS483" s="310"/>
    </row>
    <row r="484" spans="13:45" customFormat="1" ht="11.25" customHeight="1">
      <c r="M484" s="696" t="s">
        <v>1809</v>
      </c>
      <c r="N484" s="704" t="s">
        <v>1309</v>
      </c>
      <c r="O484" s="189" t="s">
        <v>195</v>
      </c>
      <c r="AB484" s="248"/>
      <c r="AC484" s="248"/>
      <c r="AD484" s="248"/>
      <c r="AE484" s="462"/>
      <c r="AF484" s="462"/>
      <c r="AG484" s="462"/>
      <c r="AH484" s="248"/>
      <c r="AI484" s="248"/>
      <c r="AJ484" s="248"/>
      <c r="AK484" s="183">
        <f t="shared" si="31"/>
        <v>0</v>
      </c>
      <c r="AL484" s="183">
        <f t="shared" ref="AL484:AM487" si="33">AL432*AL360/1000</f>
        <v>0</v>
      </c>
      <c r="AM484" s="183">
        <f t="shared" si="33"/>
        <v>0</v>
      </c>
      <c r="AN484" s="310"/>
      <c r="AO484" s="310"/>
      <c r="AP484" s="310"/>
      <c r="AQ484" s="698" t="s">
        <v>1335</v>
      </c>
      <c r="AR484" s="310"/>
      <c r="AS484" s="310"/>
    </row>
    <row r="485" spans="13:45" customFormat="1" ht="11.25" customHeight="1">
      <c r="M485" s="696" t="s">
        <v>1810</v>
      </c>
      <c r="N485" s="704" t="s">
        <v>1310</v>
      </c>
      <c r="O485" s="189" t="s">
        <v>195</v>
      </c>
      <c r="AB485" s="248"/>
      <c r="AC485" s="248"/>
      <c r="AD485" s="248"/>
      <c r="AE485" s="462"/>
      <c r="AF485" s="462"/>
      <c r="AG485" s="462"/>
      <c r="AH485" s="248"/>
      <c r="AI485" s="248"/>
      <c r="AJ485" s="248"/>
      <c r="AK485" s="183">
        <f t="shared" si="31"/>
        <v>0</v>
      </c>
      <c r="AL485" s="183">
        <f t="shared" si="33"/>
        <v>0</v>
      </c>
      <c r="AM485" s="183">
        <f t="shared" si="33"/>
        <v>0</v>
      </c>
      <c r="AN485" s="310"/>
      <c r="AO485" s="310"/>
      <c r="AP485" s="310"/>
      <c r="AQ485" s="698" t="s">
        <v>1336</v>
      </c>
      <c r="AR485" s="310"/>
      <c r="AS485" s="310"/>
    </row>
    <row r="486" spans="13:45" customFormat="1" ht="11.25" customHeight="1">
      <c r="M486" s="696" t="s">
        <v>1811</v>
      </c>
      <c r="N486" s="704" t="s">
        <v>1311</v>
      </c>
      <c r="O486" s="189" t="s">
        <v>195</v>
      </c>
      <c r="AB486" s="248"/>
      <c r="AC486" s="248"/>
      <c r="AD486" s="248"/>
      <c r="AE486" s="462"/>
      <c r="AF486" s="462"/>
      <c r="AG486" s="462"/>
      <c r="AH486" s="248"/>
      <c r="AI486" s="248"/>
      <c r="AJ486" s="248"/>
      <c r="AK486" s="183">
        <f t="shared" si="31"/>
        <v>0</v>
      </c>
      <c r="AL486" s="183">
        <f t="shared" si="33"/>
        <v>0</v>
      </c>
      <c r="AM486" s="183">
        <f t="shared" si="33"/>
        <v>0</v>
      </c>
      <c r="AN486" s="310"/>
      <c r="AO486" s="310"/>
      <c r="AP486" s="310"/>
      <c r="AQ486" s="698" t="s">
        <v>1337</v>
      </c>
      <c r="AR486" s="310"/>
      <c r="AS486" s="310"/>
    </row>
    <row r="487" spans="13:45" customFormat="1" ht="11.25" customHeight="1">
      <c r="M487" s="696" t="s">
        <v>1812</v>
      </c>
      <c r="N487" s="704" t="s">
        <v>1312</v>
      </c>
      <c r="O487" s="189" t="s">
        <v>195</v>
      </c>
      <c r="AB487" s="248"/>
      <c r="AC487" s="248"/>
      <c r="AD487" s="248"/>
      <c r="AE487" s="462"/>
      <c r="AF487" s="462"/>
      <c r="AG487" s="462"/>
      <c r="AH487" s="248"/>
      <c r="AI487" s="248"/>
      <c r="AJ487" s="248"/>
      <c r="AK487" s="183">
        <f t="shared" si="31"/>
        <v>0</v>
      </c>
      <c r="AL487" s="183">
        <f t="shared" si="33"/>
        <v>0</v>
      </c>
      <c r="AM487" s="183">
        <f t="shared" si="33"/>
        <v>0</v>
      </c>
      <c r="AN487" s="310"/>
      <c r="AO487" s="310"/>
      <c r="AP487" s="310"/>
      <c r="AQ487" s="698" t="s">
        <v>1338</v>
      </c>
      <c r="AR487" s="310"/>
      <c r="AS487" s="310"/>
    </row>
    <row r="488" spans="13:45" customFormat="1" ht="11.25" customHeight="1">
      <c r="M488" s="696" t="s">
        <v>1813</v>
      </c>
      <c r="N488" s="705" t="s">
        <v>720</v>
      </c>
      <c r="O488" s="189" t="s">
        <v>195</v>
      </c>
      <c r="AB488" s="248"/>
      <c r="AC488" s="248"/>
      <c r="AD488" s="248"/>
      <c r="AE488" s="462"/>
      <c r="AF488" s="462"/>
      <c r="AG488" s="462"/>
      <c r="AH488" s="248"/>
      <c r="AI488" s="248"/>
      <c r="AJ488" s="248"/>
      <c r="AK488" s="183">
        <f t="shared" si="31"/>
        <v>0</v>
      </c>
      <c r="AL488" s="183">
        <f>SUM(AL489:AL494)</f>
        <v>0</v>
      </c>
      <c r="AM488" s="183">
        <f>SUM(AM489:AM494)</f>
        <v>0</v>
      </c>
      <c r="AN488" s="310"/>
      <c r="AO488" s="310"/>
      <c r="AP488" s="310"/>
      <c r="AQ488" s="698" t="s">
        <v>1343</v>
      </c>
      <c r="AR488" s="310"/>
      <c r="AS488" s="310"/>
    </row>
    <row r="489" spans="13:45" customFormat="1" ht="11.25" customHeight="1">
      <c r="M489" s="696" t="s">
        <v>1874</v>
      </c>
      <c r="N489" s="706" t="s">
        <v>1313</v>
      </c>
      <c r="O489" s="189" t="s">
        <v>195</v>
      </c>
      <c r="AB489" s="248"/>
      <c r="AC489" s="248"/>
      <c r="AD489" s="248"/>
      <c r="AE489" s="462"/>
      <c r="AF489" s="462"/>
      <c r="AG489" s="462"/>
      <c r="AH489" s="248"/>
      <c r="AI489" s="248"/>
      <c r="AJ489" s="248"/>
      <c r="AK489" s="183">
        <f t="shared" si="31"/>
        <v>0</v>
      </c>
      <c r="AL489" s="183">
        <f t="shared" ref="AL489:AM495" si="34">AL437*AL365/1000</f>
        <v>0</v>
      </c>
      <c r="AM489" s="183">
        <f t="shared" si="34"/>
        <v>0</v>
      </c>
      <c r="AN489" s="310"/>
      <c r="AO489" s="310"/>
      <c r="AP489" s="310"/>
      <c r="AQ489" s="698" t="s">
        <v>1866</v>
      </c>
      <c r="AR489" s="310"/>
      <c r="AS489" s="310"/>
    </row>
    <row r="490" spans="13:45" customFormat="1" ht="11.25" customHeight="1">
      <c r="M490" s="696" t="s">
        <v>1855</v>
      </c>
      <c r="N490" s="706" t="s">
        <v>1314</v>
      </c>
      <c r="O490" s="189" t="s">
        <v>195</v>
      </c>
      <c r="AB490" s="248"/>
      <c r="AC490" s="248"/>
      <c r="AD490" s="248"/>
      <c r="AE490" s="462"/>
      <c r="AF490" s="462"/>
      <c r="AG490" s="462"/>
      <c r="AH490" s="248"/>
      <c r="AI490" s="248"/>
      <c r="AJ490" s="248"/>
      <c r="AK490" s="183">
        <f t="shared" si="31"/>
        <v>0</v>
      </c>
      <c r="AL490" s="183">
        <f t="shared" si="34"/>
        <v>0</v>
      </c>
      <c r="AM490" s="183">
        <f t="shared" si="34"/>
        <v>0</v>
      </c>
      <c r="AN490" s="310"/>
      <c r="AO490" s="310"/>
      <c r="AP490" s="310"/>
      <c r="AQ490" s="698" t="s">
        <v>1847</v>
      </c>
      <c r="AR490" s="310"/>
      <c r="AS490" s="310"/>
    </row>
    <row r="491" spans="13:45" customFormat="1" ht="11.25" customHeight="1">
      <c r="M491" s="696" t="s">
        <v>1836</v>
      </c>
      <c r="N491" s="706" t="s">
        <v>1315</v>
      </c>
      <c r="O491" s="189" t="s">
        <v>195</v>
      </c>
      <c r="AB491" s="248"/>
      <c r="AC491" s="248"/>
      <c r="AD491" s="248"/>
      <c r="AE491" s="462"/>
      <c r="AF491" s="462"/>
      <c r="AG491" s="462"/>
      <c r="AH491" s="248"/>
      <c r="AI491" s="248"/>
      <c r="AJ491" s="248"/>
      <c r="AK491" s="183">
        <f t="shared" si="31"/>
        <v>0</v>
      </c>
      <c r="AL491" s="183">
        <f t="shared" si="34"/>
        <v>0</v>
      </c>
      <c r="AM491" s="183">
        <f t="shared" si="34"/>
        <v>0</v>
      </c>
      <c r="AN491" s="310"/>
      <c r="AO491" s="310"/>
      <c r="AP491" s="310"/>
      <c r="AQ491" s="698" t="s">
        <v>1827</v>
      </c>
      <c r="AR491" s="310"/>
      <c r="AS491" s="310"/>
    </row>
    <row r="492" spans="13:45" customFormat="1" ht="11.25" customHeight="1">
      <c r="M492" s="696" t="s">
        <v>1814</v>
      </c>
      <c r="N492" s="706" t="s">
        <v>1316</v>
      </c>
      <c r="O492" s="189" t="s">
        <v>195</v>
      </c>
      <c r="AB492" s="248"/>
      <c r="AC492" s="248"/>
      <c r="AD492" s="248"/>
      <c r="AE492" s="462"/>
      <c r="AF492" s="462"/>
      <c r="AG492" s="462"/>
      <c r="AH492" s="248"/>
      <c r="AI492" s="248"/>
      <c r="AJ492" s="248"/>
      <c r="AK492" s="183">
        <f t="shared" si="31"/>
        <v>0</v>
      </c>
      <c r="AL492" s="183">
        <f t="shared" si="34"/>
        <v>0</v>
      </c>
      <c r="AM492" s="183">
        <f t="shared" si="34"/>
        <v>0</v>
      </c>
      <c r="AN492" s="310"/>
      <c r="AO492" s="310"/>
      <c r="AP492" s="310"/>
      <c r="AQ492" s="698" t="s">
        <v>1344</v>
      </c>
      <c r="AR492" s="310"/>
      <c r="AS492" s="310"/>
    </row>
    <row r="493" spans="13:45" customFormat="1" ht="11.25" customHeight="1">
      <c r="M493" s="696" t="s">
        <v>1815</v>
      </c>
      <c r="N493" s="706" t="s">
        <v>1317</v>
      </c>
      <c r="O493" s="189" t="s">
        <v>195</v>
      </c>
      <c r="AB493" s="248"/>
      <c r="AC493" s="248"/>
      <c r="AD493" s="248"/>
      <c r="AE493" s="462"/>
      <c r="AF493" s="462"/>
      <c r="AG493" s="462"/>
      <c r="AH493" s="248"/>
      <c r="AI493" s="248"/>
      <c r="AJ493" s="248"/>
      <c r="AK493" s="183">
        <f t="shared" si="31"/>
        <v>0</v>
      </c>
      <c r="AL493" s="183">
        <f t="shared" si="34"/>
        <v>0</v>
      </c>
      <c r="AM493" s="183">
        <f t="shared" si="34"/>
        <v>0</v>
      </c>
      <c r="AN493" s="310"/>
      <c r="AO493" s="310"/>
      <c r="AP493" s="310"/>
      <c r="AQ493" s="698" t="s">
        <v>1345</v>
      </c>
      <c r="AR493" s="310"/>
      <c r="AS493" s="310"/>
    </row>
    <row r="494" spans="13:45" customFormat="1" ht="11.25" customHeight="1">
      <c r="M494" s="696" t="s">
        <v>1816</v>
      </c>
      <c r="N494" s="706" t="s">
        <v>1318</v>
      </c>
      <c r="O494" s="189" t="s">
        <v>195</v>
      </c>
      <c r="AB494" s="248"/>
      <c r="AC494" s="248"/>
      <c r="AD494" s="248"/>
      <c r="AE494" s="462"/>
      <c r="AF494" s="462"/>
      <c r="AG494" s="462"/>
      <c r="AH494" s="248"/>
      <c r="AI494" s="248"/>
      <c r="AJ494" s="248"/>
      <c r="AK494" s="183">
        <f t="shared" si="31"/>
        <v>0</v>
      </c>
      <c r="AL494" s="183">
        <f t="shared" si="34"/>
        <v>0</v>
      </c>
      <c r="AM494" s="183">
        <f t="shared" si="34"/>
        <v>0</v>
      </c>
      <c r="AN494" s="310"/>
      <c r="AO494" s="310"/>
      <c r="AP494" s="310"/>
      <c r="AQ494" s="698" t="s">
        <v>1346</v>
      </c>
      <c r="AR494" s="310"/>
      <c r="AS494" s="310"/>
    </row>
    <row r="495" spans="13:45" customFormat="1" ht="11.25" customHeight="1">
      <c r="M495" s="696" t="s">
        <v>1817</v>
      </c>
      <c r="N495" s="707" t="s">
        <v>721</v>
      </c>
      <c r="O495" s="189" t="s">
        <v>195</v>
      </c>
      <c r="AB495" s="248"/>
      <c r="AC495" s="248"/>
      <c r="AD495" s="248"/>
      <c r="AE495" s="462"/>
      <c r="AF495" s="462"/>
      <c r="AG495" s="462"/>
      <c r="AH495" s="248"/>
      <c r="AI495" s="248"/>
      <c r="AJ495" s="248"/>
      <c r="AK495" s="183">
        <f t="shared" si="31"/>
        <v>0</v>
      </c>
      <c r="AL495" s="183">
        <f t="shared" si="34"/>
        <v>0</v>
      </c>
      <c r="AM495" s="183">
        <f t="shared" si="34"/>
        <v>0</v>
      </c>
      <c r="AN495" s="310"/>
      <c r="AO495" s="310"/>
      <c r="AP495" s="310"/>
      <c r="AQ495" s="698" t="s">
        <v>1347</v>
      </c>
      <c r="AR495" s="310"/>
      <c r="AS495" s="310"/>
    </row>
    <row r="496" spans="13:45" customFormat="1" ht="11.25" customHeight="1">
      <c r="M496" s="696" t="s">
        <v>1818</v>
      </c>
      <c r="N496" s="708" t="s">
        <v>712</v>
      </c>
      <c r="O496" s="189" t="s">
        <v>195</v>
      </c>
      <c r="AB496" s="248"/>
      <c r="AC496" s="248"/>
      <c r="AD496" s="248"/>
      <c r="AE496" s="462"/>
      <c r="AF496" s="462"/>
      <c r="AG496" s="462"/>
      <c r="AH496" s="248"/>
      <c r="AI496" s="248"/>
      <c r="AJ496" s="248"/>
      <c r="AK496" s="183">
        <f t="shared" si="31"/>
        <v>0</v>
      </c>
      <c r="AL496" s="183">
        <f>SUM(AL497:AL513)</f>
        <v>0</v>
      </c>
      <c r="AM496" s="183">
        <f>SUM(AM497:AM513)</f>
        <v>0</v>
      </c>
      <c r="AN496" s="310"/>
      <c r="AO496" s="310"/>
      <c r="AP496" s="310"/>
      <c r="AQ496" s="698" t="s">
        <v>1348</v>
      </c>
      <c r="AR496" s="310"/>
      <c r="AS496" s="310"/>
    </row>
    <row r="497" spans="13:45" customFormat="1" ht="11.25" customHeight="1">
      <c r="M497" s="696" t="s">
        <v>2773</v>
      </c>
      <c r="N497" s="709" t="s">
        <v>1319</v>
      </c>
      <c r="O497" s="189" t="s">
        <v>195</v>
      </c>
      <c r="AB497" s="248"/>
      <c r="AC497" s="248"/>
      <c r="AD497" s="248"/>
      <c r="AE497" s="462"/>
      <c r="AF497" s="462"/>
      <c r="AG497" s="462"/>
      <c r="AH497" s="248"/>
      <c r="AI497" s="248"/>
      <c r="AJ497" s="248"/>
      <c r="AK497" s="183">
        <f t="shared" si="31"/>
        <v>0</v>
      </c>
      <c r="AL497" s="183">
        <f t="shared" ref="AL497:AM512" si="35">AL445*AL373/1000</f>
        <v>0</v>
      </c>
      <c r="AM497" s="183">
        <f t="shared" si="35"/>
        <v>0</v>
      </c>
      <c r="AN497" s="310"/>
      <c r="AO497" s="310"/>
      <c r="AP497" s="310"/>
      <c r="AQ497" s="698" t="s">
        <v>2612</v>
      </c>
      <c r="AR497" s="310"/>
      <c r="AS497" s="310"/>
    </row>
    <row r="498" spans="13:45" customFormat="1" ht="11.25" customHeight="1">
      <c r="M498" s="696" t="s">
        <v>2774</v>
      </c>
      <c r="N498" s="709" t="s">
        <v>1320</v>
      </c>
      <c r="O498" s="189" t="s">
        <v>195</v>
      </c>
      <c r="AB498" s="248"/>
      <c r="AC498" s="248"/>
      <c r="AD498" s="248"/>
      <c r="AE498" s="462"/>
      <c r="AF498" s="462"/>
      <c r="AG498" s="462"/>
      <c r="AH498" s="248"/>
      <c r="AI498" s="248"/>
      <c r="AJ498" s="248"/>
      <c r="AK498" s="183">
        <f t="shared" si="31"/>
        <v>0</v>
      </c>
      <c r="AL498" s="183">
        <f t="shared" si="35"/>
        <v>0</v>
      </c>
      <c r="AM498" s="183">
        <f t="shared" si="35"/>
        <v>0</v>
      </c>
      <c r="AN498" s="310"/>
      <c r="AO498" s="310"/>
      <c r="AP498" s="310"/>
      <c r="AQ498" s="698" t="s">
        <v>2614</v>
      </c>
      <c r="AR498" s="310"/>
      <c r="AS498" s="310"/>
    </row>
    <row r="499" spans="13:45" customFormat="1" ht="11.25" customHeight="1">
      <c r="M499" s="696" t="s">
        <v>2775</v>
      </c>
      <c r="N499" s="709" t="s">
        <v>1321</v>
      </c>
      <c r="O499" s="189" t="s">
        <v>195</v>
      </c>
      <c r="AB499" s="248"/>
      <c r="AC499" s="248"/>
      <c r="AD499" s="248"/>
      <c r="AE499" s="462"/>
      <c r="AF499" s="462"/>
      <c r="AG499" s="462"/>
      <c r="AH499" s="248"/>
      <c r="AI499" s="248"/>
      <c r="AJ499" s="248"/>
      <c r="AK499" s="183">
        <f t="shared" si="31"/>
        <v>0</v>
      </c>
      <c r="AL499" s="183">
        <f t="shared" si="35"/>
        <v>0</v>
      </c>
      <c r="AM499" s="183">
        <f t="shared" si="35"/>
        <v>0</v>
      </c>
      <c r="AN499" s="310"/>
      <c r="AO499" s="310"/>
      <c r="AP499" s="310"/>
      <c r="AQ499" s="698" t="s">
        <v>2616</v>
      </c>
      <c r="AR499" s="310"/>
      <c r="AS499" s="310"/>
    </row>
    <row r="500" spans="13:45" customFormat="1" ht="11.25" customHeight="1">
      <c r="M500" s="696" t="s">
        <v>2776</v>
      </c>
      <c r="N500" s="709" t="s">
        <v>2618</v>
      </c>
      <c r="O500" s="189" t="s">
        <v>195</v>
      </c>
      <c r="AB500" s="248"/>
      <c r="AC500" s="248"/>
      <c r="AD500" s="248"/>
      <c r="AE500" s="462"/>
      <c r="AF500" s="462"/>
      <c r="AG500" s="462"/>
      <c r="AH500" s="248"/>
      <c r="AI500" s="248"/>
      <c r="AJ500" s="248"/>
      <c r="AK500" s="183">
        <f t="shared" si="31"/>
        <v>0</v>
      </c>
      <c r="AL500" s="183">
        <f t="shared" si="35"/>
        <v>0</v>
      </c>
      <c r="AM500" s="183">
        <f t="shared" si="35"/>
        <v>0</v>
      </c>
      <c r="AN500" s="310"/>
      <c r="AO500" s="310"/>
      <c r="AP500" s="310"/>
      <c r="AQ500" s="698" t="s">
        <v>2619</v>
      </c>
      <c r="AR500" s="310"/>
      <c r="AS500" s="310"/>
    </row>
    <row r="501" spans="13:45" customFormat="1" ht="11.25" customHeight="1">
      <c r="M501" s="696" t="s">
        <v>2777</v>
      </c>
      <c r="N501" s="709" t="s">
        <v>2621</v>
      </c>
      <c r="O501" s="189" t="s">
        <v>195</v>
      </c>
      <c r="AB501" s="248"/>
      <c r="AC501" s="248"/>
      <c r="AD501" s="248"/>
      <c r="AE501" s="462"/>
      <c r="AF501" s="462"/>
      <c r="AG501" s="462"/>
      <c r="AH501" s="248"/>
      <c r="AI501" s="248"/>
      <c r="AJ501" s="248"/>
      <c r="AK501" s="183">
        <f t="shared" si="31"/>
        <v>0</v>
      </c>
      <c r="AL501" s="183">
        <f t="shared" si="35"/>
        <v>0</v>
      </c>
      <c r="AM501" s="183">
        <f t="shared" si="35"/>
        <v>0</v>
      </c>
      <c r="AN501" s="310"/>
      <c r="AO501" s="310"/>
      <c r="AP501" s="310"/>
      <c r="AQ501" s="698" t="s">
        <v>2622</v>
      </c>
      <c r="AR501" s="310"/>
      <c r="AS501" s="310"/>
    </row>
    <row r="502" spans="13:45" customFormat="1" ht="11.25" customHeight="1">
      <c r="M502" s="696" t="s">
        <v>2778</v>
      </c>
      <c r="N502" s="709" t="s">
        <v>1322</v>
      </c>
      <c r="O502" s="189" t="s">
        <v>195</v>
      </c>
      <c r="AB502" s="248"/>
      <c r="AC502" s="248"/>
      <c r="AD502" s="248"/>
      <c r="AE502" s="462"/>
      <c r="AF502" s="462"/>
      <c r="AG502" s="462"/>
      <c r="AH502" s="248"/>
      <c r="AI502" s="248"/>
      <c r="AJ502" s="248"/>
      <c r="AK502" s="183">
        <f t="shared" si="31"/>
        <v>0</v>
      </c>
      <c r="AL502" s="183">
        <f t="shared" si="35"/>
        <v>0</v>
      </c>
      <c r="AM502" s="183">
        <f t="shared" si="35"/>
        <v>0</v>
      </c>
      <c r="AN502" s="310"/>
      <c r="AO502" s="310"/>
      <c r="AP502" s="310"/>
      <c r="AQ502" s="698" t="s">
        <v>2624</v>
      </c>
      <c r="AR502" s="310"/>
      <c r="AS502" s="310"/>
    </row>
    <row r="503" spans="13:45" customFormat="1" ht="11.25" customHeight="1">
      <c r="M503" s="696" t="s">
        <v>2779</v>
      </c>
      <c r="N503" s="709" t="s">
        <v>2626</v>
      </c>
      <c r="O503" s="189" t="s">
        <v>195</v>
      </c>
      <c r="AB503" s="248"/>
      <c r="AC503" s="248"/>
      <c r="AD503" s="248"/>
      <c r="AE503" s="462"/>
      <c r="AF503" s="462"/>
      <c r="AG503" s="462"/>
      <c r="AH503" s="248"/>
      <c r="AI503" s="248"/>
      <c r="AJ503" s="248"/>
      <c r="AK503" s="183">
        <f t="shared" si="31"/>
        <v>0</v>
      </c>
      <c r="AL503" s="183">
        <f t="shared" si="35"/>
        <v>0</v>
      </c>
      <c r="AM503" s="183">
        <f t="shared" si="35"/>
        <v>0</v>
      </c>
      <c r="AN503" s="310"/>
      <c r="AO503" s="310"/>
      <c r="AP503" s="310"/>
      <c r="AQ503" s="698" t="s">
        <v>2627</v>
      </c>
      <c r="AR503" s="310"/>
      <c r="AS503" s="310"/>
    </row>
    <row r="504" spans="13:45" customFormat="1" ht="11.25" customHeight="1">
      <c r="M504" s="696" t="s">
        <v>2780</v>
      </c>
      <c r="N504" s="709" t="s">
        <v>1323</v>
      </c>
      <c r="O504" s="189" t="s">
        <v>195</v>
      </c>
      <c r="AB504" s="248"/>
      <c r="AC504" s="248"/>
      <c r="AD504" s="248"/>
      <c r="AE504" s="462"/>
      <c r="AF504" s="462"/>
      <c r="AG504" s="462"/>
      <c r="AH504" s="248"/>
      <c r="AI504" s="248"/>
      <c r="AJ504" s="248"/>
      <c r="AK504" s="183">
        <f t="shared" si="31"/>
        <v>0</v>
      </c>
      <c r="AL504" s="183">
        <f t="shared" si="35"/>
        <v>0</v>
      </c>
      <c r="AM504" s="183">
        <f t="shared" si="35"/>
        <v>0</v>
      </c>
      <c r="AN504" s="310"/>
      <c r="AO504" s="310"/>
      <c r="AP504" s="310"/>
      <c r="AQ504" s="698" t="s">
        <v>2629</v>
      </c>
      <c r="AR504" s="310"/>
      <c r="AS504" s="310"/>
    </row>
    <row r="505" spans="13:45" customFormat="1" ht="11.25" customHeight="1">
      <c r="M505" s="696" t="s">
        <v>2781</v>
      </c>
      <c r="N505" s="709" t="s">
        <v>1324</v>
      </c>
      <c r="O505" s="189" t="s">
        <v>195</v>
      </c>
      <c r="AB505" s="248"/>
      <c r="AC505" s="248"/>
      <c r="AD505" s="248"/>
      <c r="AE505" s="462"/>
      <c r="AF505" s="462"/>
      <c r="AG505" s="462"/>
      <c r="AH505" s="248"/>
      <c r="AI505" s="248"/>
      <c r="AJ505" s="248"/>
      <c r="AK505" s="183">
        <f t="shared" si="31"/>
        <v>0</v>
      </c>
      <c r="AL505" s="183">
        <f t="shared" si="35"/>
        <v>0</v>
      </c>
      <c r="AM505" s="183">
        <f t="shared" si="35"/>
        <v>0</v>
      </c>
      <c r="AN505" s="310"/>
      <c r="AO505" s="310"/>
      <c r="AP505" s="310"/>
      <c r="AQ505" s="698" t="s">
        <v>2631</v>
      </c>
      <c r="AR505" s="310"/>
      <c r="AS505" s="310"/>
    </row>
    <row r="506" spans="13:45" customFormat="1" ht="11.25" customHeight="1">
      <c r="M506" s="696" t="s">
        <v>2782</v>
      </c>
      <c r="N506" s="709" t="s">
        <v>2633</v>
      </c>
      <c r="O506" s="189" t="s">
        <v>195</v>
      </c>
      <c r="AB506" s="248"/>
      <c r="AC506" s="248"/>
      <c r="AD506" s="248"/>
      <c r="AE506" s="462"/>
      <c r="AF506" s="462"/>
      <c r="AG506" s="462"/>
      <c r="AH506" s="248"/>
      <c r="AI506" s="248"/>
      <c r="AJ506" s="248"/>
      <c r="AK506" s="183">
        <f t="shared" si="31"/>
        <v>0</v>
      </c>
      <c r="AL506" s="183">
        <f t="shared" si="35"/>
        <v>0</v>
      </c>
      <c r="AM506" s="183">
        <f t="shared" si="35"/>
        <v>0</v>
      </c>
      <c r="AN506" s="310"/>
      <c r="AO506" s="310"/>
      <c r="AP506" s="310"/>
      <c r="AQ506" s="698" t="s">
        <v>2634</v>
      </c>
      <c r="AR506" s="310"/>
      <c r="AS506" s="310"/>
    </row>
    <row r="507" spans="13:45" customFormat="1" ht="11.25" customHeight="1">
      <c r="M507" s="696" t="s">
        <v>2783</v>
      </c>
      <c r="N507" s="709" t="s">
        <v>2636</v>
      </c>
      <c r="O507" s="189" t="s">
        <v>195</v>
      </c>
      <c r="AB507" s="248"/>
      <c r="AC507" s="248"/>
      <c r="AD507" s="248"/>
      <c r="AE507" s="462"/>
      <c r="AF507" s="462"/>
      <c r="AG507" s="462"/>
      <c r="AH507" s="248"/>
      <c r="AI507" s="248"/>
      <c r="AJ507" s="248"/>
      <c r="AK507" s="183">
        <f t="shared" si="31"/>
        <v>0</v>
      </c>
      <c r="AL507" s="183">
        <f t="shared" si="35"/>
        <v>0</v>
      </c>
      <c r="AM507" s="183">
        <f t="shared" si="35"/>
        <v>0</v>
      </c>
      <c r="AN507" s="310"/>
      <c r="AO507" s="310"/>
      <c r="AP507" s="310"/>
      <c r="AQ507" s="698" t="s">
        <v>2637</v>
      </c>
      <c r="AR507" s="310"/>
      <c r="AS507" s="310"/>
    </row>
    <row r="508" spans="13:45" customFormat="1" ht="11.25" customHeight="1">
      <c r="M508" s="696" t="s">
        <v>2784</v>
      </c>
      <c r="N508" s="709" t="s">
        <v>2639</v>
      </c>
      <c r="O508" s="189" t="s">
        <v>195</v>
      </c>
      <c r="AB508" s="248"/>
      <c r="AC508" s="248"/>
      <c r="AD508" s="248"/>
      <c r="AE508" s="462"/>
      <c r="AF508" s="462"/>
      <c r="AG508" s="462"/>
      <c r="AH508" s="248"/>
      <c r="AI508" s="248"/>
      <c r="AJ508" s="248"/>
      <c r="AK508" s="183">
        <f t="shared" si="31"/>
        <v>0</v>
      </c>
      <c r="AL508" s="183">
        <f t="shared" si="35"/>
        <v>0</v>
      </c>
      <c r="AM508" s="183">
        <f t="shared" si="35"/>
        <v>0</v>
      </c>
      <c r="AN508" s="310"/>
      <c r="AO508" s="310"/>
      <c r="AP508" s="310"/>
      <c r="AQ508" s="698" t="s">
        <v>2640</v>
      </c>
      <c r="AR508" s="310"/>
      <c r="AS508" s="310"/>
    </row>
    <row r="509" spans="13:45" customFormat="1" ht="11.25" customHeight="1">
      <c r="M509" s="696" t="s">
        <v>2785</v>
      </c>
      <c r="N509" s="709" t="s">
        <v>2642</v>
      </c>
      <c r="O509" s="189" t="s">
        <v>195</v>
      </c>
      <c r="AB509" s="248"/>
      <c r="AC509" s="248"/>
      <c r="AD509" s="248"/>
      <c r="AE509" s="462"/>
      <c r="AF509" s="462"/>
      <c r="AG509" s="462"/>
      <c r="AH509" s="248"/>
      <c r="AI509" s="248"/>
      <c r="AJ509" s="248"/>
      <c r="AK509" s="183">
        <f t="shared" si="31"/>
        <v>0</v>
      </c>
      <c r="AL509" s="183">
        <f t="shared" si="35"/>
        <v>0</v>
      </c>
      <c r="AM509" s="183">
        <f t="shared" si="35"/>
        <v>0</v>
      </c>
      <c r="AN509" s="310"/>
      <c r="AO509" s="310"/>
      <c r="AP509" s="310"/>
      <c r="AQ509" s="698" t="s">
        <v>2643</v>
      </c>
      <c r="AR509" s="310"/>
      <c r="AS509" s="310"/>
    </row>
    <row r="510" spans="13:45" customFormat="1" ht="11.25" customHeight="1">
      <c r="M510" s="696" t="s">
        <v>2786</v>
      </c>
      <c r="N510" s="709" t="s">
        <v>2645</v>
      </c>
      <c r="O510" s="189" t="s">
        <v>195</v>
      </c>
      <c r="AB510" s="248"/>
      <c r="AC510" s="248"/>
      <c r="AD510" s="248"/>
      <c r="AE510" s="462"/>
      <c r="AF510" s="462"/>
      <c r="AG510" s="462"/>
      <c r="AH510" s="248"/>
      <c r="AI510" s="248"/>
      <c r="AJ510" s="248"/>
      <c r="AK510" s="183">
        <f t="shared" si="31"/>
        <v>0</v>
      </c>
      <c r="AL510" s="183">
        <f t="shared" si="35"/>
        <v>0</v>
      </c>
      <c r="AM510" s="183">
        <f t="shared" si="35"/>
        <v>0</v>
      </c>
      <c r="AN510" s="310"/>
      <c r="AO510" s="310"/>
      <c r="AP510" s="310"/>
      <c r="AQ510" s="698" t="s">
        <v>2646</v>
      </c>
      <c r="AR510" s="310"/>
      <c r="AS510" s="310"/>
    </row>
    <row r="511" spans="13:45" customFormat="1" ht="11.25" customHeight="1">
      <c r="M511" s="696" t="s">
        <v>2787</v>
      </c>
      <c r="N511" s="709" t="s">
        <v>1325</v>
      </c>
      <c r="O511" s="189" t="s">
        <v>195</v>
      </c>
      <c r="AB511" s="248"/>
      <c r="AC511" s="248"/>
      <c r="AD511" s="248"/>
      <c r="AE511" s="462"/>
      <c r="AF511" s="462"/>
      <c r="AG511" s="462"/>
      <c r="AH511" s="248"/>
      <c r="AI511" s="248"/>
      <c r="AJ511" s="248"/>
      <c r="AK511" s="183">
        <f t="shared" si="31"/>
        <v>0</v>
      </c>
      <c r="AL511" s="183">
        <f t="shared" si="35"/>
        <v>0</v>
      </c>
      <c r="AM511" s="183">
        <f t="shared" si="35"/>
        <v>0</v>
      </c>
      <c r="AN511" s="310"/>
      <c r="AO511" s="310"/>
      <c r="AP511" s="310"/>
      <c r="AQ511" s="698" t="s">
        <v>2648</v>
      </c>
      <c r="AR511" s="310"/>
      <c r="AS511" s="310"/>
    </row>
    <row r="512" spans="13:45" customFormat="1" ht="11.25" customHeight="1">
      <c r="M512" s="696" t="s">
        <v>2788</v>
      </c>
      <c r="N512" s="709" t="s">
        <v>1326</v>
      </c>
      <c r="O512" s="189" t="s">
        <v>195</v>
      </c>
      <c r="AB512" s="248"/>
      <c r="AC512" s="248"/>
      <c r="AD512" s="248"/>
      <c r="AE512" s="462"/>
      <c r="AF512" s="462"/>
      <c r="AG512" s="462"/>
      <c r="AH512" s="248"/>
      <c r="AI512" s="248"/>
      <c r="AJ512" s="248"/>
      <c r="AK512" s="183">
        <f t="shared" si="31"/>
        <v>0</v>
      </c>
      <c r="AL512" s="183">
        <f t="shared" si="35"/>
        <v>0</v>
      </c>
      <c r="AM512" s="183">
        <f t="shared" si="35"/>
        <v>0</v>
      </c>
      <c r="AN512" s="310"/>
      <c r="AO512" s="310"/>
      <c r="AP512" s="310"/>
      <c r="AQ512" s="698" t="s">
        <v>2650</v>
      </c>
      <c r="AR512" s="310"/>
      <c r="AS512" s="310"/>
    </row>
    <row r="513" spans="13:45" customFormat="1" ht="11.25" customHeight="1">
      <c r="M513" s="696" t="s">
        <v>2789</v>
      </c>
      <c r="N513" s="709" t="s">
        <v>2652</v>
      </c>
      <c r="O513" s="189" t="s">
        <v>195</v>
      </c>
      <c r="AB513" s="248"/>
      <c r="AC513" s="248"/>
      <c r="AD513" s="248"/>
      <c r="AE513" s="462"/>
      <c r="AF513" s="462"/>
      <c r="AG513" s="462"/>
      <c r="AH513" s="248"/>
      <c r="AI513" s="248"/>
      <c r="AJ513" s="248"/>
      <c r="AK513" s="183">
        <f t="shared" si="31"/>
        <v>0</v>
      </c>
      <c r="AL513" s="183">
        <f>AL461*AL389/1000</f>
        <v>0</v>
      </c>
      <c r="AM513" s="183">
        <f>AM461*AM389/1000</f>
        <v>0</v>
      </c>
      <c r="AN513" s="310"/>
      <c r="AO513" s="310"/>
      <c r="AP513" s="310"/>
      <c r="AQ513" s="698" t="s">
        <v>2653</v>
      </c>
      <c r="AR513" s="310"/>
      <c r="AS513" s="310"/>
    </row>
    <row r="514" spans="13:45" customFormat="1" ht="11.25" customHeight="1">
      <c r="M514" s="718"/>
      <c r="N514" s="460"/>
      <c r="O514" s="461"/>
      <c r="AB514" s="248"/>
      <c r="AC514" s="248"/>
      <c r="AD514" s="248"/>
      <c r="AE514" s="462"/>
      <c r="AF514" s="462"/>
      <c r="AG514" s="462"/>
      <c r="AH514" s="248"/>
      <c r="AI514" s="248"/>
      <c r="AJ514" s="248"/>
      <c r="AK514" s="462"/>
      <c r="AL514" s="462"/>
      <c r="AM514" s="462"/>
      <c r="AN514" s="310"/>
      <c r="AO514" s="310"/>
      <c r="AP514" s="310"/>
      <c r="AQ514" s="698"/>
      <c r="AR514" s="310"/>
      <c r="AS514" s="310"/>
    </row>
    <row r="515" spans="13:45" customFormat="1" ht="11.25" customHeight="1">
      <c r="M515" s="718"/>
      <c r="N515" s="460"/>
      <c r="O515" s="461"/>
      <c r="AB515" s="248"/>
      <c r="AC515" s="248"/>
      <c r="AD515" s="248"/>
      <c r="AE515" s="462"/>
      <c r="AF515" s="462"/>
      <c r="AG515" s="462"/>
      <c r="AH515" s="248"/>
      <c r="AI515" s="248"/>
      <c r="AJ515" s="248"/>
      <c r="AK515" s="462"/>
      <c r="AL515" s="462"/>
      <c r="AM515" s="462"/>
      <c r="AN515" s="310"/>
      <c r="AO515" s="310"/>
      <c r="AP515" s="310"/>
      <c r="AQ515" s="698"/>
      <c r="AR515" s="310"/>
      <c r="AS515" s="310"/>
    </row>
    <row r="516" spans="13:45" customFormat="1" ht="11.25" customHeight="1">
      <c r="M516" s="696" t="s">
        <v>1819</v>
      </c>
      <c r="N516" s="719" t="s">
        <v>1327</v>
      </c>
      <c r="O516" s="189" t="s">
        <v>195</v>
      </c>
      <c r="AB516" s="248"/>
      <c r="AC516" s="248"/>
      <c r="AD516" s="248"/>
      <c r="AE516" s="462"/>
      <c r="AF516" s="462"/>
      <c r="AG516" s="462"/>
      <c r="AH516" s="248"/>
      <c r="AI516" s="248"/>
      <c r="AJ516" s="248"/>
      <c r="AK516" s="183">
        <f t="shared" ref="AK516:AK522" si="36">AL516+AM516</f>
        <v>0</v>
      </c>
      <c r="AL516" s="183">
        <f t="shared" ref="AL516:AM522" si="37">AL464*AL392/1000</f>
        <v>0</v>
      </c>
      <c r="AM516" s="183">
        <f t="shared" si="37"/>
        <v>0</v>
      </c>
      <c r="AN516" s="310"/>
      <c r="AO516" s="310"/>
      <c r="AP516" s="310"/>
      <c r="AQ516" s="698" t="s">
        <v>1357</v>
      </c>
      <c r="AR516" s="310"/>
      <c r="AS516" s="310"/>
    </row>
    <row r="517" spans="13:45" customFormat="1" ht="11.25" customHeight="1">
      <c r="M517" s="696" t="s">
        <v>1820</v>
      </c>
      <c r="N517" s="712" t="s">
        <v>723</v>
      </c>
      <c r="O517" s="189" t="s">
        <v>195</v>
      </c>
      <c r="AB517" s="248"/>
      <c r="AC517" s="248"/>
      <c r="AD517" s="248"/>
      <c r="AE517" s="462"/>
      <c r="AF517" s="462"/>
      <c r="AG517" s="462"/>
      <c r="AH517" s="248"/>
      <c r="AI517" s="248"/>
      <c r="AJ517" s="248"/>
      <c r="AK517" s="183">
        <f t="shared" si="36"/>
        <v>0</v>
      </c>
      <c r="AL517" s="183">
        <f t="shared" si="37"/>
        <v>0</v>
      </c>
      <c r="AM517" s="183">
        <f t="shared" si="37"/>
        <v>0</v>
      </c>
      <c r="AN517" s="310"/>
      <c r="AO517" s="310"/>
      <c r="AP517" s="310"/>
      <c r="AQ517" s="698" t="s">
        <v>1350</v>
      </c>
      <c r="AR517" s="310"/>
      <c r="AS517" s="310"/>
    </row>
    <row r="518" spans="13:45" customFormat="1" ht="11.25" customHeight="1">
      <c r="M518" s="696" t="s">
        <v>1821</v>
      </c>
      <c r="N518" s="713" t="s">
        <v>748</v>
      </c>
      <c r="O518" s="189" t="s">
        <v>195</v>
      </c>
      <c r="AB518" s="248"/>
      <c r="AC518" s="248"/>
      <c r="AD518" s="248"/>
      <c r="AE518" s="462"/>
      <c r="AF518" s="462"/>
      <c r="AG518" s="462"/>
      <c r="AH518" s="248"/>
      <c r="AI518" s="248"/>
      <c r="AJ518" s="248"/>
      <c r="AK518" s="183">
        <f t="shared" si="36"/>
        <v>0</v>
      </c>
      <c r="AL518" s="183">
        <f t="shared" si="37"/>
        <v>0</v>
      </c>
      <c r="AM518" s="183">
        <f t="shared" si="37"/>
        <v>0</v>
      </c>
      <c r="AN518" s="310"/>
      <c r="AO518" s="310"/>
      <c r="AP518" s="310"/>
      <c r="AQ518" s="698" t="s">
        <v>1351</v>
      </c>
      <c r="AR518" s="310"/>
      <c r="AS518" s="310"/>
    </row>
    <row r="519" spans="13:45" customFormat="1" ht="11.25" customHeight="1">
      <c r="M519" s="696" t="s">
        <v>1822</v>
      </c>
      <c r="N519" s="714" t="s">
        <v>315</v>
      </c>
      <c r="O519" s="189" t="s">
        <v>195</v>
      </c>
      <c r="AB519" s="248"/>
      <c r="AC519" s="248"/>
      <c r="AD519" s="248"/>
      <c r="AE519" s="462"/>
      <c r="AF519" s="462"/>
      <c r="AG519" s="462"/>
      <c r="AH519" s="248"/>
      <c r="AI519" s="248"/>
      <c r="AJ519" s="248"/>
      <c r="AK519" s="183">
        <f t="shared" si="36"/>
        <v>0</v>
      </c>
      <c r="AL519" s="183">
        <f t="shared" si="37"/>
        <v>0</v>
      </c>
      <c r="AM519" s="183">
        <f t="shared" si="37"/>
        <v>0</v>
      </c>
      <c r="AN519" s="310"/>
      <c r="AO519" s="310"/>
      <c r="AP519" s="310"/>
      <c r="AQ519" s="698" t="s">
        <v>1352</v>
      </c>
      <c r="AR519" s="310"/>
      <c r="AS519" s="310"/>
    </row>
    <row r="520" spans="13:45" customFormat="1" ht="11.25" customHeight="1">
      <c r="M520" s="696" t="s">
        <v>1823</v>
      </c>
      <c r="N520" s="715" t="s">
        <v>316</v>
      </c>
      <c r="O520" s="189" t="s">
        <v>195</v>
      </c>
      <c r="AB520" s="248"/>
      <c r="AC520" s="248"/>
      <c r="AD520" s="248"/>
      <c r="AE520" s="462"/>
      <c r="AF520" s="462"/>
      <c r="AG520" s="462"/>
      <c r="AH520" s="248"/>
      <c r="AI520" s="248"/>
      <c r="AJ520" s="248"/>
      <c r="AK520" s="183">
        <f t="shared" si="36"/>
        <v>0</v>
      </c>
      <c r="AL520" s="183">
        <f t="shared" si="37"/>
        <v>0</v>
      </c>
      <c r="AM520" s="183">
        <f t="shared" si="37"/>
        <v>0</v>
      </c>
      <c r="AN520" s="310"/>
      <c r="AO520" s="310"/>
      <c r="AP520" s="310"/>
      <c r="AQ520" s="698" t="s">
        <v>1354</v>
      </c>
      <c r="AR520" s="310"/>
      <c r="AS520" s="310"/>
    </row>
    <row r="521" spans="13:45" customFormat="1" ht="11.25" customHeight="1">
      <c r="M521" s="696" t="s">
        <v>1824</v>
      </c>
      <c r="N521" s="716" t="s">
        <v>317</v>
      </c>
      <c r="O521" s="189" t="s">
        <v>195</v>
      </c>
      <c r="AB521" s="248"/>
      <c r="AC521" s="248"/>
      <c r="AD521" s="248"/>
      <c r="AE521" s="462"/>
      <c r="AF521" s="462"/>
      <c r="AG521" s="462"/>
      <c r="AH521" s="248"/>
      <c r="AI521" s="248"/>
      <c r="AJ521" s="248"/>
      <c r="AK521" s="183">
        <f t="shared" si="36"/>
        <v>0</v>
      </c>
      <c r="AL521" s="183">
        <f t="shared" si="37"/>
        <v>0</v>
      </c>
      <c r="AM521" s="183">
        <f t="shared" si="37"/>
        <v>0</v>
      </c>
      <c r="AN521" s="310"/>
      <c r="AO521" s="310"/>
      <c r="AP521" s="310"/>
      <c r="AQ521" s="698" t="s">
        <v>1353</v>
      </c>
      <c r="AR521" s="310"/>
      <c r="AS521" s="310"/>
    </row>
    <row r="522" spans="13:45" customFormat="1" ht="11.25" customHeight="1">
      <c r="M522" s="696" t="s">
        <v>1825</v>
      </c>
      <c r="N522" s="701" t="s">
        <v>318</v>
      </c>
      <c r="O522" s="189" t="s">
        <v>195</v>
      </c>
      <c r="AB522" s="248"/>
      <c r="AC522" s="248"/>
      <c r="AD522" s="248"/>
      <c r="AE522" s="462"/>
      <c r="AF522" s="462"/>
      <c r="AG522" s="462"/>
      <c r="AH522" s="248"/>
      <c r="AI522" s="248"/>
      <c r="AJ522" s="248"/>
      <c r="AK522" s="183">
        <f t="shared" si="36"/>
        <v>0</v>
      </c>
      <c r="AL522" s="183">
        <f t="shared" si="37"/>
        <v>0</v>
      </c>
      <c r="AM522" s="183">
        <f t="shared" si="37"/>
        <v>0</v>
      </c>
      <c r="AN522" s="310"/>
      <c r="AO522" s="310"/>
      <c r="AP522" s="310"/>
      <c r="AQ522" s="698" t="s">
        <v>1355</v>
      </c>
      <c r="AR522" s="310"/>
      <c r="AS522" s="310"/>
    </row>
    <row r="523" spans="13:45" customFormat="1" ht="11.25" customHeight="1">
      <c r="M523" s="718"/>
      <c r="N523" s="460"/>
      <c r="O523" s="461"/>
      <c r="AB523" s="248"/>
      <c r="AC523" s="248"/>
      <c r="AD523" s="248"/>
      <c r="AE523" s="462"/>
      <c r="AF523" s="462"/>
      <c r="AG523" s="462"/>
      <c r="AH523" s="248"/>
      <c r="AI523" s="248"/>
      <c r="AJ523" s="248"/>
      <c r="AK523" s="266"/>
      <c r="AL523" s="266"/>
      <c r="AM523" s="266"/>
      <c r="AN523" s="310"/>
      <c r="AO523" s="310"/>
      <c r="AP523" s="310"/>
      <c r="AQ523" s="698"/>
      <c r="AR523" s="310"/>
      <c r="AS523" s="310"/>
    </row>
    <row r="524" spans="13:45" customFormat="1" ht="11.25" customHeight="1">
      <c r="M524" s="492"/>
      <c r="N524" s="464"/>
      <c r="O524" s="189"/>
      <c r="AB524" s="248"/>
      <c r="AC524" s="248"/>
      <c r="AD524" s="248"/>
      <c r="AE524" s="241"/>
      <c r="AF524" s="241"/>
      <c r="AG524" s="241"/>
      <c r="AH524" s="248"/>
      <c r="AI524" s="248"/>
      <c r="AJ524" s="248"/>
      <c r="AK524" s="241"/>
      <c r="AL524" s="241"/>
      <c r="AM524" s="241"/>
      <c r="AN524" s="310"/>
      <c r="AO524" s="310"/>
      <c r="AP524" s="310"/>
      <c r="AQ524" s="36"/>
      <c r="AR524" s="310"/>
      <c r="AS524" s="310"/>
    </row>
    <row r="525" spans="13:45" customFormat="1" ht="11.25" customHeight="1">
      <c r="M525" s="490"/>
      <c r="N525" s="463" t="s">
        <v>762</v>
      </c>
      <c r="O525" s="164"/>
      <c r="AB525" s="248"/>
      <c r="AC525" s="248"/>
      <c r="AD525" s="248"/>
      <c r="AE525" s="241"/>
      <c r="AF525" s="241"/>
      <c r="AG525" s="241"/>
      <c r="AH525" s="248"/>
      <c r="AI525" s="248"/>
      <c r="AJ525" s="248"/>
      <c r="AK525" s="241"/>
      <c r="AL525" s="241"/>
      <c r="AM525" s="241"/>
      <c r="AN525" s="310"/>
      <c r="AO525" s="310"/>
      <c r="AP525" s="310"/>
      <c r="AQ525" s="36"/>
      <c r="AR525" s="310"/>
      <c r="AS525" s="310"/>
    </row>
    <row r="526" spans="13:45" customFormat="1" ht="11.25" customHeight="1">
      <c r="M526" s="493"/>
      <c r="N526" s="457"/>
      <c r="O526" s="189"/>
      <c r="AB526" s="248"/>
      <c r="AC526" s="248"/>
      <c r="AD526" s="248"/>
      <c r="AE526" s="462"/>
      <c r="AF526" s="462"/>
      <c r="AG526" s="462"/>
      <c r="AH526" s="248"/>
      <c r="AI526" s="248"/>
      <c r="AJ526" s="248"/>
      <c r="AK526" s="241"/>
      <c r="AL526" s="241"/>
      <c r="AM526" s="241"/>
      <c r="AN526" s="310"/>
      <c r="AO526" s="310"/>
      <c r="AP526" s="310"/>
      <c r="AQ526" s="36"/>
      <c r="AR526" s="310"/>
      <c r="AS526" s="310"/>
    </row>
    <row r="527" spans="13:45" customFormat="1" ht="11.25" customHeight="1">
      <c r="M527" s="490" t="s">
        <v>673</v>
      </c>
      <c r="N527" s="463" t="s">
        <v>644</v>
      </c>
      <c r="O527" s="189"/>
      <c r="AB527" s="248"/>
      <c r="AC527" s="248"/>
      <c r="AD527" s="248"/>
      <c r="AE527" s="462"/>
      <c r="AF527" s="462"/>
      <c r="AG527" s="462"/>
      <c r="AH527" s="248"/>
      <c r="AI527" s="248"/>
      <c r="AJ527" s="248"/>
      <c r="AK527" s="241"/>
      <c r="AL527" s="241"/>
      <c r="AM527" s="241"/>
      <c r="AN527" s="310"/>
      <c r="AO527" s="310"/>
      <c r="AP527" s="310"/>
      <c r="AQ527" s="698"/>
      <c r="AR527" s="310"/>
      <c r="AS527" s="310"/>
    </row>
    <row r="528" spans="13:45" customFormat="1" ht="11.25" customHeight="1">
      <c r="M528" s="720" t="str">
        <f>M527 &amp; ".1"</f>
        <v>4.0.3.1.1.1.1</v>
      </c>
      <c r="N528" s="458" t="s">
        <v>1369</v>
      </c>
      <c r="O528" s="189" t="s">
        <v>506</v>
      </c>
      <c r="AB528" s="248"/>
      <c r="AC528" s="248"/>
      <c r="AD528" s="248"/>
      <c r="AE528" s="462"/>
      <c r="AF528" s="462"/>
      <c r="AG528" s="462"/>
      <c r="AH528" s="248"/>
      <c r="AI528" s="248"/>
      <c r="AJ528" s="248"/>
      <c r="AK528" s="686">
        <f>IF(AK402=0,0,AK544/AK402*1000)</f>
        <v>0</v>
      </c>
      <c r="AL528" s="196"/>
      <c r="AM528" s="196"/>
      <c r="AN528" s="310"/>
      <c r="AO528" s="310"/>
      <c r="AP528" s="310"/>
      <c r="AQ528" s="698" t="s">
        <v>1329</v>
      </c>
      <c r="AR528" s="310"/>
      <c r="AS528" s="310"/>
    </row>
    <row r="529" spans="13:45" customFormat="1" ht="11.25" customHeight="1">
      <c r="M529" s="720" t="str">
        <f>M527 &amp; ".2"</f>
        <v>4.0.3.1.1.1.2</v>
      </c>
      <c r="N529" s="458" t="s">
        <v>1370</v>
      </c>
      <c r="O529" s="189" t="s">
        <v>506</v>
      </c>
      <c r="AB529" s="248"/>
      <c r="AC529" s="248"/>
      <c r="AD529" s="248"/>
      <c r="AE529" s="462"/>
      <c r="AF529" s="462"/>
      <c r="AG529" s="462"/>
      <c r="AH529" s="248"/>
      <c r="AI529" s="248"/>
      <c r="AJ529" s="248"/>
      <c r="AK529" s="686">
        <f t="shared" ref="AK529:AK534" si="38">IF(AK403=0,0,AK545/AK403*1000)</f>
        <v>0</v>
      </c>
      <c r="AL529" s="196"/>
      <c r="AM529" s="196"/>
      <c r="AN529" s="310"/>
      <c r="AO529" s="310"/>
      <c r="AP529" s="310"/>
      <c r="AQ529" s="698" t="s">
        <v>1329</v>
      </c>
      <c r="AR529" s="310"/>
      <c r="AS529" s="310"/>
    </row>
    <row r="530" spans="13:45" customFormat="1" ht="11.25" customHeight="1">
      <c r="M530" s="720" t="str">
        <f>M527 &amp; ".3"</f>
        <v>4.0.3.1.1.1.3</v>
      </c>
      <c r="N530" s="458" t="s">
        <v>1371</v>
      </c>
      <c r="O530" s="189" t="s">
        <v>506</v>
      </c>
      <c r="AB530" s="248"/>
      <c r="AC530" s="248"/>
      <c r="AD530" s="248"/>
      <c r="AE530" s="462"/>
      <c r="AF530" s="462"/>
      <c r="AG530" s="462"/>
      <c r="AH530" s="248"/>
      <c r="AI530" s="248"/>
      <c r="AJ530" s="248"/>
      <c r="AK530" s="686">
        <f t="shared" si="38"/>
        <v>0</v>
      </c>
      <c r="AL530" s="196"/>
      <c r="AM530" s="196"/>
      <c r="AN530" s="310"/>
      <c r="AO530" s="310"/>
      <c r="AP530" s="310"/>
      <c r="AQ530" s="698" t="s">
        <v>1329</v>
      </c>
      <c r="AR530" s="310"/>
      <c r="AS530" s="310"/>
    </row>
    <row r="531" spans="13:45" customFormat="1" ht="11.25" customHeight="1">
      <c r="M531" s="720" t="str">
        <f>M527 &amp; ".4"</f>
        <v>4.0.3.1.1.1.4</v>
      </c>
      <c r="N531" s="458" t="s">
        <v>1372</v>
      </c>
      <c r="O531" s="189" t="s">
        <v>506</v>
      </c>
      <c r="AB531" s="248"/>
      <c r="AC531" s="248"/>
      <c r="AD531" s="248"/>
      <c r="AE531" s="462"/>
      <c r="AF531" s="462"/>
      <c r="AG531" s="462"/>
      <c r="AH531" s="248"/>
      <c r="AI531" s="248"/>
      <c r="AJ531" s="248"/>
      <c r="AK531" s="686">
        <f t="shared" si="38"/>
        <v>0</v>
      </c>
      <c r="AL531" s="196"/>
      <c r="AM531" s="196"/>
      <c r="AN531" s="310"/>
      <c r="AO531" s="310"/>
      <c r="AP531" s="310"/>
      <c r="AQ531" s="698" t="s">
        <v>1329</v>
      </c>
      <c r="AR531" s="310"/>
      <c r="AS531" s="310"/>
    </row>
    <row r="532" spans="13:45" customFormat="1" ht="11.25" customHeight="1">
      <c r="M532" s="720" t="str">
        <f>M527 &amp; ".5"</f>
        <v>4.0.3.1.1.1.5</v>
      </c>
      <c r="N532" s="458" t="s">
        <v>1373</v>
      </c>
      <c r="O532" s="189" t="s">
        <v>506</v>
      </c>
      <c r="AB532" s="248"/>
      <c r="AC532" s="248"/>
      <c r="AD532" s="248"/>
      <c r="AE532" s="462"/>
      <c r="AF532" s="462"/>
      <c r="AG532" s="462"/>
      <c r="AH532" s="248"/>
      <c r="AI532" s="248"/>
      <c r="AJ532" s="248"/>
      <c r="AK532" s="686">
        <f t="shared" si="38"/>
        <v>0</v>
      </c>
      <c r="AL532" s="196"/>
      <c r="AM532" s="196"/>
      <c r="AN532" s="310"/>
      <c r="AO532" s="310"/>
      <c r="AP532" s="310"/>
      <c r="AQ532" s="698" t="s">
        <v>1329</v>
      </c>
      <c r="AR532" s="310"/>
      <c r="AS532" s="310"/>
    </row>
    <row r="533" spans="13:45" customFormat="1" ht="11.25" customHeight="1">
      <c r="M533" s="720" t="str">
        <f>M527 &amp; ".6"</f>
        <v>4.0.3.1.1.1.6</v>
      </c>
      <c r="N533" s="458" t="s">
        <v>1374</v>
      </c>
      <c r="O533" s="189" t="s">
        <v>506</v>
      </c>
      <c r="AB533" s="248"/>
      <c r="AC533" s="248"/>
      <c r="AD533" s="248"/>
      <c r="AE533" s="462"/>
      <c r="AF533" s="462"/>
      <c r="AG533" s="462"/>
      <c r="AH533" s="248"/>
      <c r="AI533" s="248"/>
      <c r="AJ533" s="248"/>
      <c r="AK533" s="686">
        <f t="shared" si="38"/>
        <v>0</v>
      </c>
      <c r="AL533" s="196"/>
      <c r="AM533" s="196"/>
      <c r="AN533" s="310"/>
      <c r="AO533" s="310"/>
      <c r="AP533" s="310"/>
      <c r="AQ533" s="698" t="s">
        <v>1329</v>
      </c>
      <c r="AR533" s="310"/>
      <c r="AS533" s="310"/>
    </row>
    <row r="534" spans="13:45" customFormat="1" ht="11.25" customHeight="1">
      <c r="M534" s="720" t="str">
        <f>M527 &amp; ".7"</f>
        <v>4.0.3.1.1.1.7</v>
      </c>
      <c r="N534" s="458" t="s">
        <v>1375</v>
      </c>
      <c r="O534" s="189" t="s">
        <v>506</v>
      </c>
      <c r="AB534" s="248"/>
      <c r="AC534" s="248"/>
      <c r="AD534" s="248"/>
      <c r="AE534" s="462"/>
      <c r="AF534" s="462"/>
      <c r="AG534" s="462"/>
      <c r="AH534" s="248"/>
      <c r="AI534" s="248"/>
      <c r="AJ534" s="248"/>
      <c r="AK534" s="686">
        <f t="shared" si="38"/>
        <v>0</v>
      </c>
      <c r="AL534" s="196"/>
      <c r="AM534" s="196"/>
      <c r="AN534" s="310"/>
      <c r="AO534" s="310"/>
      <c r="AP534" s="310"/>
      <c r="AQ534" s="698" t="s">
        <v>1329</v>
      </c>
      <c r="AR534" s="310"/>
      <c r="AS534" s="310"/>
    </row>
    <row r="535" spans="13:45" customFormat="1" ht="11.25" customHeight="1">
      <c r="M535" s="490" t="s">
        <v>674</v>
      </c>
      <c r="N535" s="463" t="s">
        <v>645</v>
      </c>
      <c r="O535" s="189"/>
      <c r="AB535" s="248"/>
      <c r="AC535" s="248"/>
      <c r="AD535" s="248"/>
      <c r="AE535" s="462"/>
      <c r="AF535" s="462"/>
      <c r="AG535" s="462"/>
      <c r="AH535" s="248"/>
      <c r="AI535" s="248"/>
      <c r="AJ535" s="248"/>
      <c r="AK535" s="241"/>
      <c r="AL535" s="241"/>
      <c r="AM535" s="241"/>
      <c r="AN535" s="310"/>
      <c r="AO535" s="310"/>
      <c r="AP535" s="310"/>
      <c r="AQ535" s="698"/>
      <c r="AR535" s="310"/>
      <c r="AS535" s="310"/>
    </row>
    <row r="536" spans="13:45" customFormat="1" ht="11.25" customHeight="1">
      <c r="M536" s="720" t="str">
        <f>M535 &amp; ".1"</f>
        <v>4.0.3.1.1.2.1</v>
      </c>
      <c r="N536" s="458" t="s">
        <v>1369</v>
      </c>
      <c r="O536" s="189" t="s">
        <v>506</v>
      </c>
      <c r="AB536" s="248"/>
      <c r="AC536" s="248"/>
      <c r="AD536" s="248"/>
      <c r="AE536" s="462"/>
      <c r="AF536" s="462"/>
      <c r="AG536" s="462"/>
      <c r="AH536" s="248"/>
      <c r="AI536" s="248"/>
      <c r="AJ536" s="248"/>
      <c r="AK536" s="686">
        <f t="shared" ref="AK536:AK542" si="39">IF(AK410=0,0,AK552/AK410*1000)</f>
        <v>0</v>
      </c>
      <c r="AL536" s="196"/>
      <c r="AM536" s="196"/>
      <c r="AN536" s="310"/>
      <c r="AO536" s="310"/>
      <c r="AP536" s="310"/>
      <c r="AQ536" s="698" t="s">
        <v>1329</v>
      </c>
      <c r="AR536" s="310"/>
      <c r="AS536" s="310"/>
    </row>
    <row r="537" spans="13:45" customFormat="1" ht="11.25" customHeight="1">
      <c r="M537" s="720" t="str">
        <f>M535 &amp; ".2"</f>
        <v>4.0.3.1.1.2.2</v>
      </c>
      <c r="N537" s="458" t="s">
        <v>1370</v>
      </c>
      <c r="O537" s="189" t="s">
        <v>506</v>
      </c>
      <c r="AB537" s="248"/>
      <c r="AC537" s="248"/>
      <c r="AD537" s="248"/>
      <c r="AE537" s="462"/>
      <c r="AF537" s="462"/>
      <c r="AG537" s="462"/>
      <c r="AH537" s="248"/>
      <c r="AI537" s="248"/>
      <c r="AJ537" s="248"/>
      <c r="AK537" s="686">
        <f t="shared" si="39"/>
        <v>0</v>
      </c>
      <c r="AL537" s="196"/>
      <c r="AM537" s="196"/>
      <c r="AN537" s="310"/>
      <c r="AO537" s="310"/>
      <c r="AP537" s="310"/>
      <c r="AQ537" s="698" t="s">
        <v>1329</v>
      </c>
      <c r="AR537" s="310"/>
      <c r="AS537" s="310"/>
    </row>
    <row r="538" spans="13:45" customFormat="1" ht="11.25" customHeight="1">
      <c r="M538" s="720" t="str">
        <f>M535 &amp; ".3"</f>
        <v>4.0.3.1.1.2.3</v>
      </c>
      <c r="N538" s="458" t="s">
        <v>1371</v>
      </c>
      <c r="O538" s="189" t="s">
        <v>506</v>
      </c>
      <c r="AB538" s="248"/>
      <c r="AC538" s="248"/>
      <c r="AD538" s="248"/>
      <c r="AE538" s="462"/>
      <c r="AF538" s="462"/>
      <c r="AG538" s="462"/>
      <c r="AH538" s="248"/>
      <c r="AI538" s="248"/>
      <c r="AJ538" s="248"/>
      <c r="AK538" s="686">
        <f t="shared" si="39"/>
        <v>0</v>
      </c>
      <c r="AL538" s="196"/>
      <c r="AM538" s="196"/>
      <c r="AN538" s="310"/>
      <c r="AO538" s="310"/>
      <c r="AP538" s="310"/>
      <c r="AQ538" s="698" t="s">
        <v>1329</v>
      </c>
      <c r="AR538" s="310"/>
      <c r="AS538" s="310"/>
    </row>
    <row r="539" spans="13:45" customFormat="1" ht="11.25" customHeight="1">
      <c r="M539" s="720" t="str">
        <f>M535 &amp; ".4"</f>
        <v>4.0.3.1.1.2.4</v>
      </c>
      <c r="N539" s="458" t="s">
        <v>1372</v>
      </c>
      <c r="O539" s="189" t="s">
        <v>506</v>
      </c>
      <c r="AB539" s="248"/>
      <c r="AC539" s="248"/>
      <c r="AD539" s="248"/>
      <c r="AE539" s="462"/>
      <c r="AF539" s="462"/>
      <c r="AG539" s="462"/>
      <c r="AH539" s="248"/>
      <c r="AI539" s="248"/>
      <c r="AJ539" s="248"/>
      <c r="AK539" s="686">
        <f t="shared" si="39"/>
        <v>0</v>
      </c>
      <c r="AL539" s="196"/>
      <c r="AM539" s="196"/>
      <c r="AN539" s="310"/>
      <c r="AO539" s="310"/>
      <c r="AP539" s="310"/>
      <c r="AQ539" s="698" t="s">
        <v>1329</v>
      </c>
      <c r="AR539" s="310"/>
      <c r="AS539" s="310"/>
    </row>
    <row r="540" spans="13:45" customFormat="1" ht="11.25" customHeight="1">
      <c r="M540" s="720" t="str">
        <f>M535 &amp; ".5"</f>
        <v>4.0.3.1.1.2.5</v>
      </c>
      <c r="N540" s="458" t="s">
        <v>1373</v>
      </c>
      <c r="O540" s="189" t="s">
        <v>506</v>
      </c>
      <c r="AB540" s="248"/>
      <c r="AC540" s="248"/>
      <c r="AD540" s="248"/>
      <c r="AE540" s="462"/>
      <c r="AF540" s="462"/>
      <c r="AG540" s="462"/>
      <c r="AH540" s="248"/>
      <c r="AI540" s="248"/>
      <c r="AJ540" s="248"/>
      <c r="AK540" s="686">
        <f t="shared" si="39"/>
        <v>0</v>
      </c>
      <c r="AL540" s="196"/>
      <c r="AM540" s="196"/>
      <c r="AN540" s="310"/>
      <c r="AO540" s="310"/>
      <c r="AP540" s="310"/>
      <c r="AQ540" s="698" t="s">
        <v>1329</v>
      </c>
      <c r="AR540" s="310"/>
      <c r="AS540" s="310"/>
    </row>
    <row r="541" spans="13:45" customFormat="1" ht="11.25" customHeight="1">
      <c r="M541" s="720" t="str">
        <f>M535 &amp; ".6"</f>
        <v>4.0.3.1.1.2.6</v>
      </c>
      <c r="N541" s="458" t="s">
        <v>1374</v>
      </c>
      <c r="O541" s="189" t="s">
        <v>506</v>
      </c>
      <c r="AB541" s="248"/>
      <c r="AC541" s="248"/>
      <c r="AD541" s="248"/>
      <c r="AE541" s="462"/>
      <c r="AF541" s="462"/>
      <c r="AG541" s="462"/>
      <c r="AH541" s="248"/>
      <c r="AI541" s="248"/>
      <c r="AJ541" s="248"/>
      <c r="AK541" s="686">
        <f t="shared" si="39"/>
        <v>0</v>
      </c>
      <c r="AL541" s="196"/>
      <c r="AM541" s="196"/>
      <c r="AN541" s="310"/>
      <c r="AO541" s="310"/>
      <c r="AP541" s="310"/>
      <c r="AQ541" s="698" t="s">
        <v>1329</v>
      </c>
      <c r="AR541" s="310"/>
      <c r="AS541" s="310"/>
    </row>
    <row r="542" spans="13:45" customFormat="1" ht="11.25" customHeight="1">
      <c r="M542" s="720" t="str">
        <f>M535 &amp; ".7"</f>
        <v>4.0.3.1.1.2.7</v>
      </c>
      <c r="N542" s="458" t="s">
        <v>1375</v>
      </c>
      <c r="O542" s="189" t="s">
        <v>506</v>
      </c>
      <c r="AB542" s="248"/>
      <c r="AC542" s="248"/>
      <c r="AD542" s="248"/>
      <c r="AE542" s="462"/>
      <c r="AF542" s="462"/>
      <c r="AG542" s="462"/>
      <c r="AH542" s="248"/>
      <c r="AI542" s="248"/>
      <c r="AJ542" s="248"/>
      <c r="AK542" s="686">
        <f t="shared" si="39"/>
        <v>0</v>
      </c>
      <c r="AL542" s="196"/>
      <c r="AM542" s="196"/>
      <c r="AN542" s="310"/>
      <c r="AO542" s="310"/>
      <c r="AP542" s="310"/>
      <c r="AQ542" s="698" t="s">
        <v>1329</v>
      </c>
      <c r="AR542" s="310"/>
      <c r="AS542" s="310"/>
    </row>
    <row r="543" spans="13:45" customFormat="1" ht="11.25" customHeight="1">
      <c r="M543" s="490" t="s">
        <v>675</v>
      </c>
      <c r="N543" s="463" t="s">
        <v>646</v>
      </c>
      <c r="O543" s="189" t="s">
        <v>195</v>
      </c>
      <c r="AB543" s="248"/>
      <c r="AC543" s="248"/>
      <c r="AD543" s="248"/>
      <c r="AE543" s="462"/>
      <c r="AF543" s="462"/>
      <c r="AG543" s="462"/>
      <c r="AH543" s="248"/>
      <c r="AI543" s="248"/>
      <c r="AJ543" s="248"/>
      <c r="AK543" s="183">
        <f t="shared" ref="AK543:AK559" si="40">AL543+AM543</f>
        <v>0</v>
      </c>
      <c r="AL543" s="183">
        <f>SUM(AL544:AL550)</f>
        <v>0</v>
      </c>
      <c r="AM543" s="183">
        <f>SUM(AM544:AM550)</f>
        <v>0</v>
      </c>
      <c r="AN543" s="310"/>
      <c r="AO543" s="310"/>
      <c r="AP543" s="310"/>
      <c r="AQ543" s="698" t="s">
        <v>1329</v>
      </c>
      <c r="AR543" s="310"/>
      <c r="AS543" s="310"/>
    </row>
    <row r="544" spans="13:45" customFormat="1" ht="11.25" customHeight="1">
      <c r="M544" s="720" t="str">
        <f>M543 &amp; ".1"</f>
        <v>4.0.3.1.1.3.1</v>
      </c>
      <c r="N544" s="458" t="s">
        <v>1369</v>
      </c>
      <c r="O544" s="189" t="s">
        <v>195</v>
      </c>
      <c r="AB544" s="248"/>
      <c r="AC544" s="248"/>
      <c r="AD544" s="248"/>
      <c r="AE544" s="462"/>
      <c r="AF544" s="462"/>
      <c r="AG544" s="462"/>
      <c r="AH544" s="248"/>
      <c r="AI544" s="248"/>
      <c r="AJ544" s="248"/>
      <c r="AK544" s="183">
        <f t="shared" si="40"/>
        <v>0</v>
      </c>
      <c r="AL544" s="183">
        <f t="shared" ref="AL544:AM550" si="41">AL528*AL402/1000</f>
        <v>0</v>
      </c>
      <c r="AM544" s="183">
        <f t="shared" si="41"/>
        <v>0</v>
      </c>
      <c r="AN544" s="310"/>
      <c r="AO544" s="310"/>
      <c r="AP544" s="310"/>
      <c r="AQ544" s="698" t="s">
        <v>1329</v>
      </c>
      <c r="AR544" s="310"/>
      <c r="AS544" s="310"/>
    </row>
    <row r="545" spans="13:45" customFormat="1" ht="11.25" customHeight="1">
      <c r="M545" s="720" t="str">
        <f>M543 &amp; ".2"</f>
        <v>4.0.3.1.1.3.2</v>
      </c>
      <c r="N545" s="458" t="s">
        <v>1370</v>
      </c>
      <c r="O545" s="189" t="s">
        <v>195</v>
      </c>
      <c r="AB545" s="248"/>
      <c r="AC545" s="248"/>
      <c r="AD545" s="248"/>
      <c r="AE545" s="462"/>
      <c r="AF545" s="462"/>
      <c r="AG545" s="462"/>
      <c r="AH545" s="248"/>
      <c r="AI545" s="248"/>
      <c r="AJ545" s="248"/>
      <c r="AK545" s="183">
        <f t="shared" si="40"/>
        <v>0</v>
      </c>
      <c r="AL545" s="183">
        <f t="shared" si="41"/>
        <v>0</v>
      </c>
      <c r="AM545" s="183">
        <f t="shared" si="41"/>
        <v>0</v>
      </c>
      <c r="AN545" s="310"/>
      <c r="AO545" s="310"/>
      <c r="AP545" s="310"/>
      <c r="AQ545" s="698" t="s">
        <v>1329</v>
      </c>
      <c r="AR545" s="310"/>
      <c r="AS545" s="310"/>
    </row>
    <row r="546" spans="13:45" customFormat="1" ht="11.25" customHeight="1">
      <c r="M546" s="720" t="str">
        <f>M543 &amp; ".3"</f>
        <v>4.0.3.1.1.3.3</v>
      </c>
      <c r="N546" s="458" t="s">
        <v>1371</v>
      </c>
      <c r="O546" s="189" t="s">
        <v>195</v>
      </c>
      <c r="AB546" s="248"/>
      <c r="AC546" s="248"/>
      <c r="AD546" s="248"/>
      <c r="AE546" s="462"/>
      <c r="AF546" s="462"/>
      <c r="AG546" s="462"/>
      <c r="AH546" s="248"/>
      <c r="AI546" s="248"/>
      <c r="AJ546" s="248"/>
      <c r="AK546" s="183">
        <f t="shared" si="40"/>
        <v>0</v>
      </c>
      <c r="AL546" s="183">
        <f t="shared" si="41"/>
        <v>0</v>
      </c>
      <c r="AM546" s="183">
        <f t="shared" si="41"/>
        <v>0</v>
      </c>
      <c r="AN546" s="310"/>
      <c r="AO546" s="310"/>
      <c r="AP546" s="310"/>
      <c r="AQ546" s="698" t="s">
        <v>1329</v>
      </c>
      <c r="AR546" s="310"/>
      <c r="AS546" s="310"/>
    </row>
    <row r="547" spans="13:45" customFormat="1" ht="11.25" customHeight="1">
      <c r="M547" s="720" t="str">
        <f>M543 &amp; ".4"</f>
        <v>4.0.3.1.1.3.4</v>
      </c>
      <c r="N547" s="458" t="s">
        <v>1372</v>
      </c>
      <c r="O547" s="189" t="s">
        <v>195</v>
      </c>
      <c r="AB547" s="248"/>
      <c r="AC547" s="248"/>
      <c r="AD547" s="248"/>
      <c r="AE547" s="462"/>
      <c r="AF547" s="462"/>
      <c r="AG547" s="462"/>
      <c r="AH547" s="248"/>
      <c r="AI547" s="248"/>
      <c r="AJ547" s="248"/>
      <c r="AK547" s="183">
        <f t="shared" si="40"/>
        <v>0</v>
      </c>
      <c r="AL547" s="183">
        <f t="shared" si="41"/>
        <v>0</v>
      </c>
      <c r="AM547" s="183">
        <f t="shared" si="41"/>
        <v>0</v>
      </c>
      <c r="AN547" s="310"/>
      <c r="AO547" s="310"/>
      <c r="AP547" s="310"/>
      <c r="AQ547" s="698" t="s">
        <v>1329</v>
      </c>
      <c r="AR547" s="310"/>
      <c r="AS547" s="310"/>
    </row>
    <row r="548" spans="13:45" customFormat="1" ht="11.25" customHeight="1">
      <c r="M548" s="720" t="str">
        <f>M543 &amp; ".5"</f>
        <v>4.0.3.1.1.3.5</v>
      </c>
      <c r="N548" s="458" t="s">
        <v>1373</v>
      </c>
      <c r="O548" s="189" t="s">
        <v>195</v>
      </c>
      <c r="AB548" s="248"/>
      <c r="AC548" s="248"/>
      <c r="AD548" s="248"/>
      <c r="AE548" s="462"/>
      <c r="AF548" s="462"/>
      <c r="AG548" s="462"/>
      <c r="AH548" s="248"/>
      <c r="AI548" s="248"/>
      <c r="AJ548" s="248"/>
      <c r="AK548" s="183">
        <f t="shared" si="40"/>
        <v>0</v>
      </c>
      <c r="AL548" s="183">
        <f t="shared" si="41"/>
        <v>0</v>
      </c>
      <c r="AM548" s="183">
        <f t="shared" si="41"/>
        <v>0</v>
      </c>
      <c r="AN548" s="310"/>
      <c r="AO548" s="310"/>
      <c r="AP548" s="310"/>
      <c r="AQ548" s="698" t="s">
        <v>1329</v>
      </c>
      <c r="AR548" s="310"/>
      <c r="AS548" s="310"/>
    </row>
    <row r="549" spans="13:45" customFormat="1" ht="11.25" customHeight="1">
      <c r="M549" s="720" t="str">
        <f>M543 &amp; ".6"</f>
        <v>4.0.3.1.1.3.6</v>
      </c>
      <c r="N549" s="458" t="s">
        <v>1374</v>
      </c>
      <c r="O549" s="189" t="s">
        <v>195</v>
      </c>
      <c r="AB549" s="248"/>
      <c r="AC549" s="248"/>
      <c r="AD549" s="248"/>
      <c r="AE549" s="462"/>
      <c r="AF549" s="462"/>
      <c r="AG549" s="462"/>
      <c r="AH549" s="248"/>
      <c r="AI549" s="248"/>
      <c r="AJ549" s="248"/>
      <c r="AK549" s="183">
        <f t="shared" si="40"/>
        <v>0</v>
      </c>
      <c r="AL549" s="183">
        <f t="shared" si="41"/>
        <v>0</v>
      </c>
      <c r="AM549" s="183">
        <f t="shared" si="41"/>
        <v>0</v>
      </c>
      <c r="AN549" s="310"/>
      <c r="AO549" s="310"/>
      <c r="AP549" s="310"/>
      <c r="AQ549" s="698" t="s">
        <v>1329</v>
      </c>
      <c r="AR549" s="310"/>
      <c r="AS549" s="310"/>
    </row>
    <row r="550" spans="13:45" customFormat="1" ht="11.25" customHeight="1">
      <c r="M550" s="720" t="str">
        <f>M543 &amp; ".7"</f>
        <v>4.0.3.1.1.3.7</v>
      </c>
      <c r="N550" s="458" t="s">
        <v>1375</v>
      </c>
      <c r="O550" s="189" t="s">
        <v>195</v>
      </c>
      <c r="AB550" s="248"/>
      <c r="AC550" s="248"/>
      <c r="AD550" s="248"/>
      <c r="AE550" s="462"/>
      <c r="AF550" s="462"/>
      <c r="AG550" s="462"/>
      <c r="AH550" s="248"/>
      <c r="AI550" s="248"/>
      <c r="AJ550" s="248"/>
      <c r="AK550" s="183">
        <f t="shared" si="40"/>
        <v>0</v>
      </c>
      <c r="AL550" s="183">
        <f t="shared" si="41"/>
        <v>0</v>
      </c>
      <c r="AM550" s="183">
        <f t="shared" si="41"/>
        <v>0</v>
      </c>
      <c r="AN550" s="310"/>
      <c r="AO550" s="310"/>
      <c r="AP550" s="310"/>
      <c r="AQ550" s="698" t="s">
        <v>1329</v>
      </c>
      <c r="AR550" s="310"/>
      <c r="AS550" s="310"/>
    </row>
    <row r="551" spans="13:45" customFormat="1" ht="11.25" customHeight="1">
      <c r="M551" s="490" t="s">
        <v>676</v>
      </c>
      <c r="N551" s="463" t="s">
        <v>647</v>
      </c>
      <c r="O551" s="189" t="s">
        <v>195</v>
      </c>
      <c r="AB551" s="248"/>
      <c r="AC551" s="248"/>
      <c r="AD551" s="248"/>
      <c r="AE551" s="462"/>
      <c r="AF551" s="462"/>
      <c r="AG551" s="462"/>
      <c r="AH551" s="248"/>
      <c r="AI551" s="248"/>
      <c r="AJ551" s="248"/>
      <c r="AK551" s="183">
        <f t="shared" si="40"/>
        <v>0</v>
      </c>
      <c r="AL551" s="183">
        <f>SUM(AL552:AL558)</f>
        <v>0</v>
      </c>
      <c r="AM551" s="183">
        <f>SUM(AM552:AM558)</f>
        <v>0</v>
      </c>
      <c r="AN551" s="310"/>
      <c r="AO551" s="310"/>
      <c r="AP551" s="310"/>
      <c r="AQ551" s="698" t="s">
        <v>1329</v>
      </c>
      <c r="AR551" s="310"/>
      <c r="AS551" s="310"/>
    </row>
    <row r="552" spans="13:45" customFormat="1" ht="11.25" customHeight="1">
      <c r="M552" s="720" t="str">
        <f>M551 &amp; ".1"</f>
        <v>4.0.3.1.1.4.1</v>
      </c>
      <c r="N552" s="458" t="s">
        <v>1369</v>
      </c>
      <c r="O552" s="189" t="s">
        <v>195</v>
      </c>
      <c r="AB552" s="248"/>
      <c r="AC552" s="248"/>
      <c r="AD552" s="248"/>
      <c r="AE552" s="462"/>
      <c r="AF552" s="462"/>
      <c r="AG552" s="462"/>
      <c r="AH552" s="248"/>
      <c r="AI552" s="248"/>
      <c r="AJ552" s="248"/>
      <c r="AK552" s="183">
        <f t="shared" si="40"/>
        <v>0</v>
      </c>
      <c r="AL552" s="183">
        <f t="shared" ref="AL552:AM558" si="42">AL536*AL402/1000</f>
        <v>0</v>
      </c>
      <c r="AM552" s="183">
        <f t="shared" si="42"/>
        <v>0</v>
      </c>
      <c r="AN552" s="310"/>
      <c r="AO552" s="310"/>
      <c r="AP552" s="310"/>
      <c r="AQ552" s="698" t="s">
        <v>1329</v>
      </c>
      <c r="AR552" s="310"/>
      <c r="AS552" s="310"/>
    </row>
    <row r="553" spans="13:45" customFormat="1" ht="11.25" customHeight="1">
      <c r="M553" s="720" t="str">
        <f>M551 &amp; ".2"</f>
        <v>4.0.3.1.1.4.2</v>
      </c>
      <c r="N553" s="458" t="s">
        <v>1370</v>
      </c>
      <c r="O553" s="189" t="s">
        <v>195</v>
      </c>
      <c r="AB553" s="248"/>
      <c r="AC553" s="248"/>
      <c r="AD553" s="248"/>
      <c r="AE553" s="462"/>
      <c r="AF553" s="462"/>
      <c r="AG553" s="462"/>
      <c r="AH553" s="248"/>
      <c r="AI553" s="248"/>
      <c r="AJ553" s="248"/>
      <c r="AK553" s="183">
        <f t="shared" si="40"/>
        <v>0</v>
      </c>
      <c r="AL553" s="183">
        <f t="shared" si="42"/>
        <v>0</v>
      </c>
      <c r="AM553" s="183">
        <f t="shared" si="42"/>
        <v>0</v>
      </c>
      <c r="AN553" s="310"/>
      <c r="AO553" s="310"/>
      <c r="AP553" s="310"/>
      <c r="AQ553" s="698" t="s">
        <v>1329</v>
      </c>
      <c r="AR553" s="310"/>
      <c r="AS553" s="310"/>
    </row>
    <row r="554" spans="13:45" customFormat="1" ht="11.25" customHeight="1">
      <c r="M554" s="720" t="str">
        <f>M551 &amp; ".3"</f>
        <v>4.0.3.1.1.4.3</v>
      </c>
      <c r="N554" s="458" t="s">
        <v>1371</v>
      </c>
      <c r="O554" s="189" t="s">
        <v>195</v>
      </c>
      <c r="AB554" s="248"/>
      <c r="AC554" s="248"/>
      <c r="AD554" s="248"/>
      <c r="AE554" s="462"/>
      <c r="AF554" s="462"/>
      <c r="AG554" s="462"/>
      <c r="AH554" s="248"/>
      <c r="AI554" s="248"/>
      <c r="AJ554" s="248"/>
      <c r="AK554" s="183">
        <f t="shared" si="40"/>
        <v>0</v>
      </c>
      <c r="AL554" s="183">
        <f t="shared" si="42"/>
        <v>0</v>
      </c>
      <c r="AM554" s="183">
        <f t="shared" si="42"/>
        <v>0</v>
      </c>
      <c r="AN554" s="310"/>
      <c r="AO554" s="310"/>
      <c r="AP554" s="310"/>
      <c r="AQ554" s="698" t="s">
        <v>1329</v>
      </c>
      <c r="AR554" s="310"/>
      <c r="AS554" s="310"/>
    </row>
    <row r="555" spans="13:45" customFormat="1" ht="11.25" customHeight="1">
      <c r="M555" s="720" t="str">
        <f>M551 &amp; ".4"</f>
        <v>4.0.3.1.1.4.4</v>
      </c>
      <c r="N555" s="458" t="s">
        <v>1372</v>
      </c>
      <c r="O555" s="189" t="s">
        <v>195</v>
      </c>
      <c r="AB555" s="248"/>
      <c r="AC555" s="248"/>
      <c r="AD555" s="248"/>
      <c r="AE555" s="462"/>
      <c r="AF555" s="462"/>
      <c r="AG555" s="462"/>
      <c r="AH555" s="248"/>
      <c r="AI555" s="248"/>
      <c r="AJ555" s="248"/>
      <c r="AK555" s="183">
        <f t="shared" si="40"/>
        <v>0</v>
      </c>
      <c r="AL555" s="183">
        <f t="shared" si="42"/>
        <v>0</v>
      </c>
      <c r="AM555" s="183">
        <f t="shared" si="42"/>
        <v>0</v>
      </c>
      <c r="AN555" s="310"/>
      <c r="AO555" s="310"/>
      <c r="AP555" s="310"/>
      <c r="AQ555" s="698" t="s">
        <v>1329</v>
      </c>
      <c r="AR555" s="310"/>
      <c r="AS555" s="310"/>
    </row>
    <row r="556" spans="13:45" customFormat="1" ht="11.25" customHeight="1">
      <c r="M556" s="720" t="str">
        <f>M551 &amp; ".5"</f>
        <v>4.0.3.1.1.4.5</v>
      </c>
      <c r="N556" s="458" t="s">
        <v>1373</v>
      </c>
      <c r="O556" s="189" t="s">
        <v>195</v>
      </c>
      <c r="AB556" s="248"/>
      <c r="AC556" s="248"/>
      <c r="AD556" s="248"/>
      <c r="AE556" s="462"/>
      <c r="AF556" s="462"/>
      <c r="AG556" s="462"/>
      <c r="AH556" s="248"/>
      <c r="AI556" s="248"/>
      <c r="AJ556" s="248"/>
      <c r="AK556" s="183">
        <f t="shared" si="40"/>
        <v>0</v>
      </c>
      <c r="AL556" s="183">
        <f t="shared" si="42"/>
        <v>0</v>
      </c>
      <c r="AM556" s="183">
        <f t="shared" si="42"/>
        <v>0</v>
      </c>
      <c r="AN556" s="310"/>
      <c r="AO556" s="310"/>
      <c r="AP556" s="310"/>
      <c r="AQ556" s="698" t="s">
        <v>1329</v>
      </c>
      <c r="AR556" s="310"/>
      <c r="AS556" s="310"/>
    </row>
    <row r="557" spans="13:45" customFormat="1" ht="11.25" customHeight="1">
      <c r="M557" s="720" t="str">
        <f>M551 &amp; ".6"</f>
        <v>4.0.3.1.1.4.6</v>
      </c>
      <c r="N557" s="458" t="s">
        <v>1374</v>
      </c>
      <c r="O557" s="189" t="s">
        <v>195</v>
      </c>
      <c r="AB557" s="248"/>
      <c r="AC557" s="248"/>
      <c r="AD557" s="248"/>
      <c r="AE557" s="462"/>
      <c r="AF557" s="462"/>
      <c r="AG557" s="462"/>
      <c r="AH557" s="248"/>
      <c r="AI557" s="248"/>
      <c r="AJ557" s="248"/>
      <c r="AK557" s="183">
        <f t="shared" si="40"/>
        <v>0</v>
      </c>
      <c r="AL557" s="183">
        <f t="shared" si="42"/>
        <v>0</v>
      </c>
      <c r="AM557" s="183">
        <f t="shared" si="42"/>
        <v>0</v>
      </c>
      <c r="AN557" s="310"/>
      <c r="AO557" s="310"/>
      <c r="AP557" s="310"/>
      <c r="AQ557" s="698" t="s">
        <v>1329</v>
      </c>
      <c r="AR557" s="310"/>
      <c r="AS557" s="310"/>
    </row>
    <row r="558" spans="13:45" customFormat="1" ht="11.25" customHeight="1">
      <c r="M558" s="720" t="str">
        <f>M551 &amp; ".7"</f>
        <v>4.0.3.1.1.4.7</v>
      </c>
      <c r="N558" s="458" t="s">
        <v>1375</v>
      </c>
      <c r="O558" s="189" t="s">
        <v>195</v>
      </c>
      <c r="AB558" s="248"/>
      <c r="AC558" s="248"/>
      <c r="AD558" s="248"/>
      <c r="AE558" s="462"/>
      <c r="AF558" s="462"/>
      <c r="AG558" s="462"/>
      <c r="AH558" s="248"/>
      <c r="AI558" s="248"/>
      <c r="AJ558" s="248"/>
      <c r="AK558" s="183">
        <f t="shared" si="40"/>
        <v>0</v>
      </c>
      <c r="AL558" s="183">
        <f t="shared" si="42"/>
        <v>0</v>
      </c>
      <c r="AM558" s="183">
        <f t="shared" si="42"/>
        <v>0</v>
      </c>
      <c r="AN558" s="310"/>
      <c r="AO558" s="310"/>
      <c r="AP558" s="310"/>
      <c r="AQ558" s="698" t="s">
        <v>1329</v>
      </c>
      <c r="AR558" s="310"/>
      <c r="AS558" s="310"/>
    </row>
    <row r="559" spans="13:45" customFormat="1" ht="11.25" customHeight="1">
      <c r="M559" s="490" t="s">
        <v>677</v>
      </c>
      <c r="N559" s="463" t="s">
        <v>648</v>
      </c>
      <c r="O559" s="189" t="s">
        <v>195</v>
      </c>
      <c r="AB559" s="248"/>
      <c r="AC559" s="248"/>
      <c r="AD559" s="248"/>
      <c r="AE559" s="462"/>
      <c r="AF559" s="462"/>
      <c r="AG559" s="462"/>
      <c r="AH559" s="248"/>
      <c r="AI559" s="248"/>
      <c r="AJ559" s="248"/>
      <c r="AK559" s="183">
        <f t="shared" si="40"/>
        <v>0</v>
      </c>
      <c r="AL559" s="196"/>
      <c r="AM559" s="196"/>
      <c r="AN559" s="310"/>
      <c r="AO559" s="310"/>
      <c r="AP559" s="310"/>
      <c r="AQ559" s="698" t="s">
        <v>1329</v>
      </c>
      <c r="AR559" s="310"/>
      <c r="AS559" s="310"/>
    </row>
    <row r="560" spans="13:45" customFormat="1" ht="11.25" customHeight="1">
      <c r="M560" s="720" t="str">
        <f>M559 &amp; ".1"</f>
        <v>4.0.3.1.1.5.1</v>
      </c>
      <c r="N560" s="459" t="s">
        <v>649</v>
      </c>
      <c r="O560" s="189" t="s">
        <v>506</v>
      </c>
      <c r="AB560" s="248"/>
      <c r="AC560" s="248"/>
      <c r="AD560" s="248"/>
      <c r="AE560" s="462"/>
      <c r="AF560" s="462"/>
      <c r="AG560" s="462"/>
      <c r="AH560" s="248"/>
      <c r="AI560" s="248"/>
      <c r="AJ560" s="248"/>
      <c r="AK560" s="686">
        <f>IF(AK561=0,0,AK559/AK561*1000)</f>
        <v>0</v>
      </c>
      <c r="AL560" s="686">
        <f>IF(AL561=0,0,AL559/AL561*1000)</f>
        <v>0</v>
      </c>
      <c r="AM560" s="686">
        <f>IF(AM561=0,0,AM559/AM561*1000)</f>
        <v>0</v>
      </c>
      <c r="AN560" s="310"/>
      <c r="AO560" s="310"/>
      <c r="AP560" s="310"/>
      <c r="AQ560" s="698" t="s">
        <v>1329</v>
      </c>
      <c r="AR560" s="310"/>
      <c r="AS560" s="310"/>
    </row>
    <row r="561" spans="13:45" customFormat="1" ht="11.25" customHeight="1">
      <c r="M561" s="720" t="str">
        <f>M559 &amp; ".2"</f>
        <v>4.0.3.1.1.5.2</v>
      </c>
      <c r="N561" s="459" t="s">
        <v>650</v>
      </c>
      <c r="O561" s="189" t="s">
        <v>507</v>
      </c>
      <c r="AB561" s="248"/>
      <c r="AC561" s="248"/>
      <c r="AD561" s="248"/>
      <c r="AE561" s="462"/>
      <c r="AF561" s="462"/>
      <c r="AG561" s="462"/>
      <c r="AH561" s="248"/>
      <c r="AI561" s="248"/>
      <c r="AJ561" s="248"/>
      <c r="AK561" s="183">
        <f>AL561+AM561</f>
        <v>0</v>
      </c>
      <c r="AL561" s="196"/>
      <c r="AM561" s="196"/>
      <c r="AN561" s="310"/>
      <c r="AO561" s="310"/>
      <c r="AP561" s="310"/>
      <c r="AQ561" s="698" t="s">
        <v>1329</v>
      </c>
      <c r="AR561" s="310"/>
      <c r="AS561" s="310"/>
    </row>
    <row r="562" spans="13:45" customFormat="1" ht="11.25" customHeight="1">
      <c r="M562" s="490" t="s">
        <v>678</v>
      </c>
      <c r="N562" s="463" t="s">
        <v>651</v>
      </c>
      <c r="O562" s="189"/>
      <c r="AB562" s="248"/>
      <c r="AC562" s="248"/>
      <c r="AD562" s="248"/>
      <c r="AE562" s="462"/>
      <c r="AF562" s="462"/>
      <c r="AG562" s="462"/>
      <c r="AH562" s="248"/>
      <c r="AI562" s="248"/>
      <c r="AJ562" s="248"/>
      <c r="AK562" s="241"/>
      <c r="AL562" s="241"/>
      <c r="AM562" s="241"/>
      <c r="AN562" s="310"/>
      <c r="AO562" s="310"/>
      <c r="AP562" s="310"/>
      <c r="AQ562" s="698"/>
      <c r="AR562" s="310"/>
      <c r="AS562" s="310"/>
    </row>
    <row r="563" spans="13:45" customFormat="1" ht="11.25" customHeight="1">
      <c r="M563" s="720" t="str">
        <f>M562 &amp; ".1"</f>
        <v>4.0.3.1.2.1.1</v>
      </c>
      <c r="N563" s="458" t="s">
        <v>1369</v>
      </c>
      <c r="O563" s="189" t="s">
        <v>506</v>
      </c>
      <c r="AB563" s="248"/>
      <c r="AC563" s="248"/>
      <c r="AD563" s="248"/>
      <c r="AE563" s="462"/>
      <c r="AF563" s="462"/>
      <c r="AG563" s="462"/>
      <c r="AH563" s="248"/>
      <c r="AI563" s="248"/>
      <c r="AJ563" s="248"/>
      <c r="AK563" s="686">
        <f>IF(AK402=0,0,AK579/AK402*1000)</f>
        <v>0</v>
      </c>
      <c r="AL563" s="196"/>
      <c r="AM563" s="196"/>
      <c r="AN563" s="310"/>
      <c r="AO563" s="310"/>
      <c r="AP563" s="310"/>
      <c r="AQ563" s="698" t="s">
        <v>1330</v>
      </c>
      <c r="AR563" s="310"/>
      <c r="AS563" s="310"/>
    </row>
    <row r="564" spans="13:45" customFormat="1" ht="11.25" customHeight="1">
      <c r="M564" s="720" t="str">
        <f>M562 &amp; ".2"</f>
        <v>4.0.3.1.2.1.2</v>
      </c>
      <c r="N564" s="458" t="s">
        <v>1370</v>
      </c>
      <c r="O564" s="189" t="s">
        <v>506</v>
      </c>
      <c r="AB564" s="248"/>
      <c r="AC564" s="248"/>
      <c r="AD564" s="248"/>
      <c r="AE564" s="462"/>
      <c r="AF564" s="462"/>
      <c r="AG564" s="462"/>
      <c r="AH564" s="248"/>
      <c r="AI564" s="248"/>
      <c r="AJ564" s="248"/>
      <c r="AK564" s="686">
        <f t="shared" ref="AK564:AK569" si="43">IF(AK403=0,0,AK580/AK403*1000)</f>
        <v>0</v>
      </c>
      <c r="AL564" s="196"/>
      <c r="AM564" s="196"/>
      <c r="AN564" s="310"/>
      <c r="AO564" s="310"/>
      <c r="AP564" s="310"/>
      <c r="AQ564" s="698" t="s">
        <v>1330</v>
      </c>
      <c r="AR564" s="310"/>
      <c r="AS564" s="310"/>
    </row>
    <row r="565" spans="13:45" customFormat="1" ht="11.25" customHeight="1">
      <c r="M565" s="720" t="str">
        <f>M562 &amp; ".3"</f>
        <v>4.0.3.1.2.1.3</v>
      </c>
      <c r="N565" s="458" t="s">
        <v>1371</v>
      </c>
      <c r="O565" s="189" t="s">
        <v>506</v>
      </c>
      <c r="AB565" s="248"/>
      <c r="AC565" s="248"/>
      <c r="AD565" s="248"/>
      <c r="AE565" s="462"/>
      <c r="AF565" s="462"/>
      <c r="AG565" s="462"/>
      <c r="AH565" s="248"/>
      <c r="AI565" s="248"/>
      <c r="AJ565" s="248"/>
      <c r="AK565" s="686">
        <f t="shared" si="43"/>
        <v>0</v>
      </c>
      <c r="AL565" s="196"/>
      <c r="AM565" s="196"/>
      <c r="AN565" s="310"/>
      <c r="AO565" s="310"/>
      <c r="AP565" s="310"/>
      <c r="AQ565" s="698" t="s">
        <v>1330</v>
      </c>
      <c r="AR565" s="310"/>
      <c r="AS565" s="310"/>
    </row>
    <row r="566" spans="13:45" customFormat="1" ht="11.25" customHeight="1">
      <c r="M566" s="720" t="str">
        <f>M562 &amp; ".4"</f>
        <v>4.0.3.1.2.1.4</v>
      </c>
      <c r="N566" s="458" t="s">
        <v>1372</v>
      </c>
      <c r="O566" s="189" t="s">
        <v>506</v>
      </c>
      <c r="AB566" s="248"/>
      <c r="AC566" s="248"/>
      <c r="AD566" s="248"/>
      <c r="AE566" s="462"/>
      <c r="AF566" s="462"/>
      <c r="AG566" s="462"/>
      <c r="AH566" s="248"/>
      <c r="AI566" s="248"/>
      <c r="AJ566" s="248"/>
      <c r="AK566" s="686">
        <f t="shared" si="43"/>
        <v>0</v>
      </c>
      <c r="AL566" s="196"/>
      <c r="AM566" s="196"/>
      <c r="AN566" s="310"/>
      <c r="AO566" s="310"/>
      <c r="AP566" s="310"/>
      <c r="AQ566" s="698" t="s">
        <v>1330</v>
      </c>
      <c r="AR566" s="310"/>
      <c r="AS566" s="310"/>
    </row>
    <row r="567" spans="13:45" customFormat="1" ht="11.25" customHeight="1">
      <c r="M567" s="720" t="str">
        <f>M562 &amp; ".5"</f>
        <v>4.0.3.1.2.1.5</v>
      </c>
      <c r="N567" s="458" t="s">
        <v>1373</v>
      </c>
      <c r="O567" s="189" t="s">
        <v>506</v>
      </c>
      <c r="AB567" s="248"/>
      <c r="AC567" s="248"/>
      <c r="AD567" s="248"/>
      <c r="AE567" s="462"/>
      <c r="AF567" s="462"/>
      <c r="AG567" s="462"/>
      <c r="AH567" s="248"/>
      <c r="AI567" s="248"/>
      <c r="AJ567" s="248"/>
      <c r="AK567" s="686">
        <f t="shared" si="43"/>
        <v>0</v>
      </c>
      <c r="AL567" s="196"/>
      <c r="AM567" s="196"/>
      <c r="AN567" s="310"/>
      <c r="AO567" s="310"/>
      <c r="AP567" s="310"/>
      <c r="AQ567" s="698" t="s">
        <v>1330</v>
      </c>
      <c r="AR567" s="310"/>
      <c r="AS567" s="310"/>
    </row>
    <row r="568" spans="13:45" customFormat="1" ht="11.25" customHeight="1">
      <c r="M568" s="720" t="str">
        <f>M562 &amp; ".6"</f>
        <v>4.0.3.1.2.1.6</v>
      </c>
      <c r="N568" s="458" t="s">
        <v>1374</v>
      </c>
      <c r="O568" s="189" t="s">
        <v>506</v>
      </c>
      <c r="AB568" s="248"/>
      <c r="AC568" s="248"/>
      <c r="AD568" s="248"/>
      <c r="AE568" s="462"/>
      <c r="AF568" s="462"/>
      <c r="AG568" s="462"/>
      <c r="AH568" s="248"/>
      <c r="AI568" s="248"/>
      <c r="AJ568" s="248"/>
      <c r="AK568" s="686">
        <f t="shared" si="43"/>
        <v>0</v>
      </c>
      <c r="AL568" s="196"/>
      <c r="AM568" s="196"/>
      <c r="AN568" s="310"/>
      <c r="AO568" s="310"/>
      <c r="AP568" s="310"/>
      <c r="AQ568" s="698" t="s">
        <v>1330</v>
      </c>
      <c r="AR568" s="310"/>
      <c r="AS568" s="310"/>
    </row>
    <row r="569" spans="13:45" customFormat="1" ht="11.25" customHeight="1">
      <c r="M569" s="720" t="str">
        <f>M562 &amp; ".7"</f>
        <v>4.0.3.1.2.1.7</v>
      </c>
      <c r="N569" s="458" t="s">
        <v>1375</v>
      </c>
      <c r="O569" s="189" t="s">
        <v>506</v>
      </c>
      <c r="AB569" s="248"/>
      <c r="AC569" s="248"/>
      <c r="AD569" s="248"/>
      <c r="AE569" s="462"/>
      <c r="AF569" s="462"/>
      <c r="AG569" s="462"/>
      <c r="AH569" s="248"/>
      <c r="AI569" s="248"/>
      <c r="AJ569" s="248"/>
      <c r="AK569" s="686">
        <f t="shared" si="43"/>
        <v>0</v>
      </c>
      <c r="AL569" s="196"/>
      <c r="AM569" s="196"/>
      <c r="AN569" s="310"/>
      <c r="AO569" s="310"/>
      <c r="AP569" s="310"/>
      <c r="AQ569" s="698" t="s">
        <v>1330</v>
      </c>
      <c r="AR569" s="310"/>
      <c r="AS569" s="310"/>
    </row>
    <row r="570" spans="13:45" customFormat="1" ht="11.25" customHeight="1">
      <c r="M570" s="490" t="s">
        <v>679</v>
      </c>
      <c r="N570" s="463" t="s">
        <v>652</v>
      </c>
      <c r="O570" s="189"/>
      <c r="AB570" s="248"/>
      <c r="AC570" s="248"/>
      <c r="AD570" s="248"/>
      <c r="AE570" s="462"/>
      <c r="AF570" s="462"/>
      <c r="AG570" s="462"/>
      <c r="AH570" s="248"/>
      <c r="AI570" s="248"/>
      <c r="AJ570" s="248"/>
      <c r="AK570" s="241"/>
      <c r="AL570" s="241"/>
      <c r="AM570" s="241"/>
      <c r="AN570" s="310"/>
      <c r="AO570" s="310"/>
      <c r="AP570" s="310"/>
      <c r="AQ570" s="698"/>
      <c r="AR570" s="310"/>
      <c r="AS570" s="310"/>
    </row>
    <row r="571" spans="13:45" customFormat="1" ht="11.25" customHeight="1">
      <c r="M571" s="720" t="str">
        <f>M570 &amp; ".1"</f>
        <v>4.0.3.1.2.2.1</v>
      </c>
      <c r="N571" s="458" t="s">
        <v>1369</v>
      </c>
      <c r="O571" s="189" t="s">
        <v>506</v>
      </c>
      <c r="AB571" s="248"/>
      <c r="AC571" s="248"/>
      <c r="AD571" s="248"/>
      <c r="AE571" s="462"/>
      <c r="AF571" s="462"/>
      <c r="AG571" s="462"/>
      <c r="AH571" s="248"/>
      <c r="AI571" s="248"/>
      <c r="AJ571" s="248"/>
      <c r="AK571" s="686">
        <f t="shared" ref="AK571:AK577" si="44">IF(AK410=0,0,AK587/AK410*1000)</f>
        <v>0</v>
      </c>
      <c r="AL571" s="196"/>
      <c r="AM571" s="196"/>
      <c r="AN571" s="310"/>
      <c r="AO571" s="310"/>
      <c r="AP571" s="310"/>
      <c r="AQ571" s="698" t="s">
        <v>1330</v>
      </c>
      <c r="AR571" s="310"/>
      <c r="AS571" s="310"/>
    </row>
    <row r="572" spans="13:45" customFormat="1" ht="11.25" customHeight="1">
      <c r="M572" s="720" t="str">
        <f>M570 &amp; ".2"</f>
        <v>4.0.3.1.2.2.2</v>
      </c>
      <c r="N572" s="458" t="s">
        <v>1370</v>
      </c>
      <c r="O572" s="189" t="s">
        <v>506</v>
      </c>
      <c r="AB572" s="248"/>
      <c r="AC572" s="248"/>
      <c r="AD572" s="248"/>
      <c r="AE572" s="462"/>
      <c r="AF572" s="462"/>
      <c r="AG572" s="462"/>
      <c r="AH572" s="248"/>
      <c r="AI572" s="248"/>
      <c r="AJ572" s="248"/>
      <c r="AK572" s="686">
        <f t="shared" si="44"/>
        <v>0</v>
      </c>
      <c r="AL572" s="196"/>
      <c r="AM572" s="196"/>
      <c r="AN572" s="310"/>
      <c r="AO572" s="310"/>
      <c r="AP572" s="310"/>
      <c r="AQ572" s="698" t="s">
        <v>1330</v>
      </c>
      <c r="AR572" s="310"/>
      <c r="AS572" s="310"/>
    </row>
    <row r="573" spans="13:45" customFormat="1" ht="11.25" customHeight="1">
      <c r="M573" s="720" t="str">
        <f>M570 &amp; ".3"</f>
        <v>4.0.3.1.2.2.3</v>
      </c>
      <c r="N573" s="458" t="s">
        <v>1371</v>
      </c>
      <c r="O573" s="189" t="s">
        <v>506</v>
      </c>
      <c r="AB573" s="248"/>
      <c r="AC573" s="248"/>
      <c r="AD573" s="248"/>
      <c r="AE573" s="462"/>
      <c r="AF573" s="462"/>
      <c r="AG573" s="462"/>
      <c r="AH573" s="248"/>
      <c r="AI573" s="248"/>
      <c r="AJ573" s="248"/>
      <c r="AK573" s="686">
        <f t="shared" si="44"/>
        <v>0</v>
      </c>
      <c r="AL573" s="196"/>
      <c r="AM573" s="196"/>
      <c r="AN573" s="310"/>
      <c r="AO573" s="310"/>
      <c r="AP573" s="310"/>
      <c r="AQ573" s="698" t="s">
        <v>1330</v>
      </c>
      <c r="AR573" s="310"/>
      <c r="AS573" s="310"/>
    </row>
    <row r="574" spans="13:45" customFormat="1" ht="11.25" customHeight="1">
      <c r="M574" s="720" t="str">
        <f>M570 &amp; ".4"</f>
        <v>4.0.3.1.2.2.4</v>
      </c>
      <c r="N574" s="458" t="s">
        <v>1372</v>
      </c>
      <c r="O574" s="189" t="s">
        <v>506</v>
      </c>
      <c r="AB574" s="248"/>
      <c r="AC574" s="248"/>
      <c r="AD574" s="248"/>
      <c r="AE574" s="462"/>
      <c r="AF574" s="462"/>
      <c r="AG574" s="462"/>
      <c r="AH574" s="248"/>
      <c r="AI574" s="248"/>
      <c r="AJ574" s="248"/>
      <c r="AK574" s="686">
        <f t="shared" si="44"/>
        <v>0</v>
      </c>
      <c r="AL574" s="196"/>
      <c r="AM574" s="196"/>
      <c r="AN574" s="310"/>
      <c r="AO574" s="310"/>
      <c r="AP574" s="310"/>
      <c r="AQ574" s="698" t="s">
        <v>1330</v>
      </c>
      <c r="AR574" s="310"/>
      <c r="AS574" s="310"/>
    </row>
    <row r="575" spans="13:45" customFormat="1" ht="11.25" customHeight="1">
      <c r="M575" s="720" t="str">
        <f>M570 &amp; ".5"</f>
        <v>4.0.3.1.2.2.5</v>
      </c>
      <c r="N575" s="458" t="s">
        <v>1373</v>
      </c>
      <c r="O575" s="189" t="s">
        <v>506</v>
      </c>
      <c r="AB575" s="248"/>
      <c r="AC575" s="248"/>
      <c r="AD575" s="248"/>
      <c r="AE575" s="462"/>
      <c r="AF575" s="462"/>
      <c r="AG575" s="462"/>
      <c r="AH575" s="248"/>
      <c r="AI575" s="248"/>
      <c r="AJ575" s="248"/>
      <c r="AK575" s="686">
        <f t="shared" si="44"/>
        <v>0</v>
      </c>
      <c r="AL575" s="196"/>
      <c r="AM575" s="196"/>
      <c r="AN575" s="310"/>
      <c r="AO575" s="310"/>
      <c r="AP575" s="310"/>
      <c r="AQ575" s="698" t="s">
        <v>1330</v>
      </c>
      <c r="AR575" s="310"/>
      <c r="AS575" s="310"/>
    </row>
    <row r="576" spans="13:45" customFormat="1" ht="11.25" customHeight="1">
      <c r="M576" s="720" t="str">
        <f>M570 &amp; ".6"</f>
        <v>4.0.3.1.2.2.6</v>
      </c>
      <c r="N576" s="458" t="s">
        <v>1374</v>
      </c>
      <c r="O576" s="189" t="s">
        <v>506</v>
      </c>
      <c r="AB576" s="248"/>
      <c r="AC576" s="248"/>
      <c r="AD576" s="248"/>
      <c r="AE576" s="462"/>
      <c r="AF576" s="462"/>
      <c r="AG576" s="462"/>
      <c r="AH576" s="248"/>
      <c r="AI576" s="248"/>
      <c r="AJ576" s="248"/>
      <c r="AK576" s="686">
        <f t="shared" si="44"/>
        <v>0</v>
      </c>
      <c r="AL576" s="196"/>
      <c r="AM576" s="196"/>
      <c r="AN576" s="310"/>
      <c r="AO576" s="310"/>
      <c r="AP576" s="310"/>
      <c r="AQ576" s="698" t="s">
        <v>1330</v>
      </c>
      <c r="AR576" s="310"/>
      <c r="AS576" s="310"/>
    </row>
    <row r="577" spans="13:45" customFormat="1" ht="11.25" customHeight="1">
      <c r="M577" s="720" t="str">
        <f>M570 &amp; ".7"</f>
        <v>4.0.3.1.2.2.7</v>
      </c>
      <c r="N577" s="458" t="s">
        <v>1375</v>
      </c>
      <c r="O577" s="189" t="s">
        <v>506</v>
      </c>
      <c r="AB577" s="248"/>
      <c r="AC577" s="248"/>
      <c r="AD577" s="248"/>
      <c r="AE577" s="462"/>
      <c r="AF577" s="462"/>
      <c r="AG577" s="462"/>
      <c r="AH577" s="248"/>
      <c r="AI577" s="248"/>
      <c r="AJ577" s="248"/>
      <c r="AK577" s="686">
        <f t="shared" si="44"/>
        <v>0</v>
      </c>
      <c r="AL577" s="196"/>
      <c r="AM577" s="196"/>
      <c r="AN577" s="310"/>
      <c r="AO577" s="310"/>
      <c r="AP577" s="310"/>
      <c r="AQ577" s="698" t="s">
        <v>1330</v>
      </c>
      <c r="AR577" s="310"/>
      <c r="AS577" s="310"/>
    </row>
    <row r="578" spans="13:45" customFormat="1" ht="11.25" customHeight="1">
      <c r="M578" s="490" t="s">
        <v>680</v>
      </c>
      <c r="N578" s="463" t="s">
        <v>653</v>
      </c>
      <c r="O578" s="189" t="s">
        <v>195</v>
      </c>
      <c r="AB578" s="248"/>
      <c r="AC578" s="248"/>
      <c r="AD578" s="248"/>
      <c r="AE578" s="462"/>
      <c r="AF578" s="462"/>
      <c r="AG578" s="462"/>
      <c r="AH578" s="248"/>
      <c r="AI578" s="248"/>
      <c r="AJ578" s="248"/>
      <c r="AK578" s="183">
        <f t="shared" ref="AK578:AK594" si="45">AL578+AM578</f>
        <v>0</v>
      </c>
      <c r="AL578" s="183">
        <f>SUM(AL579:AL585)</f>
        <v>0</v>
      </c>
      <c r="AM578" s="183">
        <f>SUM(AM579:AM585)</f>
        <v>0</v>
      </c>
      <c r="AN578" s="310"/>
      <c r="AO578" s="310"/>
      <c r="AP578" s="310"/>
      <c r="AQ578" s="698" t="s">
        <v>1330</v>
      </c>
      <c r="AR578" s="310"/>
      <c r="AS578" s="310"/>
    </row>
    <row r="579" spans="13:45" customFormat="1" ht="11.25" customHeight="1">
      <c r="M579" s="720" t="str">
        <f>M578 &amp; ".1"</f>
        <v>4.0.3.1.2.3.1</v>
      </c>
      <c r="N579" s="458" t="s">
        <v>1369</v>
      </c>
      <c r="O579" s="189" t="s">
        <v>195</v>
      </c>
      <c r="AB579" s="248"/>
      <c r="AC579" s="248"/>
      <c r="AD579" s="248"/>
      <c r="AE579" s="462"/>
      <c r="AF579" s="462"/>
      <c r="AG579" s="462"/>
      <c r="AH579" s="248"/>
      <c r="AI579" s="248"/>
      <c r="AJ579" s="248"/>
      <c r="AK579" s="183">
        <f t="shared" si="45"/>
        <v>0</v>
      </c>
      <c r="AL579" s="183">
        <f t="shared" ref="AL579:AM585" si="46">AL563*AL410/1000</f>
        <v>0</v>
      </c>
      <c r="AM579" s="183">
        <f t="shared" si="46"/>
        <v>0</v>
      </c>
      <c r="AN579" s="310"/>
      <c r="AO579" s="310"/>
      <c r="AP579" s="310"/>
      <c r="AQ579" s="698" t="s">
        <v>1330</v>
      </c>
      <c r="AR579" s="310"/>
      <c r="AS579" s="310"/>
    </row>
    <row r="580" spans="13:45" customFormat="1" ht="11.25" customHeight="1">
      <c r="M580" s="720" t="str">
        <f>M578 &amp; ".2"</f>
        <v>4.0.3.1.2.3.2</v>
      </c>
      <c r="N580" s="458" t="s">
        <v>1370</v>
      </c>
      <c r="O580" s="189" t="s">
        <v>195</v>
      </c>
      <c r="AB580" s="248"/>
      <c r="AC580" s="248"/>
      <c r="AD580" s="248"/>
      <c r="AE580" s="462"/>
      <c r="AF580" s="462"/>
      <c r="AG580" s="462"/>
      <c r="AH580" s="248"/>
      <c r="AI580" s="248"/>
      <c r="AJ580" s="248"/>
      <c r="AK580" s="183">
        <f t="shared" si="45"/>
        <v>0</v>
      </c>
      <c r="AL580" s="183">
        <f t="shared" si="46"/>
        <v>0</v>
      </c>
      <c r="AM580" s="183">
        <f t="shared" si="46"/>
        <v>0</v>
      </c>
      <c r="AN580" s="310"/>
      <c r="AO580" s="310"/>
      <c r="AP580" s="310"/>
      <c r="AQ580" s="698" t="s">
        <v>1330</v>
      </c>
      <c r="AR580" s="310"/>
      <c r="AS580" s="310"/>
    </row>
    <row r="581" spans="13:45" customFormat="1" ht="11.25" customHeight="1">
      <c r="M581" s="720" t="str">
        <f>M578 &amp; ".3"</f>
        <v>4.0.3.1.2.3.3</v>
      </c>
      <c r="N581" s="458" t="s">
        <v>1371</v>
      </c>
      <c r="O581" s="189" t="s">
        <v>195</v>
      </c>
      <c r="AB581" s="248"/>
      <c r="AC581" s="248"/>
      <c r="AD581" s="248"/>
      <c r="AE581" s="462"/>
      <c r="AF581" s="462"/>
      <c r="AG581" s="462"/>
      <c r="AH581" s="248"/>
      <c r="AI581" s="248"/>
      <c r="AJ581" s="248"/>
      <c r="AK581" s="183">
        <f t="shared" si="45"/>
        <v>0</v>
      </c>
      <c r="AL581" s="183">
        <f t="shared" si="46"/>
        <v>0</v>
      </c>
      <c r="AM581" s="183">
        <f t="shared" si="46"/>
        <v>0</v>
      </c>
      <c r="AN581" s="310"/>
      <c r="AO581" s="310"/>
      <c r="AP581" s="310"/>
      <c r="AQ581" s="698" t="s">
        <v>1330</v>
      </c>
      <c r="AR581" s="310"/>
      <c r="AS581" s="310"/>
    </row>
    <row r="582" spans="13:45" customFormat="1" ht="11.25" customHeight="1">
      <c r="M582" s="720" t="str">
        <f>M578 &amp; ".4"</f>
        <v>4.0.3.1.2.3.4</v>
      </c>
      <c r="N582" s="458" t="s">
        <v>1372</v>
      </c>
      <c r="O582" s="189" t="s">
        <v>195</v>
      </c>
      <c r="AB582" s="248"/>
      <c r="AC582" s="248"/>
      <c r="AD582" s="248"/>
      <c r="AE582" s="462"/>
      <c r="AF582" s="462"/>
      <c r="AG582" s="462"/>
      <c r="AH582" s="248"/>
      <c r="AI582" s="248"/>
      <c r="AJ582" s="248"/>
      <c r="AK582" s="183">
        <f t="shared" si="45"/>
        <v>0</v>
      </c>
      <c r="AL582" s="183">
        <f t="shared" si="46"/>
        <v>0</v>
      </c>
      <c r="AM582" s="183">
        <f t="shared" si="46"/>
        <v>0</v>
      </c>
      <c r="AN582" s="310"/>
      <c r="AO582" s="310"/>
      <c r="AP582" s="310"/>
      <c r="AQ582" s="698" t="s">
        <v>1330</v>
      </c>
      <c r="AR582" s="310"/>
      <c r="AS582" s="310"/>
    </row>
    <row r="583" spans="13:45" customFormat="1" ht="11.25" customHeight="1">
      <c r="M583" s="720" t="str">
        <f>M578 &amp; ".5"</f>
        <v>4.0.3.1.2.3.5</v>
      </c>
      <c r="N583" s="458" t="s">
        <v>1373</v>
      </c>
      <c r="O583" s="189" t="s">
        <v>195</v>
      </c>
      <c r="AB583" s="248"/>
      <c r="AC583" s="248"/>
      <c r="AD583" s="248"/>
      <c r="AE583" s="462"/>
      <c r="AF583" s="462"/>
      <c r="AG583" s="462"/>
      <c r="AH583" s="248"/>
      <c r="AI583" s="248"/>
      <c r="AJ583" s="248"/>
      <c r="AK583" s="183">
        <f t="shared" si="45"/>
        <v>0</v>
      </c>
      <c r="AL583" s="183">
        <f t="shared" si="46"/>
        <v>0</v>
      </c>
      <c r="AM583" s="183">
        <f t="shared" si="46"/>
        <v>0</v>
      </c>
      <c r="AN583" s="310"/>
      <c r="AO583" s="310"/>
      <c r="AP583" s="310"/>
      <c r="AQ583" s="698" t="s">
        <v>1330</v>
      </c>
      <c r="AR583" s="310"/>
      <c r="AS583" s="310"/>
    </row>
    <row r="584" spans="13:45" customFormat="1" ht="11.25" customHeight="1">
      <c r="M584" s="720" t="str">
        <f>M578 &amp; ".6"</f>
        <v>4.0.3.1.2.3.6</v>
      </c>
      <c r="N584" s="458" t="s">
        <v>1374</v>
      </c>
      <c r="O584" s="189" t="s">
        <v>195</v>
      </c>
      <c r="AB584" s="248"/>
      <c r="AC584" s="248"/>
      <c r="AD584" s="248"/>
      <c r="AE584" s="462"/>
      <c r="AF584" s="462"/>
      <c r="AG584" s="462"/>
      <c r="AH584" s="248"/>
      <c r="AI584" s="248"/>
      <c r="AJ584" s="248"/>
      <c r="AK584" s="183">
        <f t="shared" si="45"/>
        <v>0</v>
      </c>
      <c r="AL584" s="183">
        <f t="shared" si="46"/>
        <v>0</v>
      </c>
      <c r="AM584" s="183">
        <f t="shared" si="46"/>
        <v>0</v>
      </c>
      <c r="AN584" s="310"/>
      <c r="AO584" s="310"/>
      <c r="AP584" s="310"/>
      <c r="AQ584" s="698" t="s">
        <v>1330</v>
      </c>
      <c r="AR584" s="310"/>
      <c r="AS584" s="310"/>
    </row>
    <row r="585" spans="13:45" customFormat="1" ht="11.25" customHeight="1">
      <c r="M585" s="720" t="str">
        <f>M578 &amp; ".7"</f>
        <v>4.0.3.1.2.3.7</v>
      </c>
      <c r="N585" s="458" t="s">
        <v>1375</v>
      </c>
      <c r="O585" s="189" t="s">
        <v>195</v>
      </c>
      <c r="AB585" s="248"/>
      <c r="AC585" s="248"/>
      <c r="AD585" s="248"/>
      <c r="AE585" s="462"/>
      <c r="AF585" s="462"/>
      <c r="AG585" s="462"/>
      <c r="AH585" s="248"/>
      <c r="AI585" s="248"/>
      <c r="AJ585" s="248"/>
      <c r="AK585" s="183">
        <f t="shared" si="45"/>
        <v>0</v>
      </c>
      <c r="AL585" s="183">
        <f t="shared" si="46"/>
        <v>0</v>
      </c>
      <c r="AM585" s="183">
        <f t="shared" si="46"/>
        <v>0</v>
      </c>
      <c r="AN585" s="310"/>
      <c r="AO585" s="310"/>
      <c r="AP585" s="310"/>
      <c r="AQ585" s="698" t="s">
        <v>1330</v>
      </c>
      <c r="AR585" s="310"/>
      <c r="AS585" s="310"/>
    </row>
    <row r="586" spans="13:45" customFormat="1" ht="11.25" customHeight="1">
      <c r="M586" s="490" t="s">
        <v>682</v>
      </c>
      <c r="N586" s="463" t="s">
        <v>654</v>
      </c>
      <c r="O586" s="189" t="s">
        <v>195</v>
      </c>
      <c r="AB586" s="248"/>
      <c r="AC586" s="248"/>
      <c r="AD586" s="248"/>
      <c r="AE586" s="462"/>
      <c r="AF586" s="462"/>
      <c r="AG586" s="462"/>
      <c r="AH586" s="248"/>
      <c r="AI586" s="248"/>
      <c r="AJ586" s="248"/>
      <c r="AK586" s="183">
        <f t="shared" si="45"/>
        <v>0</v>
      </c>
      <c r="AL586" s="183">
        <f>SUM(AL587:AL593)</f>
        <v>0</v>
      </c>
      <c r="AM586" s="183">
        <f>SUM(AM587:AM593)</f>
        <v>0</v>
      </c>
      <c r="AN586" s="310"/>
      <c r="AO586" s="310"/>
      <c r="AP586" s="310"/>
      <c r="AQ586" s="698" t="s">
        <v>1330</v>
      </c>
      <c r="AR586" s="310"/>
      <c r="AS586" s="310"/>
    </row>
    <row r="587" spans="13:45" customFormat="1" ht="11.25" customHeight="1">
      <c r="M587" s="720" t="str">
        <f>M586 &amp; ".1"</f>
        <v>4.0.3.1.2.4.1</v>
      </c>
      <c r="N587" s="458" t="s">
        <v>1369</v>
      </c>
      <c r="O587" s="189" t="s">
        <v>195</v>
      </c>
      <c r="AB587" s="248"/>
      <c r="AC587" s="248"/>
      <c r="AD587" s="248"/>
      <c r="AE587" s="462"/>
      <c r="AF587" s="462"/>
      <c r="AG587" s="462"/>
      <c r="AH587" s="248"/>
      <c r="AI587" s="248"/>
      <c r="AJ587" s="248"/>
      <c r="AK587" s="183">
        <f t="shared" si="45"/>
        <v>0</v>
      </c>
      <c r="AL587" s="183">
        <f t="shared" ref="AL587:AM593" si="47">AL571*AL410/1000</f>
        <v>0</v>
      </c>
      <c r="AM587" s="183">
        <f t="shared" si="47"/>
        <v>0</v>
      </c>
      <c r="AN587" s="310"/>
      <c r="AO587" s="310"/>
      <c r="AP587" s="310"/>
      <c r="AQ587" s="698" t="s">
        <v>1330</v>
      </c>
      <c r="AR587" s="310"/>
      <c r="AS587" s="310"/>
    </row>
    <row r="588" spans="13:45" customFormat="1" ht="11.25" customHeight="1">
      <c r="M588" s="720" t="str">
        <f>M586 &amp; ".2"</f>
        <v>4.0.3.1.2.4.2</v>
      </c>
      <c r="N588" s="458" t="s">
        <v>1370</v>
      </c>
      <c r="O588" s="189" t="s">
        <v>195</v>
      </c>
      <c r="AB588" s="248"/>
      <c r="AC588" s="248"/>
      <c r="AD588" s="248"/>
      <c r="AE588" s="462"/>
      <c r="AF588" s="462"/>
      <c r="AG588" s="462"/>
      <c r="AH588" s="248"/>
      <c r="AI588" s="248"/>
      <c r="AJ588" s="248"/>
      <c r="AK588" s="183">
        <f t="shared" si="45"/>
        <v>0</v>
      </c>
      <c r="AL588" s="183">
        <f t="shared" si="47"/>
        <v>0</v>
      </c>
      <c r="AM588" s="183">
        <f t="shared" si="47"/>
        <v>0</v>
      </c>
      <c r="AN588" s="310"/>
      <c r="AO588" s="310"/>
      <c r="AP588" s="310"/>
      <c r="AQ588" s="698" t="s">
        <v>1330</v>
      </c>
      <c r="AR588" s="310"/>
      <c r="AS588" s="310"/>
    </row>
    <row r="589" spans="13:45" customFormat="1" ht="11.25" customHeight="1">
      <c r="M589" s="720" t="str">
        <f>M586 &amp; ".3"</f>
        <v>4.0.3.1.2.4.3</v>
      </c>
      <c r="N589" s="458" t="s">
        <v>1371</v>
      </c>
      <c r="O589" s="189" t="s">
        <v>195</v>
      </c>
      <c r="AB589" s="248"/>
      <c r="AC589" s="248"/>
      <c r="AD589" s="248"/>
      <c r="AE589" s="462"/>
      <c r="AF589" s="462"/>
      <c r="AG589" s="462"/>
      <c r="AH589" s="248"/>
      <c r="AI589" s="248"/>
      <c r="AJ589" s="248"/>
      <c r="AK589" s="183">
        <f t="shared" si="45"/>
        <v>0</v>
      </c>
      <c r="AL589" s="183">
        <f t="shared" si="47"/>
        <v>0</v>
      </c>
      <c r="AM589" s="183">
        <f t="shared" si="47"/>
        <v>0</v>
      </c>
      <c r="AN589" s="310"/>
      <c r="AO589" s="310"/>
      <c r="AP589" s="310"/>
      <c r="AQ589" s="698" t="s">
        <v>1330</v>
      </c>
      <c r="AR589" s="310"/>
      <c r="AS589" s="310"/>
    </row>
    <row r="590" spans="13:45" customFormat="1" ht="11.25" customHeight="1">
      <c r="M590" s="720" t="str">
        <f>M586 &amp; ".4"</f>
        <v>4.0.3.1.2.4.4</v>
      </c>
      <c r="N590" s="458" t="s">
        <v>1372</v>
      </c>
      <c r="O590" s="189" t="s">
        <v>195</v>
      </c>
      <c r="AB590" s="248"/>
      <c r="AC590" s="248"/>
      <c r="AD590" s="248"/>
      <c r="AE590" s="462"/>
      <c r="AF590" s="462"/>
      <c r="AG590" s="462"/>
      <c r="AH590" s="248"/>
      <c r="AI590" s="248"/>
      <c r="AJ590" s="248"/>
      <c r="AK590" s="183">
        <f t="shared" si="45"/>
        <v>0</v>
      </c>
      <c r="AL590" s="183">
        <f t="shared" si="47"/>
        <v>0</v>
      </c>
      <c r="AM590" s="183">
        <f t="shared" si="47"/>
        <v>0</v>
      </c>
      <c r="AN590" s="310"/>
      <c r="AO590" s="310"/>
      <c r="AP590" s="310"/>
      <c r="AQ590" s="698" t="s">
        <v>1330</v>
      </c>
      <c r="AR590" s="310"/>
      <c r="AS590" s="310"/>
    </row>
    <row r="591" spans="13:45" customFormat="1" ht="11.25" customHeight="1">
      <c r="M591" s="720" t="str">
        <f>M586 &amp; ".5"</f>
        <v>4.0.3.1.2.4.5</v>
      </c>
      <c r="N591" s="458" t="s">
        <v>1373</v>
      </c>
      <c r="O591" s="189" t="s">
        <v>195</v>
      </c>
      <c r="AB591" s="248"/>
      <c r="AC591" s="248"/>
      <c r="AD591" s="248"/>
      <c r="AE591" s="462"/>
      <c r="AF591" s="462"/>
      <c r="AG591" s="462"/>
      <c r="AH591" s="248"/>
      <c r="AI591" s="248"/>
      <c r="AJ591" s="248"/>
      <c r="AK591" s="183">
        <f t="shared" si="45"/>
        <v>0</v>
      </c>
      <c r="AL591" s="183">
        <f t="shared" si="47"/>
        <v>0</v>
      </c>
      <c r="AM591" s="183">
        <f t="shared" si="47"/>
        <v>0</v>
      </c>
      <c r="AN591" s="310"/>
      <c r="AO591" s="310"/>
      <c r="AP591" s="310"/>
      <c r="AQ591" s="698" t="s">
        <v>1330</v>
      </c>
      <c r="AR591" s="310"/>
      <c r="AS591" s="310"/>
    </row>
    <row r="592" spans="13:45" customFormat="1" ht="11.25" customHeight="1">
      <c r="M592" s="720" t="str">
        <f>M586 &amp; ".6"</f>
        <v>4.0.3.1.2.4.6</v>
      </c>
      <c r="N592" s="458" t="s">
        <v>1374</v>
      </c>
      <c r="O592" s="189" t="s">
        <v>195</v>
      </c>
      <c r="AB592" s="248"/>
      <c r="AC592" s="248"/>
      <c r="AD592" s="248"/>
      <c r="AE592" s="462"/>
      <c r="AF592" s="462"/>
      <c r="AG592" s="462"/>
      <c r="AH592" s="248"/>
      <c r="AI592" s="248"/>
      <c r="AJ592" s="248"/>
      <c r="AK592" s="183">
        <f t="shared" si="45"/>
        <v>0</v>
      </c>
      <c r="AL592" s="183">
        <f t="shared" si="47"/>
        <v>0</v>
      </c>
      <c r="AM592" s="183">
        <f t="shared" si="47"/>
        <v>0</v>
      </c>
      <c r="AN592" s="310"/>
      <c r="AO592" s="310"/>
      <c r="AP592" s="310"/>
      <c r="AQ592" s="698" t="s">
        <v>1330</v>
      </c>
      <c r="AR592" s="310"/>
      <c r="AS592" s="310"/>
    </row>
    <row r="593" spans="13:45" customFormat="1" ht="11.25" customHeight="1">
      <c r="M593" s="720" t="str">
        <f>M586 &amp; ".7"</f>
        <v>4.0.3.1.2.4.7</v>
      </c>
      <c r="N593" s="458" t="s">
        <v>1375</v>
      </c>
      <c r="O593" s="189" t="s">
        <v>195</v>
      </c>
      <c r="AB593" s="248"/>
      <c r="AC593" s="248"/>
      <c r="AD593" s="248"/>
      <c r="AE593" s="462"/>
      <c r="AF593" s="462"/>
      <c r="AG593" s="462"/>
      <c r="AH593" s="248"/>
      <c r="AI593" s="248"/>
      <c r="AJ593" s="248"/>
      <c r="AK593" s="183">
        <f t="shared" si="45"/>
        <v>0</v>
      </c>
      <c r="AL593" s="183">
        <f t="shared" si="47"/>
        <v>0</v>
      </c>
      <c r="AM593" s="183">
        <f t="shared" si="47"/>
        <v>0</v>
      </c>
      <c r="AN593" s="310"/>
      <c r="AO593" s="310"/>
      <c r="AP593" s="310"/>
      <c r="AQ593" s="698" t="s">
        <v>1330</v>
      </c>
      <c r="AR593" s="310"/>
      <c r="AS593" s="310"/>
    </row>
    <row r="594" spans="13:45" customFormat="1" ht="11.25" customHeight="1">
      <c r="M594" s="490" t="s">
        <v>681</v>
      </c>
      <c r="N594" s="463" t="s">
        <v>655</v>
      </c>
      <c r="O594" s="189" t="s">
        <v>195</v>
      </c>
      <c r="AB594" s="248"/>
      <c r="AC594" s="248"/>
      <c r="AD594" s="248"/>
      <c r="AE594" s="462"/>
      <c r="AF594" s="462"/>
      <c r="AG594" s="462"/>
      <c r="AH594" s="248"/>
      <c r="AI594" s="248"/>
      <c r="AJ594" s="248"/>
      <c r="AK594" s="183">
        <f t="shared" si="45"/>
        <v>0</v>
      </c>
      <c r="AL594" s="196"/>
      <c r="AM594" s="196"/>
      <c r="AN594" s="310"/>
      <c r="AO594" s="310"/>
      <c r="AP594" s="310"/>
      <c r="AQ594" s="698" t="s">
        <v>1330</v>
      </c>
      <c r="AR594" s="310"/>
      <c r="AS594" s="310"/>
    </row>
    <row r="595" spans="13:45" customFormat="1" ht="11.25" customHeight="1">
      <c r="M595" s="720" t="str">
        <f>M594 &amp; ".1"</f>
        <v>4.0.3.1.2.5.1</v>
      </c>
      <c r="N595" s="459" t="s">
        <v>649</v>
      </c>
      <c r="O595" s="189" t="s">
        <v>506</v>
      </c>
      <c r="AB595" s="248"/>
      <c r="AC595" s="248"/>
      <c r="AD595" s="248"/>
      <c r="AE595" s="462"/>
      <c r="AF595" s="462"/>
      <c r="AG595" s="462"/>
      <c r="AH595" s="248"/>
      <c r="AI595" s="248"/>
      <c r="AJ595" s="248"/>
      <c r="AK595" s="686">
        <f>IF(AK596=0,0,AK594/AK596*1000)</f>
        <v>0</v>
      </c>
      <c r="AL595" s="686">
        <f>IF(AL596=0,0,AL594/AL596*1000)</f>
        <v>0</v>
      </c>
      <c r="AM595" s="686">
        <f>IF(AM596=0,0,AM594/AM596*1000)</f>
        <v>0</v>
      </c>
      <c r="AN595" s="310"/>
      <c r="AO595" s="310"/>
      <c r="AP595" s="310"/>
      <c r="AQ595" s="698" t="s">
        <v>1330</v>
      </c>
      <c r="AR595" s="310"/>
      <c r="AS595" s="310"/>
    </row>
    <row r="596" spans="13:45" customFormat="1" ht="11.25" customHeight="1">
      <c r="M596" s="720" t="str">
        <f>M594 &amp; ".2"</f>
        <v>4.0.3.1.2.5.2</v>
      </c>
      <c r="N596" s="459" t="s">
        <v>650</v>
      </c>
      <c r="O596" s="189" t="s">
        <v>507</v>
      </c>
      <c r="AB596" s="248"/>
      <c r="AC596" s="248"/>
      <c r="AD596" s="248"/>
      <c r="AE596" s="462"/>
      <c r="AF596" s="462"/>
      <c r="AG596" s="462"/>
      <c r="AH596" s="248"/>
      <c r="AI596" s="248"/>
      <c r="AJ596" s="248"/>
      <c r="AK596" s="183">
        <f>AL596+AM596</f>
        <v>0</v>
      </c>
      <c r="AL596" s="196"/>
      <c r="AM596" s="196"/>
      <c r="AN596" s="310"/>
      <c r="AO596" s="310"/>
      <c r="AP596" s="310"/>
      <c r="AQ596" s="698" t="s">
        <v>1330</v>
      </c>
      <c r="AR596" s="310"/>
      <c r="AS596" s="310"/>
    </row>
    <row r="597" spans="13:45" customFormat="1" ht="11.25" customHeight="1">
      <c r="M597" s="490" t="s">
        <v>1607</v>
      </c>
      <c r="N597" s="463" t="s">
        <v>656</v>
      </c>
      <c r="O597" s="189"/>
      <c r="AB597" s="248"/>
      <c r="AC597" s="248"/>
      <c r="AD597" s="248"/>
      <c r="AE597" s="462"/>
      <c r="AF597" s="462"/>
      <c r="AG597" s="462"/>
      <c r="AH597" s="248"/>
      <c r="AI597" s="248"/>
      <c r="AJ597" s="248"/>
      <c r="AK597" s="241"/>
      <c r="AL597" s="241"/>
      <c r="AM597" s="241"/>
      <c r="AN597" s="310"/>
      <c r="AO597" s="310"/>
      <c r="AP597" s="310"/>
      <c r="AQ597" s="36"/>
      <c r="AR597" s="310"/>
      <c r="AS597" s="310"/>
    </row>
    <row r="598" spans="13:45" customFormat="1" ht="11.25" customHeight="1">
      <c r="M598" s="718"/>
      <c r="N598" s="460"/>
      <c r="O598" s="461"/>
      <c r="AB598" s="248"/>
      <c r="AC598" s="248"/>
      <c r="AD598" s="248"/>
      <c r="AE598" s="462"/>
      <c r="AF598" s="462"/>
      <c r="AG598" s="462"/>
      <c r="AH598" s="248"/>
      <c r="AI598" s="248"/>
      <c r="AJ598" s="248"/>
      <c r="AK598" s="462"/>
      <c r="AL598" s="462"/>
      <c r="AM598" s="462"/>
      <c r="AN598" s="310"/>
      <c r="AO598" s="310"/>
      <c r="AP598" s="310"/>
      <c r="AQ598" s="698"/>
      <c r="AR598" s="310"/>
      <c r="AS598" s="310"/>
    </row>
    <row r="599" spans="13:45" customFormat="1" ht="11.25" customHeight="1">
      <c r="M599" s="718"/>
      <c r="N599" s="460"/>
      <c r="O599" s="461"/>
      <c r="AB599" s="248"/>
      <c r="AC599" s="248"/>
      <c r="AD599" s="248"/>
      <c r="AE599" s="462"/>
      <c r="AF599" s="462"/>
      <c r="AG599" s="462"/>
      <c r="AH599" s="248"/>
      <c r="AI599" s="248"/>
      <c r="AJ599" s="248"/>
      <c r="AK599" s="462"/>
      <c r="AL599" s="462"/>
      <c r="AM599" s="462"/>
      <c r="AN599" s="310"/>
      <c r="AO599" s="310"/>
      <c r="AP599" s="310"/>
      <c r="AQ599" s="698"/>
      <c r="AR599" s="310"/>
      <c r="AS599" s="310"/>
    </row>
    <row r="600" spans="13:45" customFormat="1" ht="11.25" customHeight="1">
      <c r="M600" s="718"/>
      <c r="N600" s="460"/>
      <c r="O600" s="461"/>
      <c r="AB600" s="248"/>
      <c r="AC600" s="248"/>
      <c r="AD600" s="248"/>
      <c r="AE600" s="462"/>
      <c r="AF600" s="462"/>
      <c r="AG600" s="462"/>
      <c r="AH600" s="248"/>
      <c r="AI600" s="248"/>
      <c r="AJ600" s="248"/>
      <c r="AK600" s="462"/>
      <c r="AL600" s="462"/>
      <c r="AM600" s="462"/>
      <c r="AN600" s="310"/>
      <c r="AO600" s="310"/>
      <c r="AP600" s="310"/>
      <c r="AQ600" s="698"/>
      <c r="AR600" s="310"/>
      <c r="AS600" s="310"/>
    </row>
    <row r="601" spans="13:45" customFormat="1" ht="11.25" customHeight="1">
      <c r="M601" s="718"/>
      <c r="N601" s="460"/>
      <c r="O601" s="461"/>
      <c r="AB601" s="248"/>
      <c r="AC601" s="248"/>
      <c r="AD601" s="248"/>
      <c r="AE601" s="462"/>
      <c r="AF601" s="462"/>
      <c r="AG601" s="462"/>
      <c r="AH601" s="248"/>
      <c r="AI601" s="248"/>
      <c r="AJ601" s="248"/>
      <c r="AK601" s="462"/>
      <c r="AL601" s="462"/>
      <c r="AM601" s="462"/>
      <c r="AN601" s="310"/>
      <c r="AO601" s="310"/>
      <c r="AP601" s="310"/>
      <c r="AQ601" s="698"/>
      <c r="AR601" s="310"/>
      <c r="AS601" s="310"/>
    </row>
    <row r="602" spans="13:45" customFormat="1" ht="11.25" customHeight="1">
      <c r="M602" s="718"/>
      <c r="N602" s="460"/>
      <c r="O602" s="461"/>
      <c r="AB602" s="248"/>
      <c r="AC602" s="248"/>
      <c r="AD602" s="248"/>
      <c r="AE602" s="462"/>
      <c r="AF602" s="462"/>
      <c r="AG602" s="462"/>
      <c r="AH602" s="248"/>
      <c r="AI602" s="248"/>
      <c r="AJ602" s="248"/>
      <c r="AK602" s="462"/>
      <c r="AL602" s="462"/>
      <c r="AM602" s="462"/>
      <c r="AN602" s="310"/>
      <c r="AO602" s="310"/>
      <c r="AP602" s="310"/>
      <c r="AQ602" s="698"/>
      <c r="AR602" s="310"/>
      <c r="AS602" s="310"/>
    </row>
    <row r="603" spans="13:45" customFormat="1" ht="11.25" customHeight="1">
      <c r="M603" s="718"/>
      <c r="N603" s="460"/>
      <c r="O603" s="461"/>
      <c r="AB603" s="248"/>
      <c r="AC603" s="248"/>
      <c r="AD603" s="248"/>
      <c r="AE603" s="462"/>
      <c r="AF603" s="462"/>
      <c r="AG603" s="462"/>
      <c r="AH603" s="248"/>
      <c r="AI603" s="248"/>
      <c r="AJ603" s="248"/>
      <c r="AK603" s="462"/>
      <c r="AL603" s="462"/>
      <c r="AM603" s="462"/>
      <c r="AN603" s="310"/>
      <c r="AO603" s="310"/>
      <c r="AP603" s="310"/>
      <c r="AQ603" s="698"/>
      <c r="AR603" s="310"/>
      <c r="AS603" s="310"/>
    </row>
    <row r="604" spans="13:45" customFormat="1" ht="11.25" customHeight="1">
      <c r="M604" s="718"/>
      <c r="N604" s="460"/>
      <c r="O604" s="461"/>
      <c r="AB604" s="248"/>
      <c r="AC604" s="248"/>
      <c r="AD604" s="248"/>
      <c r="AE604" s="462"/>
      <c r="AF604" s="462"/>
      <c r="AG604" s="462"/>
      <c r="AH604" s="248"/>
      <c r="AI604" s="248"/>
      <c r="AJ604" s="248"/>
      <c r="AK604" s="462"/>
      <c r="AL604" s="462"/>
      <c r="AM604" s="462"/>
      <c r="AN604" s="310"/>
      <c r="AO604" s="310"/>
      <c r="AP604" s="310"/>
      <c r="AQ604" s="698"/>
      <c r="AR604" s="310"/>
      <c r="AS604" s="310"/>
    </row>
    <row r="605" spans="13:45" customFormat="1" ht="11.25" customHeight="1">
      <c r="M605" s="718"/>
      <c r="N605" s="460"/>
      <c r="O605" s="461"/>
      <c r="AB605" s="248"/>
      <c r="AC605" s="248"/>
      <c r="AD605" s="248"/>
      <c r="AE605" s="462"/>
      <c r="AF605" s="462"/>
      <c r="AG605" s="462"/>
      <c r="AH605" s="248"/>
      <c r="AI605" s="248"/>
      <c r="AJ605" s="248"/>
      <c r="AK605" s="462"/>
      <c r="AL605" s="462"/>
      <c r="AM605" s="462"/>
      <c r="AN605" s="310"/>
      <c r="AO605" s="310"/>
      <c r="AP605" s="310"/>
      <c r="AQ605" s="698"/>
      <c r="AR605" s="310"/>
      <c r="AS605" s="310"/>
    </row>
    <row r="606" spans="13:45" customFormat="1" ht="11.25" customHeight="1">
      <c r="M606" s="696" t="s">
        <v>1612</v>
      </c>
      <c r="N606" s="701" t="s">
        <v>684</v>
      </c>
      <c r="O606" s="189" t="s">
        <v>751</v>
      </c>
      <c r="AB606" s="248"/>
      <c r="AC606" s="248"/>
      <c r="AD606" s="248"/>
      <c r="AE606" s="462"/>
      <c r="AF606" s="462"/>
      <c r="AG606" s="462"/>
      <c r="AH606" s="248"/>
      <c r="AI606" s="248"/>
      <c r="AJ606" s="248"/>
      <c r="AK606" s="686">
        <f>IF(AK658=0,0,AK710/AK658*1000)</f>
        <v>0</v>
      </c>
      <c r="AL606" s="196"/>
      <c r="AM606" s="196"/>
      <c r="AN606" s="310"/>
      <c r="AO606" s="310"/>
      <c r="AP606" s="310"/>
      <c r="AQ606" s="698" t="s">
        <v>1332</v>
      </c>
      <c r="AR606" s="310"/>
      <c r="AS606" s="310"/>
    </row>
    <row r="607" spans="13:45" customFormat="1" ht="11.25" customHeight="1">
      <c r="M607" s="696" t="s">
        <v>1613</v>
      </c>
      <c r="N607" s="702" t="s">
        <v>718</v>
      </c>
      <c r="O607" s="189" t="s">
        <v>751</v>
      </c>
      <c r="AB607" s="248"/>
      <c r="AC607" s="248"/>
      <c r="AD607" s="248"/>
      <c r="AE607" s="462"/>
      <c r="AF607" s="462"/>
      <c r="AG607" s="462"/>
      <c r="AH607" s="248"/>
      <c r="AI607" s="248"/>
      <c r="AJ607" s="248"/>
      <c r="AK607" s="686">
        <f t="shared" ref="AK607:AK638" si="48">IF(AK659=0,0,AK711/AK659*1000)</f>
        <v>0</v>
      </c>
      <c r="AL607" s="196"/>
      <c r="AM607" s="196"/>
      <c r="AN607" s="310"/>
      <c r="AO607" s="310"/>
      <c r="AP607" s="310"/>
      <c r="AQ607" s="698" t="s">
        <v>1333</v>
      </c>
      <c r="AR607" s="310"/>
      <c r="AS607" s="310"/>
    </row>
    <row r="608" spans="13:45" customFormat="1" ht="11.25" customHeight="1">
      <c r="M608" s="696" t="s">
        <v>1614</v>
      </c>
      <c r="N608" s="703" t="s">
        <v>722</v>
      </c>
      <c r="O608" s="189" t="s">
        <v>751</v>
      </c>
      <c r="AB608" s="248"/>
      <c r="AC608" s="248"/>
      <c r="AD608" s="248"/>
      <c r="AE608" s="462"/>
      <c r="AF608" s="462"/>
      <c r="AG608" s="462"/>
      <c r="AH608" s="248"/>
      <c r="AI608" s="248"/>
      <c r="AJ608" s="248"/>
      <c r="AK608" s="686">
        <f t="shared" si="48"/>
        <v>0</v>
      </c>
      <c r="AL608" s="686">
        <f>IF(AL660=0,0,AL712/AL660*1000)</f>
        <v>0</v>
      </c>
      <c r="AM608" s="686">
        <f>IF(AM660=0,0,AM712/AM660*1000)</f>
        <v>0</v>
      </c>
      <c r="AN608" s="310"/>
      <c r="AO608" s="310"/>
      <c r="AP608" s="310"/>
      <c r="AQ608" s="698" t="s">
        <v>1334</v>
      </c>
      <c r="AR608" s="310"/>
      <c r="AS608" s="310"/>
    </row>
    <row r="609" spans="13:45" customFormat="1" ht="11.25" customHeight="1">
      <c r="M609" s="696" t="s">
        <v>1615</v>
      </c>
      <c r="N609" s="704" t="s">
        <v>1309</v>
      </c>
      <c r="O609" s="189" t="s">
        <v>751</v>
      </c>
      <c r="AB609" s="248"/>
      <c r="AC609" s="248"/>
      <c r="AD609" s="248"/>
      <c r="AE609" s="462"/>
      <c r="AF609" s="462"/>
      <c r="AG609" s="462"/>
      <c r="AH609" s="248"/>
      <c r="AI609" s="248"/>
      <c r="AJ609" s="248"/>
      <c r="AK609" s="686">
        <f t="shared" si="48"/>
        <v>0</v>
      </c>
      <c r="AL609" s="196"/>
      <c r="AM609" s="196"/>
      <c r="AN609" s="310"/>
      <c r="AO609" s="310"/>
      <c r="AP609" s="310"/>
      <c r="AQ609" s="698" t="s">
        <v>1335</v>
      </c>
      <c r="AR609" s="310"/>
      <c r="AS609" s="310"/>
    </row>
    <row r="610" spans="13:45" customFormat="1" ht="11.25" customHeight="1">
      <c r="M610" s="696" t="s">
        <v>1616</v>
      </c>
      <c r="N610" s="704" t="s">
        <v>1310</v>
      </c>
      <c r="O610" s="189" t="s">
        <v>751</v>
      </c>
      <c r="AB610" s="248"/>
      <c r="AC610" s="248"/>
      <c r="AD610" s="248"/>
      <c r="AE610" s="462"/>
      <c r="AF610" s="462"/>
      <c r="AG610" s="462"/>
      <c r="AH610" s="248"/>
      <c r="AI610" s="248"/>
      <c r="AJ610" s="248"/>
      <c r="AK610" s="686">
        <f t="shared" si="48"/>
        <v>0</v>
      </c>
      <c r="AL610" s="196"/>
      <c r="AM610" s="196"/>
      <c r="AN610" s="310"/>
      <c r="AO610" s="310"/>
      <c r="AP610" s="310"/>
      <c r="AQ610" s="698" t="s">
        <v>1336</v>
      </c>
      <c r="AR610" s="310"/>
      <c r="AS610" s="310"/>
    </row>
    <row r="611" spans="13:45" customFormat="1" ht="11.25" customHeight="1">
      <c r="M611" s="696" t="s">
        <v>1617</v>
      </c>
      <c r="N611" s="704" t="s">
        <v>1311</v>
      </c>
      <c r="O611" s="189" t="s">
        <v>751</v>
      </c>
      <c r="AB611" s="248"/>
      <c r="AC611" s="248"/>
      <c r="AD611" s="248"/>
      <c r="AE611" s="462"/>
      <c r="AF611" s="462"/>
      <c r="AG611" s="462"/>
      <c r="AH611" s="248"/>
      <c r="AI611" s="248"/>
      <c r="AJ611" s="248"/>
      <c r="AK611" s="686">
        <f t="shared" si="48"/>
        <v>0</v>
      </c>
      <c r="AL611" s="196"/>
      <c r="AM611" s="196"/>
      <c r="AN611" s="310"/>
      <c r="AO611" s="310"/>
      <c r="AP611" s="310"/>
      <c r="AQ611" s="698" t="s">
        <v>1337</v>
      </c>
      <c r="AR611" s="310"/>
      <c r="AS611" s="310"/>
    </row>
    <row r="612" spans="13:45" customFormat="1" ht="11.25" customHeight="1">
      <c r="M612" s="696" t="s">
        <v>1618</v>
      </c>
      <c r="N612" s="704" t="s">
        <v>1312</v>
      </c>
      <c r="O612" s="189" t="s">
        <v>751</v>
      </c>
      <c r="AB612" s="248"/>
      <c r="AC612" s="248"/>
      <c r="AD612" s="248"/>
      <c r="AE612" s="462"/>
      <c r="AF612" s="462"/>
      <c r="AG612" s="462"/>
      <c r="AH612" s="248"/>
      <c r="AI612" s="248"/>
      <c r="AJ612" s="248"/>
      <c r="AK612" s="686">
        <f t="shared" si="48"/>
        <v>0</v>
      </c>
      <c r="AL612" s="196"/>
      <c r="AM612" s="196"/>
      <c r="AN612" s="310"/>
      <c r="AO612" s="310"/>
      <c r="AP612" s="310"/>
      <c r="AQ612" s="698" t="s">
        <v>1338</v>
      </c>
      <c r="AR612" s="310"/>
      <c r="AS612" s="310"/>
    </row>
    <row r="613" spans="13:45" customFormat="1" ht="11.25" customHeight="1">
      <c r="M613" s="696" t="s">
        <v>1619</v>
      </c>
      <c r="N613" s="705" t="s">
        <v>720</v>
      </c>
      <c r="O613" s="189" t="s">
        <v>751</v>
      </c>
      <c r="AB613" s="248"/>
      <c r="AC613" s="248"/>
      <c r="AD613" s="248"/>
      <c r="AE613" s="462"/>
      <c r="AF613" s="462"/>
      <c r="AG613" s="462"/>
      <c r="AH613" s="248"/>
      <c r="AI613" s="248"/>
      <c r="AJ613" s="248"/>
      <c r="AK613" s="686">
        <f t="shared" si="48"/>
        <v>0</v>
      </c>
      <c r="AL613" s="686">
        <f>IF(AL665=0,0,AL717/AL665*1000)</f>
        <v>0</v>
      </c>
      <c r="AM613" s="686">
        <f>IF(AM665=0,0,AM717/AM665*1000)</f>
        <v>0</v>
      </c>
      <c r="AN613" s="310"/>
      <c r="AO613" s="310"/>
      <c r="AP613" s="310"/>
      <c r="AQ613" s="698" t="s">
        <v>1343</v>
      </c>
      <c r="AR613" s="310"/>
      <c r="AS613" s="310"/>
    </row>
    <row r="614" spans="13:45" customFormat="1" ht="11.25" customHeight="1">
      <c r="M614" s="696" t="s">
        <v>1875</v>
      </c>
      <c r="N614" s="706" t="s">
        <v>1313</v>
      </c>
      <c r="O614" s="189" t="s">
        <v>751</v>
      </c>
      <c r="AB614" s="248"/>
      <c r="AC614" s="248"/>
      <c r="AD614" s="248"/>
      <c r="AE614" s="462"/>
      <c r="AF614" s="462"/>
      <c r="AG614" s="462"/>
      <c r="AH614" s="248"/>
      <c r="AI614" s="248"/>
      <c r="AJ614" s="248"/>
      <c r="AK614" s="686">
        <f t="shared" si="48"/>
        <v>0</v>
      </c>
      <c r="AL614" s="196"/>
      <c r="AM614" s="196"/>
      <c r="AN614" s="310"/>
      <c r="AO614" s="310"/>
      <c r="AP614" s="310"/>
      <c r="AQ614" s="698" t="s">
        <v>1866</v>
      </c>
      <c r="AR614" s="310"/>
      <c r="AS614" s="310"/>
    </row>
    <row r="615" spans="13:45" customFormat="1" ht="11.25" customHeight="1">
      <c r="M615" s="696" t="s">
        <v>1856</v>
      </c>
      <c r="N615" s="706" t="s">
        <v>1314</v>
      </c>
      <c r="O615" s="189" t="s">
        <v>751</v>
      </c>
      <c r="AB615" s="248"/>
      <c r="AC615" s="248"/>
      <c r="AD615" s="248"/>
      <c r="AE615" s="462"/>
      <c r="AF615" s="462"/>
      <c r="AG615" s="462"/>
      <c r="AH615" s="248"/>
      <c r="AI615" s="248"/>
      <c r="AJ615" s="248"/>
      <c r="AK615" s="686">
        <f t="shared" si="48"/>
        <v>0</v>
      </c>
      <c r="AL615" s="196"/>
      <c r="AM615" s="196"/>
      <c r="AN615" s="310"/>
      <c r="AO615" s="310"/>
      <c r="AP615" s="310"/>
      <c r="AQ615" s="698" t="s">
        <v>1847</v>
      </c>
      <c r="AR615" s="310"/>
      <c r="AS615" s="310"/>
    </row>
    <row r="616" spans="13:45" customFormat="1" ht="11.25" customHeight="1">
      <c r="M616" s="696" t="s">
        <v>1837</v>
      </c>
      <c r="N616" s="706" t="s">
        <v>1315</v>
      </c>
      <c r="O616" s="189" t="s">
        <v>751</v>
      </c>
      <c r="AB616" s="248"/>
      <c r="AC616" s="248"/>
      <c r="AD616" s="248"/>
      <c r="AE616" s="462"/>
      <c r="AF616" s="462"/>
      <c r="AG616" s="462"/>
      <c r="AH616" s="248"/>
      <c r="AI616" s="248"/>
      <c r="AJ616" s="248"/>
      <c r="AK616" s="686">
        <f t="shared" si="48"/>
        <v>0</v>
      </c>
      <c r="AL616" s="196"/>
      <c r="AM616" s="196"/>
      <c r="AN616" s="310"/>
      <c r="AO616" s="310"/>
      <c r="AP616" s="310"/>
      <c r="AQ616" s="698" t="s">
        <v>1827</v>
      </c>
      <c r="AR616" s="310"/>
      <c r="AS616" s="310"/>
    </row>
    <row r="617" spans="13:45" customFormat="1" ht="11.25" customHeight="1">
      <c r="M617" s="696" t="s">
        <v>1620</v>
      </c>
      <c r="N617" s="706" t="s">
        <v>1316</v>
      </c>
      <c r="O617" s="189" t="s">
        <v>751</v>
      </c>
      <c r="AB617" s="248"/>
      <c r="AC617" s="248"/>
      <c r="AD617" s="248"/>
      <c r="AE617" s="462"/>
      <c r="AF617" s="462"/>
      <c r="AG617" s="462"/>
      <c r="AH617" s="248"/>
      <c r="AI617" s="248"/>
      <c r="AJ617" s="248"/>
      <c r="AK617" s="686">
        <f t="shared" si="48"/>
        <v>0</v>
      </c>
      <c r="AL617" s="196"/>
      <c r="AM617" s="196"/>
      <c r="AN617" s="310"/>
      <c r="AO617" s="310"/>
      <c r="AP617" s="310"/>
      <c r="AQ617" s="698" t="s">
        <v>1344</v>
      </c>
      <c r="AR617" s="310"/>
      <c r="AS617" s="310"/>
    </row>
    <row r="618" spans="13:45" customFormat="1" ht="11.25" customHeight="1">
      <c r="M618" s="696" t="s">
        <v>1621</v>
      </c>
      <c r="N618" s="706" t="s">
        <v>1317</v>
      </c>
      <c r="O618" s="189" t="s">
        <v>751</v>
      </c>
      <c r="AB618" s="248"/>
      <c r="AC618" s="248"/>
      <c r="AD618" s="248"/>
      <c r="AE618" s="462"/>
      <c r="AF618" s="462"/>
      <c r="AG618" s="462"/>
      <c r="AH618" s="248"/>
      <c r="AI618" s="248"/>
      <c r="AJ618" s="248"/>
      <c r="AK618" s="686">
        <f t="shared" si="48"/>
        <v>0</v>
      </c>
      <c r="AL618" s="196"/>
      <c r="AM618" s="196"/>
      <c r="AN618" s="310"/>
      <c r="AO618" s="310"/>
      <c r="AP618" s="310"/>
      <c r="AQ618" s="698" t="s">
        <v>1345</v>
      </c>
      <c r="AR618" s="310"/>
      <c r="AS618" s="310"/>
    </row>
    <row r="619" spans="13:45" customFormat="1" ht="11.25" customHeight="1">
      <c r="M619" s="696" t="s">
        <v>1622</v>
      </c>
      <c r="N619" s="706" t="s">
        <v>1318</v>
      </c>
      <c r="O619" s="189" t="s">
        <v>751</v>
      </c>
      <c r="AB619" s="248"/>
      <c r="AC619" s="248"/>
      <c r="AD619" s="248"/>
      <c r="AE619" s="462"/>
      <c r="AF619" s="462"/>
      <c r="AG619" s="462"/>
      <c r="AH619" s="248"/>
      <c r="AI619" s="248"/>
      <c r="AJ619" s="248"/>
      <c r="AK619" s="686">
        <f t="shared" si="48"/>
        <v>0</v>
      </c>
      <c r="AL619" s="196"/>
      <c r="AM619" s="196"/>
      <c r="AN619" s="310"/>
      <c r="AO619" s="310"/>
      <c r="AP619" s="310"/>
      <c r="AQ619" s="698" t="s">
        <v>1346</v>
      </c>
      <c r="AR619" s="310"/>
      <c r="AS619" s="310"/>
    </row>
    <row r="620" spans="13:45" customFormat="1" ht="11.25" customHeight="1">
      <c r="M620" s="696" t="s">
        <v>1623</v>
      </c>
      <c r="N620" s="707" t="s">
        <v>721</v>
      </c>
      <c r="O620" s="189" t="s">
        <v>751</v>
      </c>
      <c r="AB620" s="248"/>
      <c r="AC620" s="248"/>
      <c r="AD620" s="248"/>
      <c r="AE620" s="462"/>
      <c r="AF620" s="462"/>
      <c r="AG620" s="462"/>
      <c r="AH620" s="248"/>
      <c r="AI620" s="248"/>
      <c r="AJ620" s="248"/>
      <c r="AK620" s="686">
        <f t="shared" si="48"/>
        <v>0</v>
      </c>
      <c r="AL620" s="196"/>
      <c r="AM620" s="196"/>
      <c r="AN620" s="310"/>
      <c r="AO620" s="310"/>
      <c r="AP620" s="310"/>
      <c r="AQ620" s="698" t="s">
        <v>1347</v>
      </c>
      <c r="AR620" s="310"/>
      <c r="AS620" s="310"/>
    </row>
    <row r="621" spans="13:45" customFormat="1" ht="11.25" customHeight="1">
      <c r="M621" s="696" t="s">
        <v>1624</v>
      </c>
      <c r="N621" s="708" t="s">
        <v>712</v>
      </c>
      <c r="O621" s="189" t="s">
        <v>751</v>
      </c>
      <c r="AB621" s="248"/>
      <c r="AC621" s="248"/>
      <c r="AD621" s="248"/>
      <c r="AE621" s="462"/>
      <c r="AF621" s="462"/>
      <c r="AG621" s="462"/>
      <c r="AH621" s="248"/>
      <c r="AI621" s="248"/>
      <c r="AJ621" s="248"/>
      <c r="AK621" s="686">
        <f t="shared" si="48"/>
        <v>0</v>
      </c>
      <c r="AL621" s="686">
        <f>IF(AL673=0,0,AL725/AL673*1000)</f>
        <v>0</v>
      </c>
      <c r="AM621" s="686">
        <f>IF(AM673=0,0,AM725/AM673*1000)</f>
        <v>0</v>
      </c>
      <c r="AN621" s="310"/>
      <c r="AO621" s="310"/>
      <c r="AP621" s="310"/>
      <c r="AQ621" s="698" t="s">
        <v>1348</v>
      </c>
      <c r="AR621" s="310"/>
      <c r="AS621" s="310"/>
    </row>
    <row r="622" spans="13:45" customFormat="1" ht="11.25" customHeight="1">
      <c r="M622" s="696" t="s">
        <v>2790</v>
      </c>
      <c r="N622" s="709" t="s">
        <v>1319</v>
      </c>
      <c r="O622" s="189" t="s">
        <v>751</v>
      </c>
      <c r="AB622" s="248"/>
      <c r="AC622" s="248"/>
      <c r="AD622" s="248"/>
      <c r="AE622" s="462"/>
      <c r="AF622" s="462"/>
      <c r="AG622" s="462"/>
      <c r="AH622" s="248"/>
      <c r="AI622" s="248"/>
      <c r="AJ622" s="248"/>
      <c r="AK622" s="686">
        <f t="shared" si="48"/>
        <v>0</v>
      </c>
      <c r="AL622" s="196"/>
      <c r="AM622" s="196"/>
      <c r="AN622" s="310"/>
      <c r="AO622" s="310"/>
      <c r="AP622" s="310"/>
      <c r="AQ622" s="698" t="s">
        <v>2612</v>
      </c>
      <c r="AR622" s="310"/>
      <c r="AS622" s="310"/>
    </row>
    <row r="623" spans="13:45" customFormat="1" ht="11.25" customHeight="1">
      <c r="M623" s="696" t="s">
        <v>2791</v>
      </c>
      <c r="N623" s="709" t="s">
        <v>1320</v>
      </c>
      <c r="O623" s="189" t="s">
        <v>751</v>
      </c>
      <c r="AB623" s="248"/>
      <c r="AC623" s="248"/>
      <c r="AD623" s="248"/>
      <c r="AE623" s="462"/>
      <c r="AF623" s="462"/>
      <c r="AG623" s="462"/>
      <c r="AH623" s="248"/>
      <c r="AI623" s="248"/>
      <c r="AJ623" s="248"/>
      <c r="AK623" s="686">
        <f t="shared" si="48"/>
        <v>0</v>
      </c>
      <c r="AL623" s="196"/>
      <c r="AM623" s="196"/>
      <c r="AN623" s="310"/>
      <c r="AO623" s="310"/>
      <c r="AP623" s="310"/>
      <c r="AQ623" s="698" t="s">
        <v>2614</v>
      </c>
      <c r="AR623" s="310"/>
      <c r="AS623" s="310"/>
    </row>
    <row r="624" spans="13:45" customFormat="1" ht="11.25" customHeight="1">
      <c r="M624" s="696" t="s">
        <v>2792</v>
      </c>
      <c r="N624" s="709" t="s">
        <v>1321</v>
      </c>
      <c r="O624" s="189" t="s">
        <v>751</v>
      </c>
      <c r="AB624" s="248"/>
      <c r="AC624" s="248"/>
      <c r="AD624" s="248"/>
      <c r="AE624" s="462"/>
      <c r="AF624" s="462"/>
      <c r="AG624" s="462"/>
      <c r="AH624" s="248"/>
      <c r="AI624" s="248"/>
      <c r="AJ624" s="248"/>
      <c r="AK624" s="686">
        <f t="shared" si="48"/>
        <v>0</v>
      </c>
      <c r="AL624" s="196"/>
      <c r="AM624" s="196"/>
      <c r="AN624" s="310"/>
      <c r="AO624" s="310"/>
      <c r="AP624" s="310"/>
      <c r="AQ624" s="698" t="s">
        <v>2616</v>
      </c>
      <c r="AR624" s="310"/>
      <c r="AS624" s="310"/>
    </row>
    <row r="625" spans="13:45" customFormat="1" ht="11.25" customHeight="1">
      <c r="M625" s="696" t="s">
        <v>2793</v>
      </c>
      <c r="N625" s="709" t="s">
        <v>2618</v>
      </c>
      <c r="O625" s="189" t="s">
        <v>751</v>
      </c>
      <c r="AB625" s="248"/>
      <c r="AC625" s="248"/>
      <c r="AD625" s="248"/>
      <c r="AE625" s="462"/>
      <c r="AF625" s="462"/>
      <c r="AG625" s="462"/>
      <c r="AH625" s="248"/>
      <c r="AI625" s="248"/>
      <c r="AJ625" s="248"/>
      <c r="AK625" s="686">
        <f t="shared" si="48"/>
        <v>0</v>
      </c>
      <c r="AL625" s="196"/>
      <c r="AM625" s="196"/>
      <c r="AN625" s="310"/>
      <c r="AO625" s="310"/>
      <c r="AP625" s="310"/>
      <c r="AQ625" s="698" t="s">
        <v>2619</v>
      </c>
      <c r="AR625" s="310"/>
      <c r="AS625" s="310"/>
    </row>
    <row r="626" spans="13:45" customFormat="1" ht="11.25" customHeight="1">
      <c r="M626" s="696" t="s">
        <v>2794</v>
      </c>
      <c r="N626" s="709" t="s">
        <v>2621</v>
      </c>
      <c r="O626" s="189" t="s">
        <v>751</v>
      </c>
      <c r="AB626" s="248"/>
      <c r="AC626" s="248"/>
      <c r="AD626" s="248"/>
      <c r="AE626" s="462"/>
      <c r="AF626" s="462"/>
      <c r="AG626" s="462"/>
      <c r="AH626" s="248"/>
      <c r="AI626" s="248"/>
      <c r="AJ626" s="248"/>
      <c r="AK626" s="686">
        <f t="shared" si="48"/>
        <v>0</v>
      </c>
      <c r="AL626" s="196"/>
      <c r="AM626" s="196"/>
      <c r="AN626" s="310"/>
      <c r="AO626" s="310"/>
      <c r="AP626" s="310"/>
      <c r="AQ626" s="698" t="s">
        <v>2622</v>
      </c>
      <c r="AR626" s="310"/>
      <c r="AS626" s="310"/>
    </row>
    <row r="627" spans="13:45" customFormat="1" ht="11.25" customHeight="1">
      <c r="M627" s="696" t="s">
        <v>2795</v>
      </c>
      <c r="N627" s="709" t="s">
        <v>1322</v>
      </c>
      <c r="O627" s="189" t="s">
        <v>751</v>
      </c>
      <c r="AB627" s="248"/>
      <c r="AC627" s="248"/>
      <c r="AD627" s="248"/>
      <c r="AE627" s="462"/>
      <c r="AF627" s="462"/>
      <c r="AG627" s="462"/>
      <c r="AH627" s="248"/>
      <c r="AI627" s="248"/>
      <c r="AJ627" s="248"/>
      <c r="AK627" s="686">
        <f t="shared" si="48"/>
        <v>0</v>
      </c>
      <c r="AL627" s="196"/>
      <c r="AM627" s="196"/>
      <c r="AN627" s="310"/>
      <c r="AO627" s="310"/>
      <c r="AP627" s="310"/>
      <c r="AQ627" s="698" t="s">
        <v>2624</v>
      </c>
      <c r="AR627" s="310"/>
      <c r="AS627" s="310"/>
    </row>
    <row r="628" spans="13:45" customFormat="1" ht="11.25" customHeight="1">
      <c r="M628" s="696" t="s">
        <v>2796</v>
      </c>
      <c r="N628" s="709" t="s">
        <v>2626</v>
      </c>
      <c r="O628" s="189" t="s">
        <v>751</v>
      </c>
      <c r="AB628" s="248"/>
      <c r="AC628" s="248"/>
      <c r="AD628" s="248"/>
      <c r="AE628" s="462"/>
      <c r="AF628" s="462"/>
      <c r="AG628" s="462"/>
      <c r="AH628" s="248"/>
      <c r="AI628" s="248"/>
      <c r="AJ628" s="248"/>
      <c r="AK628" s="686">
        <f t="shared" si="48"/>
        <v>0</v>
      </c>
      <c r="AL628" s="196"/>
      <c r="AM628" s="196"/>
      <c r="AN628" s="310"/>
      <c r="AO628" s="310"/>
      <c r="AP628" s="310"/>
      <c r="AQ628" s="698" t="s">
        <v>2627</v>
      </c>
      <c r="AR628" s="310"/>
      <c r="AS628" s="310"/>
    </row>
    <row r="629" spans="13:45" customFormat="1" ht="11.25" customHeight="1">
      <c r="M629" s="696" t="s">
        <v>2797</v>
      </c>
      <c r="N629" s="709" t="s">
        <v>1323</v>
      </c>
      <c r="O629" s="189" t="s">
        <v>751</v>
      </c>
      <c r="AB629" s="248"/>
      <c r="AC629" s="248"/>
      <c r="AD629" s="248"/>
      <c r="AE629" s="462"/>
      <c r="AF629" s="462"/>
      <c r="AG629" s="462"/>
      <c r="AH629" s="248"/>
      <c r="AI629" s="248"/>
      <c r="AJ629" s="248"/>
      <c r="AK629" s="686">
        <f t="shared" si="48"/>
        <v>0</v>
      </c>
      <c r="AL629" s="196"/>
      <c r="AM629" s="196"/>
      <c r="AN629" s="310"/>
      <c r="AO629" s="310"/>
      <c r="AP629" s="310"/>
      <c r="AQ629" s="698" t="s">
        <v>2629</v>
      </c>
      <c r="AR629" s="310"/>
      <c r="AS629" s="310"/>
    </row>
    <row r="630" spans="13:45" customFormat="1" ht="11.25" customHeight="1">
      <c r="M630" s="696" t="s">
        <v>2798</v>
      </c>
      <c r="N630" s="709" t="s">
        <v>1324</v>
      </c>
      <c r="O630" s="189" t="s">
        <v>751</v>
      </c>
      <c r="AB630" s="248"/>
      <c r="AC630" s="248"/>
      <c r="AD630" s="248"/>
      <c r="AE630" s="462"/>
      <c r="AF630" s="462"/>
      <c r="AG630" s="462"/>
      <c r="AH630" s="248"/>
      <c r="AI630" s="248"/>
      <c r="AJ630" s="248"/>
      <c r="AK630" s="686">
        <f t="shared" si="48"/>
        <v>0</v>
      </c>
      <c r="AL630" s="196"/>
      <c r="AM630" s="196"/>
      <c r="AN630" s="310"/>
      <c r="AO630" s="310"/>
      <c r="AP630" s="310"/>
      <c r="AQ630" s="698" t="s">
        <v>2631</v>
      </c>
      <c r="AR630" s="310"/>
      <c r="AS630" s="310"/>
    </row>
    <row r="631" spans="13:45" customFormat="1" ht="11.25" customHeight="1">
      <c r="M631" s="696" t="s">
        <v>2799</v>
      </c>
      <c r="N631" s="709" t="s">
        <v>2633</v>
      </c>
      <c r="O631" s="189" t="s">
        <v>751</v>
      </c>
      <c r="AB631" s="248"/>
      <c r="AC631" s="248"/>
      <c r="AD631" s="248"/>
      <c r="AE631" s="462"/>
      <c r="AF631" s="462"/>
      <c r="AG631" s="462"/>
      <c r="AH631" s="248"/>
      <c r="AI631" s="248"/>
      <c r="AJ631" s="248"/>
      <c r="AK631" s="686">
        <f t="shared" si="48"/>
        <v>0</v>
      </c>
      <c r="AL631" s="196"/>
      <c r="AM631" s="196"/>
      <c r="AN631" s="310"/>
      <c r="AO631" s="310"/>
      <c r="AP631" s="310"/>
      <c r="AQ631" s="698" t="s">
        <v>2634</v>
      </c>
      <c r="AR631" s="310"/>
      <c r="AS631" s="310"/>
    </row>
    <row r="632" spans="13:45" customFormat="1" ht="11.25" customHeight="1">
      <c r="M632" s="696" t="s">
        <v>2800</v>
      </c>
      <c r="N632" s="709" t="s">
        <v>2636</v>
      </c>
      <c r="O632" s="189" t="s">
        <v>751</v>
      </c>
      <c r="AB632" s="248"/>
      <c r="AC632" s="248"/>
      <c r="AD632" s="248"/>
      <c r="AE632" s="462"/>
      <c r="AF632" s="462"/>
      <c r="AG632" s="462"/>
      <c r="AH632" s="248"/>
      <c r="AI632" s="248"/>
      <c r="AJ632" s="248"/>
      <c r="AK632" s="686">
        <f t="shared" si="48"/>
        <v>0</v>
      </c>
      <c r="AL632" s="196"/>
      <c r="AM632" s="196"/>
      <c r="AN632" s="310"/>
      <c r="AO632" s="310"/>
      <c r="AP632" s="310"/>
      <c r="AQ632" s="698" t="s">
        <v>2637</v>
      </c>
      <c r="AR632" s="310"/>
      <c r="AS632" s="310"/>
    </row>
    <row r="633" spans="13:45" customFormat="1" ht="11.25" customHeight="1">
      <c r="M633" s="696" t="s">
        <v>2801</v>
      </c>
      <c r="N633" s="709" t="s">
        <v>2639</v>
      </c>
      <c r="O633" s="189" t="s">
        <v>751</v>
      </c>
      <c r="AB633" s="248"/>
      <c r="AC633" s="248"/>
      <c r="AD633" s="248"/>
      <c r="AE633" s="462"/>
      <c r="AF633" s="462"/>
      <c r="AG633" s="462"/>
      <c r="AH633" s="248"/>
      <c r="AI633" s="248"/>
      <c r="AJ633" s="248"/>
      <c r="AK633" s="686">
        <f t="shared" si="48"/>
        <v>0</v>
      </c>
      <c r="AL633" s="196"/>
      <c r="AM633" s="196"/>
      <c r="AN633" s="310"/>
      <c r="AO633" s="310"/>
      <c r="AP633" s="310"/>
      <c r="AQ633" s="698" t="s">
        <v>2640</v>
      </c>
      <c r="AR633" s="310"/>
      <c r="AS633" s="310"/>
    </row>
    <row r="634" spans="13:45" customFormat="1" ht="11.25" customHeight="1">
      <c r="M634" s="696" t="s">
        <v>2802</v>
      </c>
      <c r="N634" s="709" t="s">
        <v>2642</v>
      </c>
      <c r="O634" s="189" t="s">
        <v>751</v>
      </c>
      <c r="AB634" s="248"/>
      <c r="AC634" s="248"/>
      <c r="AD634" s="248"/>
      <c r="AE634" s="462"/>
      <c r="AF634" s="462"/>
      <c r="AG634" s="462"/>
      <c r="AH634" s="248"/>
      <c r="AI634" s="248"/>
      <c r="AJ634" s="248"/>
      <c r="AK634" s="686">
        <f t="shared" si="48"/>
        <v>0</v>
      </c>
      <c r="AL634" s="196"/>
      <c r="AM634" s="196"/>
      <c r="AN634" s="310"/>
      <c r="AO634" s="310"/>
      <c r="AP634" s="310"/>
      <c r="AQ634" s="698" t="s">
        <v>2643</v>
      </c>
      <c r="AR634" s="310"/>
      <c r="AS634" s="310"/>
    </row>
    <row r="635" spans="13:45" customFormat="1" ht="11.25" customHeight="1">
      <c r="M635" s="696" t="s">
        <v>2803</v>
      </c>
      <c r="N635" s="709" t="s">
        <v>2645</v>
      </c>
      <c r="O635" s="189" t="s">
        <v>751</v>
      </c>
      <c r="AB635" s="248"/>
      <c r="AC635" s="248"/>
      <c r="AD635" s="248"/>
      <c r="AE635" s="462"/>
      <c r="AF635" s="462"/>
      <c r="AG635" s="462"/>
      <c r="AH635" s="248"/>
      <c r="AI635" s="248"/>
      <c r="AJ635" s="248"/>
      <c r="AK635" s="686">
        <f t="shared" si="48"/>
        <v>0</v>
      </c>
      <c r="AL635" s="196"/>
      <c r="AM635" s="196"/>
      <c r="AN635" s="310"/>
      <c r="AO635" s="310"/>
      <c r="AP635" s="310"/>
      <c r="AQ635" s="698" t="s">
        <v>2646</v>
      </c>
      <c r="AR635" s="310"/>
      <c r="AS635" s="310"/>
    </row>
    <row r="636" spans="13:45" customFormat="1" ht="11.25" customHeight="1">
      <c r="M636" s="696" t="s">
        <v>2804</v>
      </c>
      <c r="N636" s="709" t="s">
        <v>1325</v>
      </c>
      <c r="O636" s="189" t="s">
        <v>751</v>
      </c>
      <c r="AB636" s="248"/>
      <c r="AC636" s="248"/>
      <c r="AD636" s="248"/>
      <c r="AE636" s="462"/>
      <c r="AF636" s="462"/>
      <c r="AG636" s="462"/>
      <c r="AH636" s="248"/>
      <c r="AI636" s="248"/>
      <c r="AJ636" s="248"/>
      <c r="AK636" s="686">
        <f t="shared" si="48"/>
        <v>0</v>
      </c>
      <c r="AL636" s="196"/>
      <c r="AM636" s="196"/>
      <c r="AN636" s="310"/>
      <c r="AO636" s="310"/>
      <c r="AP636" s="310"/>
      <c r="AQ636" s="698" t="s">
        <v>2648</v>
      </c>
      <c r="AR636" s="310"/>
      <c r="AS636" s="310"/>
    </row>
    <row r="637" spans="13:45" customFormat="1" ht="11.25" customHeight="1">
      <c r="M637" s="696" t="s">
        <v>2805</v>
      </c>
      <c r="N637" s="709" t="s">
        <v>1326</v>
      </c>
      <c r="O637" s="189" t="s">
        <v>751</v>
      </c>
      <c r="AB637" s="248"/>
      <c r="AC637" s="248"/>
      <c r="AD637" s="248"/>
      <c r="AE637" s="462"/>
      <c r="AF637" s="462"/>
      <c r="AG637" s="462"/>
      <c r="AH637" s="248"/>
      <c r="AI637" s="248"/>
      <c r="AJ637" s="248"/>
      <c r="AK637" s="686">
        <f t="shared" si="48"/>
        <v>0</v>
      </c>
      <c r="AL637" s="196"/>
      <c r="AM637" s="196"/>
      <c r="AN637" s="310"/>
      <c r="AO637" s="310"/>
      <c r="AP637" s="310"/>
      <c r="AQ637" s="698" t="s">
        <v>2650</v>
      </c>
      <c r="AR637" s="310"/>
      <c r="AS637" s="310"/>
    </row>
    <row r="638" spans="13:45" customFormat="1" ht="11.25" customHeight="1">
      <c r="M638" s="696" t="s">
        <v>2806</v>
      </c>
      <c r="N638" s="709" t="s">
        <v>2652</v>
      </c>
      <c r="O638" s="189" t="s">
        <v>751</v>
      </c>
      <c r="AB638" s="248"/>
      <c r="AC638" s="248"/>
      <c r="AD638" s="248"/>
      <c r="AE638" s="462"/>
      <c r="AF638" s="462"/>
      <c r="AG638" s="462"/>
      <c r="AH638" s="248"/>
      <c r="AI638" s="248"/>
      <c r="AJ638" s="248"/>
      <c r="AK638" s="686">
        <f t="shared" si="48"/>
        <v>0</v>
      </c>
      <c r="AL638" s="196"/>
      <c r="AM638" s="196"/>
      <c r="AN638" s="310"/>
      <c r="AO638" s="310"/>
      <c r="AP638" s="310"/>
      <c r="AQ638" s="698" t="s">
        <v>2653</v>
      </c>
      <c r="AR638" s="310"/>
      <c r="AS638" s="310"/>
    </row>
    <row r="639" spans="13:45" customFormat="1" ht="11.25" customHeight="1">
      <c r="M639" s="718"/>
      <c r="N639" s="460"/>
      <c r="O639" s="461"/>
      <c r="AB639" s="248"/>
      <c r="AC639" s="248"/>
      <c r="AD639" s="248"/>
      <c r="AE639" s="462"/>
      <c r="AF639" s="462"/>
      <c r="AG639" s="462"/>
      <c r="AH639" s="248"/>
      <c r="AI639" s="248"/>
      <c r="AJ639" s="248"/>
      <c r="AK639" s="462"/>
      <c r="AL639" s="462"/>
      <c r="AM639" s="462"/>
      <c r="AN639" s="310"/>
      <c r="AO639" s="310"/>
      <c r="AP639" s="310"/>
      <c r="AQ639" s="698"/>
      <c r="AR639" s="310"/>
      <c r="AS639" s="310"/>
    </row>
    <row r="640" spans="13:45" customFormat="1" ht="11.25" customHeight="1">
      <c r="M640" s="718"/>
      <c r="N640" s="460"/>
      <c r="O640" s="461"/>
      <c r="AB640" s="248"/>
      <c r="AC640" s="248"/>
      <c r="AD640" s="248"/>
      <c r="AE640" s="462"/>
      <c r="AF640" s="462"/>
      <c r="AG640" s="462"/>
      <c r="AH640" s="248"/>
      <c r="AI640" s="248"/>
      <c r="AJ640" s="248"/>
      <c r="AK640" s="462"/>
      <c r="AL640" s="462"/>
      <c r="AM640" s="462"/>
      <c r="AN640" s="310"/>
      <c r="AO640" s="310"/>
      <c r="AP640" s="310"/>
      <c r="AQ640" s="698"/>
      <c r="AR640" s="310"/>
      <c r="AS640" s="310"/>
    </row>
    <row r="641" spans="13:45" customFormat="1" ht="11.25" customHeight="1">
      <c r="M641" s="696" t="s">
        <v>1625</v>
      </c>
      <c r="N641" s="719" t="s">
        <v>1327</v>
      </c>
      <c r="O641" s="189" t="s">
        <v>751</v>
      </c>
      <c r="AB641" s="248"/>
      <c r="AC641" s="248"/>
      <c r="AD641" s="248"/>
      <c r="AE641" s="462"/>
      <c r="AF641" s="462"/>
      <c r="AG641" s="462"/>
      <c r="AH641" s="248"/>
      <c r="AI641" s="248"/>
      <c r="AJ641" s="248"/>
      <c r="AK641" s="686">
        <f t="shared" ref="AK641:AK647" si="49">IF(AK693=0,0,AK745/AK693*1000)</f>
        <v>0</v>
      </c>
      <c r="AL641" s="196"/>
      <c r="AM641" s="196"/>
      <c r="AN641" s="310"/>
      <c r="AO641" s="310"/>
      <c r="AP641" s="310"/>
      <c r="AQ641" s="698" t="s">
        <v>1357</v>
      </c>
      <c r="AR641" s="310"/>
      <c r="AS641" s="310"/>
    </row>
    <row r="642" spans="13:45" customFormat="1" ht="11.25" customHeight="1">
      <c r="M642" s="696" t="s">
        <v>1626</v>
      </c>
      <c r="N642" s="712" t="s">
        <v>723</v>
      </c>
      <c r="O642" s="189" t="s">
        <v>751</v>
      </c>
      <c r="AB642" s="248"/>
      <c r="AC642" s="248"/>
      <c r="AD642" s="248"/>
      <c r="AE642" s="462"/>
      <c r="AF642" s="462"/>
      <c r="AG642" s="462"/>
      <c r="AH642" s="248"/>
      <c r="AI642" s="248"/>
      <c r="AJ642" s="248"/>
      <c r="AK642" s="686">
        <f t="shared" si="49"/>
        <v>0</v>
      </c>
      <c r="AL642" s="196"/>
      <c r="AM642" s="196"/>
      <c r="AN642" s="310"/>
      <c r="AO642" s="310"/>
      <c r="AP642" s="310"/>
      <c r="AQ642" s="698" t="s">
        <v>1350</v>
      </c>
      <c r="AR642" s="310"/>
      <c r="AS642" s="310"/>
    </row>
    <row r="643" spans="13:45" customFormat="1" ht="11.25" customHeight="1">
      <c r="M643" s="696" t="s">
        <v>1627</v>
      </c>
      <c r="N643" s="713" t="s">
        <v>748</v>
      </c>
      <c r="O643" s="189" t="s">
        <v>751</v>
      </c>
      <c r="AB643" s="248"/>
      <c r="AC643" s="248"/>
      <c r="AD643" s="248"/>
      <c r="AE643" s="462"/>
      <c r="AF643" s="462"/>
      <c r="AG643" s="462"/>
      <c r="AH643" s="248"/>
      <c r="AI643" s="248"/>
      <c r="AJ643" s="248"/>
      <c r="AK643" s="686">
        <f t="shared" si="49"/>
        <v>0</v>
      </c>
      <c r="AL643" s="196"/>
      <c r="AM643" s="196"/>
      <c r="AN643" s="310"/>
      <c r="AO643" s="310"/>
      <c r="AP643" s="310"/>
      <c r="AQ643" s="698" t="s">
        <v>1351</v>
      </c>
      <c r="AR643" s="310"/>
      <c r="AS643" s="310"/>
    </row>
    <row r="644" spans="13:45" customFormat="1" ht="11.25" customHeight="1">
      <c r="M644" s="696" t="s">
        <v>1628</v>
      </c>
      <c r="N644" s="714" t="s">
        <v>315</v>
      </c>
      <c r="O644" s="189" t="s">
        <v>751</v>
      </c>
      <c r="AB644" s="248"/>
      <c r="AC644" s="248"/>
      <c r="AD644" s="248"/>
      <c r="AE644" s="462"/>
      <c r="AF644" s="462"/>
      <c r="AG644" s="462"/>
      <c r="AH644" s="248"/>
      <c r="AI644" s="248"/>
      <c r="AJ644" s="248"/>
      <c r="AK644" s="686">
        <f t="shared" si="49"/>
        <v>0</v>
      </c>
      <c r="AL644" s="196"/>
      <c r="AM644" s="196"/>
      <c r="AN644" s="310"/>
      <c r="AO644" s="310"/>
      <c r="AP644" s="310"/>
      <c r="AQ644" s="698" t="s">
        <v>1352</v>
      </c>
      <c r="AR644" s="310"/>
      <c r="AS644" s="310"/>
    </row>
    <row r="645" spans="13:45" customFormat="1" ht="11.25" customHeight="1">
      <c r="M645" s="696" t="s">
        <v>1629</v>
      </c>
      <c r="N645" s="715" t="s">
        <v>316</v>
      </c>
      <c r="O645" s="189" t="s">
        <v>751</v>
      </c>
      <c r="AB645" s="248"/>
      <c r="AC645" s="248"/>
      <c r="AD645" s="248"/>
      <c r="AE645" s="462"/>
      <c r="AF645" s="462"/>
      <c r="AG645" s="462"/>
      <c r="AH645" s="248"/>
      <c r="AI645" s="248"/>
      <c r="AJ645" s="248"/>
      <c r="AK645" s="686">
        <f t="shared" si="49"/>
        <v>0</v>
      </c>
      <c r="AL645" s="196"/>
      <c r="AM645" s="196"/>
      <c r="AN645" s="310"/>
      <c r="AO645" s="310"/>
      <c r="AP645" s="310"/>
      <c r="AQ645" s="698" t="s">
        <v>1354</v>
      </c>
      <c r="AR645" s="310"/>
      <c r="AS645" s="310"/>
    </row>
    <row r="646" spans="13:45" customFormat="1" ht="11.25" customHeight="1">
      <c r="M646" s="696" t="s">
        <v>1630</v>
      </c>
      <c r="N646" s="716" t="s">
        <v>317</v>
      </c>
      <c r="O646" s="189" t="s">
        <v>751</v>
      </c>
      <c r="AB646" s="248"/>
      <c r="AC646" s="248"/>
      <c r="AD646" s="248"/>
      <c r="AE646" s="462"/>
      <c r="AF646" s="462"/>
      <c r="AG646" s="462"/>
      <c r="AH646" s="248"/>
      <c r="AI646" s="248"/>
      <c r="AJ646" s="248"/>
      <c r="AK646" s="686">
        <f t="shared" si="49"/>
        <v>0</v>
      </c>
      <c r="AL646" s="196"/>
      <c r="AM646" s="196"/>
      <c r="AN646" s="310"/>
      <c r="AO646" s="310"/>
      <c r="AP646" s="310"/>
      <c r="AQ646" s="698" t="s">
        <v>1353</v>
      </c>
      <c r="AR646" s="310"/>
      <c r="AS646" s="310"/>
    </row>
    <row r="647" spans="13:45" customFormat="1" ht="11.25" customHeight="1">
      <c r="M647" s="696" t="s">
        <v>1631</v>
      </c>
      <c r="N647" s="701" t="s">
        <v>318</v>
      </c>
      <c r="O647" s="189" t="s">
        <v>751</v>
      </c>
      <c r="AB647" s="248"/>
      <c r="AC647" s="248"/>
      <c r="AD647" s="248"/>
      <c r="AE647" s="462"/>
      <c r="AF647" s="462"/>
      <c r="AG647" s="462"/>
      <c r="AH647" s="248"/>
      <c r="AI647" s="248"/>
      <c r="AJ647" s="248"/>
      <c r="AK647" s="686">
        <f t="shared" si="49"/>
        <v>0</v>
      </c>
      <c r="AL647" s="196"/>
      <c r="AM647" s="196"/>
      <c r="AN647" s="310"/>
      <c r="AO647" s="310"/>
      <c r="AP647" s="310"/>
      <c r="AQ647" s="698" t="s">
        <v>1355</v>
      </c>
      <c r="AR647" s="310"/>
      <c r="AS647" s="310"/>
    </row>
    <row r="648" spans="13:45" customFormat="1" ht="11.25" customHeight="1">
      <c r="M648" s="718"/>
      <c r="N648" s="460"/>
      <c r="O648" s="461"/>
      <c r="AB648" s="248"/>
      <c r="AC648" s="248"/>
      <c r="AD648" s="248"/>
      <c r="AE648" s="462"/>
      <c r="AF648" s="462"/>
      <c r="AG648" s="462"/>
      <c r="AH648" s="248"/>
      <c r="AI648" s="248"/>
      <c r="AJ648" s="248"/>
      <c r="AK648" s="462"/>
      <c r="AL648" s="462"/>
      <c r="AM648" s="462"/>
      <c r="AN648" s="310"/>
      <c r="AO648" s="310"/>
      <c r="AP648" s="310"/>
      <c r="AQ648" s="698"/>
      <c r="AR648" s="310"/>
      <c r="AS648" s="310"/>
    </row>
    <row r="649" spans="13:45" customFormat="1" ht="11.25" customHeight="1">
      <c r="M649" s="490" t="s">
        <v>1608</v>
      </c>
      <c r="N649" s="463" t="s">
        <v>657</v>
      </c>
      <c r="O649" s="189"/>
      <c r="AB649" s="248"/>
      <c r="AC649" s="248"/>
      <c r="AD649" s="248"/>
      <c r="AE649" s="462"/>
      <c r="AF649" s="462"/>
      <c r="AG649" s="462"/>
      <c r="AH649" s="248"/>
      <c r="AI649" s="248"/>
      <c r="AJ649" s="248"/>
      <c r="AK649" s="241"/>
      <c r="AL649" s="241"/>
      <c r="AM649" s="241"/>
      <c r="AN649" s="310"/>
      <c r="AO649" s="310"/>
      <c r="AP649" s="310"/>
      <c r="AQ649" s="36"/>
      <c r="AR649" s="310"/>
      <c r="AS649" s="310"/>
    </row>
    <row r="650" spans="13:45" customFormat="1" ht="11.25" customHeight="1">
      <c r="M650" s="718"/>
      <c r="N650" s="460"/>
      <c r="O650" s="461"/>
      <c r="AB650" s="248"/>
      <c r="AC650" s="248"/>
      <c r="AD650" s="248"/>
      <c r="AE650" s="462"/>
      <c r="AF650" s="462"/>
      <c r="AG650" s="462"/>
      <c r="AH650" s="248"/>
      <c r="AI650" s="248"/>
      <c r="AJ650" s="248"/>
      <c r="AK650" s="462"/>
      <c r="AL650" s="462"/>
      <c r="AM650" s="462"/>
      <c r="AN650" s="310"/>
      <c r="AO650" s="310"/>
      <c r="AP650" s="310"/>
      <c r="AQ650" s="698"/>
      <c r="AR650" s="310"/>
      <c r="AS650" s="310"/>
    </row>
    <row r="651" spans="13:45" customFormat="1" ht="11.25" customHeight="1">
      <c r="M651" s="718"/>
      <c r="N651" s="460"/>
      <c r="O651" s="461"/>
      <c r="AB651" s="248"/>
      <c r="AC651" s="248"/>
      <c r="AD651" s="248"/>
      <c r="AE651" s="462"/>
      <c r="AF651" s="462"/>
      <c r="AG651" s="462"/>
      <c r="AH651" s="248"/>
      <c r="AI651" s="248"/>
      <c r="AJ651" s="248"/>
      <c r="AK651" s="462"/>
      <c r="AL651" s="462"/>
      <c r="AM651" s="462"/>
      <c r="AN651" s="310"/>
      <c r="AO651" s="310"/>
      <c r="AP651" s="310"/>
      <c r="AQ651" s="698"/>
      <c r="AR651" s="310"/>
      <c r="AS651" s="310"/>
    </row>
    <row r="652" spans="13:45" customFormat="1" ht="11.25" customHeight="1">
      <c r="M652" s="718"/>
      <c r="N652" s="460"/>
      <c r="O652" s="461"/>
      <c r="AB652" s="248"/>
      <c r="AC652" s="248"/>
      <c r="AD652" s="248"/>
      <c r="AE652" s="462"/>
      <c r="AF652" s="462"/>
      <c r="AG652" s="462"/>
      <c r="AH652" s="248"/>
      <c r="AI652" s="248"/>
      <c r="AJ652" s="248"/>
      <c r="AK652" s="462"/>
      <c r="AL652" s="462"/>
      <c r="AM652" s="462"/>
      <c r="AN652" s="310"/>
      <c r="AO652" s="310"/>
      <c r="AP652" s="310"/>
      <c r="AQ652" s="698"/>
      <c r="AR652" s="310"/>
      <c r="AS652" s="310"/>
    </row>
    <row r="653" spans="13:45" customFormat="1" ht="11.25" customHeight="1">
      <c r="M653" s="718"/>
      <c r="N653" s="460"/>
      <c r="O653" s="461"/>
      <c r="AB653" s="248"/>
      <c r="AC653" s="248"/>
      <c r="AD653" s="248"/>
      <c r="AE653" s="462"/>
      <c r="AF653" s="462"/>
      <c r="AG653" s="462"/>
      <c r="AH653" s="248"/>
      <c r="AI653" s="248"/>
      <c r="AJ653" s="248"/>
      <c r="AK653" s="462"/>
      <c r="AL653" s="462"/>
      <c r="AM653" s="462"/>
      <c r="AN653" s="310"/>
      <c r="AO653" s="310"/>
      <c r="AP653" s="310"/>
      <c r="AQ653" s="698"/>
      <c r="AR653" s="310"/>
      <c r="AS653" s="310"/>
    </row>
    <row r="654" spans="13:45" customFormat="1" ht="11.25" customHeight="1">
      <c r="M654" s="718"/>
      <c r="N654" s="460"/>
      <c r="O654" s="461"/>
      <c r="AB654" s="248"/>
      <c r="AC654" s="248"/>
      <c r="AD654" s="248"/>
      <c r="AE654" s="462"/>
      <c r="AF654" s="462"/>
      <c r="AG654" s="462"/>
      <c r="AH654" s="248"/>
      <c r="AI654" s="248"/>
      <c r="AJ654" s="248"/>
      <c r="AK654" s="462"/>
      <c r="AL654" s="462"/>
      <c r="AM654" s="462"/>
      <c r="AN654" s="310"/>
      <c r="AO654" s="310"/>
      <c r="AP654" s="310"/>
      <c r="AQ654" s="698"/>
      <c r="AR654" s="310"/>
      <c r="AS654" s="310"/>
    </row>
    <row r="655" spans="13:45" customFormat="1" ht="11.25" customHeight="1">
      <c r="M655" s="718"/>
      <c r="N655" s="460"/>
      <c r="O655" s="461"/>
      <c r="AB655" s="248"/>
      <c r="AC655" s="248"/>
      <c r="AD655" s="248"/>
      <c r="AE655" s="462"/>
      <c r="AF655" s="462"/>
      <c r="AG655" s="462"/>
      <c r="AH655" s="248"/>
      <c r="AI655" s="248"/>
      <c r="AJ655" s="248"/>
      <c r="AK655" s="462"/>
      <c r="AL655" s="462"/>
      <c r="AM655" s="462"/>
      <c r="AN655" s="310"/>
      <c r="AO655" s="310"/>
      <c r="AP655" s="310"/>
      <c r="AQ655" s="698"/>
      <c r="AR655" s="310"/>
      <c r="AS655" s="310"/>
    </row>
    <row r="656" spans="13:45" customFormat="1" ht="11.25" customHeight="1">
      <c r="M656" s="718"/>
      <c r="N656" s="460"/>
      <c r="O656" s="461"/>
      <c r="AB656" s="248"/>
      <c r="AC656" s="248"/>
      <c r="AD656" s="248"/>
      <c r="AE656" s="462"/>
      <c r="AF656" s="462"/>
      <c r="AG656" s="462"/>
      <c r="AH656" s="248"/>
      <c r="AI656" s="248"/>
      <c r="AJ656" s="248"/>
      <c r="AK656" s="462"/>
      <c r="AL656" s="462"/>
      <c r="AM656" s="462"/>
      <c r="AN656" s="310"/>
      <c r="AO656" s="310"/>
      <c r="AP656" s="310"/>
      <c r="AQ656" s="698"/>
      <c r="AR656" s="310"/>
      <c r="AS656" s="310"/>
    </row>
    <row r="657" spans="13:45" customFormat="1" ht="11.25" customHeight="1">
      <c r="M657" s="718"/>
      <c r="N657" s="460"/>
      <c r="O657" s="461"/>
      <c r="AB657" s="248"/>
      <c r="AC657" s="248"/>
      <c r="AD657" s="248"/>
      <c r="AE657" s="462"/>
      <c r="AF657" s="462"/>
      <c r="AG657" s="462"/>
      <c r="AH657" s="248"/>
      <c r="AI657" s="248"/>
      <c r="AJ657" s="248"/>
      <c r="AK657" s="462"/>
      <c r="AL657" s="462"/>
      <c r="AM657" s="462"/>
      <c r="AN657" s="310"/>
      <c r="AO657" s="310"/>
      <c r="AP657" s="310"/>
      <c r="AQ657" s="698"/>
      <c r="AR657" s="310"/>
      <c r="AS657" s="310"/>
    </row>
    <row r="658" spans="13:45" customFormat="1" ht="11.25" customHeight="1">
      <c r="M658" s="696" t="s">
        <v>1632</v>
      </c>
      <c r="N658" s="701" t="s">
        <v>684</v>
      </c>
      <c r="O658" s="189" t="s">
        <v>758</v>
      </c>
      <c r="AB658" s="248"/>
      <c r="AC658" s="248"/>
      <c r="AD658" s="248"/>
      <c r="AE658" s="462"/>
      <c r="AF658" s="462"/>
      <c r="AG658" s="462"/>
      <c r="AH658" s="248"/>
      <c r="AI658" s="248"/>
      <c r="AJ658" s="248"/>
      <c r="AK658" s="183">
        <f t="shared" ref="AK658:AK690" si="50">AL658+AM658</f>
        <v>0</v>
      </c>
      <c r="AL658" s="196"/>
      <c r="AM658" s="196"/>
      <c r="AN658" s="310"/>
      <c r="AO658" s="310"/>
      <c r="AP658" s="310"/>
      <c r="AQ658" s="698" t="s">
        <v>1332</v>
      </c>
      <c r="AR658" s="310"/>
      <c r="AS658" s="310"/>
    </row>
    <row r="659" spans="13:45" customFormat="1" ht="11.25" customHeight="1">
      <c r="M659" s="696" t="s">
        <v>1633</v>
      </c>
      <c r="N659" s="702" t="s">
        <v>718</v>
      </c>
      <c r="O659" s="189" t="s">
        <v>758</v>
      </c>
      <c r="AB659" s="248"/>
      <c r="AC659" s="248"/>
      <c r="AD659" s="248"/>
      <c r="AE659" s="462"/>
      <c r="AF659" s="462"/>
      <c r="AG659" s="462"/>
      <c r="AH659" s="248"/>
      <c r="AI659" s="248"/>
      <c r="AJ659" s="248"/>
      <c r="AK659" s="183">
        <f t="shared" si="50"/>
        <v>0</v>
      </c>
      <c r="AL659" s="196"/>
      <c r="AM659" s="196"/>
      <c r="AN659" s="310"/>
      <c r="AO659" s="310"/>
      <c r="AP659" s="310"/>
      <c r="AQ659" s="698" t="s">
        <v>1333</v>
      </c>
      <c r="AR659" s="310"/>
      <c r="AS659" s="310"/>
    </row>
    <row r="660" spans="13:45" customFormat="1" ht="11.25" customHeight="1">
      <c r="M660" s="696" t="s">
        <v>1634</v>
      </c>
      <c r="N660" s="703" t="s">
        <v>722</v>
      </c>
      <c r="O660" s="189" t="s">
        <v>758</v>
      </c>
      <c r="AB660" s="248"/>
      <c r="AC660" s="248"/>
      <c r="AD660" s="248"/>
      <c r="AE660" s="462"/>
      <c r="AF660" s="462"/>
      <c r="AG660" s="462"/>
      <c r="AH660" s="248"/>
      <c r="AI660" s="248"/>
      <c r="AJ660" s="248"/>
      <c r="AK660" s="183">
        <f t="shared" si="50"/>
        <v>0</v>
      </c>
      <c r="AL660" s="183">
        <f>SUM(AL661:AL664)</f>
        <v>0</v>
      </c>
      <c r="AM660" s="183">
        <f>SUM(AM661:AM664)</f>
        <v>0</v>
      </c>
      <c r="AN660" s="310"/>
      <c r="AO660" s="310"/>
      <c r="AP660" s="310"/>
      <c r="AQ660" s="698" t="s">
        <v>1334</v>
      </c>
      <c r="AR660" s="310"/>
      <c r="AS660" s="310"/>
    </row>
    <row r="661" spans="13:45" customFormat="1" ht="11.25" customHeight="1">
      <c r="M661" s="696" t="s">
        <v>1635</v>
      </c>
      <c r="N661" s="704" t="s">
        <v>1309</v>
      </c>
      <c r="O661" s="189" t="s">
        <v>758</v>
      </c>
      <c r="AB661" s="248"/>
      <c r="AC661" s="248"/>
      <c r="AD661" s="248"/>
      <c r="AE661" s="462"/>
      <c r="AF661" s="462"/>
      <c r="AG661" s="462"/>
      <c r="AH661" s="248"/>
      <c r="AI661" s="248"/>
      <c r="AJ661" s="248"/>
      <c r="AK661" s="183">
        <f t="shared" si="50"/>
        <v>0</v>
      </c>
      <c r="AL661" s="196"/>
      <c r="AM661" s="196"/>
      <c r="AN661" s="310"/>
      <c r="AO661" s="310"/>
      <c r="AP661" s="310"/>
      <c r="AQ661" s="698" t="s">
        <v>1335</v>
      </c>
      <c r="AR661" s="310"/>
      <c r="AS661" s="310"/>
    </row>
    <row r="662" spans="13:45" customFormat="1" ht="11.25" customHeight="1">
      <c r="M662" s="696" t="s">
        <v>1636</v>
      </c>
      <c r="N662" s="704" t="s">
        <v>1310</v>
      </c>
      <c r="O662" s="189" t="s">
        <v>758</v>
      </c>
      <c r="AB662" s="248"/>
      <c r="AC662" s="248"/>
      <c r="AD662" s="248"/>
      <c r="AE662" s="462"/>
      <c r="AF662" s="462"/>
      <c r="AG662" s="462"/>
      <c r="AH662" s="248"/>
      <c r="AI662" s="248"/>
      <c r="AJ662" s="248"/>
      <c r="AK662" s="183">
        <f t="shared" si="50"/>
        <v>0</v>
      </c>
      <c r="AL662" s="196"/>
      <c r="AM662" s="196"/>
      <c r="AN662" s="310"/>
      <c r="AO662" s="310"/>
      <c r="AP662" s="310"/>
      <c r="AQ662" s="698" t="s">
        <v>1336</v>
      </c>
      <c r="AR662" s="310"/>
      <c r="AS662" s="310"/>
    </row>
    <row r="663" spans="13:45" customFormat="1" ht="11.25" customHeight="1">
      <c r="M663" s="696" t="s">
        <v>1637</v>
      </c>
      <c r="N663" s="704" t="s">
        <v>1311</v>
      </c>
      <c r="O663" s="189" t="s">
        <v>758</v>
      </c>
      <c r="AB663" s="248"/>
      <c r="AC663" s="248"/>
      <c r="AD663" s="248"/>
      <c r="AE663" s="462"/>
      <c r="AF663" s="462"/>
      <c r="AG663" s="462"/>
      <c r="AH663" s="248"/>
      <c r="AI663" s="248"/>
      <c r="AJ663" s="248"/>
      <c r="AK663" s="183">
        <f t="shared" si="50"/>
        <v>0</v>
      </c>
      <c r="AL663" s="196"/>
      <c r="AM663" s="196"/>
      <c r="AN663" s="310"/>
      <c r="AO663" s="310"/>
      <c r="AP663" s="310"/>
      <c r="AQ663" s="698" t="s">
        <v>1337</v>
      </c>
      <c r="AR663" s="310"/>
      <c r="AS663" s="310"/>
    </row>
    <row r="664" spans="13:45" customFormat="1" ht="11.25" customHeight="1">
      <c r="M664" s="696" t="s">
        <v>1638</v>
      </c>
      <c r="N664" s="704" t="s">
        <v>1312</v>
      </c>
      <c r="O664" s="189" t="s">
        <v>758</v>
      </c>
      <c r="AB664" s="248"/>
      <c r="AC664" s="248"/>
      <c r="AD664" s="248"/>
      <c r="AE664" s="462"/>
      <c r="AF664" s="462"/>
      <c r="AG664" s="462"/>
      <c r="AH664" s="248"/>
      <c r="AI664" s="248"/>
      <c r="AJ664" s="248"/>
      <c r="AK664" s="183">
        <f t="shared" si="50"/>
        <v>0</v>
      </c>
      <c r="AL664" s="196"/>
      <c r="AM664" s="196"/>
      <c r="AN664" s="310"/>
      <c r="AO664" s="310"/>
      <c r="AP664" s="310"/>
      <c r="AQ664" s="698" t="s">
        <v>1338</v>
      </c>
      <c r="AR664" s="310"/>
      <c r="AS664" s="310"/>
    </row>
    <row r="665" spans="13:45" customFormat="1" ht="11.25" customHeight="1">
      <c r="M665" s="696" t="s">
        <v>1639</v>
      </c>
      <c r="N665" s="705" t="s">
        <v>720</v>
      </c>
      <c r="O665" s="189" t="s">
        <v>758</v>
      </c>
      <c r="AB665" s="248"/>
      <c r="AC665" s="248"/>
      <c r="AD665" s="248"/>
      <c r="AE665" s="462"/>
      <c r="AF665" s="462"/>
      <c r="AG665" s="462"/>
      <c r="AH665" s="248"/>
      <c r="AI665" s="248"/>
      <c r="AJ665" s="248"/>
      <c r="AK665" s="183">
        <f t="shared" si="50"/>
        <v>0</v>
      </c>
      <c r="AL665" s="183">
        <f>SUM(AL666:AL671)</f>
        <v>0</v>
      </c>
      <c r="AM665" s="183">
        <f>SUM(AM666:AM671)</f>
        <v>0</v>
      </c>
      <c r="AN665" s="310"/>
      <c r="AO665" s="310"/>
      <c r="AP665" s="310"/>
      <c r="AQ665" s="698" t="s">
        <v>1343</v>
      </c>
      <c r="AR665" s="310"/>
      <c r="AS665" s="310"/>
    </row>
    <row r="666" spans="13:45" customFormat="1" ht="11.25" customHeight="1">
      <c r="M666" s="696" t="s">
        <v>1876</v>
      </c>
      <c r="N666" s="706" t="s">
        <v>1313</v>
      </c>
      <c r="O666" s="189" t="s">
        <v>758</v>
      </c>
      <c r="AB666" s="248"/>
      <c r="AC666" s="248"/>
      <c r="AD666" s="248"/>
      <c r="AE666" s="462"/>
      <c r="AF666" s="462"/>
      <c r="AG666" s="462"/>
      <c r="AH666" s="248"/>
      <c r="AI666" s="248"/>
      <c r="AJ666" s="248"/>
      <c r="AK666" s="183">
        <f t="shared" si="50"/>
        <v>0</v>
      </c>
      <c r="AL666" s="196"/>
      <c r="AM666" s="196"/>
      <c r="AN666" s="310"/>
      <c r="AO666" s="310"/>
      <c r="AP666" s="310"/>
      <c r="AQ666" s="698" t="s">
        <v>1866</v>
      </c>
      <c r="AR666" s="310"/>
      <c r="AS666" s="310"/>
    </row>
    <row r="667" spans="13:45" customFormat="1" ht="11.25" customHeight="1">
      <c r="M667" s="696" t="s">
        <v>1857</v>
      </c>
      <c r="N667" s="706" t="s">
        <v>1314</v>
      </c>
      <c r="O667" s="189" t="s">
        <v>758</v>
      </c>
      <c r="AB667" s="248"/>
      <c r="AC667" s="248"/>
      <c r="AD667" s="248"/>
      <c r="AE667" s="462"/>
      <c r="AF667" s="462"/>
      <c r="AG667" s="462"/>
      <c r="AH667" s="248"/>
      <c r="AI667" s="248"/>
      <c r="AJ667" s="248"/>
      <c r="AK667" s="183">
        <f t="shared" si="50"/>
        <v>0</v>
      </c>
      <c r="AL667" s="196"/>
      <c r="AM667" s="196"/>
      <c r="AN667" s="310"/>
      <c r="AO667" s="310"/>
      <c r="AP667" s="310"/>
      <c r="AQ667" s="698" t="s">
        <v>1847</v>
      </c>
      <c r="AR667" s="310"/>
      <c r="AS667" s="310"/>
    </row>
    <row r="668" spans="13:45" customFormat="1" ht="11.25" customHeight="1">
      <c r="M668" s="696" t="s">
        <v>1838</v>
      </c>
      <c r="N668" s="706" t="s">
        <v>1315</v>
      </c>
      <c r="O668" s="189" t="s">
        <v>758</v>
      </c>
      <c r="AB668" s="248"/>
      <c r="AC668" s="248"/>
      <c r="AD668" s="248"/>
      <c r="AE668" s="462"/>
      <c r="AF668" s="462"/>
      <c r="AG668" s="462"/>
      <c r="AH668" s="248"/>
      <c r="AI668" s="248"/>
      <c r="AJ668" s="248"/>
      <c r="AK668" s="183">
        <f t="shared" si="50"/>
        <v>0</v>
      </c>
      <c r="AL668" s="196"/>
      <c r="AM668" s="196"/>
      <c r="AN668" s="310"/>
      <c r="AO668" s="310"/>
      <c r="AP668" s="310"/>
      <c r="AQ668" s="698" t="s">
        <v>1827</v>
      </c>
      <c r="AR668" s="310"/>
      <c r="AS668" s="310"/>
    </row>
    <row r="669" spans="13:45" customFormat="1" ht="11.25" customHeight="1">
      <c r="M669" s="696" t="s">
        <v>1640</v>
      </c>
      <c r="N669" s="706" t="s">
        <v>1316</v>
      </c>
      <c r="O669" s="189" t="s">
        <v>758</v>
      </c>
      <c r="AB669" s="248"/>
      <c r="AC669" s="248"/>
      <c r="AD669" s="248"/>
      <c r="AE669" s="462"/>
      <c r="AF669" s="462"/>
      <c r="AG669" s="462"/>
      <c r="AH669" s="248"/>
      <c r="AI669" s="248"/>
      <c r="AJ669" s="248"/>
      <c r="AK669" s="183">
        <f t="shared" si="50"/>
        <v>0</v>
      </c>
      <c r="AL669" s="196"/>
      <c r="AM669" s="196"/>
      <c r="AN669" s="310"/>
      <c r="AO669" s="310"/>
      <c r="AP669" s="310"/>
      <c r="AQ669" s="698" t="s">
        <v>1344</v>
      </c>
      <c r="AR669" s="310"/>
      <c r="AS669" s="310"/>
    </row>
    <row r="670" spans="13:45" customFormat="1" ht="11.25" customHeight="1">
      <c r="M670" s="696" t="s">
        <v>1641</v>
      </c>
      <c r="N670" s="706" t="s">
        <v>1317</v>
      </c>
      <c r="O670" s="189" t="s">
        <v>758</v>
      </c>
      <c r="AB670" s="248"/>
      <c r="AC670" s="248"/>
      <c r="AD670" s="248"/>
      <c r="AE670" s="462"/>
      <c r="AF670" s="462"/>
      <c r="AG670" s="462"/>
      <c r="AH670" s="248"/>
      <c r="AI670" s="248"/>
      <c r="AJ670" s="248"/>
      <c r="AK670" s="183">
        <f t="shared" si="50"/>
        <v>0</v>
      </c>
      <c r="AL670" s="196"/>
      <c r="AM670" s="196"/>
      <c r="AN670" s="310"/>
      <c r="AO670" s="310"/>
      <c r="AP670" s="310"/>
      <c r="AQ670" s="698" t="s">
        <v>1345</v>
      </c>
      <c r="AR670" s="310"/>
      <c r="AS670" s="310"/>
    </row>
    <row r="671" spans="13:45" customFormat="1" ht="11.25" customHeight="1">
      <c r="M671" s="696" t="s">
        <v>1642</v>
      </c>
      <c r="N671" s="706" t="s">
        <v>1318</v>
      </c>
      <c r="O671" s="189" t="s">
        <v>758</v>
      </c>
      <c r="AB671" s="248"/>
      <c r="AC671" s="248"/>
      <c r="AD671" s="248"/>
      <c r="AE671" s="462"/>
      <c r="AF671" s="462"/>
      <c r="AG671" s="462"/>
      <c r="AH671" s="248"/>
      <c r="AI671" s="248"/>
      <c r="AJ671" s="248"/>
      <c r="AK671" s="183">
        <f t="shared" si="50"/>
        <v>0</v>
      </c>
      <c r="AL671" s="196"/>
      <c r="AM671" s="196"/>
      <c r="AN671" s="310"/>
      <c r="AO671" s="310"/>
      <c r="AP671" s="310"/>
      <c r="AQ671" s="698" t="s">
        <v>1346</v>
      </c>
      <c r="AR671" s="310"/>
      <c r="AS671" s="310"/>
    </row>
    <row r="672" spans="13:45" customFormat="1" ht="11.25" customHeight="1">
      <c r="M672" s="696" t="s">
        <v>1643</v>
      </c>
      <c r="N672" s="707" t="s">
        <v>721</v>
      </c>
      <c r="O672" s="189" t="s">
        <v>758</v>
      </c>
      <c r="AB672" s="248"/>
      <c r="AC672" s="248"/>
      <c r="AD672" s="248"/>
      <c r="AE672" s="462"/>
      <c r="AF672" s="462"/>
      <c r="AG672" s="462"/>
      <c r="AH672" s="248"/>
      <c r="AI672" s="248"/>
      <c r="AJ672" s="248"/>
      <c r="AK672" s="183">
        <f t="shared" si="50"/>
        <v>0</v>
      </c>
      <c r="AL672" s="196"/>
      <c r="AM672" s="196"/>
      <c r="AN672" s="310"/>
      <c r="AO672" s="310"/>
      <c r="AP672" s="310"/>
      <c r="AQ672" s="698" t="s">
        <v>1347</v>
      </c>
      <c r="AR672" s="310"/>
      <c r="AS672" s="310"/>
    </row>
    <row r="673" spans="13:45" customFormat="1" ht="11.25" customHeight="1">
      <c r="M673" s="696" t="s">
        <v>1644</v>
      </c>
      <c r="N673" s="708" t="s">
        <v>712</v>
      </c>
      <c r="O673" s="189" t="s">
        <v>758</v>
      </c>
      <c r="AB673" s="248"/>
      <c r="AC673" s="248"/>
      <c r="AD673" s="248"/>
      <c r="AE673" s="462"/>
      <c r="AF673" s="462"/>
      <c r="AG673" s="462"/>
      <c r="AH673" s="248"/>
      <c r="AI673" s="248"/>
      <c r="AJ673" s="248"/>
      <c r="AK673" s="183">
        <f t="shared" si="50"/>
        <v>0</v>
      </c>
      <c r="AL673" s="183">
        <f>SUM(AL674:AL690)</f>
        <v>0</v>
      </c>
      <c r="AM673" s="183">
        <f>SUM(AM674:AM690)</f>
        <v>0</v>
      </c>
      <c r="AN673" s="310"/>
      <c r="AO673" s="310"/>
      <c r="AP673" s="310"/>
      <c r="AQ673" s="698" t="s">
        <v>1348</v>
      </c>
      <c r="AR673" s="310"/>
      <c r="AS673" s="310"/>
    </row>
    <row r="674" spans="13:45" customFormat="1" ht="11.25" customHeight="1">
      <c r="M674" s="696" t="s">
        <v>2807</v>
      </c>
      <c r="N674" s="709" t="s">
        <v>1319</v>
      </c>
      <c r="O674" s="189" t="s">
        <v>758</v>
      </c>
      <c r="AB674" s="248"/>
      <c r="AC674" s="248"/>
      <c r="AD674" s="248"/>
      <c r="AE674" s="462"/>
      <c r="AF674" s="462"/>
      <c r="AG674" s="462"/>
      <c r="AH674" s="248"/>
      <c r="AI674" s="248"/>
      <c r="AJ674" s="248"/>
      <c r="AK674" s="183">
        <f t="shared" si="50"/>
        <v>0</v>
      </c>
      <c r="AL674" s="196"/>
      <c r="AM674" s="196"/>
      <c r="AN674" s="310"/>
      <c r="AO674" s="310"/>
      <c r="AP674" s="310"/>
      <c r="AQ674" s="698" t="s">
        <v>2612</v>
      </c>
      <c r="AR674" s="310"/>
      <c r="AS674" s="310"/>
    </row>
    <row r="675" spans="13:45" customFormat="1" ht="11.25" customHeight="1">
      <c r="M675" s="696" t="s">
        <v>2808</v>
      </c>
      <c r="N675" s="709" t="s">
        <v>1320</v>
      </c>
      <c r="O675" s="189" t="s">
        <v>758</v>
      </c>
      <c r="AB675" s="248"/>
      <c r="AC675" s="248"/>
      <c r="AD675" s="248"/>
      <c r="AE675" s="462"/>
      <c r="AF675" s="462"/>
      <c r="AG675" s="462"/>
      <c r="AH675" s="248"/>
      <c r="AI675" s="248"/>
      <c r="AJ675" s="248"/>
      <c r="AK675" s="183">
        <f t="shared" si="50"/>
        <v>0</v>
      </c>
      <c r="AL675" s="196"/>
      <c r="AM675" s="196"/>
      <c r="AN675" s="310"/>
      <c r="AO675" s="310"/>
      <c r="AP675" s="310"/>
      <c r="AQ675" s="698" t="s">
        <v>2614</v>
      </c>
      <c r="AR675" s="310"/>
      <c r="AS675" s="310"/>
    </row>
    <row r="676" spans="13:45" customFormat="1" ht="11.25" customHeight="1">
      <c r="M676" s="696" t="s">
        <v>2809</v>
      </c>
      <c r="N676" s="709" t="s">
        <v>1321</v>
      </c>
      <c r="O676" s="189" t="s">
        <v>758</v>
      </c>
      <c r="AB676" s="248"/>
      <c r="AC676" s="248"/>
      <c r="AD676" s="248"/>
      <c r="AE676" s="462"/>
      <c r="AF676" s="462"/>
      <c r="AG676" s="462"/>
      <c r="AH676" s="248"/>
      <c r="AI676" s="248"/>
      <c r="AJ676" s="248"/>
      <c r="AK676" s="183">
        <f t="shared" si="50"/>
        <v>0</v>
      </c>
      <c r="AL676" s="196"/>
      <c r="AM676" s="196"/>
      <c r="AN676" s="310"/>
      <c r="AO676" s="310"/>
      <c r="AP676" s="310"/>
      <c r="AQ676" s="698" t="s">
        <v>2616</v>
      </c>
      <c r="AR676" s="310"/>
      <c r="AS676" s="310"/>
    </row>
    <row r="677" spans="13:45" customFormat="1" ht="11.25" customHeight="1">
      <c r="M677" s="696" t="s">
        <v>2810</v>
      </c>
      <c r="N677" s="709" t="s">
        <v>2618</v>
      </c>
      <c r="O677" s="189" t="s">
        <v>758</v>
      </c>
      <c r="AB677" s="248"/>
      <c r="AC677" s="248"/>
      <c r="AD677" s="248"/>
      <c r="AE677" s="462"/>
      <c r="AF677" s="462"/>
      <c r="AG677" s="462"/>
      <c r="AH677" s="248"/>
      <c r="AI677" s="248"/>
      <c r="AJ677" s="248"/>
      <c r="AK677" s="183">
        <f t="shared" si="50"/>
        <v>0</v>
      </c>
      <c r="AL677" s="196"/>
      <c r="AM677" s="196"/>
      <c r="AN677" s="310"/>
      <c r="AO677" s="310"/>
      <c r="AP677" s="310"/>
      <c r="AQ677" s="698" t="s">
        <v>2619</v>
      </c>
      <c r="AR677" s="310"/>
      <c r="AS677" s="310"/>
    </row>
    <row r="678" spans="13:45" customFormat="1" ht="11.25" customHeight="1">
      <c r="M678" s="696" t="s">
        <v>2811</v>
      </c>
      <c r="N678" s="709" t="s">
        <v>2621</v>
      </c>
      <c r="O678" s="189" t="s">
        <v>758</v>
      </c>
      <c r="AB678" s="248"/>
      <c r="AC678" s="248"/>
      <c r="AD678" s="248"/>
      <c r="AE678" s="462"/>
      <c r="AF678" s="462"/>
      <c r="AG678" s="462"/>
      <c r="AH678" s="248"/>
      <c r="AI678" s="248"/>
      <c r="AJ678" s="248"/>
      <c r="AK678" s="183">
        <f t="shared" si="50"/>
        <v>0</v>
      </c>
      <c r="AL678" s="196"/>
      <c r="AM678" s="196"/>
      <c r="AN678" s="310"/>
      <c r="AO678" s="310"/>
      <c r="AP678" s="310"/>
      <c r="AQ678" s="698" t="s">
        <v>2622</v>
      </c>
      <c r="AR678" s="310"/>
      <c r="AS678" s="310"/>
    </row>
    <row r="679" spans="13:45" customFormat="1" ht="11.25" customHeight="1">
      <c r="M679" s="696" t="s">
        <v>2812</v>
      </c>
      <c r="N679" s="709" t="s">
        <v>1322</v>
      </c>
      <c r="O679" s="189" t="s">
        <v>758</v>
      </c>
      <c r="AB679" s="248"/>
      <c r="AC679" s="248"/>
      <c r="AD679" s="248"/>
      <c r="AE679" s="462"/>
      <c r="AF679" s="462"/>
      <c r="AG679" s="462"/>
      <c r="AH679" s="248"/>
      <c r="AI679" s="248"/>
      <c r="AJ679" s="248"/>
      <c r="AK679" s="183">
        <f t="shared" si="50"/>
        <v>0</v>
      </c>
      <c r="AL679" s="196"/>
      <c r="AM679" s="196"/>
      <c r="AN679" s="310"/>
      <c r="AO679" s="310"/>
      <c r="AP679" s="310"/>
      <c r="AQ679" s="698" t="s">
        <v>2624</v>
      </c>
      <c r="AR679" s="310"/>
      <c r="AS679" s="310"/>
    </row>
    <row r="680" spans="13:45" customFormat="1" ht="11.25" customHeight="1">
      <c r="M680" s="696" t="s">
        <v>2813</v>
      </c>
      <c r="N680" s="709" t="s">
        <v>2626</v>
      </c>
      <c r="O680" s="189" t="s">
        <v>758</v>
      </c>
      <c r="AB680" s="248"/>
      <c r="AC680" s="248"/>
      <c r="AD680" s="248"/>
      <c r="AE680" s="462"/>
      <c r="AF680" s="462"/>
      <c r="AG680" s="462"/>
      <c r="AH680" s="248"/>
      <c r="AI680" s="248"/>
      <c r="AJ680" s="248"/>
      <c r="AK680" s="183">
        <f t="shared" si="50"/>
        <v>0</v>
      </c>
      <c r="AL680" s="196"/>
      <c r="AM680" s="196"/>
      <c r="AN680" s="310"/>
      <c r="AO680" s="310"/>
      <c r="AP680" s="310"/>
      <c r="AQ680" s="698" t="s">
        <v>2627</v>
      </c>
      <c r="AR680" s="310"/>
      <c r="AS680" s="310"/>
    </row>
    <row r="681" spans="13:45" customFormat="1" ht="11.25" customHeight="1">
      <c r="M681" s="696" t="s">
        <v>2814</v>
      </c>
      <c r="N681" s="709" t="s">
        <v>1323</v>
      </c>
      <c r="O681" s="189" t="s">
        <v>758</v>
      </c>
      <c r="AB681" s="248"/>
      <c r="AC681" s="248"/>
      <c r="AD681" s="248"/>
      <c r="AE681" s="462"/>
      <c r="AF681" s="462"/>
      <c r="AG681" s="462"/>
      <c r="AH681" s="248"/>
      <c r="AI681" s="248"/>
      <c r="AJ681" s="248"/>
      <c r="AK681" s="183">
        <f t="shared" si="50"/>
        <v>0</v>
      </c>
      <c r="AL681" s="196"/>
      <c r="AM681" s="196"/>
      <c r="AN681" s="310"/>
      <c r="AO681" s="310"/>
      <c r="AP681" s="310"/>
      <c r="AQ681" s="698" t="s">
        <v>2629</v>
      </c>
      <c r="AR681" s="310"/>
      <c r="AS681" s="310"/>
    </row>
    <row r="682" spans="13:45" customFormat="1" ht="11.25" customHeight="1">
      <c r="M682" s="696" t="s">
        <v>2815</v>
      </c>
      <c r="N682" s="709" t="s">
        <v>1324</v>
      </c>
      <c r="O682" s="189" t="s">
        <v>758</v>
      </c>
      <c r="AB682" s="248"/>
      <c r="AC682" s="248"/>
      <c r="AD682" s="248"/>
      <c r="AE682" s="462"/>
      <c r="AF682" s="462"/>
      <c r="AG682" s="462"/>
      <c r="AH682" s="248"/>
      <c r="AI682" s="248"/>
      <c r="AJ682" s="248"/>
      <c r="AK682" s="183">
        <f t="shared" si="50"/>
        <v>0</v>
      </c>
      <c r="AL682" s="196"/>
      <c r="AM682" s="196"/>
      <c r="AN682" s="310"/>
      <c r="AO682" s="310"/>
      <c r="AP682" s="310"/>
      <c r="AQ682" s="698" t="s">
        <v>2631</v>
      </c>
      <c r="AR682" s="310"/>
      <c r="AS682" s="310"/>
    </row>
    <row r="683" spans="13:45" customFormat="1" ht="11.25" customHeight="1">
      <c r="M683" s="696" t="s">
        <v>2816</v>
      </c>
      <c r="N683" s="709" t="s">
        <v>2633</v>
      </c>
      <c r="O683" s="189" t="s">
        <v>758</v>
      </c>
      <c r="AB683" s="248"/>
      <c r="AC683" s="248"/>
      <c r="AD683" s="248"/>
      <c r="AE683" s="462"/>
      <c r="AF683" s="462"/>
      <c r="AG683" s="462"/>
      <c r="AH683" s="248"/>
      <c r="AI683" s="248"/>
      <c r="AJ683" s="248"/>
      <c r="AK683" s="183">
        <f t="shared" si="50"/>
        <v>0</v>
      </c>
      <c r="AL683" s="196"/>
      <c r="AM683" s="196"/>
      <c r="AN683" s="310"/>
      <c r="AO683" s="310"/>
      <c r="AP683" s="310"/>
      <c r="AQ683" s="698" t="s">
        <v>2634</v>
      </c>
      <c r="AR683" s="310"/>
      <c r="AS683" s="310"/>
    </row>
    <row r="684" spans="13:45" customFormat="1" ht="11.25" customHeight="1">
      <c r="M684" s="696" t="s">
        <v>2817</v>
      </c>
      <c r="N684" s="709" t="s">
        <v>2636</v>
      </c>
      <c r="O684" s="189" t="s">
        <v>758</v>
      </c>
      <c r="AB684" s="248"/>
      <c r="AC684" s="248"/>
      <c r="AD684" s="248"/>
      <c r="AE684" s="462"/>
      <c r="AF684" s="462"/>
      <c r="AG684" s="462"/>
      <c r="AH684" s="248"/>
      <c r="AI684" s="248"/>
      <c r="AJ684" s="248"/>
      <c r="AK684" s="183">
        <f t="shared" si="50"/>
        <v>0</v>
      </c>
      <c r="AL684" s="196"/>
      <c r="AM684" s="196"/>
      <c r="AN684" s="310"/>
      <c r="AO684" s="310"/>
      <c r="AP684" s="310"/>
      <c r="AQ684" s="698" t="s">
        <v>2637</v>
      </c>
      <c r="AR684" s="310"/>
      <c r="AS684" s="310"/>
    </row>
    <row r="685" spans="13:45" customFormat="1" ht="11.25" customHeight="1">
      <c r="M685" s="696" t="s">
        <v>2818</v>
      </c>
      <c r="N685" s="709" t="s">
        <v>2639</v>
      </c>
      <c r="O685" s="189" t="s">
        <v>758</v>
      </c>
      <c r="AB685" s="248"/>
      <c r="AC685" s="248"/>
      <c r="AD685" s="248"/>
      <c r="AE685" s="462"/>
      <c r="AF685" s="462"/>
      <c r="AG685" s="462"/>
      <c r="AH685" s="248"/>
      <c r="AI685" s="248"/>
      <c r="AJ685" s="248"/>
      <c r="AK685" s="183">
        <f t="shared" si="50"/>
        <v>0</v>
      </c>
      <c r="AL685" s="196"/>
      <c r="AM685" s="196"/>
      <c r="AN685" s="310"/>
      <c r="AO685" s="310"/>
      <c r="AP685" s="310"/>
      <c r="AQ685" s="698" t="s">
        <v>2640</v>
      </c>
      <c r="AR685" s="310"/>
      <c r="AS685" s="310"/>
    </row>
    <row r="686" spans="13:45" customFormat="1" ht="11.25" customHeight="1">
      <c r="M686" s="696" t="s">
        <v>2819</v>
      </c>
      <c r="N686" s="709" t="s">
        <v>2642</v>
      </c>
      <c r="O686" s="189" t="s">
        <v>758</v>
      </c>
      <c r="AB686" s="248"/>
      <c r="AC686" s="248"/>
      <c r="AD686" s="248"/>
      <c r="AE686" s="462"/>
      <c r="AF686" s="462"/>
      <c r="AG686" s="462"/>
      <c r="AH686" s="248"/>
      <c r="AI686" s="248"/>
      <c r="AJ686" s="248"/>
      <c r="AK686" s="183">
        <f t="shared" si="50"/>
        <v>0</v>
      </c>
      <c r="AL686" s="196"/>
      <c r="AM686" s="196"/>
      <c r="AN686" s="310"/>
      <c r="AO686" s="310"/>
      <c r="AP686" s="310"/>
      <c r="AQ686" s="698" t="s">
        <v>2643</v>
      </c>
      <c r="AR686" s="310"/>
      <c r="AS686" s="310"/>
    </row>
    <row r="687" spans="13:45" customFormat="1" ht="11.25" customHeight="1">
      <c r="M687" s="696" t="s">
        <v>2820</v>
      </c>
      <c r="N687" s="709" t="s">
        <v>2645</v>
      </c>
      <c r="O687" s="189" t="s">
        <v>758</v>
      </c>
      <c r="AB687" s="248"/>
      <c r="AC687" s="248"/>
      <c r="AD687" s="248"/>
      <c r="AE687" s="462"/>
      <c r="AF687" s="462"/>
      <c r="AG687" s="462"/>
      <c r="AH687" s="248"/>
      <c r="AI687" s="248"/>
      <c r="AJ687" s="248"/>
      <c r="AK687" s="183">
        <f t="shared" si="50"/>
        <v>0</v>
      </c>
      <c r="AL687" s="196"/>
      <c r="AM687" s="196"/>
      <c r="AN687" s="310"/>
      <c r="AO687" s="310"/>
      <c r="AP687" s="310"/>
      <c r="AQ687" s="698" t="s">
        <v>2646</v>
      </c>
      <c r="AR687" s="310"/>
      <c r="AS687" s="310"/>
    </row>
    <row r="688" spans="13:45" customFormat="1" ht="11.25" customHeight="1">
      <c r="M688" s="696" t="s">
        <v>2821</v>
      </c>
      <c r="N688" s="709" t="s">
        <v>1325</v>
      </c>
      <c r="O688" s="189" t="s">
        <v>758</v>
      </c>
      <c r="AB688" s="248"/>
      <c r="AC688" s="248"/>
      <c r="AD688" s="248"/>
      <c r="AE688" s="462"/>
      <c r="AF688" s="462"/>
      <c r="AG688" s="462"/>
      <c r="AH688" s="248"/>
      <c r="AI688" s="248"/>
      <c r="AJ688" s="248"/>
      <c r="AK688" s="183">
        <f t="shared" si="50"/>
        <v>0</v>
      </c>
      <c r="AL688" s="196"/>
      <c r="AM688" s="196"/>
      <c r="AN688" s="310"/>
      <c r="AO688" s="310"/>
      <c r="AP688" s="310"/>
      <c r="AQ688" s="698" t="s">
        <v>2648</v>
      </c>
      <c r="AR688" s="310"/>
      <c r="AS688" s="310"/>
    </row>
    <row r="689" spans="13:45" customFormat="1" ht="11.25" customHeight="1">
      <c r="M689" s="696" t="s">
        <v>2822</v>
      </c>
      <c r="N689" s="709" t="s">
        <v>1326</v>
      </c>
      <c r="O689" s="189" t="s">
        <v>758</v>
      </c>
      <c r="AB689" s="248"/>
      <c r="AC689" s="248"/>
      <c r="AD689" s="248"/>
      <c r="AE689" s="462"/>
      <c r="AF689" s="462"/>
      <c r="AG689" s="462"/>
      <c r="AH689" s="248"/>
      <c r="AI689" s="248"/>
      <c r="AJ689" s="248"/>
      <c r="AK689" s="183">
        <f t="shared" si="50"/>
        <v>0</v>
      </c>
      <c r="AL689" s="196"/>
      <c r="AM689" s="196"/>
      <c r="AN689" s="310"/>
      <c r="AO689" s="310"/>
      <c r="AP689" s="310"/>
      <c r="AQ689" s="698" t="s">
        <v>2650</v>
      </c>
      <c r="AR689" s="310"/>
      <c r="AS689" s="310"/>
    </row>
    <row r="690" spans="13:45" customFormat="1" ht="11.25" customHeight="1">
      <c r="M690" s="696" t="s">
        <v>2823</v>
      </c>
      <c r="N690" s="709" t="s">
        <v>2652</v>
      </c>
      <c r="O690" s="189" t="s">
        <v>758</v>
      </c>
      <c r="AB690" s="248"/>
      <c r="AC690" s="248"/>
      <c r="AD690" s="248"/>
      <c r="AE690" s="462"/>
      <c r="AF690" s="462"/>
      <c r="AG690" s="462"/>
      <c r="AH690" s="248"/>
      <c r="AI690" s="248"/>
      <c r="AJ690" s="248"/>
      <c r="AK690" s="183">
        <f t="shared" si="50"/>
        <v>0</v>
      </c>
      <c r="AL690" s="196"/>
      <c r="AM690" s="196"/>
      <c r="AN690" s="310"/>
      <c r="AO690" s="310"/>
      <c r="AP690" s="310"/>
      <c r="AQ690" s="698" t="s">
        <v>2653</v>
      </c>
      <c r="AR690" s="310"/>
      <c r="AS690" s="310"/>
    </row>
    <row r="691" spans="13:45" customFormat="1" ht="11.25" customHeight="1">
      <c r="M691" s="718"/>
      <c r="N691" s="460"/>
      <c r="O691" s="461"/>
      <c r="AB691" s="248"/>
      <c r="AC691" s="248"/>
      <c r="AD691" s="248"/>
      <c r="AE691" s="462"/>
      <c r="AF691" s="462"/>
      <c r="AG691" s="462"/>
      <c r="AH691" s="248"/>
      <c r="AI691" s="248"/>
      <c r="AJ691" s="248"/>
      <c r="AK691" s="462"/>
      <c r="AL691" s="462"/>
      <c r="AM691" s="462"/>
      <c r="AN691" s="310"/>
      <c r="AO691" s="310"/>
      <c r="AP691" s="310"/>
      <c r="AQ691" s="698"/>
      <c r="AR691" s="310"/>
      <c r="AS691" s="310"/>
    </row>
    <row r="692" spans="13:45" customFormat="1" ht="11.25" customHeight="1">
      <c r="M692" s="718"/>
      <c r="N692" s="460"/>
      <c r="O692" s="461"/>
      <c r="AB692" s="248"/>
      <c r="AC692" s="248"/>
      <c r="AD692" s="248"/>
      <c r="AE692" s="462"/>
      <c r="AF692" s="462"/>
      <c r="AG692" s="462"/>
      <c r="AH692" s="248"/>
      <c r="AI692" s="248"/>
      <c r="AJ692" s="248"/>
      <c r="AK692" s="462"/>
      <c r="AL692" s="462"/>
      <c r="AM692" s="462"/>
      <c r="AN692" s="310"/>
      <c r="AO692" s="310"/>
      <c r="AP692" s="310"/>
      <c r="AQ692" s="698"/>
      <c r="AR692" s="310"/>
      <c r="AS692" s="310"/>
    </row>
    <row r="693" spans="13:45" customFormat="1" ht="11.25" customHeight="1">
      <c r="M693" s="696" t="s">
        <v>1645</v>
      </c>
      <c r="N693" s="719" t="s">
        <v>1327</v>
      </c>
      <c r="O693" s="189" t="s">
        <v>758</v>
      </c>
      <c r="AB693" s="248"/>
      <c r="AC693" s="248"/>
      <c r="AD693" s="248"/>
      <c r="AE693" s="462"/>
      <c r="AF693" s="462"/>
      <c r="AG693" s="462"/>
      <c r="AH693" s="248"/>
      <c r="AI693" s="248"/>
      <c r="AJ693" s="248"/>
      <c r="AK693" s="183">
        <f t="shared" ref="AK693:AK699" si="51">AL693+AM693</f>
        <v>0</v>
      </c>
      <c r="AL693" s="196"/>
      <c r="AM693" s="196"/>
      <c r="AN693" s="310"/>
      <c r="AO693" s="310"/>
      <c r="AP693" s="310"/>
      <c r="AQ693" s="698" t="s">
        <v>1357</v>
      </c>
      <c r="AR693" s="310"/>
      <c r="AS693" s="310"/>
    </row>
    <row r="694" spans="13:45" customFormat="1" ht="11.25" customHeight="1">
      <c r="M694" s="696" t="s">
        <v>1646</v>
      </c>
      <c r="N694" s="712" t="s">
        <v>723</v>
      </c>
      <c r="O694" s="189" t="s">
        <v>758</v>
      </c>
      <c r="AB694" s="248"/>
      <c r="AC694" s="248"/>
      <c r="AD694" s="248"/>
      <c r="AE694" s="462"/>
      <c r="AF694" s="462"/>
      <c r="AG694" s="462"/>
      <c r="AH694" s="248"/>
      <c r="AI694" s="248"/>
      <c r="AJ694" s="248"/>
      <c r="AK694" s="183">
        <f t="shared" si="51"/>
        <v>0</v>
      </c>
      <c r="AL694" s="196"/>
      <c r="AM694" s="196"/>
      <c r="AN694" s="310"/>
      <c r="AO694" s="310"/>
      <c r="AP694" s="310"/>
      <c r="AQ694" s="698" t="s">
        <v>1350</v>
      </c>
      <c r="AR694" s="310"/>
      <c r="AS694" s="310"/>
    </row>
    <row r="695" spans="13:45" customFormat="1" ht="11.25" customHeight="1">
      <c r="M695" s="696" t="s">
        <v>1647</v>
      </c>
      <c r="N695" s="713" t="s">
        <v>748</v>
      </c>
      <c r="O695" s="189" t="s">
        <v>758</v>
      </c>
      <c r="AB695" s="248"/>
      <c r="AC695" s="248"/>
      <c r="AD695" s="248"/>
      <c r="AE695" s="462"/>
      <c r="AF695" s="462"/>
      <c r="AG695" s="462"/>
      <c r="AH695" s="248"/>
      <c r="AI695" s="248"/>
      <c r="AJ695" s="248"/>
      <c r="AK695" s="183">
        <f t="shared" si="51"/>
        <v>0</v>
      </c>
      <c r="AL695" s="196"/>
      <c r="AM695" s="196"/>
      <c r="AN695" s="310"/>
      <c r="AO695" s="310"/>
      <c r="AP695" s="310"/>
      <c r="AQ695" s="698" t="s">
        <v>1351</v>
      </c>
      <c r="AR695" s="310"/>
      <c r="AS695" s="310"/>
    </row>
    <row r="696" spans="13:45" customFormat="1" ht="11.25" customHeight="1">
      <c r="M696" s="696" t="s">
        <v>1648</v>
      </c>
      <c r="N696" s="714" t="s">
        <v>315</v>
      </c>
      <c r="O696" s="189" t="s">
        <v>758</v>
      </c>
      <c r="AB696" s="248"/>
      <c r="AC696" s="248"/>
      <c r="AD696" s="248"/>
      <c r="AE696" s="462"/>
      <c r="AF696" s="462"/>
      <c r="AG696" s="462"/>
      <c r="AH696" s="248"/>
      <c r="AI696" s="248"/>
      <c r="AJ696" s="248"/>
      <c r="AK696" s="183">
        <f t="shared" si="51"/>
        <v>0</v>
      </c>
      <c r="AL696" s="196"/>
      <c r="AM696" s="196"/>
      <c r="AN696" s="310"/>
      <c r="AO696" s="310"/>
      <c r="AP696" s="310"/>
      <c r="AQ696" s="698" t="s">
        <v>1352</v>
      </c>
      <c r="AR696" s="310"/>
      <c r="AS696" s="310"/>
    </row>
    <row r="697" spans="13:45" customFormat="1" ht="11.25" customHeight="1">
      <c r="M697" s="696" t="s">
        <v>1649</v>
      </c>
      <c r="N697" s="715" t="s">
        <v>316</v>
      </c>
      <c r="O697" s="189" t="s">
        <v>758</v>
      </c>
      <c r="AB697" s="248"/>
      <c r="AC697" s="248"/>
      <c r="AD697" s="248"/>
      <c r="AE697" s="462"/>
      <c r="AF697" s="462"/>
      <c r="AG697" s="462"/>
      <c r="AH697" s="248"/>
      <c r="AI697" s="248"/>
      <c r="AJ697" s="248"/>
      <c r="AK697" s="183">
        <f t="shared" si="51"/>
        <v>0</v>
      </c>
      <c r="AL697" s="196"/>
      <c r="AM697" s="196"/>
      <c r="AN697" s="310"/>
      <c r="AO697" s="310"/>
      <c r="AP697" s="310"/>
      <c r="AQ697" s="698" t="s">
        <v>1354</v>
      </c>
      <c r="AR697" s="310"/>
      <c r="AS697" s="310"/>
    </row>
    <row r="698" spans="13:45" customFormat="1" ht="11.25" customHeight="1">
      <c r="M698" s="696" t="s">
        <v>1650</v>
      </c>
      <c r="N698" s="716" t="s">
        <v>317</v>
      </c>
      <c r="O698" s="189" t="s">
        <v>758</v>
      </c>
      <c r="AB698" s="248"/>
      <c r="AC698" s="248"/>
      <c r="AD698" s="248"/>
      <c r="AE698" s="462"/>
      <c r="AF698" s="462"/>
      <c r="AG698" s="462"/>
      <c r="AH698" s="248"/>
      <c r="AI698" s="248"/>
      <c r="AJ698" s="248"/>
      <c r="AK698" s="183">
        <f t="shared" si="51"/>
        <v>0</v>
      </c>
      <c r="AL698" s="196"/>
      <c r="AM698" s="196"/>
      <c r="AN698" s="310"/>
      <c r="AO698" s="310"/>
      <c r="AP698" s="310"/>
      <c r="AQ698" s="698" t="s">
        <v>1353</v>
      </c>
      <c r="AR698" s="310"/>
      <c r="AS698" s="310"/>
    </row>
    <row r="699" spans="13:45" customFormat="1" ht="11.25" customHeight="1">
      <c r="M699" s="696" t="s">
        <v>1651</v>
      </c>
      <c r="N699" s="701" t="s">
        <v>318</v>
      </c>
      <c r="O699" s="189" t="s">
        <v>758</v>
      </c>
      <c r="AB699" s="248"/>
      <c r="AC699" s="248"/>
      <c r="AD699" s="248"/>
      <c r="AE699" s="462"/>
      <c r="AF699" s="462"/>
      <c r="AG699" s="462"/>
      <c r="AH699" s="248"/>
      <c r="AI699" s="248"/>
      <c r="AJ699" s="248"/>
      <c r="AK699" s="183">
        <f t="shared" si="51"/>
        <v>0</v>
      </c>
      <c r="AL699" s="196"/>
      <c r="AM699" s="196"/>
      <c r="AN699" s="310"/>
      <c r="AO699" s="310"/>
      <c r="AP699" s="310"/>
      <c r="AQ699" s="698" t="s">
        <v>1355</v>
      </c>
      <c r="AR699" s="310"/>
      <c r="AS699" s="310"/>
    </row>
    <row r="700" spans="13:45" customFormat="1" ht="11.25" customHeight="1">
      <c r="M700" s="718"/>
      <c r="N700" s="460"/>
      <c r="O700" s="461"/>
      <c r="AB700" s="248"/>
      <c r="AC700" s="248"/>
      <c r="AD700" s="248"/>
      <c r="AE700" s="462"/>
      <c r="AF700" s="462"/>
      <c r="AG700" s="462"/>
      <c r="AH700" s="248"/>
      <c r="AI700" s="248"/>
      <c r="AJ700" s="248"/>
      <c r="AK700" s="462"/>
      <c r="AL700" s="462"/>
      <c r="AM700" s="462"/>
      <c r="AN700" s="310"/>
      <c r="AO700" s="310"/>
      <c r="AP700" s="310"/>
      <c r="AQ700" s="698"/>
      <c r="AR700" s="310"/>
      <c r="AS700" s="310"/>
    </row>
    <row r="701" spans="13:45" customFormat="1" ht="11.25" customHeight="1">
      <c r="M701" s="490" t="s">
        <v>1776</v>
      </c>
      <c r="N701" s="463" t="s">
        <v>658</v>
      </c>
      <c r="O701" s="189" t="s">
        <v>195</v>
      </c>
      <c r="AB701" s="248"/>
      <c r="AC701" s="248"/>
      <c r="AD701" s="248"/>
      <c r="AE701" s="263">
        <f>SUM(AE702,AE706:AE711,AE712,AE717,AE724,AE725,AE745:AE751)</f>
        <v>0</v>
      </c>
      <c r="AF701" s="263">
        <f>SUM(AF702,AF706:AF711,AF712,AF717,AF724,AF725,AF745:AF751)</f>
        <v>0</v>
      </c>
      <c r="AG701" s="263">
        <f>SUM(AG702,AG706:AG711,AG712,AG717,AG724,AG725,AG745:AG751)</f>
        <v>0</v>
      </c>
      <c r="AH701" s="248"/>
      <c r="AI701" s="248"/>
      <c r="AJ701" s="248"/>
      <c r="AK701" s="263">
        <f>SUM(AK702,AK706:AK711,AK712,AK717,AK724,AK725,AK745:AK751)</f>
        <v>0</v>
      </c>
      <c r="AL701" s="263">
        <f>SUM(AL702,AL706:AL711,AL712,AL717,AL724,AL725,AL745:AL751)</f>
        <v>0</v>
      </c>
      <c r="AM701" s="263">
        <f>SUM(AM702,AM706:AM711,AM712,AM717,AM724,AM725,AM745:AM751)</f>
        <v>0</v>
      </c>
      <c r="AN701" s="310"/>
      <c r="AO701" s="310"/>
      <c r="AP701" s="310"/>
      <c r="AQ701" s="36"/>
      <c r="AR701" s="310"/>
      <c r="AS701" s="310"/>
    </row>
    <row r="702" spans="13:45" customFormat="1" ht="11.25" customHeight="1">
      <c r="M702" s="718"/>
      <c r="N702" s="460"/>
      <c r="O702" s="461"/>
      <c r="AB702" s="248"/>
      <c r="AC702" s="248"/>
      <c r="AD702" s="248"/>
      <c r="AE702" s="462"/>
      <c r="AF702" s="462"/>
      <c r="AG702" s="462"/>
      <c r="AH702" s="248"/>
      <c r="AI702" s="248"/>
      <c r="AJ702" s="248"/>
      <c r="AK702" s="462"/>
      <c r="AL702" s="462"/>
      <c r="AM702" s="462"/>
      <c r="AN702" s="310"/>
      <c r="AO702" s="310"/>
      <c r="AP702" s="310"/>
      <c r="AQ702" s="698"/>
      <c r="AR702" s="310"/>
      <c r="AS702" s="310"/>
    </row>
    <row r="703" spans="13:45" customFormat="1" ht="11.25" customHeight="1">
      <c r="M703" s="718"/>
      <c r="N703" s="460"/>
      <c r="O703" s="461"/>
      <c r="AB703" s="248"/>
      <c r="AC703" s="248"/>
      <c r="AD703" s="248"/>
      <c r="AE703" s="462"/>
      <c r="AF703" s="462"/>
      <c r="AG703" s="462"/>
      <c r="AH703" s="248"/>
      <c r="AI703" s="248"/>
      <c r="AJ703" s="248"/>
      <c r="AK703" s="462"/>
      <c r="AL703" s="462"/>
      <c r="AM703" s="462"/>
      <c r="AN703" s="310"/>
      <c r="AO703" s="310"/>
      <c r="AP703" s="310"/>
      <c r="AQ703" s="698"/>
      <c r="AR703" s="310"/>
      <c r="AS703" s="310"/>
    </row>
    <row r="704" spans="13:45" customFormat="1" ht="11.25" customHeight="1">
      <c r="M704" s="718"/>
      <c r="N704" s="460"/>
      <c r="O704" s="461"/>
      <c r="AB704" s="248"/>
      <c r="AC704" s="248"/>
      <c r="AD704" s="248"/>
      <c r="AE704" s="462"/>
      <c r="AF704" s="462"/>
      <c r="AG704" s="462"/>
      <c r="AH704" s="248"/>
      <c r="AI704" s="248"/>
      <c r="AJ704" s="248"/>
      <c r="AK704" s="462"/>
      <c r="AL704" s="462"/>
      <c r="AM704" s="462"/>
      <c r="AN704" s="310"/>
      <c r="AO704" s="310"/>
      <c r="AP704" s="310"/>
      <c r="AQ704" s="698"/>
      <c r="AR704" s="310"/>
      <c r="AS704" s="310"/>
    </row>
    <row r="705" spans="13:45" customFormat="1" ht="11.25" customHeight="1">
      <c r="M705" s="718"/>
      <c r="N705" s="460"/>
      <c r="O705" s="461"/>
      <c r="AB705" s="248"/>
      <c r="AC705" s="248"/>
      <c r="AD705" s="248"/>
      <c r="AE705" s="462"/>
      <c r="AF705" s="462"/>
      <c r="AG705" s="462"/>
      <c r="AH705" s="248"/>
      <c r="AI705" s="248"/>
      <c r="AJ705" s="248"/>
      <c r="AK705" s="462"/>
      <c r="AL705" s="462"/>
      <c r="AM705" s="462"/>
      <c r="AN705" s="310"/>
      <c r="AO705" s="310"/>
      <c r="AP705" s="310"/>
      <c r="AQ705" s="698"/>
      <c r="AR705" s="310"/>
      <c r="AS705" s="310"/>
    </row>
    <row r="706" spans="13:45" customFormat="1" ht="11.25" customHeight="1">
      <c r="M706" s="718"/>
      <c r="N706" s="460"/>
      <c r="O706" s="461"/>
      <c r="AB706" s="248"/>
      <c r="AC706" s="248"/>
      <c r="AD706" s="248"/>
      <c r="AE706" s="462"/>
      <c r="AF706" s="462"/>
      <c r="AG706" s="462"/>
      <c r="AH706" s="248"/>
      <c r="AI706" s="248"/>
      <c r="AJ706" s="248"/>
      <c r="AK706" s="462"/>
      <c r="AL706" s="462"/>
      <c r="AM706" s="462"/>
      <c r="AN706" s="310"/>
      <c r="AO706" s="310"/>
      <c r="AP706" s="310"/>
      <c r="AQ706" s="698"/>
      <c r="AR706" s="310"/>
      <c r="AS706" s="310"/>
    </row>
    <row r="707" spans="13:45" customFormat="1" ht="11.25" customHeight="1">
      <c r="M707" s="718"/>
      <c r="N707" s="460"/>
      <c r="O707" s="461"/>
      <c r="AB707" s="248"/>
      <c r="AC707" s="248"/>
      <c r="AD707" s="248"/>
      <c r="AE707" s="462"/>
      <c r="AF707" s="462"/>
      <c r="AG707" s="462"/>
      <c r="AH707" s="248"/>
      <c r="AI707" s="248"/>
      <c r="AJ707" s="248"/>
      <c r="AK707" s="462"/>
      <c r="AL707" s="462"/>
      <c r="AM707" s="462"/>
      <c r="AN707" s="310"/>
      <c r="AO707" s="310"/>
      <c r="AP707" s="310"/>
      <c r="AQ707" s="698"/>
      <c r="AR707" s="310"/>
      <c r="AS707" s="310"/>
    </row>
    <row r="708" spans="13:45" customFormat="1" ht="11.25" customHeight="1">
      <c r="M708" s="718"/>
      <c r="N708" s="460"/>
      <c r="O708" s="461"/>
      <c r="AB708" s="248"/>
      <c r="AC708" s="248"/>
      <c r="AD708" s="248"/>
      <c r="AE708" s="462"/>
      <c r="AF708" s="462"/>
      <c r="AG708" s="462"/>
      <c r="AH708" s="248"/>
      <c r="AI708" s="248"/>
      <c r="AJ708" s="248"/>
      <c r="AK708" s="462"/>
      <c r="AL708" s="462"/>
      <c r="AM708" s="462"/>
      <c r="AN708" s="310"/>
      <c r="AO708" s="310"/>
      <c r="AP708" s="310"/>
      <c r="AQ708" s="698"/>
      <c r="AR708" s="310"/>
      <c r="AS708" s="310"/>
    </row>
    <row r="709" spans="13:45" customFormat="1" ht="11.25" customHeight="1">
      <c r="M709" s="718"/>
      <c r="N709" s="460"/>
      <c r="O709" s="461"/>
      <c r="AB709" s="248"/>
      <c r="AC709" s="248"/>
      <c r="AD709" s="248"/>
      <c r="AE709" s="462"/>
      <c r="AF709" s="462"/>
      <c r="AG709" s="462"/>
      <c r="AH709" s="248"/>
      <c r="AI709" s="248"/>
      <c r="AJ709" s="248"/>
      <c r="AK709" s="462"/>
      <c r="AL709" s="462"/>
      <c r="AM709" s="462"/>
      <c r="AN709" s="310"/>
      <c r="AO709" s="310"/>
      <c r="AP709" s="310"/>
      <c r="AQ709" s="698"/>
      <c r="AR709" s="310"/>
      <c r="AS709" s="310"/>
    </row>
    <row r="710" spans="13:45" customFormat="1" ht="11.25" customHeight="1">
      <c r="M710" s="696" t="s">
        <v>1777</v>
      </c>
      <c r="N710" s="701" t="s">
        <v>684</v>
      </c>
      <c r="O710" s="189" t="s">
        <v>195</v>
      </c>
      <c r="AB710" s="248"/>
      <c r="AC710" s="248"/>
      <c r="AD710" s="248"/>
      <c r="AE710" s="462"/>
      <c r="AF710" s="462"/>
      <c r="AG710" s="462"/>
      <c r="AH710" s="248"/>
      <c r="AI710" s="248"/>
      <c r="AJ710" s="248"/>
      <c r="AK710" s="183">
        <f t="shared" ref="AK710:AK742" si="52">AL710+AM710</f>
        <v>0</v>
      </c>
      <c r="AL710" s="686">
        <f>AL606*AL658/1000</f>
        <v>0</v>
      </c>
      <c r="AM710" s="686">
        <f>AM606*AM658/1000</f>
        <v>0</v>
      </c>
      <c r="AN710" s="310"/>
      <c r="AO710" s="310"/>
      <c r="AP710" s="310"/>
      <c r="AQ710" s="698" t="s">
        <v>1332</v>
      </c>
      <c r="AR710" s="310"/>
      <c r="AS710" s="310"/>
    </row>
    <row r="711" spans="13:45" customFormat="1" ht="11.25" customHeight="1">
      <c r="M711" s="696" t="s">
        <v>1778</v>
      </c>
      <c r="N711" s="702" t="s">
        <v>718</v>
      </c>
      <c r="O711" s="189" t="s">
        <v>195</v>
      </c>
      <c r="AB711" s="248"/>
      <c r="AC711" s="248"/>
      <c r="AD711" s="248"/>
      <c r="AE711" s="462"/>
      <c r="AF711" s="462"/>
      <c r="AG711" s="462"/>
      <c r="AH711" s="248"/>
      <c r="AI711" s="248"/>
      <c r="AJ711" s="248"/>
      <c r="AK711" s="183">
        <f t="shared" si="52"/>
        <v>0</v>
      </c>
      <c r="AL711" s="686">
        <f>AL607*AL659/1000</f>
        <v>0</v>
      </c>
      <c r="AM711" s="686">
        <f>AM607*AM659/1000</f>
        <v>0</v>
      </c>
      <c r="AN711" s="310"/>
      <c r="AO711" s="310"/>
      <c r="AP711" s="310"/>
      <c r="AQ711" s="698" t="s">
        <v>1333</v>
      </c>
      <c r="AR711" s="310"/>
      <c r="AS711" s="310"/>
    </row>
    <row r="712" spans="13:45" customFormat="1" ht="11.25" customHeight="1">
      <c r="M712" s="696" t="s">
        <v>1779</v>
      </c>
      <c r="N712" s="703" t="s">
        <v>722</v>
      </c>
      <c r="O712" s="189" t="s">
        <v>195</v>
      </c>
      <c r="AB712" s="248"/>
      <c r="AC712" s="248"/>
      <c r="AD712" s="248"/>
      <c r="AE712" s="462"/>
      <c r="AF712" s="462"/>
      <c r="AG712" s="462"/>
      <c r="AH712" s="248"/>
      <c r="AI712" s="248"/>
      <c r="AJ712" s="248"/>
      <c r="AK712" s="183">
        <f t="shared" si="52"/>
        <v>0</v>
      </c>
      <c r="AL712" s="183">
        <f>SUM(AL713:AL716)</f>
        <v>0</v>
      </c>
      <c r="AM712" s="183">
        <f>SUM(AM713:AM716)</f>
        <v>0</v>
      </c>
      <c r="AN712" s="310"/>
      <c r="AO712" s="310"/>
      <c r="AP712" s="310"/>
      <c r="AQ712" s="698" t="s">
        <v>1334</v>
      </c>
      <c r="AR712" s="310"/>
      <c r="AS712" s="310"/>
    </row>
    <row r="713" spans="13:45" customFormat="1" ht="11.25" customHeight="1">
      <c r="M713" s="696" t="s">
        <v>1780</v>
      </c>
      <c r="N713" s="704" t="s">
        <v>1309</v>
      </c>
      <c r="O713" s="189" t="s">
        <v>195</v>
      </c>
      <c r="AB713" s="248"/>
      <c r="AC713" s="248"/>
      <c r="AD713" s="248"/>
      <c r="AE713" s="462"/>
      <c r="AF713" s="462"/>
      <c r="AG713" s="462"/>
      <c r="AH713" s="248"/>
      <c r="AI713" s="248"/>
      <c r="AJ713" s="248"/>
      <c r="AK713" s="183">
        <f t="shared" si="52"/>
        <v>0</v>
      </c>
      <c r="AL713" s="686">
        <f t="shared" ref="AL713:AM716" si="53">AL609*AL661/1000</f>
        <v>0</v>
      </c>
      <c r="AM713" s="686">
        <f t="shared" si="53"/>
        <v>0</v>
      </c>
      <c r="AN713" s="310"/>
      <c r="AO713" s="310"/>
      <c r="AP713" s="310"/>
      <c r="AQ713" s="698" t="s">
        <v>1335</v>
      </c>
      <c r="AR713" s="310"/>
      <c r="AS713" s="310"/>
    </row>
    <row r="714" spans="13:45" customFormat="1" ht="11.25" customHeight="1">
      <c r="M714" s="696" t="s">
        <v>1781</v>
      </c>
      <c r="N714" s="704" t="s">
        <v>1310</v>
      </c>
      <c r="O714" s="189" t="s">
        <v>195</v>
      </c>
      <c r="AB714" s="248"/>
      <c r="AC714" s="248"/>
      <c r="AD714" s="248"/>
      <c r="AE714" s="462"/>
      <c r="AF714" s="462"/>
      <c r="AG714" s="462"/>
      <c r="AH714" s="248"/>
      <c r="AI714" s="248"/>
      <c r="AJ714" s="248"/>
      <c r="AK714" s="183">
        <f t="shared" si="52"/>
        <v>0</v>
      </c>
      <c r="AL714" s="686">
        <f t="shared" si="53"/>
        <v>0</v>
      </c>
      <c r="AM714" s="686">
        <f t="shared" si="53"/>
        <v>0</v>
      </c>
      <c r="AN714" s="310"/>
      <c r="AO714" s="310"/>
      <c r="AP714" s="310"/>
      <c r="AQ714" s="698" t="s">
        <v>1336</v>
      </c>
      <c r="AR714" s="310"/>
      <c r="AS714" s="310"/>
    </row>
    <row r="715" spans="13:45" customFormat="1" ht="11.25" customHeight="1">
      <c r="M715" s="696" t="s">
        <v>1782</v>
      </c>
      <c r="N715" s="704" t="s">
        <v>1311</v>
      </c>
      <c r="O715" s="189" t="s">
        <v>195</v>
      </c>
      <c r="AB715" s="248"/>
      <c r="AC715" s="248"/>
      <c r="AD715" s="248"/>
      <c r="AE715" s="462"/>
      <c r="AF715" s="462"/>
      <c r="AG715" s="462"/>
      <c r="AH715" s="248"/>
      <c r="AI715" s="248"/>
      <c r="AJ715" s="248"/>
      <c r="AK715" s="183">
        <f t="shared" si="52"/>
        <v>0</v>
      </c>
      <c r="AL715" s="686">
        <f t="shared" si="53"/>
        <v>0</v>
      </c>
      <c r="AM715" s="686">
        <f t="shared" si="53"/>
        <v>0</v>
      </c>
      <c r="AN715" s="310"/>
      <c r="AO715" s="310"/>
      <c r="AP715" s="310"/>
      <c r="AQ715" s="698" t="s">
        <v>1337</v>
      </c>
      <c r="AR715" s="310"/>
      <c r="AS715" s="310"/>
    </row>
    <row r="716" spans="13:45" customFormat="1" ht="11.25" customHeight="1">
      <c r="M716" s="696" t="s">
        <v>1783</v>
      </c>
      <c r="N716" s="704" t="s">
        <v>1312</v>
      </c>
      <c r="O716" s="189" t="s">
        <v>195</v>
      </c>
      <c r="AB716" s="248"/>
      <c r="AC716" s="248"/>
      <c r="AD716" s="248"/>
      <c r="AE716" s="462"/>
      <c r="AF716" s="462"/>
      <c r="AG716" s="462"/>
      <c r="AH716" s="248"/>
      <c r="AI716" s="248"/>
      <c r="AJ716" s="248"/>
      <c r="AK716" s="183">
        <f t="shared" si="52"/>
        <v>0</v>
      </c>
      <c r="AL716" s="686">
        <f t="shared" si="53"/>
        <v>0</v>
      </c>
      <c r="AM716" s="686">
        <f t="shared" si="53"/>
        <v>0</v>
      </c>
      <c r="AN716" s="310"/>
      <c r="AO716" s="310"/>
      <c r="AP716" s="310"/>
      <c r="AQ716" s="698" t="s">
        <v>1338</v>
      </c>
      <c r="AR716" s="310"/>
      <c r="AS716" s="310"/>
    </row>
    <row r="717" spans="13:45" customFormat="1" ht="11.25" customHeight="1">
      <c r="M717" s="696" t="s">
        <v>1784</v>
      </c>
      <c r="N717" s="705" t="s">
        <v>720</v>
      </c>
      <c r="O717" s="189" t="s">
        <v>195</v>
      </c>
      <c r="AB717" s="248"/>
      <c r="AC717" s="248"/>
      <c r="AD717" s="248"/>
      <c r="AE717" s="462"/>
      <c r="AF717" s="462"/>
      <c r="AG717" s="462"/>
      <c r="AH717" s="248"/>
      <c r="AI717" s="248"/>
      <c r="AJ717" s="248"/>
      <c r="AK717" s="183">
        <f t="shared" si="52"/>
        <v>0</v>
      </c>
      <c r="AL717" s="183">
        <f>SUM(AL718:AL723)</f>
        <v>0</v>
      </c>
      <c r="AM717" s="183">
        <f>SUM(AM718:AM723)</f>
        <v>0</v>
      </c>
      <c r="AN717" s="310"/>
      <c r="AO717" s="310"/>
      <c r="AP717" s="310"/>
      <c r="AQ717" s="698" t="s">
        <v>1343</v>
      </c>
      <c r="AR717" s="310"/>
      <c r="AS717" s="310"/>
    </row>
    <row r="718" spans="13:45" customFormat="1" ht="11.25" customHeight="1">
      <c r="M718" s="696" t="s">
        <v>1877</v>
      </c>
      <c r="N718" s="706" t="s">
        <v>1313</v>
      </c>
      <c r="O718" s="189" t="s">
        <v>195</v>
      </c>
      <c r="AB718" s="248"/>
      <c r="AC718" s="248"/>
      <c r="AD718" s="248"/>
      <c r="AE718" s="462"/>
      <c r="AF718" s="462"/>
      <c r="AG718" s="462"/>
      <c r="AH718" s="248"/>
      <c r="AI718" s="248"/>
      <c r="AJ718" s="248"/>
      <c r="AK718" s="183">
        <f t="shared" si="52"/>
        <v>0</v>
      </c>
      <c r="AL718" s="686">
        <f t="shared" ref="AL718:AM724" si="54">AL614*AL666/1000</f>
        <v>0</v>
      </c>
      <c r="AM718" s="686">
        <f t="shared" si="54"/>
        <v>0</v>
      </c>
      <c r="AN718" s="310"/>
      <c r="AO718" s="310"/>
      <c r="AP718" s="310"/>
      <c r="AQ718" s="698" t="s">
        <v>1866</v>
      </c>
      <c r="AR718" s="310"/>
      <c r="AS718" s="310"/>
    </row>
    <row r="719" spans="13:45" customFormat="1" ht="11.25" customHeight="1">
      <c r="M719" s="696" t="s">
        <v>1858</v>
      </c>
      <c r="N719" s="706" t="s">
        <v>1314</v>
      </c>
      <c r="O719" s="189" t="s">
        <v>195</v>
      </c>
      <c r="AB719" s="248"/>
      <c r="AC719" s="248"/>
      <c r="AD719" s="248"/>
      <c r="AE719" s="462"/>
      <c r="AF719" s="462"/>
      <c r="AG719" s="462"/>
      <c r="AH719" s="248"/>
      <c r="AI719" s="248"/>
      <c r="AJ719" s="248"/>
      <c r="AK719" s="183">
        <f t="shared" si="52"/>
        <v>0</v>
      </c>
      <c r="AL719" s="686">
        <f t="shared" si="54"/>
        <v>0</v>
      </c>
      <c r="AM719" s="686">
        <f t="shared" si="54"/>
        <v>0</v>
      </c>
      <c r="AN719" s="310"/>
      <c r="AO719" s="310"/>
      <c r="AP719" s="310"/>
      <c r="AQ719" s="698" t="s">
        <v>1847</v>
      </c>
      <c r="AR719" s="310"/>
      <c r="AS719" s="310"/>
    </row>
    <row r="720" spans="13:45" customFormat="1" ht="11.25" customHeight="1">
      <c r="M720" s="696" t="s">
        <v>1839</v>
      </c>
      <c r="N720" s="706" t="s">
        <v>1315</v>
      </c>
      <c r="O720" s="189" t="s">
        <v>195</v>
      </c>
      <c r="AB720" s="248"/>
      <c r="AC720" s="248"/>
      <c r="AD720" s="248"/>
      <c r="AE720" s="462"/>
      <c r="AF720" s="462"/>
      <c r="AG720" s="462"/>
      <c r="AH720" s="248"/>
      <c r="AI720" s="248"/>
      <c r="AJ720" s="248"/>
      <c r="AK720" s="183">
        <f t="shared" si="52"/>
        <v>0</v>
      </c>
      <c r="AL720" s="686">
        <f t="shared" si="54"/>
        <v>0</v>
      </c>
      <c r="AM720" s="686">
        <f t="shared" si="54"/>
        <v>0</v>
      </c>
      <c r="AN720" s="310"/>
      <c r="AO720" s="310"/>
      <c r="AP720" s="310"/>
      <c r="AQ720" s="698" t="s">
        <v>1827</v>
      </c>
      <c r="AR720" s="310"/>
      <c r="AS720" s="310"/>
    </row>
    <row r="721" spans="13:45" customFormat="1" ht="11.25" customHeight="1">
      <c r="M721" s="696" t="s">
        <v>1785</v>
      </c>
      <c r="N721" s="706" t="s">
        <v>1316</v>
      </c>
      <c r="O721" s="189" t="s">
        <v>195</v>
      </c>
      <c r="AB721" s="248"/>
      <c r="AC721" s="248"/>
      <c r="AD721" s="248"/>
      <c r="AE721" s="462"/>
      <c r="AF721" s="462"/>
      <c r="AG721" s="462"/>
      <c r="AH721" s="248"/>
      <c r="AI721" s="248"/>
      <c r="AJ721" s="248"/>
      <c r="AK721" s="183">
        <f t="shared" si="52"/>
        <v>0</v>
      </c>
      <c r="AL721" s="686">
        <f t="shared" si="54"/>
        <v>0</v>
      </c>
      <c r="AM721" s="686">
        <f t="shared" si="54"/>
        <v>0</v>
      </c>
      <c r="AN721" s="310"/>
      <c r="AO721" s="310"/>
      <c r="AP721" s="310"/>
      <c r="AQ721" s="698" t="s">
        <v>1344</v>
      </c>
      <c r="AR721" s="310"/>
      <c r="AS721" s="310"/>
    </row>
    <row r="722" spans="13:45" customFormat="1" ht="11.25" customHeight="1">
      <c r="M722" s="696" t="s">
        <v>1786</v>
      </c>
      <c r="N722" s="706" t="s">
        <v>1317</v>
      </c>
      <c r="O722" s="189" t="s">
        <v>195</v>
      </c>
      <c r="AB722" s="248"/>
      <c r="AC722" s="248"/>
      <c r="AD722" s="248"/>
      <c r="AE722" s="462"/>
      <c r="AF722" s="462"/>
      <c r="AG722" s="462"/>
      <c r="AH722" s="248"/>
      <c r="AI722" s="248"/>
      <c r="AJ722" s="248"/>
      <c r="AK722" s="183">
        <f t="shared" si="52"/>
        <v>0</v>
      </c>
      <c r="AL722" s="686">
        <f t="shared" si="54"/>
        <v>0</v>
      </c>
      <c r="AM722" s="686">
        <f t="shared" si="54"/>
        <v>0</v>
      </c>
      <c r="AN722" s="310"/>
      <c r="AO722" s="310"/>
      <c r="AP722" s="310"/>
      <c r="AQ722" s="698" t="s">
        <v>1345</v>
      </c>
      <c r="AR722" s="310"/>
      <c r="AS722" s="310"/>
    </row>
    <row r="723" spans="13:45" customFormat="1" ht="11.25" customHeight="1">
      <c r="M723" s="696" t="s">
        <v>1787</v>
      </c>
      <c r="N723" s="706" t="s">
        <v>1318</v>
      </c>
      <c r="O723" s="189" t="s">
        <v>195</v>
      </c>
      <c r="AB723" s="248"/>
      <c r="AC723" s="248"/>
      <c r="AD723" s="248"/>
      <c r="AE723" s="462"/>
      <c r="AF723" s="462"/>
      <c r="AG723" s="462"/>
      <c r="AH723" s="248"/>
      <c r="AI723" s="248"/>
      <c r="AJ723" s="248"/>
      <c r="AK723" s="183">
        <f t="shared" si="52"/>
        <v>0</v>
      </c>
      <c r="AL723" s="686">
        <f t="shared" si="54"/>
        <v>0</v>
      </c>
      <c r="AM723" s="686">
        <f t="shared" si="54"/>
        <v>0</v>
      </c>
      <c r="AN723" s="310"/>
      <c r="AO723" s="310"/>
      <c r="AP723" s="310"/>
      <c r="AQ723" s="698" t="s">
        <v>1346</v>
      </c>
      <c r="AR723" s="310"/>
      <c r="AS723" s="310"/>
    </row>
    <row r="724" spans="13:45" customFormat="1" ht="11.25" customHeight="1">
      <c r="M724" s="696" t="s">
        <v>1788</v>
      </c>
      <c r="N724" s="707" t="s">
        <v>721</v>
      </c>
      <c r="O724" s="189" t="s">
        <v>195</v>
      </c>
      <c r="AB724" s="248"/>
      <c r="AC724" s="248"/>
      <c r="AD724" s="248"/>
      <c r="AE724" s="462"/>
      <c r="AF724" s="462"/>
      <c r="AG724" s="462"/>
      <c r="AH724" s="248"/>
      <c r="AI724" s="248"/>
      <c r="AJ724" s="248"/>
      <c r="AK724" s="183">
        <f t="shared" si="52"/>
        <v>0</v>
      </c>
      <c r="AL724" s="686">
        <f t="shared" si="54"/>
        <v>0</v>
      </c>
      <c r="AM724" s="686">
        <f t="shared" si="54"/>
        <v>0</v>
      </c>
      <c r="AN724" s="310"/>
      <c r="AO724" s="310"/>
      <c r="AP724" s="310"/>
      <c r="AQ724" s="698" t="s">
        <v>1347</v>
      </c>
      <c r="AR724" s="310"/>
      <c r="AS724" s="310"/>
    </row>
    <row r="725" spans="13:45" customFormat="1" ht="11.25" customHeight="1">
      <c r="M725" s="696" t="s">
        <v>1789</v>
      </c>
      <c r="N725" s="708" t="s">
        <v>712</v>
      </c>
      <c r="O725" s="189" t="s">
        <v>195</v>
      </c>
      <c r="AB725" s="248"/>
      <c r="AC725" s="248"/>
      <c r="AD725" s="248"/>
      <c r="AE725" s="462"/>
      <c r="AF725" s="462"/>
      <c r="AG725" s="462"/>
      <c r="AH725" s="248"/>
      <c r="AI725" s="248"/>
      <c r="AJ725" s="248"/>
      <c r="AK725" s="183">
        <f t="shared" si="52"/>
        <v>0</v>
      </c>
      <c r="AL725" s="183">
        <f>SUM(AL726:AL742)</f>
        <v>0</v>
      </c>
      <c r="AM725" s="183">
        <f>SUM(AM726:AM742)</f>
        <v>0</v>
      </c>
      <c r="AN725" s="310"/>
      <c r="AO725" s="310"/>
      <c r="AP725" s="310"/>
      <c r="AQ725" s="698" t="s">
        <v>1348</v>
      </c>
      <c r="AR725" s="310"/>
      <c r="AS725" s="310"/>
    </row>
    <row r="726" spans="13:45" customFormat="1" ht="11.25" customHeight="1">
      <c r="M726" s="696" t="s">
        <v>2824</v>
      </c>
      <c r="N726" s="709" t="s">
        <v>1319</v>
      </c>
      <c r="O726" s="189" t="s">
        <v>195</v>
      </c>
      <c r="AB726" s="248"/>
      <c r="AC726" s="248"/>
      <c r="AD726" s="248"/>
      <c r="AE726" s="462"/>
      <c r="AF726" s="462"/>
      <c r="AG726" s="462"/>
      <c r="AH726" s="248"/>
      <c r="AI726" s="248"/>
      <c r="AJ726" s="248"/>
      <c r="AK726" s="183">
        <f t="shared" si="52"/>
        <v>0</v>
      </c>
      <c r="AL726" s="686">
        <f t="shared" ref="AL726:AM741" si="55">AL622*AL674/1000</f>
        <v>0</v>
      </c>
      <c r="AM726" s="686">
        <f t="shared" si="55"/>
        <v>0</v>
      </c>
      <c r="AN726" s="310"/>
      <c r="AO726" s="310"/>
      <c r="AP726" s="310"/>
      <c r="AQ726" s="698" t="s">
        <v>2612</v>
      </c>
      <c r="AR726" s="310"/>
      <c r="AS726" s="310"/>
    </row>
    <row r="727" spans="13:45" customFormat="1" ht="11.25" customHeight="1">
      <c r="M727" s="696" t="s">
        <v>2825</v>
      </c>
      <c r="N727" s="709" t="s">
        <v>1320</v>
      </c>
      <c r="O727" s="189" t="s">
        <v>195</v>
      </c>
      <c r="AB727" s="248"/>
      <c r="AC727" s="248"/>
      <c r="AD727" s="248"/>
      <c r="AE727" s="462"/>
      <c r="AF727" s="462"/>
      <c r="AG727" s="462"/>
      <c r="AH727" s="248"/>
      <c r="AI727" s="248"/>
      <c r="AJ727" s="248"/>
      <c r="AK727" s="183">
        <f t="shared" si="52"/>
        <v>0</v>
      </c>
      <c r="AL727" s="686">
        <f t="shared" si="55"/>
        <v>0</v>
      </c>
      <c r="AM727" s="686">
        <f t="shared" si="55"/>
        <v>0</v>
      </c>
      <c r="AN727" s="310"/>
      <c r="AO727" s="310"/>
      <c r="AP727" s="310"/>
      <c r="AQ727" s="698" t="s">
        <v>2614</v>
      </c>
      <c r="AR727" s="310"/>
      <c r="AS727" s="310"/>
    </row>
    <row r="728" spans="13:45" customFormat="1" ht="11.25" customHeight="1">
      <c r="M728" s="696" t="s">
        <v>2826</v>
      </c>
      <c r="N728" s="709" t="s">
        <v>1321</v>
      </c>
      <c r="O728" s="189" t="s">
        <v>195</v>
      </c>
      <c r="AB728" s="248"/>
      <c r="AC728" s="248"/>
      <c r="AD728" s="248"/>
      <c r="AE728" s="462"/>
      <c r="AF728" s="462"/>
      <c r="AG728" s="462"/>
      <c r="AH728" s="248"/>
      <c r="AI728" s="248"/>
      <c r="AJ728" s="248"/>
      <c r="AK728" s="183">
        <f t="shared" si="52"/>
        <v>0</v>
      </c>
      <c r="AL728" s="686">
        <f t="shared" si="55"/>
        <v>0</v>
      </c>
      <c r="AM728" s="686">
        <f t="shared" si="55"/>
        <v>0</v>
      </c>
      <c r="AN728" s="310"/>
      <c r="AO728" s="310"/>
      <c r="AP728" s="310"/>
      <c r="AQ728" s="698" t="s">
        <v>2616</v>
      </c>
      <c r="AR728" s="310"/>
      <c r="AS728" s="310"/>
    </row>
    <row r="729" spans="13:45" customFormat="1" ht="11.25" customHeight="1">
      <c r="M729" s="696" t="s">
        <v>2827</v>
      </c>
      <c r="N729" s="709" t="s">
        <v>2618</v>
      </c>
      <c r="O729" s="189" t="s">
        <v>195</v>
      </c>
      <c r="AB729" s="248"/>
      <c r="AC729" s="248"/>
      <c r="AD729" s="248"/>
      <c r="AE729" s="462"/>
      <c r="AF729" s="462"/>
      <c r="AG729" s="462"/>
      <c r="AH729" s="248"/>
      <c r="AI729" s="248"/>
      <c r="AJ729" s="248"/>
      <c r="AK729" s="183">
        <f t="shared" si="52"/>
        <v>0</v>
      </c>
      <c r="AL729" s="686">
        <f t="shared" si="55"/>
        <v>0</v>
      </c>
      <c r="AM729" s="686">
        <f t="shared" si="55"/>
        <v>0</v>
      </c>
      <c r="AN729" s="310"/>
      <c r="AO729" s="310"/>
      <c r="AP729" s="310"/>
      <c r="AQ729" s="698" t="s">
        <v>2619</v>
      </c>
      <c r="AR729" s="310"/>
      <c r="AS729" s="310"/>
    </row>
    <row r="730" spans="13:45" customFormat="1" ht="11.25" customHeight="1">
      <c r="M730" s="696" t="s">
        <v>2828</v>
      </c>
      <c r="N730" s="709" t="s">
        <v>2621</v>
      </c>
      <c r="O730" s="189" t="s">
        <v>195</v>
      </c>
      <c r="AB730" s="248"/>
      <c r="AC730" s="248"/>
      <c r="AD730" s="248"/>
      <c r="AE730" s="462"/>
      <c r="AF730" s="462"/>
      <c r="AG730" s="462"/>
      <c r="AH730" s="248"/>
      <c r="AI730" s="248"/>
      <c r="AJ730" s="248"/>
      <c r="AK730" s="183">
        <f t="shared" si="52"/>
        <v>0</v>
      </c>
      <c r="AL730" s="686">
        <f t="shared" si="55"/>
        <v>0</v>
      </c>
      <c r="AM730" s="686">
        <f t="shared" si="55"/>
        <v>0</v>
      </c>
      <c r="AN730" s="310"/>
      <c r="AO730" s="310"/>
      <c r="AP730" s="310"/>
      <c r="AQ730" s="698" t="s">
        <v>2622</v>
      </c>
      <c r="AR730" s="310"/>
      <c r="AS730" s="310"/>
    </row>
    <row r="731" spans="13:45" customFormat="1" ht="11.25" customHeight="1">
      <c r="M731" s="696" t="s">
        <v>2829</v>
      </c>
      <c r="N731" s="709" t="s">
        <v>1322</v>
      </c>
      <c r="O731" s="189" t="s">
        <v>195</v>
      </c>
      <c r="AB731" s="248"/>
      <c r="AC731" s="248"/>
      <c r="AD731" s="248"/>
      <c r="AE731" s="462"/>
      <c r="AF731" s="462"/>
      <c r="AG731" s="462"/>
      <c r="AH731" s="248"/>
      <c r="AI731" s="248"/>
      <c r="AJ731" s="248"/>
      <c r="AK731" s="183">
        <f t="shared" si="52"/>
        <v>0</v>
      </c>
      <c r="AL731" s="686">
        <f t="shared" si="55"/>
        <v>0</v>
      </c>
      <c r="AM731" s="686">
        <f t="shared" si="55"/>
        <v>0</v>
      </c>
      <c r="AN731" s="310"/>
      <c r="AO731" s="310"/>
      <c r="AP731" s="310"/>
      <c r="AQ731" s="698" t="s">
        <v>2624</v>
      </c>
      <c r="AR731" s="310"/>
      <c r="AS731" s="310"/>
    </row>
    <row r="732" spans="13:45" customFormat="1" ht="11.25" customHeight="1">
      <c r="M732" s="696" t="s">
        <v>2830</v>
      </c>
      <c r="N732" s="709" t="s">
        <v>2626</v>
      </c>
      <c r="O732" s="189" t="s">
        <v>195</v>
      </c>
      <c r="AB732" s="248"/>
      <c r="AC732" s="248"/>
      <c r="AD732" s="248"/>
      <c r="AE732" s="462"/>
      <c r="AF732" s="462"/>
      <c r="AG732" s="462"/>
      <c r="AH732" s="248"/>
      <c r="AI732" s="248"/>
      <c r="AJ732" s="248"/>
      <c r="AK732" s="183">
        <f t="shared" si="52"/>
        <v>0</v>
      </c>
      <c r="AL732" s="686">
        <f t="shared" si="55"/>
        <v>0</v>
      </c>
      <c r="AM732" s="686">
        <f t="shared" si="55"/>
        <v>0</v>
      </c>
      <c r="AN732" s="310"/>
      <c r="AO732" s="310"/>
      <c r="AP732" s="310"/>
      <c r="AQ732" s="698" t="s">
        <v>2627</v>
      </c>
      <c r="AR732" s="310"/>
      <c r="AS732" s="310"/>
    </row>
    <row r="733" spans="13:45" customFormat="1" ht="11.25" customHeight="1">
      <c r="M733" s="696" t="s">
        <v>2831</v>
      </c>
      <c r="N733" s="709" t="s">
        <v>1323</v>
      </c>
      <c r="O733" s="189" t="s">
        <v>195</v>
      </c>
      <c r="AB733" s="248"/>
      <c r="AC733" s="248"/>
      <c r="AD733" s="248"/>
      <c r="AE733" s="462"/>
      <c r="AF733" s="462"/>
      <c r="AG733" s="462"/>
      <c r="AH733" s="248"/>
      <c r="AI733" s="248"/>
      <c r="AJ733" s="248"/>
      <c r="AK733" s="183">
        <f t="shared" si="52"/>
        <v>0</v>
      </c>
      <c r="AL733" s="686">
        <f t="shared" si="55"/>
        <v>0</v>
      </c>
      <c r="AM733" s="686">
        <f t="shared" si="55"/>
        <v>0</v>
      </c>
      <c r="AN733" s="310"/>
      <c r="AO733" s="310"/>
      <c r="AP733" s="310"/>
      <c r="AQ733" s="698" t="s">
        <v>2629</v>
      </c>
      <c r="AR733" s="310"/>
      <c r="AS733" s="310"/>
    </row>
    <row r="734" spans="13:45" customFormat="1" ht="11.25" customHeight="1">
      <c r="M734" s="696" t="s">
        <v>2832</v>
      </c>
      <c r="N734" s="709" t="s">
        <v>1324</v>
      </c>
      <c r="O734" s="189" t="s">
        <v>195</v>
      </c>
      <c r="AB734" s="248"/>
      <c r="AC734" s="248"/>
      <c r="AD734" s="248"/>
      <c r="AE734" s="462"/>
      <c r="AF734" s="462"/>
      <c r="AG734" s="462"/>
      <c r="AH734" s="248"/>
      <c r="AI734" s="248"/>
      <c r="AJ734" s="248"/>
      <c r="AK734" s="183">
        <f t="shared" si="52"/>
        <v>0</v>
      </c>
      <c r="AL734" s="686">
        <f t="shared" si="55"/>
        <v>0</v>
      </c>
      <c r="AM734" s="686">
        <f t="shared" si="55"/>
        <v>0</v>
      </c>
      <c r="AN734" s="310"/>
      <c r="AO734" s="310"/>
      <c r="AP734" s="310"/>
      <c r="AQ734" s="698" t="s">
        <v>2631</v>
      </c>
      <c r="AR734" s="310"/>
      <c r="AS734" s="310"/>
    </row>
    <row r="735" spans="13:45" customFormat="1" ht="11.25" customHeight="1">
      <c r="M735" s="696" t="s">
        <v>2833</v>
      </c>
      <c r="N735" s="709" t="s">
        <v>2633</v>
      </c>
      <c r="O735" s="189" t="s">
        <v>195</v>
      </c>
      <c r="AB735" s="248"/>
      <c r="AC735" s="248"/>
      <c r="AD735" s="248"/>
      <c r="AE735" s="462"/>
      <c r="AF735" s="462"/>
      <c r="AG735" s="462"/>
      <c r="AH735" s="248"/>
      <c r="AI735" s="248"/>
      <c r="AJ735" s="248"/>
      <c r="AK735" s="183">
        <f t="shared" si="52"/>
        <v>0</v>
      </c>
      <c r="AL735" s="686">
        <f t="shared" si="55"/>
        <v>0</v>
      </c>
      <c r="AM735" s="686">
        <f t="shared" si="55"/>
        <v>0</v>
      </c>
      <c r="AN735" s="310"/>
      <c r="AO735" s="310"/>
      <c r="AP735" s="310"/>
      <c r="AQ735" s="698" t="s">
        <v>2634</v>
      </c>
      <c r="AR735" s="310"/>
      <c r="AS735" s="310"/>
    </row>
    <row r="736" spans="13:45" customFormat="1" ht="11.25" customHeight="1">
      <c r="M736" s="696" t="s">
        <v>2834</v>
      </c>
      <c r="N736" s="709" t="s">
        <v>2636</v>
      </c>
      <c r="O736" s="189" t="s">
        <v>195</v>
      </c>
      <c r="AB736" s="248"/>
      <c r="AC736" s="248"/>
      <c r="AD736" s="248"/>
      <c r="AE736" s="462"/>
      <c r="AF736" s="462"/>
      <c r="AG736" s="462"/>
      <c r="AH736" s="248"/>
      <c r="AI736" s="248"/>
      <c r="AJ736" s="248"/>
      <c r="AK736" s="183">
        <f t="shared" si="52"/>
        <v>0</v>
      </c>
      <c r="AL736" s="686">
        <f t="shared" si="55"/>
        <v>0</v>
      </c>
      <c r="AM736" s="686">
        <f t="shared" si="55"/>
        <v>0</v>
      </c>
      <c r="AN736" s="310"/>
      <c r="AO736" s="310"/>
      <c r="AP736" s="310"/>
      <c r="AQ736" s="698" t="s">
        <v>2637</v>
      </c>
      <c r="AR736" s="310"/>
      <c r="AS736" s="310"/>
    </row>
    <row r="737" spans="13:45" customFormat="1" ht="11.25" customHeight="1">
      <c r="M737" s="696" t="s">
        <v>2835</v>
      </c>
      <c r="N737" s="709" t="s">
        <v>2639</v>
      </c>
      <c r="O737" s="189" t="s">
        <v>195</v>
      </c>
      <c r="AB737" s="248"/>
      <c r="AC737" s="248"/>
      <c r="AD737" s="248"/>
      <c r="AE737" s="462"/>
      <c r="AF737" s="462"/>
      <c r="AG737" s="462"/>
      <c r="AH737" s="248"/>
      <c r="AI737" s="248"/>
      <c r="AJ737" s="248"/>
      <c r="AK737" s="183">
        <f t="shared" si="52"/>
        <v>0</v>
      </c>
      <c r="AL737" s="686">
        <f t="shared" si="55"/>
        <v>0</v>
      </c>
      <c r="AM737" s="686">
        <f t="shared" si="55"/>
        <v>0</v>
      </c>
      <c r="AN737" s="310"/>
      <c r="AO737" s="310"/>
      <c r="AP737" s="310"/>
      <c r="AQ737" s="698" t="s">
        <v>2640</v>
      </c>
      <c r="AR737" s="310"/>
      <c r="AS737" s="310"/>
    </row>
    <row r="738" spans="13:45" customFormat="1" ht="11.25" customHeight="1">
      <c r="M738" s="696" t="s">
        <v>2836</v>
      </c>
      <c r="N738" s="709" t="s">
        <v>2642</v>
      </c>
      <c r="O738" s="189" t="s">
        <v>195</v>
      </c>
      <c r="AB738" s="248"/>
      <c r="AC738" s="248"/>
      <c r="AD738" s="248"/>
      <c r="AE738" s="462"/>
      <c r="AF738" s="462"/>
      <c r="AG738" s="462"/>
      <c r="AH738" s="248"/>
      <c r="AI738" s="248"/>
      <c r="AJ738" s="248"/>
      <c r="AK738" s="183">
        <f t="shared" si="52"/>
        <v>0</v>
      </c>
      <c r="AL738" s="686">
        <f t="shared" si="55"/>
        <v>0</v>
      </c>
      <c r="AM738" s="686">
        <f t="shared" si="55"/>
        <v>0</v>
      </c>
      <c r="AN738" s="310"/>
      <c r="AO738" s="310"/>
      <c r="AP738" s="310"/>
      <c r="AQ738" s="698" t="s">
        <v>2643</v>
      </c>
      <c r="AR738" s="310"/>
      <c r="AS738" s="310"/>
    </row>
    <row r="739" spans="13:45" customFormat="1" ht="11.25" customHeight="1">
      <c r="M739" s="696" t="s">
        <v>2837</v>
      </c>
      <c r="N739" s="709" t="s">
        <v>2645</v>
      </c>
      <c r="O739" s="189" t="s">
        <v>195</v>
      </c>
      <c r="AB739" s="248"/>
      <c r="AC739" s="248"/>
      <c r="AD739" s="248"/>
      <c r="AE739" s="462"/>
      <c r="AF739" s="462"/>
      <c r="AG739" s="462"/>
      <c r="AH739" s="248"/>
      <c r="AI739" s="248"/>
      <c r="AJ739" s="248"/>
      <c r="AK739" s="183">
        <f t="shared" si="52"/>
        <v>0</v>
      </c>
      <c r="AL739" s="686">
        <f t="shared" si="55"/>
        <v>0</v>
      </c>
      <c r="AM739" s="686">
        <f t="shared" si="55"/>
        <v>0</v>
      </c>
      <c r="AN739" s="310"/>
      <c r="AO739" s="310"/>
      <c r="AP739" s="310"/>
      <c r="AQ739" s="698" t="s">
        <v>2646</v>
      </c>
      <c r="AR739" s="310"/>
      <c r="AS739" s="310"/>
    </row>
    <row r="740" spans="13:45" customFormat="1" ht="11.25" customHeight="1">
      <c r="M740" s="696" t="s">
        <v>2838</v>
      </c>
      <c r="N740" s="709" t="s">
        <v>1325</v>
      </c>
      <c r="O740" s="189" t="s">
        <v>195</v>
      </c>
      <c r="AB740" s="248"/>
      <c r="AC740" s="248"/>
      <c r="AD740" s="248"/>
      <c r="AE740" s="462"/>
      <c r="AF740" s="462"/>
      <c r="AG740" s="462"/>
      <c r="AH740" s="248"/>
      <c r="AI740" s="248"/>
      <c r="AJ740" s="248"/>
      <c r="AK740" s="183">
        <f t="shared" si="52"/>
        <v>0</v>
      </c>
      <c r="AL740" s="686">
        <f t="shared" si="55"/>
        <v>0</v>
      </c>
      <c r="AM740" s="686">
        <f t="shared" si="55"/>
        <v>0</v>
      </c>
      <c r="AN740" s="310"/>
      <c r="AO740" s="310"/>
      <c r="AP740" s="310"/>
      <c r="AQ740" s="698" t="s">
        <v>2648</v>
      </c>
      <c r="AR740" s="310"/>
      <c r="AS740" s="310"/>
    </row>
    <row r="741" spans="13:45" customFormat="1" ht="11.25" customHeight="1">
      <c r="M741" s="696" t="s">
        <v>2839</v>
      </c>
      <c r="N741" s="709" t="s">
        <v>1326</v>
      </c>
      <c r="O741" s="189" t="s">
        <v>195</v>
      </c>
      <c r="AB741" s="248"/>
      <c r="AC741" s="248"/>
      <c r="AD741" s="248"/>
      <c r="AE741" s="462"/>
      <c r="AF741" s="462"/>
      <c r="AG741" s="462"/>
      <c r="AH741" s="248"/>
      <c r="AI741" s="248"/>
      <c r="AJ741" s="248"/>
      <c r="AK741" s="183">
        <f t="shared" si="52"/>
        <v>0</v>
      </c>
      <c r="AL741" s="686">
        <f t="shared" si="55"/>
        <v>0</v>
      </c>
      <c r="AM741" s="686">
        <f t="shared" si="55"/>
        <v>0</v>
      </c>
      <c r="AN741" s="310"/>
      <c r="AO741" s="310"/>
      <c r="AP741" s="310"/>
      <c r="AQ741" s="698" t="s">
        <v>2650</v>
      </c>
      <c r="AR741" s="310"/>
      <c r="AS741" s="310"/>
    </row>
    <row r="742" spans="13:45" customFormat="1" ht="11.25" customHeight="1">
      <c r="M742" s="696" t="s">
        <v>2840</v>
      </c>
      <c r="N742" s="709" t="s">
        <v>2652</v>
      </c>
      <c r="O742" s="189" t="s">
        <v>195</v>
      </c>
      <c r="AB742" s="248"/>
      <c r="AC742" s="248"/>
      <c r="AD742" s="248"/>
      <c r="AE742" s="462"/>
      <c r="AF742" s="462"/>
      <c r="AG742" s="462"/>
      <c r="AH742" s="248"/>
      <c r="AI742" s="248"/>
      <c r="AJ742" s="248"/>
      <c r="AK742" s="183">
        <f t="shared" si="52"/>
        <v>0</v>
      </c>
      <c r="AL742" s="686">
        <f>AL638*AL690/1000</f>
        <v>0</v>
      </c>
      <c r="AM742" s="686">
        <f>AM638*AM690/1000</f>
        <v>0</v>
      </c>
      <c r="AN742" s="310"/>
      <c r="AO742" s="310"/>
      <c r="AP742" s="310"/>
      <c r="AQ742" s="698" t="s">
        <v>2653</v>
      </c>
      <c r="AR742" s="310"/>
      <c r="AS742" s="310"/>
    </row>
    <row r="743" spans="13:45" customFormat="1" ht="11.25" customHeight="1">
      <c r="M743" s="718"/>
      <c r="N743" s="460"/>
      <c r="O743" s="461"/>
      <c r="AB743" s="248"/>
      <c r="AC743" s="248"/>
      <c r="AD743" s="248"/>
      <c r="AE743" s="462"/>
      <c r="AF743" s="462"/>
      <c r="AG743" s="462"/>
      <c r="AH743" s="248"/>
      <c r="AI743" s="248"/>
      <c r="AJ743" s="248"/>
      <c r="AK743" s="462"/>
      <c r="AL743" s="462"/>
      <c r="AM743" s="462"/>
      <c r="AN743" s="310"/>
      <c r="AO743" s="310"/>
      <c r="AP743" s="310"/>
      <c r="AQ743" s="698"/>
      <c r="AR743" s="310"/>
      <c r="AS743" s="310"/>
    </row>
    <row r="744" spans="13:45" customFormat="1" ht="11.25" customHeight="1">
      <c r="M744" s="718"/>
      <c r="N744" s="460"/>
      <c r="O744" s="461"/>
      <c r="AB744" s="248"/>
      <c r="AC744" s="248"/>
      <c r="AD744" s="248"/>
      <c r="AE744" s="462"/>
      <c r="AF744" s="462"/>
      <c r="AG744" s="462"/>
      <c r="AH744" s="248"/>
      <c r="AI744" s="248"/>
      <c r="AJ744" s="248"/>
      <c r="AK744" s="462"/>
      <c r="AL744" s="462"/>
      <c r="AM744" s="462"/>
      <c r="AN744" s="310"/>
      <c r="AO744" s="310"/>
      <c r="AP744" s="310"/>
      <c r="AQ744" s="698"/>
      <c r="AR744" s="310"/>
      <c r="AS744" s="310"/>
    </row>
    <row r="745" spans="13:45" customFormat="1" ht="11.25" customHeight="1">
      <c r="M745" s="696" t="s">
        <v>1790</v>
      </c>
      <c r="N745" s="719" t="s">
        <v>1327</v>
      </c>
      <c r="O745" s="189" t="s">
        <v>195</v>
      </c>
      <c r="AB745" s="248"/>
      <c r="AC745" s="248"/>
      <c r="AD745" s="248"/>
      <c r="AE745" s="462"/>
      <c r="AF745" s="462"/>
      <c r="AG745" s="462"/>
      <c r="AH745" s="248"/>
      <c r="AI745" s="248"/>
      <c r="AJ745" s="248"/>
      <c r="AK745" s="183">
        <f t="shared" ref="AK745:AK751" si="56">AL745+AM745</f>
        <v>0</v>
      </c>
      <c r="AL745" s="686">
        <f t="shared" ref="AL745:AM751" si="57">AL641*AL693/1000</f>
        <v>0</v>
      </c>
      <c r="AM745" s="686">
        <f t="shared" si="57"/>
        <v>0</v>
      </c>
      <c r="AN745" s="310"/>
      <c r="AO745" s="310"/>
      <c r="AP745" s="310"/>
      <c r="AQ745" s="698" t="s">
        <v>1357</v>
      </c>
      <c r="AR745" s="310"/>
      <c r="AS745" s="310"/>
    </row>
    <row r="746" spans="13:45" customFormat="1" ht="11.25" customHeight="1">
      <c r="M746" s="696" t="s">
        <v>1791</v>
      </c>
      <c r="N746" s="712" t="s">
        <v>723</v>
      </c>
      <c r="O746" s="189" t="s">
        <v>195</v>
      </c>
      <c r="AB746" s="248"/>
      <c r="AC746" s="248"/>
      <c r="AD746" s="248"/>
      <c r="AE746" s="462"/>
      <c r="AF746" s="462"/>
      <c r="AG746" s="462"/>
      <c r="AH746" s="248"/>
      <c r="AI746" s="248"/>
      <c r="AJ746" s="248"/>
      <c r="AK746" s="183">
        <f t="shared" si="56"/>
        <v>0</v>
      </c>
      <c r="AL746" s="686">
        <f t="shared" si="57"/>
        <v>0</v>
      </c>
      <c r="AM746" s="686">
        <f t="shared" si="57"/>
        <v>0</v>
      </c>
      <c r="AN746" s="310"/>
      <c r="AO746" s="310"/>
      <c r="AP746" s="310"/>
      <c r="AQ746" s="698" t="s">
        <v>1350</v>
      </c>
      <c r="AR746" s="310"/>
      <c r="AS746" s="310"/>
    </row>
    <row r="747" spans="13:45" customFormat="1" ht="11.25" customHeight="1">
      <c r="M747" s="696" t="s">
        <v>1792</v>
      </c>
      <c r="N747" s="713" t="s">
        <v>748</v>
      </c>
      <c r="O747" s="189" t="s">
        <v>195</v>
      </c>
      <c r="AB747" s="248"/>
      <c r="AC747" s="248"/>
      <c r="AD747" s="248"/>
      <c r="AE747" s="462"/>
      <c r="AF747" s="462"/>
      <c r="AG747" s="462"/>
      <c r="AH747" s="248"/>
      <c r="AI747" s="248"/>
      <c r="AJ747" s="248"/>
      <c r="AK747" s="183">
        <f t="shared" si="56"/>
        <v>0</v>
      </c>
      <c r="AL747" s="686">
        <f t="shared" si="57"/>
        <v>0</v>
      </c>
      <c r="AM747" s="686">
        <f t="shared" si="57"/>
        <v>0</v>
      </c>
      <c r="AN747" s="310"/>
      <c r="AO747" s="310"/>
      <c r="AP747" s="310"/>
      <c r="AQ747" s="698" t="s">
        <v>1351</v>
      </c>
      <c r="AR747" s="310"/>
      <c r="AS747" s="310"/>
    </row>
    <row r="748" spans="13:45" customFormat="1" ht="11.25" customHeight="1">
      <c r="M748" s="696" t="s">
        <v>1793</v>
      </c>
      <c r="N748" s="714" t="s">
        <v>315</v>
      </c>
      <c r="O748" s="189" t="s">
        <v>195</v>
      </c>
      <c r="AB748" s="248"/>
      <c r="AC748" s="248"/>
      <c r="AD748" s="248"/>
      <c r="AE748" s="462"/>
      <c r="AF748" s="462"/>
      <c r="AG748" s="462"/>
      <c r="AH748" s="248"/>
      <c r="AI748" s="248"/>
      <c r="AJ748" s="248"/>
      <c r="AK748" s="183">
        <f t="shared" si="56"/>
        <v>0</v>
      </c>
      <c r="AL748" s="686">
        <f t="shared" si="57"/>
        <v>0</v>
      </c>
      <c r="AM748" s="686">
        <f t="shared" si="57"/>
        <v>0</v>
      </c>
      <c r="AN748" s="310"/>
      <c r="AO748" s="310"/>
      <c r="AP748" s="310"/>
      <c r="AQ748" s="698" t="s">
        <v>1352</v>
      </c>
      <c r="AR748" s="310"/>
      <c r="AS748" s="310"/>
    </row>
    <row r="749" spans="13:45" customFormat="1" ht="11.25" customHeight="1">
      <c r="M749" s="696" t="s">
        <v>1794</v>
      </c>
      <c r="N749" s="715" t="s">
        <v>316</v>
      </c>
      <c r="O749" s="189" t="s">
        <v>195</v>
      </c>
      <c r="AB749" s="248"/>
      <c r="AC749" s="248"/>
      <c r="AD749" s="248"/>
      <c r="AE749" s="462"/>
      <c r="AF749" s="462"/>
      <c r="AG749" s="462"/>
      <c r="AH749" s="248"/>
      <c r="AI749" s="248"/>
      <c r="AJ749" s="248"/>
      <c r="AK749" s="183">
        <f t="shared" si="56"/>
        <v>0</v>
      </c>
      <c r="AL749" s="686">
        <f t="shared" si="57"/>
        <v>0</v>
      </c>
      <c r="AM749" s="686">
        <f t="shared" si="57"/>
        <v>0</v>
      </c>
      <c r="AN749" s="310"/>
      <c r="AO749" s="310"/>
      <c r="AP749" s="310"/>
      <c r="AQ749" s="698" t="s">
        <v>1354</v>
      </c>
      <c r="AR749" s="310"/>
      <c r="AS749" s="310"/>
    </row>
    <row r="750" spans="13:45" customFormat="1" ht="11.25" customHeight="1">
      <c r="M750" s="696" t="s">
        <v>1795</v>
      </c>
      <c r="N750" s="716" t="s">
        <v>317</v>
      </c>
      <c r="O750" s="189" t="s">
        <v>195</v>
      </c>
      <c r="AB750" s="248"/>
      <c r="AC750" s="248"/>
      <c r="AD750" s="248"/>
      <c r="AE750" s="462"/>
      <c r="AF750" s="462"/>
      <c r="AG750" s="462"/>
      <c r="AH750" s="248"/>
      <c r="AI750" s="248"/>
      <c r="AJ750" s="248"/>
      <c r="AK750" s="183">
        <f t="shared" si="56"/>
        <v>0</v>
      </c>
      <c r="AL750" s="686">
        <f t="shared" si="57"/>
        <v>0</v>
      </c>
      <c r="AM750" s="686">
        <f t="shared" si="57"/>
        <v>0</v>
      </c>
      <c r="AN750" s="310"/>
      <c r="AO750" s="310"/>
      <c r="AP750" s="310"/>
      <c r="AQ750" s="698" t="s">
        <v>1353</v>
      </c>
      <c r="AR750" s="310"/>
      <c r="AS750" s="310"/>
    </row>
    <row r="751" spans="13:45" customFormat="1" ht="11.25" customHeight="1">
      <c r="M751" s="696" t="s">
        <v>1796</v>
      </c>
      <c r="N751" s="701" t="s">
        <v>318</v>
      </c>
      <c r="O751" s="189" t="s">
        <v>195</v>
      </c>
      <c r="AB751" s="248"/>
      <c r="AC751" s="248"/>
      <c r="AD751" s="248"/>
      <c r="AE751" s="462"/>
      <c r="AF751" s="462"/>
      <c r="AG751" s="462"/>
      <c r="AH751" s="248"/>
      <c r="AI751" s="248"/>
      <c r="AJ751" s="248"/>
      <c r="AK751" s="183">
        <f t="shared" si="56"/>
        <v>0</v>
      </c>
      <c r="AL751" s="686">
        <f t="shared" si="57"/>
        <v>0</v>
      </c>
      <c r="AM751" s="686">
        <f t="shared" si="57"/>
        <v>0</v>
      </c>
      <c r="AN751" s="310"/>
      <c r="AO751" s="310"/>
      <c r="AP751" s="310"/>
      <c r="AQ751" s="698" t="s">
        <v>1355</v>
      </c>
      <c r="AR751" s="310"/>
      <c r="AS751" s="310"/>
    </row>
    <row r="752" spans="13:45" customFormat="1" ht="11.25" customHeight="1">
      <c r="M752" s="718"/>
      <c r="N752" s="460"/>
      <c r="O752" s="461"/>
      <c r="AB752" s="248"/>
      <c r="AC752" s="248"/>
      <c r="AD752" s="248"/>
      <c r="AE752" s="462"/>
      <c r="AF752" s="462"/>
      <c r="AG752" s="462"/>
      <c r="AH752" s="248"/>
      <c r="AI752" s="248"/>
      <c r="AJ752" s="248"/>
      <c r="AK752" s="266"/>
      <c r="AL752" s="266"/>
      <c r="AM752" s="266"/>
      <c r="AN752" s="310"/>
      <c r="AO752" s="310"/>
      <c r="AP752" s="310"/>
      <c r="AQ752" s="698"/>
      <c r="AR752" s="310"/>
      <c r="AS752" s="310"/>
    </row>
    <row r="753" spans="13:45" customFormat="1" ht="11.25" customHeight="1">
      <c r="M753" s="490" t="s">
        <v>1610</v>
      </c>
      <c r="N753" s="463" t="s">
        <v>659</v>
      </c>
      <c r="O753" s="189"/>
      <c r="AB753" s="248"/>
      <c r="AC753" s="248"/>
      <c r="AD753" s="248"/>
      <c r="AE753" s="462"/>
      <c r="AF753" s="462"/>
      <c r="AG753" s="462"/>
      <c r="AH753" s="248"/>
      <c r="AI753" s="248"/>
      <c r="AJ753" s="248"/>
      <c r="AK753" s="241"/>
      <c r="AL753" s="241"/>
      <c r="AM753" s="241"/>
      <c r="AN753" s="310"/>
      <c r="AO753" s="310"/>
      <c r="AP753" s="310"/>
      <c r="AQ753" s="36"/>
      <c r="AR753" s="310"/>
      <c r="AS753" s="310"/>
    </row>
    <row r="754" spans="13:45" customFormat="1" ht="11.25" customHeight="1">
      <c r="M754" s="718"/>
      <c r="N754" s="460"/>
      <c r="O754" s="461"/>
      <c r="AB754" s="248"/>
      <c r="AC754" s="248"/>
      <c r="AD754" s="248"/>
      <c r="AE754" s="462"/>
      <c r="AF754" s="462"/>
      <c r="AG754" s="462"/>
      <c r="AH754" s="248"/>
      <c r="AI754" s="248"/>
      <c r="AJ754" s="248"/>
      <c r="AK754" s="462"/>
      <c r="AL754" s="462"/>
      <c r="AM754" s="462"/>
      <c r="AN754" s="310"/>
      <c r="AO754" s="310"/>
      <c r="AP754" s="310"/>
      <c r="AQ754" s="698"/>
      <c r="AR754" s="310"/>
      <c r="AS754" s="310"/>
    </row>
    <row r="755" spans="13:45" customFormat="1" ht="11.25" customHeight="1">
      <c r="M755" s="718"/>
      <c r="N755" s="460"/>
      <c r="O755" s="461"/>
      <c r="AB755" s="248"/>
      <c r="AC755" s="248"/>
      <c r="AD755" s="248"/>
      <c r="AE755" s="462"/>
      <c r="AF755" s="462"/>
      <c r="AG755" s="462"/>
      <c r="AH755" s="248"/>
      <c r="AI755" s="248"/>
      <c r="AJ755" s="248"/>
      <c r="AK755" s="462"/>
      <c r="AL755" s="462"/>
      <c r="AM755" s="462"/>
      <c r="AN755" s="310"/>
      <c r="AO755" s="310"/>
      <c r="AP755" s="310"/>
      <c r="AQ755" s="698"/>
      <c r="AR755" s="310"/>
      <c r="AS755" s="310"/>
    </row>
    <row r="756" spans="13:45" customFormat="1" ht="11.25" customHeight="1">
      <c r="M756" s="718"/>
      <c r="N756" s="460"/>
      <c r="O756" s="461"/>
      <c r="AB756" s="248"/>
      <c r="AC756" s="248"/>
      <c r="AD756" s="248"/>
      <c r="AE756" s="462"/>
      <c r="AF756" s="462"/>
      <c r="AG756" s="462"/>
      <c r="AH756" s="248"/>
      <c r="AI756" s="248"/>
      <c r="AJ756" s="248"/>
      <c r="AK756" s="462"/>
      <c r="AL756" s="462"/>
      <c r="AM756" s="462"/>
      <c r="AN756" s="310"/>
      <c r="AO756" s="310"/>
      <c r="AP756" s="310"/>
      <c r="AQ756" s="698"/>
      <c r="AR756" s="310"/>
      <c r="AS756" s="310"/>
    </row>
    <row r="757" spans="13:45" customFormat="1" ht="11.25" customHeight="1">
      <c r="M757" s="718"/>
      <c r="N757" s="460"/>
      <c r="O757" s="461"/>
      <c r="AB757" s="248"/>
      <c r="AC757" s="248"/>
      <c r="AD757" s="248"/>
      <c r="AE757" s="462"/>
      <c r="AF757" s="462"/>
      <c r="AG757" s="462"/>
      <c r="AH757" s="248"/>
      <c r="AI757" s="248"/>
      <c r="AJ757" s="248"/>
      <c r="AK757" s="462"/>
      <c r="AL757" s="462"/>
      <c r="AM757" s="462"/>
      <c r="AN757" s="310"/>
      <c r="AO757" s="310"/>
      <c r="AP757" s="310"/>
      <c r="AQ757" s="698"/>
      <c r="AR757" s="310"/>
      <c r="AS757" s="310"/>
    </row>
    <row r="758" spans="13:45" customFormat="1" ht="11.25" customHeight="1">
      <c r="M758" s="718"/>
      <c r="N758" s="460"/>
      <c r="O758" s="461"/>
      <c r="AB758" s="248"/>
      <c r="AC758" s="248"/>
      <c r="AD758" s="248"/>
      <c r="AE758" s="462"/>
      <c r="AF758" s="462"/>
      <c r="AG758" s="462"/>
      <c r="AH758" s="248"/>
      <c r="AI758" s="248"/>
      <c r="AJ758" s="248"/>
      <c r="AK758" s="462"/>
      <c r="AL758" s="462"/>
      <c r="AM758" s="462"/>
      <c r="AN758" s="310"/>
      <c r="AO758" s="310"/>
      <c r="AP758" s="310"/>
      <c r="AQ758" s="698"/>
      <c r="AR758" s="310"/>
      <c r="AS758" s="310"/>
    </row>
    <row r="759" spans="13:45" customFormat="1" ht="11.25" customHeight="1">
      <c r="M759" s="718"/>
      <c r="N759" s="460"/>
      <c r="O759" s="461"/>
      <c r="AB759" s="248"/>
      <c r="AC759" s="248"/>
      <c r="AD759" s="248"/>
      <c r="AE759" s="462"/>
      <c r="AF759" s="462"/>
      <c r="AG759" s="462"/>
      <c r="AH759" s="248"/>
      <c r="AI759" s="248"/>
      <c r="AJ759" s="248"/>
      <c r="AK759" s="462"/>
      <c r="AL759" s="462"/>
      <c r="AM759" s="462"/>
      <c r="AN759" s="310"/>
      <c r="AO759" s="310"/>
      <c r="AP759" s="310"/>
      <c r="AQ759" s="698"/>
      <c r="AR759" s="310"/>
      <c r="AS759" s="310"/>
    </row>
    <row r="760" spans="13:45" customFormat="1" ht="11.25" customHeight="1">
      <c r="M760" s="718"/>
      <c r="N760" s="460"/>
      <c r="O760" s="461"/>
      <c r="AB760" s="248"/>
      <c r="AC760" s="248"/>
      <c r="AD760" s="248"/>
      <c r="AE760" s="462"/>
      <c r="AF760" s="462"/>
      <c r="AG760" s="462"/>
      <c r="AH760" s="248"/>
      <c r="AI760" s="248"/>
      <c r="AJ760" s="248"/>
      <c r="AK760" s="462"/>
      <c r="AL760" s="462"/>
      <c r="AM760" s="462"/>
      <c r="AN760" s="310"/>
      <c r="AO760" s="310"/>
      <c r="AP760" s="310"/>
      <c r="AQ760" s="698"/>
      <c r="AR760" s="310"/>
      <c r="AS760" s="310"/>
    </row>
    <row r="761" spans="13:45" customFormat="1" ht="11.25" customHeight="1">
      <c r="M761" s="718"/>
      <c r="N761" s="460"/>
      <c r="O761" s="461"/>
      <c r="AB761" s="248"/>
      <c r="AC761" s="248"/>
      <c r="AD761" s="248"/>
      <c r="AE761" s="462"/>
      <c r="AF761" s="462"/>
      <c r="AG761" s="462"/>
      <c r="AH761" s="248"/>
      <c r="AI761" s="248"/>
      <c r="AJ761" s="248"/>
      <c r="AK761" s="462"/>
      <c r="AL761" s="462"/>
      <c r="AM761" s="462"/>
      <c r="AN761" s="310"/>
      <c r="AO761" s="310"/>
      <c r="AP761" s="310"/>
      <c r="AQ761" s="698"/>
      <c r="AR761" s="310"/>
      <c r="AS761" s="310"/>
    </row>
    <row r="762" spans="13:45" customFormat="1" ht="11.25" customHeight="1">
      <c r="M762" s="696" t="s">
        <v>1652</v>
      </c>
      <c r="N762" s="701" t="s">
        <v>684</v>
      </c>
      <c r="O762" s="189" t="s">
        <v>751</v>
      </c>
      <c r="AB762" s="248"/>
      <c r="AC762" s="248"/>
      <c r="AD762" s="248"/>
      <c r="AE762" s="462"/>
      <c r="AF762" s="462"/>
      <c r="AG762" s="462"/>
      <c r="AH762" s="248"/>
      <c r="AI762" s="248"/>
      <c r="AJ762" s="248"/>
      <c r="AK762" s="686">
        <f>IF(AK814=0,0,AK866/AK814*1000)</f>
        <v>0</v>
      </c>
      <c r="AL762" s="196"/>
      <c r="AM762" s="196"/>
      <c r="AN762" s="310"/>
      <c r="AO762" s="310"/>
      <c r="AP762" s="310"/>
      <c r="AQ762" s="698" t="s">
        <v>1332</v>
      </c>
      <c r="AR762" s="310"/>
      <c r="AS762" s="310"/>
    </row>
    <row r="763" spans="13:45" customFormat="1" ht="11.25" customHeight="1">
      <c r="M763" s="696" t="s">
        <v>1653</v>
      </c>
      <c r="N763" s="702" t="s">
        <v>718</v>
      </c>
      <c r="O763" s="189" t="s">
        <v>751</v>
      </c>
      <c r="AB763" s="248"/>
      <c r="AC763" s="248"/>
      <c r="AD763" s="248"/>
      <c r="AE763" s="462"/>
      <c r="AF763" s="462"/>
      <c r="AG763" s="462"/>
      <c r="AH763" s="248"/>
      <c r="AI763" s="248"/>
      <c r="AJ763" s="248"/>
      <c r="AK763" s="686">
        <f t="shared" ref="AK763:AK794" si="58">IF(AK815=0,0,AK867/AK815*1000)</f>
        <v>0</v>
      </c>
      <c r="AL763" s="196"/>
      <c r="AM763" s="196"/>
      <c r="AN763" s="310"/>
      <c r="AO763" s="310"/>
      <c r="AP763" s="310"/>
      <c r="AQ763" s="698" t="s">
        <v>1333</v>
      </c>
      <c r="AR763" s="310"/>
      <c r="AS763" s="310"/>
    </row>
    <row r="764" spans="13:45" customFormat="1" ht="11.25" customHeight="1">
      <c r="M764" s="696" t="s">
        <v>1654</v>
      </c>
      <c r="N764" s="703" t="s">
        <v>722</v>
      </c>
      <c r="O764" s="189" t="s">
        <v>751</v>
      </c>
      <c r="AB764" s="248"/>
      <c r="AC764" s="248"/>
      <c r="AD764" s="248"/>
      <c r="AE764" s="462"/>
      <c r="AF764" s="462"/>
      <c r="AG764" s="462"/>
      <c r="AH764" s="248"/>
      <c r="AI764" s="248"/>
      <c r="AJ764" s="248"/>
      <c r="AK764" s="686">
        <f t="shared" si="58"/>
        <v>0</v>
      </c>
      <c r="AL764" s="686">
        <f>IF(AL816=0,0,AL868/AL816*1000)</f>
        <v>0</v>
      </c>
      <c r="AM764" s="686">
        <f>IF(AM816=0,0,AM868/AM816*1000)</f>
        <v>0</v>
      </c>
      <c r="AN764" s="310"/>
      <c r="AO764" s="310"/>
      <c r="AP764" s="310"/>
      <c r="AQ764" s="698" t="s">
        <v>1334</v>
      </c>
      <c r="AR764" s="310"/>
      <c r="AS764" s="310"/>
    </row>
    <row r="765" spans="13:45" customFormat="1" ht="11.25" customHeight="1">
      <c r="M765" s="696" t="s">
        <v>1655</v>
      </c>
      <c r="N765" s="704" t="s">
        <v>1309</v>
      </c>
      <c r="O765" s="189" t="s">
        <v>751</v>
      </c>
      <c r="AB765" s="248"/>
      <c r="AC765" s="248"/>
      <c r="AD765" s="248"/>
      <c r="AE765" s="462"/>
      <c r="AF765" s="462"/>
      <c r="AG765" s="462"/>
      <c r="AH765" s="248"/>
      <c r="AI765" s="248"/>
      <c r="AJ765" s="248"/>
      <c r="AK765" s="686">
        <f t="shared" si="58"/>
        <v>0</v>
      </c>
      <c r="AL765" s="196"/>
      <c r="AM765" s="196"/>
      <c r="AN765" s="310"/>
      <c r="AO765" s="310"/>
      <c r="AP765" s="310"/>
      <c r="AQ765" s="698" t="s">
        <v>1335</v>
      </c>
      <c r="AR765" s="310"/>
      <c r="AS765" s="310"/>
    </row>
    <row r="766" spans="13:45" customFormat="1" ht="11.25" customHeight="1">
      <c r="M766" s="696" t="s">
        <v>1656</v>
      </c>
      <c r="N766" s="704" t="s">
        <v>1310</v>
      </c>
      <c r="O766" s="189" t="s">
        <v>751</v>
      </c>
      <c r="AB766" s="248"/>
      <c r="AC766" s="248"/>
      <c r="AD766" s="248"/>
      <c r="AE766" s="462"/>
      <c r="AF766" s="462"/>
      <c r="AG766" s="462"/>
      <c r="AH766" s="248"/>
      <c r="AI766" s="248"/>
      <c r="AJ766" s="248"/>
      <c r="AK766" s="686">
        <f t="shared" si="58"/>
        <v>0</v>
      </c>
      <c r="AL766" s="196"/>
      <c r="AM766" s="196"/>
      <c r="AN766" s="310"/>
      <c r="AO766" s="310"/>
      <c r="AP766" s="310"/>
      <c r="AQ766" s="698" t="s">
        <v>1336</v>
      </c>
      <c r="AR766" s="310"/>
      <c r="AS766" s="310"/>
    </row>
    <row r="767" spans="13:45" customFormat="1" ht="11.25" customHeight="1">
      <c r="M767" s="696" t="s">
        <v>1657</v>
      </c>
      <c r="N767" s="704" t="s">
        <v>1311</v>
      </c>
      <c r="O767" s="189" t="s">
        <v>751</v>
      </c>
      <c r="AB767" s="248"/>
      <c r="AC767" s="248"/>
      <c r="AD767" s="248"/>
      <c r="AE767" s="462"/>
      <c r="AF767" s="462"/>
      <c r="AG767" s="462"/>
      <c r="AH767" s="248"/>
      <c r="AI767" s="248"/>
      <c r="AJ767" s="248"/>
      <c r="AK767" s="686">
        <f t="shared" si="58"/>
        <v>0</v>
      </c>
      <c r="AL767" s="196"/>
      <c r="AM767" s="196"/>
      <c r="AN767" s="310"/>
      <c r="AO767" s="310"/>
      <c r="AP767" s="310"/>
      <c r="AQ767" s="698" t="s">
        <v>1337</v>
      </c>
      <c r="AR767" s="310"/>
      <c r="AS767" s="310"/>
    </row>
    <row r="768" spans="13:45" customFormat="1" ht="11.25" customHeight="1">
      <c r="M768" s="696" t="s">
        <v>1658</v>
      </c>
      <c r="N768" s="704" t="s">
        <v>1312</v>
      </c>
      <c r="O768" s="189" t="s">
        <v>751</v>
      </c>
      <c r="AB768" s="248"/>
      <c r="AC768" s="248"/>
      <c r="AD768" s="248"/>
      <c r="AE768" s="462"/>
      <c r="AF768" s="462"/>
      <c r="AG768" s="462"/>
      <c r="AH768" s="248"/>
      <c r="AI768" s="248"/>
      <c r="AJ768" s="248"/>
      <c r="AK768" s="686">
        <f t="shared" si="58"/>
        <v>0</v>
      </c>
      <c r="AL768" s="196"/>
      <c r="AM768" s="196"/>
      <c r="AN768" s="310"/>
      <c r="AO768" s="310"/>
      <c r="AP768" s="310"/>
      <c r="AQ768" s="698" t="s">
        <v>1338</v>
      </c>
      <c r="AR768" s="310"/>
      <c r="AS768" s="310"/>
    </row>
    <row r="769" spans="13:45" customFormat="1" ht="11.25" customHeight="1">
      <c r="M769" s="696" t="s">
        <v>1659</v>
      </c>
      <c r="N769" s="705" t="s">
        <v>720</v>
      </c>
      <c r="O769" s="189" t="s">
        <v>751</v>
      </c>
      <c r="AB769" s="248"/>
      <c r="AC769" s="248"/>
      <c r="AD769" s="248"/>
      <c r="AE769" s="462"/>
      <c r="AF769" s="462"/>
      <c r="AG769" s="462"/>
      <c r="AH769" s="248"/>
      <c r="AI769" s="248"/>
      <c r="AJ769" s="248"/>
      <c r="AK769" s="686">
        <f t="shared" si="58"/>
        <v>0</v>
      </c>
      <c r="AL769" s="686">
        <f>IF(AL821=0,0,AL873/AL821*1000)</f>
        <v>0</v>
      </c>
      <c r="AM769" s="686">
        <f>IF(AM821=0,0,AM873/AM821*1000)</f>
        <v>0</v>
      </c>
      <c r="AN769" s="310"/>
      <c r="AO769" s="310"/>
      <c r="AP769" s="310"/>
      <c r="AQ769" s="698" t="s">
        <v>1343</v>
      </c>
      <c r="AR769" s="310"/>
      <c r="AS769" s="310"/>
    </row>
    <row r="770" spans="13:45" customFormat="1" ht="11.25" customHeight="1">
      <c r="M770" s="696" t="s">
        <v>1878</v>
      </c>
      <c r="N770" s="706" t="s">
        <v>1313</v>
      </c>
      <c r="O770" s="189" t="s">
        <v>751</v>
      </c>
      <c r="AB770" s="248"/>
      <c r="AC770" s="248"/>
      <c r="AD770" s="248"/>
      <c r="AE770" s="462"/>
      <c r="AF770" s="462"/>
      <c r="AG770" s="462"/>
      <c r="AH770" s="248"/>
      <c r="AI770" s="248"/>
      <c r="AJ770" s="248"/>
      <c r="AK770" s="686">
        <f t="shared" si="58"/>
        <v>0</v>
      </c>
      <c r="AL770" s="196"/>
      <c r="AM770" s="196"/>
      <c r="AN770" s="310"/>
      <c r="AO770" s="310"/>
      <c r="AP770" s="310"/>
      <c r="AQ770" s="698" t="s">
        <v>1866</v>
      </c>
      <c r="AR770" s="310"/>
      <c r="AS770" s="310"/>
    </row>
    <row r="771" spans="13:45" customFormat="1" ht="11.25" customHeight="1">
      <c r="M771" s="696" t="s">
        <v>1859</v>
      </c>
      <c r="N771" s="706" t="s">
        <v>1314</v>
      </c>
      <c r="O771" s="189" t="s">
        <v>751</v>
      </c>
      <c r="AB771" s="248"/>
      <c r="AC771" s="248"/>
      <c r="AD771" s="248"/>
      <c r="AE771" s="462"/>
      <c r="AF771" s="462"/>
      <c r="AG771" s="462"/>
      <c r="AH771" s="248"/>
      <c r="AI771" s="248"/>
      <c r="AJ771" s="248"/>
      <c r="AK771" s="686">
        <f t="shared" si="58"/>
        <v>0</v>
      </c>
      <c r="AL771" s="196"/>
      <c r="AM771" s="196"/>
      <c r="AN771" s="310"/>
      <c r="AO771" s="310"/>
      <c r="AP771" s="310"/>
      <c r="AQ771" s="698" t="s">
        <v>1847</v>
      </c>
      <c r="AR771" s="310"/>
      <c r="AS771" s="310"/>
    </row>
    <row r="772" spans="13:45" customFormat="1" ht="11.25" customHeight="1">
      <c r="M772" s="696" t="s">
        <v>1840</v>
      </c>
      <c r="N772" s="706" t="s">
        <v>1315</v>
      </c>
      <c r="O772" s="189" t="s">
        <v>751</v>
      </c>
      <c r="AB772" s="248"/>
      <c r="AC772" s="248"/>
      <c r="AD772" s="248"/>
      <c r="AE772" s="462"/>
      <c r="AF772" s="462"/>
      <c r="AG772" s="462"/>
      <c r="AH772" s="248"/>
      <c r="AI772" s="248"/>
      <c r="AJ772" s="248"/>
      <c r="AK772" s="686">
        <f t="shared" si="58"/>
        <v>0</v>
      </c>
      <c r="AL772" s="196"/>
      <c r="AM772" s="196"/>
      <c r="AN772" s="310"/>
      <c r="AO772" s="310"/>
      <c r="AP772" s="310"/>
      <c r="AQ772" s="698" t="s">
        <v>1827</v>
      </c>
      <c r="AR772" s="310"/>
      <c r="AS772" s="310"/>
    </row>
    <row r="773" spans="13:45" customFormat="1" ht="11.25" customHeight="1">
      <c r="M773" s="696" t="s">
        <v>1660</v>
      </c>
      <c r="N773" s="706" t="s">
        <v>1316</v>
      </c>
      <c r="O773" s="189" t="s">
        <v>751</v>
      </c>
      <c r="AB773" s="248"/>
      <c r="AC773" s="248"/>
      <c r="AD773" s="248"/>
      <c r="AE773" s="462"/>
      <c r="AF773" s="462"/>
      <c r="AG773" s="462"/>
      <c r="AH773" s="248"/>
      <c r="AI773" s="248"/>
      <c r="AJ773" s="248"/>
      <c r="AK773" s="686">
        <f t="shared" si="58"/>
        <v>0</v>
      </c>
      <c r="AL773" s="196"/>
      <c r="AM773" s="196"/>
      <c r="AN773" s="310"/>
      <c r="AO773" s="310"/>
      <c r="AP773" s="310"/>
      <c r="AQ773" s="698" t="s">
        <v>1344</v>
      </c>
      <c r="AR773" s="310"/>
      <c r="AS773" s="310"/>
    </row>
    <row r="774" spans="13:45" customFormat="1" ht="11.25" customHeight="1">
      <c r="M774" s="696" t="s">
        <v>1661</v>
      </c>
      <c r="N774" s="706" t="s">
        <v>1317</v>
      </c>
      <c r="O774" s="189" t="s">
        <v>751</v>
      </c>
      <c r="AB774" s="248"/>
      <c r="AC774" s="248"/>
      <c r="AD774" s="248"/>
      <c r="AE774" s="462"/>
      <c r="AF774" s="462"/>
      <c r="AG774" s="462"/>
      <c r="AH774" s="248"/>
      <c r="AI774" s="248"/>
      <c r="AJ774" s="248"/>
      <c r="AK774" s="686">
        <f t="shared" si="58"/>
        <v>0</v>
      </c>
      <c r="AL774" s="196"/>
      <c r="AM774" s="196"/>
      <c r="AN774" s="310"/>
      <c r="AO774" s="310"/>
      <c r="AP774" s="310"/>
      <c r="AQ774" s="698" t="s">
        <v>1345</v>
      </c>
      <c r="AR774" s="310"/>
      <c r="AS774" s="310"/>
    </row>
    <row r="775" spans="13:45" customFormat="1" ht="11.25" customHeight="1">
      <c r="M775" s="696" t="s">
        <v>1662</v>
      </c>
      <c r="N775" s="706" t="s">
        <v>1318</v>
      </c>
      <c r="O775" s="189" t="s">
        <v>751</v>
      </c>
      <c r="AB775" s="248"/>
      <c r="AC775" s="248"/>
      <c r="AD775" s="248"/>
      <c r="AE775" s="462"/>
      <c r="AF775" s="462"/>
      <c r="AG775" s="462"/>
      <c r="AH775" s="248"/>
      <c r="AI775" s="248"/>
      <c r="AJ775" s="248"/>
      <c r="AK775" s="686">
        <f t="shared" si="58"/>
        <v>0</v>
      </c>
      <c r="AL775" s="196"/>
      <c r="AM775" s="196"/>
      <c r="AN775" s="310"/>
      <c r="AO775" s="310"/>
      <c r="AP775" s="310"/>
      <c r="AQ775" s="698" t="s">
        <v>1346</v>
      </c>
      <c r="AR775" s="310"/>
      <c r="AS775" s="310"/>
    </row>
    <row r="776" spans="13:45" customFormat="1" ht="11.25" customHeight="1">
      <c r="M776" s="696" t="s">
        <v>1663</v>
      </c>
      <c r="N776" s="707" t="s">
        <v>721</v>
      </c>
      <c r="O776" s="189" t="s">
        <v>751</v>
      </c>
      <c r="AB776" s="248"/>
      <c r="AC776" s="248"/>
      <c r="AD776" s="248"/>
      <c r="AE776" s="462"/>
      <c r="AF776" s="462"/>
      <c r="AG776" s="462"/>
      <c r="AH776" s="248"/>
      <c r="AI776" s="248"/>
      <c r="AJ776" s="248"/>
      <c r="AK776" s="686">
        <f t="shared" si="58"/>
        <v>0</v>
      </c>
      <c r="AL776" s="196"/>
      <c r="AM776" s="196"/>
      <c r="AN776" s="310"/>
      <c r="AO776" s="310"/>
      <c r="AP776" s="310"/>
      <c r="AQ776" s="698" t="s">
        <v>1347</v>
      </c>
      <c r="AR776" s="310"/>
      <c r="AS776" s="310"/>
    </row>
    <row r="777" spans="13:45" customFormat="1" ht="11.25" customHeight="1">
      <c r="M777" s="696" t="s">
        <v>1664</v>
      </c>
      <c r="N777" s="708" t="s">
        <v>712</v>
      </c>
      <c r="O777" s="189" t="s">
        <v>751</v>
      </c>
      <c r="AB777" s="248"/>
      <c r="AC777" s="248"/>
      <c r="AD777" s="248"/>
      <c r="AE777" s="462"/>
      <c r="AF777" s="462"/>
      <c r="AG777" s="462"/>
      <c r="AH777" s="248"/>
      <c r="AI777" s="248"/>
      <c r="AJ777" s="248"/>
      <c r="AK777" s="686">
        <f t="shared" si="58"/>
        <v>0</v>
      </c>
      <c r="AL777" s="686">
        <f>IF(AL829=0,0,AL881/AL829*1000)</f>
        <v>0</v>
      </c>
      <c r="AM777" s="686">
        <f>IF(AM829=0,0,AM881/AM829*1000)</f>
        <v>0</v>
      </c>
      <c r="AN777" s="310"/>
      <c r="AO777" s="310"/>
      <c r="AP777" s="310"/>
      <c r="AQ777" s="698" t="s">
        <v>1348</v>
      </c>
      <c r="AR777" s="310"/>
      <c r="AS777" s="310"/>
    </row>
    <row r="778" spans="13:45" customFormat="1" ht="11.25" customHeight="1">
      <c r="M778" s="696" t="s">
        <v>2841</v>
      </c>
      <c r="N778" s="709" t="s">
        <v>1319</v>
      </c>
      <c r="O778" s="189" t="s">
        <v>751</v>
      </c>
      <c r="AB778" s="248"/>
      <c r="AC778" s="248"/>
      <c r="AD778" s="248"/>
      <c r="AE778" s="462"/>
      <c r="AF778" s="462"/>
      <c r="AG778" s="462"/>
      <c r="AH778" s="248"/>
      <c r="AI778" s="248"/>
      <c r="AJ778" s="248"/>
      <c r="AK778" s="686">
        <f t="shared" si="58"/>
        <v>0</v>
      </c>
      <c r="AL778" s="196"/>
      <c r="AM778" s="196"/>
      <c r="AN778" s="310"/>
      <c r="AO778" s="310"/>
      <c r="AP778" s="310"/>
      <c r="AQ778" s="698" t="s">
        <v>2612</v>
      </c>
      <c r="AR778" s="310"/>
      <c r="AS778" s="310"/>
    </row>
    <row r="779" spans="13:45" customFormat="1" ht="11.25" customHeight="1">
      <c r="M779" s="696" t="s">
        <v>2842</v>
      </c>
      <c r="N779" s="709" t="s">
        <v>1320</v>
      </c>
      <c r="O779" s="189" t="s">
        <v>751</v>
      </c>
      <c r="AB779" s="248"/>
      <c r="AC779" s="248"/>
      <c r="AD779" s="248"/>
      <c r="AE779" s="462"/>
      <c r="AF779" s="462"/>
      <c r="AG779" s="462"/>
      <c r="AH779" s="248"/>
      <c r="AI779" s="248"/>
      <c r="AJ779" s="248"/>
      <c r="AK779" s="686">
        <f t="shared" si="58"/>
        <v>0</v>
      </c>
      <c r="AL779" s="196"/>
      <c r="AM779" s="196"/>
      <c r="AN779" s="310"/>
      <c r="AO779" s="310"/>
      <c r="AP779" s="310"/>
      <c r="AQ779" s="698" t="s">
        <v>2614</v>
      </c>
      <c r="AR779" s="310"/>
      <c r="AS779" s="310"/>
    </row>
    <row r="780" spans="13:45" customFormat="1" ht="11.25" customHeight="1">
      <c r="M780" s="696" t="s">
        <v>2843</v>
      </c>
      <c r="N780" s="709" t="s">
        <v>1321</v>
      </c>
      <c r="O780" s="189" t="s">
        <v>751</v>
      </c>
      <c r="AB780" s="248"/>
      <c r="AC780" s="248"/>
      <c r="AD780" s="248"/>
      <c r="AE780" s="462"/>
      <c r="AF780" s="462"/>
      <c r="AG780" s="462"/>
      <c r="AH780" s="248"/>
      <c r="AI780" s="248"/>
      <c r="AJ780" s="248"/>
      <c r="AK780" s="686">
        <f t="shared" si="58"/>
        <v>0</v>
      </c>
      <c r="AL780" s="196"/>
      <c r="AM780" s="196"/>
      <c r="AN780" s="310"/>
      <c r="AO780" s="310"/>
      <c r="AP780" s="310"/>
      <c r="AQ780" s="698" t="s">
        <v>2616</v>
      </c>
      <c r="AR780" s="310"/>
      <c r="AS780" s="310"/>
    </row>
    <row r="781" spans="13:45" customFormat="1" ht="11.25" customHeight="1">
      <c r="M781" s="696" t="s">
        <v>2844</v>
      </c>
      <c r="N781" s="709" t="s">
        <v>2618</v>
      </c>
      <c r="O781" s="189" t="s">
        <v>751</v>
      </c>
      <c r="AB781" s="248"/>
      <c r="AC781" s="248"/>
      <c r="AD781" s="248"/>
      <c r="AE781" s="462"/>
      <c r="AF781" s="462"/>
      <c r="AG781" s="462"/>
      <c r="AH781" s="248"/>
      <c r="AI781" s="248"/>
      <c r="AJ781" s="248"/>
      <c r="AK781" s="686">
        <f t="shared" si="58"/>
        <v>0</v>
      </c>
      <c r="AL781" s="196"/>
      <c r="AM781" s="196"/>
      <c r="AN781" s="310"/>
      <c r="AO781" s="310"/>
      <c r="AP781" s="310"/>
      <c r="AQ781" s="698" t="s">
        <v>2619</v>
      </c>
      <c r="AR781" s="310"/>
      <c r="AS781" s="310"/>
    </row>
    <row r="782" spans="13:45" customFormat="1" ht="11.25" customHeight="1">
      <c r="M782" s="696" t="s">
        <v>2845</v>
      </c>
      <c r="N782" s="709" t="s">
        <v>2621</v>
      </c>
      <c r="O782" s="189" t="s">
        <v>751</v>
      </c>
      <c r="AB782" s="248"/>
      <c r="AC782" s="248"/>
      <c r="AD782" s="248"/>
      <c r="AE782" s="462"/>
      <c r="AF782" s="462"/>
      <c r="AG782" s="462"/>
      <c r="AH782" s="248"/>
      <c r="AI782" s="248"/>
      <c r="AJ782" s="248"/>
      <c r="AK782" s="686">
        <f t="shared" si="58"/>
        <v>0</v>
      </c>
      <c r="AL782" s="196"/>
      <c r="AM782" s="196"/>
      <c r="AN782" s="310"/>
      <c r="AO782" s="310"/>
      <c r="AP782" s="310"/>
      <c r="AQ782" s="698" t="s">
        <v>2622</v>
      </c>
      <c r="AR782" s="310"/>
      <c r="AS782" s="310"/>
    </row>
    <row r="783" spans="13:45" customFormat="1" ht="11.25" customHeight="1">
      <c r="M783" s="696" t="s">
        <v>2846</v>
      </c>
      <c r="N783" s="709" t="s">
        <v>1322</v>
      </c>
      <c r="O783" s="189" t="s">
        <v>751</v>
      </c>
      <c r="AB783" s="248"/>
      <c r="AC783" s="248"/>
      <c r="AD783" s="248"/>
      <c r="AE783" s="462"/>
      <c r="AF783" s="462"/>
      <c r="AG783" s="462"/>
      <c r="AH783" s="248"/>
      <c r="AI783" s="248"/>
      <c r="AJ783" s="248"/>
      <c r="AK783" s="686">
        <f t="shared" si="58"/>
        <v>0</v>
      </c>
      <c r="AL783" s="196"/>
      <c r="AM783" s="196"/>
      <c r="AN783" s="310"/>
      <c r="AO783" s="310"/>
      <c r="AP783" s="310"/>
      <c r="AQ783" s="698" t="s">
        <v>2624</v>
      </c>
      <c r="AR783" s="310"/>
      <c r="AS783" s="310"/>
    </row>
    <row r="784" spans="13:45" customFormat="1" ht="11.25" customHeight="1">
      <c r="M784" s="696" t="s">
        <v>2847</v>
      </c>
      <c r="N784" s="709" t="s">
        <v>2626</v>
      </c>
      <c r="O784" s="189" t="s">
        <v>751</v>
      </c>
      <c r="AB784" s="248"/>
      <c r="AC784" s="248"/>
      <c r="AD784" s="248"/>
      <c r="AE784" s="462"/>
      <c r="AF784" s="462"/>
      <c r="AG784" s="462"/>
      <c r="AH784" s="248"/>
      <c r="AI784" s="248"/>
      <c r="AJ784" s="248"/>
      <c r="AK784" s="686">
        <f t="shared" si="58"/>
        <v>0</v>
      </c>
      <c r="AL784" s="196"/>
      <c r="AM784" s="196"/>
      <c r="AN784" s="310"/>
      <c r="AO784" s="310"/>
      <c r="AP784" s="310"/>
      <c r="AQ784" s="698" t="s">
        <v>2627</v>
      </c>
      <c r="AR784" s="310"/>
      <c r="AS784" s="310"/>
    </row>
    <row r="785" spans="13:45" customFormat="1" ht="11.25" customHeight="1">
      <c r="M785" s="696" t="s">
        <v>2848</v>
      </c>
      <c r="N785" s="709" t="s">
        <v>1323</v>
      </c>
      <c r="O785" s="189" t="s">
        <v>751</v>
      </c>
      <c r="AB785" s="248"/>
      <c r="AC785" s="248"/>
      <c r="AD785" s="248"/>
      <c r="AE785" s="462"/>
      <c r="AF785" s="462"/>
      <c r="AG785" s="462"/>
      <c r="AH785" s="248"/>
      <c r="AI785" s="248"/>
      <c r="AJ785" s="248"/>
      <c r="AK785" s="686">
        <f t="shared" si="58"/>
        <v>0</v>
      </c>
      <c r="AL785" s="196"/>
      <c r="AM785" s="196"/>
      <c r="AN785" s="310"/>
      <c r="AO785" s="310"/>
      <c r="AP785" s="310"/>
      <c r="AQ785" s="698" t="s">
        <v>2629</v>
      </c>
      <c r="AR785" s="310"/>
      <c r="AS785" s="310"/>
    </row>
    <row r="786" spans="13:45" customFormat="1" ht="11.25" customHeight="1">
      <c r="M786" s="696" t="s">
        <v>2849</v>
      </c>
      <c r="N786" s="709" t="s">
        <v>1324</v>
      </c>
      <c r="O786" s="189" t="s">
        <v>751</v>
      </c>
      <c r="AB786" s="248"/>
      <c r="AC786" s="248"/>
      <c r="AD786" s="248"/>
      <c r="AE786" s="462"/>
      <c r="AF786" s="462"/>
      <c r="AG786" s="462"/>
      <c r="AH786" s="248"/>
      <c r="AI786" s="248"/>
      <c r="AJ786" s="248"/>
      <c r="AK786" s="686">
        <f t="shared" si="58"/>
        <v>0</v>
      </c>
      <c r="AL786" s="196"/>
      <c r="AM786" s="196"/>
      <c r="AN786" s="310"/>
      <c r="AO786" s="310"/>
      <c r="AP786" s="310"/>
      <c r="AQ786" s="698" t="s">
        <v>2631</v>
      </c>
      <c r="AR786" s="310"/>
      <c r="AS786" s="310"/>
    </row>
    <row r="787" spans="13:45" customFormat="1" ht="11.25" customHeight="1">
      <c r="M787" s="696" t="s">
        <v>2850</v>
      </c>
      <c r="N787" s="709" t="s">
        <v>2633</v>
      </c>
      <c r="O787" s="189" t="s">
        <v>751</v>
      </c>
      <c r="AB787" s="248"/>
      <c r="AC787" s="248"/>
      <c r="AD787" s="248"/>
      <c r="AE787" s="462"/>
      <c r="AF787" s="462"/>
      <c r="AG787" s="462"/>
      <c r="AH787" s="248"/>
      <c r="AI787" s="248"/>
      <c r="AJ787" s="248"/>
      <c r="AK787" s="686">
        <f t="shared" si="58"/>
        <v>0</v>
      </c>
      <c r="AL787" s="196"/>
      <c r="AM787" s="196"/>
      <c r="AN787" s="310"/>
      <c r="AO787" s="310"/>
      <c r="AP787" s="310"/>
      <c r="AQ787" s="698" t="s">
        <v>2634</v>
      </c>
      <c r="AR787" s="310"/>
      <c r="AS787" s="310"/>
    </row>
    <row r="788" spans="13:45" customFormat="1" ht="11.25" customHeight="1">
      <c r="M788" s="696" t="s">
        <v>2851</v>
      </c>
      <c r="N788" s="709" t="s">
        <v>2636</v>
      </c>
      <c r="O788" s="189" t="s">
        <v>751</v>
      </c>
      <c r="AB788" s="248"/>
      <c r="AC788" s="248"/>
      <c r="AD788" s="248"/>
      <c r="AE788" s="462"/>
      <c r="AF788" s="462"/>
      <c r="AG788" s="462"/>
      <c r="AH788" s="248"/>
      <c r="AI788" s="248"/>
      <c r="AJ788" s="248"/>
      <c r="AK788" s="686">
        <f t="shared" si="58"/>
        <v>0</v>
      </c>
      <c r="AL788" s="196"/>
      <c r="AM788" s="196"/>
      <c r="AN788" s="310"/>
      <c r="AO788" s="310"/>
      <c r="AP788" s="310"/>
      <c r="AQ788" s="698" t="s">
        <v>2637</v>
      </c>
      <c r="AR788" s="310"/>
      <c r="AS788" s="310"/>
    </row>
    <row r="789" spans="13:45" customFormat="1" ht="11.25" customHeight="1">
      <c r="M789" s="696" t="s">
        <v>2852</v>
      </c>
      <c r="N789" s="709" t="s">
        <v>2639</v>
      </c>
      <c r="O789" s="189" t="s">
        <v>751</v>
      </c>
      <c r="AB789" s="248"/>
      <c r="AC789" s="248"/>
      <c r="AD789" s="248"/>
      <c r="AE789" s="462"/>
      <c r="AF789" s="462"/>
      <c r="AG789" s="462"/>
      <c r="AH789" s="248"/>
      <c r="AI789" s="248"/>
      <c r="AJ789" s="248"/>
      <c r="AK789" s="686">
        <f t="shared" si="58"/>
        <v>0</v>
      </c>
      <c r="AL789" s="196"/>
      <c r="AM789" s="196"/>
      <c r="AN789" s="310"/>
      <c r="AO789" s="310"/>
      <c r="AP789" s="310"/>
      <c r="AQ789" s="698" t="s">
        <v>2640</v>
      </c>
      <c r="AR789" s="310"/>
      <c r="AS789" s="310"/>
    </row>
    <row r="790" spans="13:45" customFormat="1" ht="11.25" customHeight="1">
      <c r="M790" s="696" t="s">
        <v>2853</v>
      </c>
      <c r="N790" s="709" t="s">
        <v>2642</v>
      </c>
      <c r="O790" s="189" t="s">
        <v>751</v>
      </c>
      <c r="AB790" s="248"/>
      <c r="AC790" s="248"/>
      <c r="AD790" s="248"/>
      <c r="AE790" s="462"/>
      <c r="AF790" s="462"/>
      <c r="AG790" s="462"/>
      <c r="AH790" s="248"/>
      <c r="AI790" s="248"/>
      <c r="AJ790" s="248"/>
      <c r="AK790" s="686">
        <f t="shared" si="58"/>
        <v>0</v>
      </c>
      <c r="AL790" s="196"/>
      <c r="AM790" s="196"/>
      <c r="AN790" s="310"/>
      <c r="AO790" s="310"/>
      <c r="AP790" s="310"/>
      <c r="AQ790" s="698" t="s">
        <v>2643</v>
      </c>
      <c r="AR790" s="310"/>
      <c r="AS790" s="310"/>
    </row>
    <row r="791" spans="13:45" customFormat="1" ht="11.25" customHeight="1">
      <c r="M791" s="696" t="s">
        <v>2854</v>
      </c>
      <c r="N791" s="709" t="s">
        <v>2645</v>
      </c>
      <c r="O791" s="189" t="s">
        <v>751</v>
      </c>
      <c r="AB791" s="248"/>
      <c r="AC791" s="248"/>
      <c r="AD791" s="248"/>
      <c r="AE791" s="462"/>
      <c r="AF791" s="462"/>
      <c r="AG791" s="462"/>
      <c r="AH791" s="248"/>
      <c r="AI791" s="248"/>
      <c r="AJ791" s="248"/>
      <c r="AK791" s="686">
        <f t="shared" si="58"/>
        <v>0</v>
      </c>
      <c r="AL791" s="196"/>
      <c r="AM791" s="196"/>
      <c r="AN791" s="310"/>
      <c r="AO791" s="310"/>
      <c r="AP791" s="310"/>
      <c r="AQ791" s="698" t="s">
        <v>2646</v>
      </c>
      <c r="AR791" s="310"/>
      <c r="AS791" s="310"/>
    </row>
    <row r="792" spans="13:45" customFormat="1" ht="11.25" customHeight="1">
      <c r="M792" s="696" t="s">
        <v>2855</v>
      </c>
      <c r="N792" s="709" t="s">
        <v>1325</v>
      </c>
      <c r="O792" s="189" t="s">
        <v>751</v>
      </c>
      <c r="AB792" s="248"/>
      <c r="AC792" s="248"/>
      <c r="AD792" s="248"/>
      <c r="AE792" s="462"/>
      <c r="AF792" s="462"/>
      <c r="AG792" s="462"/>
      <c r="AH792" s="248"/>
      <c r="AI792" s="248"/>
      <c r="AJ792" s="248"/>
      <c r="AK792" s="686">
        <f t="shared" si="58"/>
        <v>0</v>
      </c>
      <c r="AL792" s="196"/>
      <c r="AM792" s="196"/>
      <c r="AN792" s="310"/>
      <c r="AO792" s="310"/>
      <c r="AP792" s="310"/>
      <c r="AQ792" s="698" t="s">
        <v>2648</v>
      </c>
      <c r="AR792" s="310"/>
      <c r="AS792" s="310"/>
    </row>
    <row r="793" spans="13:45" customFormat="1" ht="11.25" customHeight="1">
      <c r="M793" s="696" t="s">
        <v>2856</v>
      </c>
      <c r="N793" s="709" t="s">
        <v>1326</v>
      </c>
      <c r="O793" s="189" t="s">
        <v>751</v>
      </c>
      <c r="AB793" s="248"/>
      <c r="AC793" s="248"/>
      <c r="AD793" s="248"/>
      <c r="AE793" s="462"/>
      <c r="AF793" s="462"/>
      <c r="AG793" s="462"/>
      <c r="AH793" s="248"/>
      <c r="AI793" s="248"/>
      <c r="AJ793" s="248"/>
      <c r="AK793" s="686">
        <f t="shared" si="58"/>
        <v>0</v>
      </c>
      <c r="AL793" s="196"/>
      <c r="AM793" s="196"/>
      <c r="AN793" s="310"/>
      <c r="AO793" s="310"/>
      <c r="AP793" s="310"/>
      <c r="AQ793" s="698" t="s">
        <v>2650</v>
      </c>
      <c r="AR793" s="310"/>
      <c r="AS793" s="310"/>
    </row>
    <row r="794" spans="13:45" customFormat="1" ht="11.25" customHeight="1">
      <c r="M794" s="696" t="s">
        <v>2857</v>
      </c>
      <c r="N794" s="709" t="s">
        <v>2652</v>
      </c>
      <c r="O794" s="189" t="s">
        <v>751</v>
      </c>
      <c r="AB794" s="248"/>
      <c r="AC794" s="248"/>
      <c r="AD794" s="248"/>
      <c r="AE794" s="462"/>
      <c r="AF794" s="462"/>
      <c r="AG794" s="462"/>
      <c r="AH794" s="248"/>
      <c r="AI794" s="248"/>
      <c r="AJ794" s="248"/>
      <c r="AK794" s="686">
        <f t="shared" si="58"/>
        <v>0</v>
      </c>
      <c r="AL794" s="196"/>
      <c r="AM794" s="196"/>
      <c r="AN794" s="310"/>
      <c r="AO794" s="310"/>
      <c r="AP794" s="310"/>
      <c r="AQ794" s="698" t="s">
        <v>2653</v>
      </c>
      <c r="AR794" s="310"/>
      <c r="AS794" s="310"/>
    </row>
    <row r="795" spans="13:45" customFormat="1" ht="11.25" customHeight="1">
      <c r="M795" s="718"/>
      <c r="N795" s="460"/>
      <c r="O795" s="461"/>
      <c r="AB795" s="248"/>
      <c r="AC795" s="248"/>
      <c r="AD795" s="248"/>
      <c r="AE795" s="462"/>
      <c r="AF795" s="462"/>
      <c r="AG795" s="462"/>
      <c r="AH795" s="248"/>
      <c r="AI795" s="248"/>
      <c r="AJ795" s="248"/>
      <c r="AK795" s="462"/>
      <c r="AL795" s="462"/>
      <c r="AM795" s="462"/>
      <c r="AN795" s="310"/>
      <c r="AO795" s="310"/>
      <c r="AP795" s="310"/>
      <c r="AQ795" s="698"/>
      <c r="AR795" s="310"/>
      <c r="AS795" s="310"/>
    </row>
    <row r="796" spans="13:45" customFormat="1" ht="11.25" customHeight="1">
      <c r="M796" s="718"/>
      <c r="N796" s="460"/>
      <c r="O796" s="461"/>
      <c r="AB796" s="248"/>
      <c r="AC796" s="248"/>
      <c r="AD796" s="248"/>
      <c r="AE796" s="462"/>
      <c r="AF796" s="462"/>
      <c r="AG796" s="462"/>
      <c r="AH796" s="248"/>
      <c r="AI796" s="248"/>
      <c r="AJ796" s="248"/>
      <c r="AK796" s="462"/>
      <c r="AL796" s="462"/>
      <c r="AM796" s="462"/>
      <c r="AN796" s="310"/>
      <c r="AO796" s="310"/>
      <c r="AP796" s="310"/>
      <c r="AQ796" s="698"/>
      <c r="AR796" s="310"/>
      <c r="AS796" s="310"/>
    </row>
    <row r="797" spans="13:45" customFormat="1" ht="11.25" customHeight="1">
      <c r="M797" s="696" t="s">
        <v>1665</v>
      </c>
      <c r="N797" s="719" t="s">
        <v>1327</v>
      </c>
      <c r="O797" s="189" t="s">
        <v>751</v>
      </c>
      <c r="AB797" s="248"/>
      <c r="AC797" s="248"/>
      <c r="AD797" s="248"/>
      <c r="AE797" s="462"/>
      <c r="AF797" s="462"/>
      <c r="AG797" s="462"/>
      <c r="AH797" s="248"/>
      <c r="AI797" s="248"/>
      <c r="AJ797" s="248"/>
      <c r="AK797" s="686">
        <f t="shared" ref="AK797:AK803" si="59">IF(AK849=0,0,AK901/AK849*1000)</f>
        <v>0</v>
      </c>
      <c r="AL797" s="196"/>
      <c r="AM797" s="196"/>
      <c r="AN797" s="310"/>
      <c r="AO797" s="310"/>
      <c r="AP797" s="310"/>
      <c r="AQ797" s="698" t="s">
        <v>1357</v>
      </c>
      <c r="AR797" s="310"/>
      <c r="AS797" s="310"/>
    </row>
    <row r="798" spans="13:45" customFormat="1" ht="11.25" customHeight="1">
      <c r="M798" s="696" t="s">
        <v>1666</v>
      </c>
      <c r="N798" s="712" t="s">
        <v>723</v>
      </c>
      <c r="O798" s="189" t="s">
        <v>751</v>
      </c>
      <c r="AB798" s="248"/>
      <c r="AC798" s="248"/>
      <c r="AD798" s="248"/>
      <c r="AE798" s="462"/>
      <c r="AF798" s="462"/>
      <c r="AG798" s="462"/>
      <c r="AH798" s="248"/>
      <c r="AI798" s="248"/>
      <c r="AJ798" s="248"/>
      <c r="AK798" s="686">
        <f t="shared" si="59"/>
        <v>0</v>
      </c>
      <c r="AL798" s="196"/>
      <c r="AM798" s="196"/>
      <c r="AN798" s="310"/>
      <c r="AO798" s="310"/>
      <c r="AP798" s="310"/>
      <c r="AQ798" s="698" t="s">
        <v>1350</v>
      </c>
      <c r="AR798" s="310"/>
      <c r="AS798" s="310"/>
    </row>
    <row r="799" spans="13:45" customFormat="1" ht="11.25" customHeight="1">
      <c r="M799" s="696" t="s">
        <v>1667</v>
      </c>
      <c r="N799" s="713" t="s">
        <v>748</v>
      </c>
      <c r="O799" s="189" t="s">
        <v>751</v>
      </c>
      <c r="AB799" s="248"/>
      <c r="AC799" s="248"/>
      <c r="AD799" s="248"/>
      <c r="AE799" s="462"/>
      <c r="AF799" s="462"/>
      <c r="AG799" s="462"/>
      <c r="AH799" s="248"/>
      <c r="AI799" s="248"/>
      <c r="AJ799" s="248"/>
      <c r="AK799" s="686">
        <f t="shared" si="59"/>
        <v>0</v>
      </c>
      <c r="AL799" s="196"/>
      <c r="AM799" s="196"/>
      <c r="AN799" s="310"/>
      <c r="AO799" s="310"/>
      <c r="AP799" s="310"/>
      <c r="AQ799" s="698" t="s">
        <v>1351</v>
      </c>
      <c r="AR799" s="310"/>
      <c r="AS799" s="310"/>
    </row>
    <row r="800" spans="13:45" customFormat="1" ht="11.25" customHeight="1">
      <c r="M800" s="696" t="s">
        <v>1668</v>
      </c>
      <c r="N800" s="714" t="s">
        <v>315</v>
      </c>
      <c r="O800" s="189" t="s">
        <v>751</v>
      </c>
      <c r="AB800" s="248"/>
      <c r="AC800" s="248"/>
      <c r="AD800" s="248"/>
      <c r="AE800" s="462"/>
      <c r="AF800" s="462"/>
      <c r="AG800" s="462"/>
      <c r="AH800" s="248"/>
      <c r="AI800" s="248"/>
      <c r="AJ800" s="248"/>
      <c r="AK800" s="686">
        <f t="shared" si="59"/>
        <v>0</v>
      </c>
      <c r="AL800" s="196"/>
      <c r="AM800" s="196"/>
      <c r="AN800" s="310"/>
      <c r="AO800" s="310"/>
      <c r="AP800" s="310"/>
      <c r="AQ800" s="698" t="s">
        <v>1352</v>
      </c>
      <c r="AR800" s="310"/>
      <c r="AS800" s="310"/>
    </row>
    <row r="801" spans="13:45" customFormat="1" ht="11.25" customHeight="1">
      <c r="M801" s="696" t="s">
        <v>1669</v>
      </c>
      <c r="N801" s="715" t="s">
        <v>316</v>
      </c>
      <c r="O801" s="189" t="s">
        <v>751</v>
      </c>
      <c r="AB801" s="248"/>
      <c r="AC801" s="248"/>
      <c r="AD801" s="248"/>
      <c r="AE801" s="462"/>
      <c r="AF801" s="462"/>
      <c r="AG801" s="462"/>
      <c r="AH801" s="248"/>
      <c r="AI801" s="248"/>
      <c r="AJ801" s="248"/>
      <c r="AK801" s="686">
        <f t="shared" si="59"/>
        <v>0</v>
      </c>
      <c r="AL801" s="196"/>
      <c r="AM801" s="196"/>
      <c r="AN801" s="310"/>
      <c r="AO801" s="310"/>
      <c r="AP801" s="310"/>
      <c r="AQ801" s="698" t="s">
        <v>1354</v>
      </c>
      <c r="AR801" s="310"/>
      <c r="AS801" s="310"/>
    </row>
    <row r="802" spans="13:45" customFormat="1" ht="11.25" customHeight="1">
      <c r="M802" s="696" t="s">
        <v>1670</v>
      </c>
      <c r="N802" s="716" t="s">
        <v>317</v>
      </c>
      <c r="O802" s="189" t="s">
        <v>751</v>
      </c>
      <c r="AB802" s="248"/>
      <c r="AC802" s="248"/>
      <c r="AD802" s="248"/>
      <c r="AE802" s="462"/>
      <c r="AF802" s="462"/>
      <c r="AG802" s="462"/>
      <c r="AH802" s="248"/>
      <c r="AI802" s="248"/>
      <c r="AJ802" s="248"/>
      <c r="AK802" s="686">
        <f t="shared" si="59"/>
        <v>0</v>
      </c>
      <c r="AL802" s="196"/>
      <c r="AM802" s="196"/>
      <c r="AN802" s="310"/>
      <c r="AO802" s="310"/>
      <c r="AP802" s="310"/>
      <c r="AQ802" s="698" t="s">
        <v>1353</v>
      </c>
      <c r="AR802" s="310"/>
      <c r="AS802" s="310"/>
    </row>
    <row r="803" spans="13:45" customFormat="1" ht="11.25" customHeight="1">
      <c r="M803" s="696" t="s">
        <v>1671</v>
      </c>
      <c r="N803" s="701" t="s">
        <v>318</v>
      </c>
      <c r="O803" s="189" t="s">
        <v>751</v>
      </c>
      <c r="AB803" s="248"/>
      <c r="AC803" s="248"/>
      <c r="AD803" s="248"/>
      <c r="AE803" s="462"/>
      <c r="AF803" s="462"/>
      <c r="AG803" s="462"/>
      <c r="AH803" s="248"/>
      <c r="AI803" s="248"/>
      <c r="AJ803" s="248"/>
      <c r="AK803" s="686">
        <f t="shared" si="59"/>
        <v>0</v>
      </c>
      <c r="AL803" s="196"/>
      <c r="AM803" s="196"/>
      <c r="AN803" s="310"/>
      <c r="AO803" s="310"/>
      <c r="AP803" s="310"/>
      <c r="AQ803" s="698" t="s">
        <v>1355</v>
      </c>
      <c r="AR803" s="310"/>
      <c r="AS803" s="310"/>
    </row>
    <row r="804" spans="13:45" customFormat="1" ht="11.25" customHeight="1">
      <c r="M804" s="718"/>
      <c r="N804" s="460"/>
      <c r="O804" s="461"/>
      <c r="AB804" s="248"/>
      <c r="AC804" s="248"/>
      <c r="AD804" s="248"/>
      <c r="AE804" s="462"/>
      <c r="AF804" s="462"/>
      <c r="AG804" s="462"/>
      <c r="AH804" s="248"/>
      <c r="AI804" s="248"/>
      <c r="AJ804" s="248"/>
      <c r="AK804" s="462"/>
      <c r="AL804" s="462"/>
      <c r="AM804" s="462"/>
      <c r="AN804" s="310"/>
      <c r="AO804" s="310"/>
      <c r="AP804" s="310"/>
      <c r="AQ804" s="698"/>
      <c r="AR804" s="310"/>
      <c r="AS804" s="310"/>
    </row>
    <row r="805" spans="13:45" customFormat="1" ht="11.25" customHeight="1">
      <c r="M805" s="490" t="s">
        <v>1609</v>
      </c>
      <c r="N805" s="463" t="s">
        <v>660</v>
      </c>
      <c r="O805" s="189"/>
      <c r="AB805" s="248"/>
      <c r="AC805" s="248"/>
      <c r="AD805" s="248"/>
      <c r="AE805" s="462"/>
      <c r="AF805" s="462"/>
      <c r="AG805" s="462"/>
      <c r="AH805" s="248"/>
      <c r="AI805" s="248"/>
      <c r="AJ805" s="248"/>
      <c r="AK805" s="241"/>
      <c r="AL805" s="241"/>
      <c r="AM805" s="241"/>
      <c r="AN805" s="310"/>
      <c r="AO805" s="310"/>
      <c r="AP805" s="310"/>
      <c r="AQ805" s="36"/>
      <c r="AR805" s="310"/>
      <c r="AS805" s="310"/>
    </row>
    <row r="806" spans="13:45" customFormat="1" ht="11.25" customHeight="1">
      <c r="M806" s="718"/>
      <c r="N806" s="460"/>
      <c r="O806" s="461"/>
      <c r="AB806" s="248"/>
      <c r="AC806" s="248"/>
      <c r="AD806" s="248"/>
      <c r="AE806" s="462"/>
      <c r="AF806" s="462"/>
      <c r="AG806" s="462"/>
      <c r="AH806" s="248"/>
      <c r="AI806" s="248"/>
      <c r="AJ806" s="248"/>
      <c r="AK806" s="462"/>
      <c r="AL806" s="462"/>
      <c r="AM806" s="462"/>
      <c r="AN806" s="310"/>
      <c r="AO806" s="310"/>
      <c r="AP806" s="310"/>
      <c r="AQ806" s="698"/>
      <c r="AR806" s="310"/>
      <c r="AS806" s="310"/>
    </row>
    <row r="807" spans="13:45" customFormat="1" ht="11.25" customHeight="1">
      <c r="M807" s="718"/>
      <c r="N807" s="460"/>
      <c r="O807" s="461"/>
      <c r="AB807" s="248"/>
      <c r="AC807" s="248"/>
      <c r="AD807" s="248"/>
      <c r="AE807" s="462"/>
      <c r="AF807" s="462"/>
      <c r="AG807" s="462"/>
      <c r="AH807" s="248"/>
      <c r="AI807" s="248"/>
      <c r="AJ807" s="248"/>
      <c r="AK807" s="462"/>
      <c r="AL807" s="462"/>
      <c r="AM807" s="462"/>
      <c r="AN807" s="310"/>
      <c r="AO807" s="310"/>
      <c r="AP807" s="310"/>
      <c r="AQ807" s="698"/>
      <c r="AR807" s="310"/>
      <c r="AS807" s="310"/>
    </row>
    <row r="808" spans="13:45" customFormat="1" ht="11.25" customHeight="1">
      <c r="M808" s="718"/>
      <c r="N808" s="460"/>
      <c r="O808" s="461"/>
      <c r="AB808" s="248"/>
      <c r="AC808" s="248"/>
      <c r="AD808" s="248"/>
      <c r="AE808" s="462"/>
      <c r="AF808" s="462"/>
      <c r="AG808" s="462"/>
      <c r="AH808" s="248"/>
      <c r="AI808" s="248"/>
      <c r="AJ808" s="248"/>
      <c r="AK808" s="462"/>
      <c r="AL808" s="462"/>
      <c r="AM808" s="462"/>
      <c r="AN808" s="310"/>
      <c r="AO808" s="310"/>
      <c r="AP808" s="310"/>
      <c r="AQ808" s="698"/>
      <c r="AR808" s="310"/>
      <c r="AS808" s="310"/>
    </row>
    <row r="809" spans="13:45" customFormat="1" ht="11.25" customHeight="1">
      <c r="M809" s="718"/>
      <c r="N809" s="460"/>
      <c r="O809" s="461"/>
      <c r="AB809" s="248"/>
      <c r="AC809" s="248"/>
      <c r="AD809" s="248"/>
      <c r="AE809" s="462"/>
      <c r="AF809" s="462"/>
      <c r="AG809" s="462"/>
      <c r="AH809" s="248"/>
      <c r="AI809" s="248"/>
      <c r="AJ809" s="248"/>
      <c r="AK809" s="462"/>
      <c r="AL809" s="462"/>
      <c r="AM809" s="462"/>
      <c r="AN809" s="310"/>
      <c r="AO809" s="310"/>
      <c r="AP809" s="310"/>
      <c r="AQ809" s="698"/>
      <c r="AR809" s="310"/>
      <c r="AS809" s="310"/>
    </row>
    <row r="810" spans="13:45" customFormat="1" ht="11.25" customHeight="1">
      <c r="M810" s="718"/>
      <c r="N810" s="460"/>
      <c r="O810" s="461"/>
      <c r="AB810" s="248"/>
      <c r="AC810" s="248"/>
      <c r="AD810" s="248"/>
      <c r="AE810" s="462"/>
      <c r="AF810" s="462"/>
      <c r="AG810" s="462"/>
      <c r="AH810" s="248"/>
      <c r="AI810" s="248"/>
      <c r="AJ810" s="248"/>
      <c r="AK810" s="462"/>
      <c r="AL810" s="462"/>
      <c r="AM810" s="462"/>
      <c r="AN810" s="310"/>
      <c r="AO810" s="310"/>
      <c r="AP810" s="310"/>
      <c r="AQ810" s="698"/>
      <c r="AR810" s="310"/>
      <c r="AS810" s="310"/>
    </row>
    <row r="811" spans="13:45" customFormat="1" ht="11.25" customHeight="1">
      <c r="M811" s="718"/>
      <c r="N811" s="460"/>
      <c r="O811" s="461"/>
      <c r="AB811" s="248"/>
      <c r="AC811" s="248"/>
      <c r="AD811" s="248"/>
      <c r="AE811" s="462"/>
      <c r="AF811" s="462"/>
      <c r="AG811" s="462"/>
      <c r="AH811" s="248"/>
      <c r="AI811" s="248"/>
      <c r="AJ811" s="248"/>
      <c r="AK811" s="462"/>
      <c r="AL811" s="462"/>
      <c r="AM811" s="462"/>
      <c r="AN811" s="310"/>
      <c r="AO811" s="310"/>
      <c r="AP811" s="310"/>
      <c r="AQ811" s="698"/>
      <c r="AR811" s="310"/>
      <c r="AS811" s="310"/>
    </row>
    <row r="812" spans="13:45" customFormat="1" ht="11.25" customHeight="1">
      <c r="M812" s="718"/>
      <c r="N812" s="460"/>
      <c r="O812" s="461"/>
      <c r="AB812" s="248"/>
      <c r="AC812" s="248"/>
      <c r="AD812" s="248"/>
      <c r="AE812" s="462"/>
      <c r="AF812" s="462"/>
      <c r="AG812" s="462"/>
      <c r="AH812" s="248"/>
      <c r="AI812" s="248"/>
      <c r="AJ812" s="248"/>
      <c r="AK812" s="462"/>
      <c r="AL812" s="462"/>
      <c r="AM812" s="462"/>
      <c r="AN812" s="310"/>
      <c r="AO812" s="310"/>
      <c r="AP812" s="310"/>
      <c r="AQ812" s="698"/>
      <c r="AR812" s="310"/>
      <c r="AS812" s="310"/>
    </row>
    <row r="813" spans="13:45" customFormat="1" ht="11.25" customHeight="1">
      <c r="M813" s="718"/>
      <c r="N813" s="460"/>
      <c r="O813" s="461"/>
      <c r="AB813" s="248"/>
      <c r="AC813" s="248"/>
      <c r="AD813" s="248"/>
      <c r="AE813" s="462"/>
      <c r="AF813" s="462"/>
      <c r="AG813" s="462"/>
      <c r="AH813" s="248"/>
      <c r="AI813" s="248"/>
      <c r="AJ813" s="248"/>
      <c r="AK813" s="462"/>
      <c r="AL813" s="462"/>
      <c r="AM813" s="462"/>
      <c r="AN813" s="310"/>
      <c r="AO813" s="310"/>
      <c r="AP813" s="310"/>
      <c r="AQ813" s="698"/>
      <c r="AR813" s="310"/>
      <c r="AS813" s="310"/>
    </row>
    <row r="814" spans="13:45" customFormat="1" ht="11.25" customHeight="1">
      <c r="M814" s="696" t="s">
        <v>1672</v>
      </c>
      <c r="N814" s="701" t="s">
        <v>684</v>
      </c>
      <c r="O814" s="189" t="s">
        <v>758</v>
      </c>
      <c r="AB814" s="248"/>
      <c r="AC814" s="248"/>
      <c r="AD814" s="248"/>
      <c r="AE814" s="462"/>
      <c r="AF814" s="462"/>
      <c r="AG814" s="462"/>
      <c r="AH814" s="248"/>
      <c r="AI814" s="248"/>
      <c r="AJ814" s="248"/>
      <c r="AK814" s="183">
        <f t="shared" ref="AK814:AK846" si="60">AL814+AM814</f>
        <v>0</v>
      </c>
      <c r="AL814" s="196"/>
      <c r="AM814" s="196"/>
      <c r="AN814" s="310"/>
      <c r="AO814" s="310"/>
      <c r="AP814" s="310"/>
      <c r="AQ814" s="698" t="s">
        <v>1332</v>
      </c>
      <c r="AR814" s="310"/>
      <c r="AS814" s="310"/>
    </row>
    <row r="815" spans="13:45" customFormat="1" ht="11.25" customHeight="1">
      <c r="M815" s="696" t="s">
        <v>1673</v>
      </c>
      <c r="N815" s="702" t="s">
        <v>718</v>
      </c>
      <c r="O815" s="189" t="s">
        <v>758</v>
      </c>
      <c r="AB815" s="248"/>
      <c r="AC815" s="248"/>
      <c r="AD815" s="248"/>
      <c r="AE815" s="462"/>
      <c r="AF815" s="462"/>
      <c r="AG815" s="462"/>
      <c r="AH815" s="248"/>
      <c r="AI815" s="248"/>
      <c r="AJ815" s="248"/>
      <c r="AK815" s="183">
        <f t="shared" si="60"/>
        <v>0</v>
      </c>
      <c r="AL815" s="196"/>
      <c r="AM815" s="196"/>
      <c r="AN815" s="310"/>
      <c r="AO815" s="310"/>
      <c r="AP815" s="310"/>
      <c r="AQ815" s="698" t="s">
        <v>1333</v>
      </c>
      <c r="AR815" s="310"/>
      <c r="AS815" s="310"/>
    </row>
    <row r="816" spans="13:45" customFormat="1" ht="11.25" customHeight="1">
      <c r="M816" s="696" t="s">
        <v>1674</v>
      </c>
      <c r="N816" s="703" t="s">
        <v>722</v>
      </c>
      <c r="O816" s="189" t="s">
        <v>758</v>
      </c>
      <c r="AB816" s="248"/>
      <c r="AC816" s="248"/>
      <c r="AD816" s="248"/>
      <c r="AE816" s="462"/>
      <c r="AF816" s="462"/>
      <c r="AG816" s="462"/>
      <c r="AH816" s="248"/>
      <c r="AI816" s="248"/>
      <c r="AJ816" s="248"/>
      <c r="AK816" s="183">
        <f t="shared" si="60"/>
        <v>0</v>
      </c>
      <c r="AL816" s="183">
        <f>SUM(AL817:AL820)</f>
        <v>0</v>
      </c>
      <c r="AM816" s="183">
        <f>SUM(AM817:AM820)</f>
        <v>0</v>
      </c>
      <c r="AN816" s="310"/>
      <c r="AO816" s="310"/>
      <c r="AP816" s="310"/>
      <c r="AQ816" s="698" t="s">
        <v>1334</v>
      </c>
      <c r="AR816" s="310"/>
      <c r="AS816" s="310"/>
    </row>
    <row r="817" spans="13:45" customFormat="1" ht="11.25" customHeight="1">
      <c r="M817" s="696" t="s">
        <v>1675</v>
      </c>
      <c r="N817" s="704" t="s">
        <v>1309</v>
      </c>
      <c r="O817" s="189" t="s">
        <v>758</v>
      </c>
      <c r="AB817" s="248"/>
      <c r="AC817" s="248"/>
      <c r="AD817" s="248"/>
      <c r="AE817" s="462"/>
      <c r="AF817" s="462"/>
      <c r="AG817" s="462"/>
      <c r="AH817" s="248"/>
      <c r="AI817" s="248"/>
      <c r="AJ817" s="248"/>
      <c r="AK817" s="183">
        <f t="shared" si="60"/>
        <v>0</v>
      </c>
      <c r="AL817" s="196"/>
      <c r="AM817" s="196"/>
      <c r="AN817" s="310"/>
      <c r="AO817" s="310"/>
      <c r="AP817" s="310"/>
      <c r="AQ817" s="698" t="s">
        <v>1335</v>
      </c>
      <c r="AR817" s="310"/>
      <c r="AS817" s="310"/>
    </row>
    <row r="818" spans="13:45" customFormat="1" ht="11.25" customHeight="1">
      <c r="M818" s="696" t="s">
        <v>1676</v>
      </c>
      <c r="N818" s="704" t="s">
        <v>1310</v>
      </c>
      <c r="O818" s="189" t="s">
        <v>758</v>
      </c>
      <c r="AB818" s="248"/>
      <c r="AC818" s="248"/>
      <c r="AD818" s="248"/>
      <c r="AE818" s="462"/>
      <c r="AF818" s="462"/>
      <c r="AG818" s="462"/>
      <c r="AH818" s="248"/>
      <c r="AI818" s="248"/>
      <c r="AJ818" s="248"/>
      <c r="AK818" s="183">
        <f t="shared" si="60"/>
        <v>0</v>
      </c>
      <c r="AL818" s="196"/>
      <c r="AM818" s="196"/>
      <c r="AN818" s="310"/>
      <c r="AO818" s="310"/>
      <c r="AP818" s="310"/>
      <c r="AQ818" s="698" t="s">
        <v>1336</v>
      </c>
      <c r="AR818" s="310"/>
      <c r="AS818" s="310"/>
    </row>
    <row r="819" spans="13:45" customFormat="1" ht="11.25" customHeight="1">
      <c r="M819" s="696" t="s">
        <v>1677</v>
      </c>
      <c r="N819" s="704" t="s">
        <v>1311</v>
      </c>
      <c r="O819" s="189" t="s">
        <v>758</v>
      </c>
      <c r="AB819" s="248"/>
      <c r="AC819" s="248"/>
      <c r="AD819" s="248"/>
      <c r="AE819" s="462"/>
      <c r="AF819" s="462"/>
      <c r="AG819" s="462"/>
      <c r="AH819" s="248"/>
      <c r="AI819" s="248"/>
      <c r="AJ819" s="248"/>
      <c r="AK819" s="183">
        <f t="shared" si="60"/>
        <v>0</v>
      </c>
      <c r="AL819" s="196"/>
      <c r="AM819" s="196"/>
      <c r="AN819" s="310"/>
      <c r="AO819" s="310"/>
      <c r="AP819" s="310"/>
      <c r="AQ819" s="698" t="s">
        <v>1337</v>
      </c>
      <c r="AR819" s="310"/>
      <c r="AS819" s="310"/>
    </row>
    <row r="820" spans="13:45" customFormat="1" ht="11.25" customHeight="1">
      <c r="M820" s="696" t="s">
        <v>1678</v>
      </c>
      <c r="N820" s="704" t="s">
        <v>1312</v>
      </c>
      <c r="O820" s="189" t="s">
        <v>758</v>
      </c>
      <c r="AB820" s="248"/>
      <c r="AC820" s="248"/>
      <c r="AD820" s="248"/>
      <c r="AE820" s="462"/>
      <c r="AF820" s="462"/>
      <c r="AG820" s="462"/>
      <c r="AH820" s="248"/>
      <c r="AI820" s="248"/>
      <c r="AJ820" s="248"/>
      <c r="AK820" s="183">
        <f t="shared" si="60"/>
        <v>0</v>
      </c>
      <c r="AL820" s="196"/>
      <c r="AM820" s="196"/>
      <c r="AN820" s="310"/>
      <c r="AO820" s="310"/>
      <c r="AP820" s="310"/>
      <c r="AQ820" s="698" t="s">
        <v>1338</v>
      </c>
      <c r="AR820" s="310"/>
      <c r="AS820" s="310"/>
    </row>
    <row r="821" spans="13:45" customFormat="1" ht="11.25" customHeight="1">
      <c r="M821" s="696" t="s">
        <v>1679</v>
      </c>
      <c r="N821" s="705" t="s">
        <v>720</v>
      </c>
      <c r="O821" s="189" t="s">
        <v>758</v>
      </c>
      <c r="AB821" s="248"/>
      <c r="AC821" s="248"/>
      <c r="AD821" s="248"/>
      <c r="AE821" s="462"/>
      <c r="AF821" s="462"/>
      <c r="AG821" s="462"/>
      <c r="AH821" s="248"/>
      <c r="AI821" s="248"/>
      <c r="AJ821" s="248"/>
      <c r="AK821" s="183">
        <f t="shared" si="60"/>
        <v>0</v>
      </c>
      <c r="AL821" s="183">
        <f>SUM(AL822:AL827)</f>
        <v>0</v>
      </c>
      <c r="AM821" s="183">
        <f>SUM(AM822:AM827)</f>
        <v>0</v>
      </c>
      <c r="AN821" s="310"/>
      <c r="AO821" s="310"/>
      <c r="AP821" s="310"/>
      <c r="AQ821" s="698" t="s">
        <v>1343</v>
      </c>
      <c r="AR821" s="310"/>
      <c r="AS821" s="310"/>
    </row>
    <row r="822" spans="13:45" customFormat="1" ht="11.25" customHeight="1">
      <c r="M822" s="696" t="s">
        <v>1879</v>
      </c>
      <c r="N822" s="706" t="s">
        <v>1313</v>
      </c>
      <c r="O822" s="189" t="s">
        <v>758</v>
      </c>
      <c r="AB822" s="248"/>
      <c r="AC822" s="248"/>
      <c r="AD822" s="248"/>
      <c r="AE822" s="462"/>
      <c r="AF822" s="462"/>
      <c r="AG822" s="462"/>
      <c r="AH822" s="248"/>
      <c r="AI822" s="248"/>
      <c r="AJ822" s="248"/>
      <c r="AK822" s="183">
        <f t="shared" si="60"/>
        <v>0</v>
      </c>
      <c r="AL822" s="196"/>
      <c r="AM822" s="196"/>
      <c r="AN822" s="310"/>
      <c r="AO822" s="310"/>
      <c r="AP822" s="310"/>
      <c r="AQ822" s="698" t="s">
        <v>1866</v>
      </c>
      <c r="AR822" s="310"/>
      <c r="AS822" s="310"/>
    </row>
    <row r="823" spans="13:45" customFormat="1" ht="11.25" customHeight="1">
      <c r="M823" s="696" t="s">
        <v>1860</v>
      </c>
      <c r="N823" s="706" t="s">
        <v>1314</v>
      </c>
      <c r="O823" s="189" t="s">
        <v>758</v>
      </c>
      <c r="AB823" s="248"/>
      <c r="AC823" s="248"/>
      <c r="AD823" s="248"/>
      <c r="AE823" s="462"/>
      <c r="AF823" s="462"/>
      <c r="AG823" s="462"/>
      <c r="AH823" s="248"/>
      <c r="AI823" s="248"/>
      <c r="AJ823" s="248"/>
      <c r="AK823" s="183">
        <f t="shared" si="60"/>
        <v>0</v>
      </c>
      <c r="AL823" s="196"/>
      <c r="AM823" s="196"/>
      <c r="AN823" s="310"/>
      <c r="AO823" s="310"/>
      <c r="AP823" s="310"/>
      <c r="AQ823" s="698" t="s">
        <v>1847</v>
      </c>
      <c r="AR823" s="310"/>
      <c r="AS823" s="310"/>
    </row>
    <row r="824" spans="13:45" customFormat="1" ht="11.25" customHeight="1">
      <c r="M824" s="696" t="s">
        <v>1841</v>
      </c>
      <c r="N824" s="706" t="s">
        <v>1315</v>
      </c>
      <c r="O824" s="189" t="s">
        <v>758</v>
      </c>
      <c r="AB824" s="248"/>
      <c r="AC824" s="248"/>
      <c r="AD824" s="248"/>
      <c r="AE824" s="462"/>
      <c r="AF824" s="462"/>
      <c r="AG824" s="462"/>
      <c r="AH824" s="248"/>
      <c r="AI824" s="248"/>
      <c r="AJ824" s="248"/>
      <c r="AK824" s="183">
        <f t="shared" si="60"/>
        <v>0</v>
      </c>
      <c r="AL824" s="196"/>
      <c r="AM824" s="196"/>
      <c r="AN824" s="310"/>
      <c r="AO824" s="310"/>
      <c r="AP824" s="310"/>
      <c r="AQ824" s="698" t="s">
        <v>1827</v>
      </c>
      <c r="AR824" s="310"/>
      <c r="AS824" s="310"/>
    </row>
    <row r="825" spans="13:45" customFormat="1" ht="11.25" customHeight="1">
      <c r="M825" s="696" t="s">
        <v>1680</v>
      </c>
      <c r="N825" s="706" t="s">
        <v>1316</v>
      </c>
      <c r="O825" s="189" t="s">
        <v>758</v>
      </c>
      <c r="AB825" s="248"/>
      <c r="AC825" s="248"/>
      <c r="AD825" s="248"/>
      <c r="AE825" s="462"/>
      <c r="AF825" s="462"/>
      <c r="AG825" s="462"/>
      <c r="AH825" s="248"/>
      <c r="AI825" s="248"/>
      <c r="AJ825" s="248"/>
      <c r="AK825" s="183">
        <f t="shared" si="60"/>
        <v>0</v>
      </c>
      <c r="AL825" s="196"/>
      <c r="AM825" s="196"/>
      <c r="AN825" s="310"/>
      <c r="AO825" s="310"/>
      <c r="AP825" s="310"/>
      <c r="AQ825" s="698" t="s">
        <v>1344</v>
      </c>
      <c r="AR825" s="310"/>
      <c r="AS825" s="310"/>
    </row>
    <row r="826" spans="13:45" customFormat="1" ht="11.25" customHeight="1">
      <c r="M826" s="696" t="s">
        <v>1681</v>
      </c>
      <c r="N826" s="706" t="s">
        <v>1317</v>
      </c>
      <c r="O826" s="189" t="s">
        <v>758</v>
      </c>
      <c r="AB826" s="248"/>
      <c r="AC826" s="248"/>
      <c r="AD826" s="248"/>
      <c r="AE826" s="462"/>
      <c r="AF826" s="462"/>
      <c r="AG826" s="462"/>
      <c r="AH826" s="248"/>
      <c r="AI826" s="248"/>
      <c r="AJ826" s="248"/>
      <c r="AK826" s="183">
        <f t="shared" si="60"/>
        <v>0</v>
      </c>
      <c r="AL826" s="196"/>
      <c r="AM826" s="196"/>
      <c r="AN826" s="310"/>
      <c r="AO826" s="310"/>
      <c r="AP826" s="310"/>
      <c r="AQ826" s="698" t="s">
        <v>1345</v>
      </c>
      <c r="AR826" s="310"/>
      <c r="AS826" s="310"/>
    </row>
    <row r="827" spans="13:45" customFormat="1" ht="11.25" customHeight="1">
      <c r="M827" s="696" t="s">
        <v>1682</v>
      </c>
      <c r="N827" s="706" t="s">
        <v>1318</v>
      </c>
      <c r="O827" s="189" t="s">
        <v>758</v>
      </c>
      <c r="AB827" s="248"/>
      <c r="AC827" s="248"/>
      <c r="AD827" s="248"/>
      <c r="AE827" s="462"/>
      <c r="AF827" s="462"/>
      <c r="AG827" s="462"/>
      <c r="AH827" s="248"/>
      <c r="AI827" s="248"/>
      <c r="AJ827" s="248"/>
      <c r="AK827" s="183">
        <f t="shared" si="60"/>
        <v>0</v>
      </c>
      <c r="AL827" s="196"/>
      <c r="AM827" s="196"/>
      <c r="AN827" s="310"/>
      <c r="AO827" s="310"/>
      <c r="AP827" s="310"/>
      <c r="AQ827" s="698" t="s">
        <v>1346</v>
      </c>
      <c r="AR827" s="310"/>
      <c r="AS827" s="310"/>
    </row>
    <row r="828" spans="13:45" customFormat="1" ht="11.25" customHeight="1">
      <c r="M828" s="696" t="s">
        <v>1683</v>
      </c>
      <c r="N828" s="707" t="s">
        <v>721</v>
      </c>
      <c r="O828" s="189" t="s">
        <v>758</v>
      </c>
      <c r="AB828" s="248"/>
      <c r="AC828" s="248"/>
      <c r="AD828" s="248"/>
      <c r="AE828" s="462"/>
      <c r="AF828" s="462"/>
      <c r="AG828" s="462"/>
      <c r="AH828" s="248"/>
      <c r="AI828" s="248"/>
      <c r="AJ828" s="248"/>
      <c r="AK828" s="183">
        <f t="shared" si="60"/>
        <v>0</v>
      </c>
      <c r="AL828" s="196"/>
      <c r="AM828" s="196"/>
      <c r="AN828" s="310"/>
      <c r="AO828" s="310"/>
      <c r="AP828" s="310"/>
      <c r="AQ828" s="698" t="s">
        <v>1347</v>
      </c>
      <c r="AR828" s="310"/>
      <c r="AS828" s="310"/>
    </row>
    <row r="829" spans="13:45" customFormat="1" ht="11.25" customHeight="1">
      <c r="M829" s="696" t="s">
        <v>1684</v>
      </c>
      <c r="N829" s="708" t="s">
        <v>712</v>
      </c>
      <c r="O829" s="189" t="s">
        <v>758</v>
      </c>
      <c r="AB829" s="248"/>
      <c r="AC829" s="248"/>
      <c r="AD829" s="248"/>
      <c r="AE829" s="462"/>
      <c r="AF829" s="462"/>
      <c r="AG829" s="462"/>
      <c r="AH829" s="248"/>
      <c r="AI829" s="248"/>
      <c r="AJ829" s="248"/>
      <c r="AK829" s="183">
        <f t="shared" si="60"/>
        <v>0</v>
      </c>
      <c r="AL829" s="183">
        <f>SUM(AL830:AL846)</f>
        <v>0</v>
      </c>
      <c r="AM829" s="183">
        <f>SUM(AM830:AM846)</f>
        <v>0</v>
      </c>
      <c r="AN829" s="310"/>
      <c r="AO829" s="310"/>
      <c r="AP829" s="310"/>
      <c r="AQ829" s="698" t="s">
        <v>1348</v>
      </c>
      <c r="AR829" s="310"/>
      <c r="AS829" s="310"/>
    </row>
    <row r="830" spans="13:45" customFormat="1" ht="11.25" customHeight="1">
      <c r="M830" s="696" t="s">
        <v>2858</v>
      </c>
      <c r="N830" s="709" t="s">
        <v>1319</v>
      </c>
      <c r="O830" s="189" t="s">
        <v>758</v>
      </c>
      <c r="AB830" s="248"/>
      <c r="AC830" s="248"/>
      <c r="AD830" s="248"/>
      <c r="AE830" s="462"/>
      <c r="AF830" s="462"/>
      <c r="AG830" s="462"/>
      <c r="AH830" s="248"/>
      <c r="AI830" s="248"/>
      <c r="AJ830" s="248"/>
      <c r="AK830" s="183">
        <f t="shared" si="60"/>
        <v>0</v>
      </c>
      <c r="AL830" s="196"/>
      <c r="AM830" s="196"/>
      <c r="AN830" s="310"/>
      <c r="AO830" s="310"/>
      <c r="AP830" s="310"/>
      <c r="AQ830" s="698" t="s">
        <v>2612</v>
      </c>
      <c r="AR830" s="310"/>
      <c r="AS830" s="310"/>
    </row>
    <row r="831" spans="13:45" customFormat="1" ht="11.25" customHeight="1">
      <c r="M831" s="696" t="s">
        <v>2859</v>
      </c>
      <c r="N831" s="709" t="s">
        <v>1320</v>
      </c>
      <c r="O831" s="189" t="s">
        <v>758</v>
      </c>
      <c r="AB831" s="248"/>
      <c r="AC831" s="248"/>
      <c r="AD831" s="248"/>
      <c r="AE831" s="462"/>
      <c r="AF831" s="462"/>
      <c r="AG831" s="462"/>
      <c r="AH831" s="248"/>
      <c r="AI831" s="248"/>
      <c r="AJ831" s="248"/>
      <c r="AK831" s="183">
        <f t="shared" si="60"/>
        <v>0</v>
      </c>
      <c r="AL831" s="196"/>
      <c r="AM831" s="196"/>
      <c r="AN831" s="310"/>
      <c r="AO831" s="310"/>
      <c r="AP831" s="310"/>
      <c r="AQ831" s="698" t="s">
        <v>2614</v>
      </c>
      <c r="AR831" s="310"/>
      <c r="AS831" s="310"/>
    </row>
    <row r="832" spans="13:45" customFormat="1" ht="11.25" customHeight="1">
      <c r="M832" s="696" t="s">
        <v>2860</v>
      </c>
      <c r="N832" s="709" t="s">
        <v>1321</v>
      </c>
      <c r="O832" s="189" t="s">
        <v>758</v>
      </c>
      <c r="AB832" s="248"/>
      <c r="AC832" s="248"/>
      <c r="AD832" s="248"/>
      <c r="AE832" s="462"/>
      <c r="AF832" s="462"/>
      <c r="AG832" s="462"/>
      <c r="AH832" s="248"/>
      <c r="AI832" s="248"/>
      <c r="AJ832" s="248"/>
      <c r="AK832" s="183">
        <f t="shared" si="60"/>
        <v>0</v>
      </c>
      <c r="AL832" s="196"/>
      <c r="AM832" s="196"/>
      <c r="AN832" s="310"/>
      <c r="AO832" s="310"/>
      <c r="AP832" s="310"/>
      <c r="AQ832" s="698" t="s">
        <v>2616</v>
      </c>
      <c r="AR832" s="310"/>
      <c r="AS832" s="310"/>
    </row>
    <row r="833" spans="13:45" customFormat="1" ht="11.25" customHeight="1">
      <c r="M833" s="696" t="s">
        <v>2861</v>
      </c>
      <c r="N833" s="709" t="s">
        <v>2618</v>
      </c>
      <c r="O833" s="189" t="s">
        <v>758</v>
      </c>
      <c r="AB833" s="248"/>
      <c r="AC833" s="248"/>
      <c r="AD833" s="248"/>
      <c r="AE833" s="462"/>
      <c r="AF833" s="462"/>
      <c r="AG833" s="462"/>
      <c r="AH833" s="248"/>
      <c r="AI833" s="248"/>
      <c r="AJ833" s="248"/>
      <c r="AK833" s="183">
        <f t="shared" si="60"/>
        <v>0</v>
      </c>
      <c r="AL833" s="196"/>
      <c r="AM833" s="196"/>
      <c r="AN833" s="310"/>
      <c r="AO833" s="310"/>
      <c r="AP833" s="310"/>
      <c r="AQ833" s="698" t="s">
        <v>2619</v>
      </c>
      <c r="AR833" s="310"/>
      <c r="AS833" s="310"/>
    </row>
    <row r="834" spans="13:45" customFormat="1" ht="11.25" customHeight="1">
      <c r="M834" s="696" t="s">
        <v>2862</v>
      </c>
      <c r="N834" s="709" t="s">
        <v>2621</v>
      </c>
      <c r="O834" s="189" t="s">
        <v>758</v>
      </c>
      <c r="AB834" s="248"/>
      <c r="AC834" s="248"/>
      <c r="AD834" s="248"/>
      <c r="AE834" s="462"/>
      <c r="AF834" s="462"/>
      <c r="AG834" s="462"/>
      <c r="AH834" s="248"/>
      <c r="AI834" s="248"/>
      <c r="AJ834" s="248"/>
      <c r="AK834" s="183">
        <f t="shared" si="60"/>
        <v>0</v>
      </c>
      <c r="AL834" s="196"/>
      <c r="AM834" s="196"/>
      <c r="AN834" s="310"/>
      <c r="AO834" s="310"/>
      <c r="AP834" s="310"/>
      <c r="AQ834" s="698" t="s">
        <v>2622</v>
      </c>
      <c r="AR834" s="310"/>
      <c r="AS834" s="310"/>
    </row>
    <row r="835" spans="13:45" customFormat="1" ht="11.25" customHeight="1">
      <c r="M835" s="696" t="s">
        <v>2863</v>
      </c>
      <c r="N835" s="709" t="s">
        <v>1322</v>
      </c>
      <c r="O835" s="189" t="s">
        <v>758</v>
      </c>
      <c r="AB835" s="248"/>
      <c r="AC835" s="248"/>
      <c r="AD835" s="248"/>
      <c r="AE835" s="462"/>
      <c r="AF835" s="462"/>
      <c r="AG835" s="462"/>
      <c r="AH835" s="248"/>
      <c r="AI835" s="248"/>
      <c r="AJ835" s="248"/>
      <c r="AK835" s="183">
        <f t="shared" si="60"/>
        <v>0</v>
      </c>
      <c r="AL835" s="196"/>
      <c r="AM835" s="196"/>
      <c r="AN835" s="310"/>
      <c r="AO835" s="310"/>
      <c r="AP835" s="310"/>
      <c r="AQ835" s="698" t="s">
        <v>2624</v>
      </c>
      <c r="AR835" s="310"/>
      <c r="AS835" s="310"/>
    </row>
    <row r="836" spans="13:45" customFormat="1" ht="11.25" customHeight="1">
      <c r="M836" s="696" t="s">
        <v>2864</v>
      </c>
      <c r="N836" s="709" t="s">
        <v>2626</v>
      </c>
      <c r="O836" s="189" t="s">
        <v>758</v>
      </c>
      <c r="AB836" s="248"/>
      <c r="AC836" s="248"/>
      <c r="AD836" s="248"/>
      <c r="AE836" s="462"/>
      <c r="AF836" s="462"/>
      <c r="AG836" s="462"/>
      <c r="AH836" s="248"/>
      <c r="AI836" s="248"/>
      <c r="AJ836" s="248"/>
      <c r="AK836" s="183">
        <f t="shared" si="60"/>
        <v>0</v>
      </c>
      <c r="AL836" s="196"/>
      <c r="AM836" s="196"/>
      <c r="AN836" s="310"/>
      <c r="AO836" s="310"/>
      <c r="AP836" s="310"/>
      <c r="AQ836" s="698" t="s">
        <v>2627</v>
      </c>
      <c r="AR836" s="310"/>
      <c r="AS836" s="310"/>
    </row>
    <row r="837" spans="13:45" customFormat="1" ht="11.25" customHeight="1">
      <c r="M837" s="696" t="s">
        <v>2865</v>
      </c>
      <c r="N837" s="709" t="s">
        <v>1323</v>
      </c>
      <c r="O837" s="189" t="s">
        <v>758</v>
      </c>
      <c r="AB837" s="248"/>
      <c r="AC837" s="248"/>
      <c r="AD837" s="248"/>
      <c r="AE837" s="462"/>
      <c r="AF837" s="462"/>
      <c r="AG837" s="462"/>
      <c r="AH837" s="248"/>
      <c r="AI837" s="248"/>
      <c r="AJ837" s="248"/>
      <c r="AK837" s="183">
        <f t="shared" si="60"/>
        <v>0</v>
      </c>
      <c r="AL837" s="196"/>
      <c r="AM837" s="196"/>
      <c r="AN837" s="310"/>
      <c r="AO837" s="310"/>
      <c r="AP837" s="310"/>
      <c r="AQ837" s="698" t="s">
        <v>2629</v>
      </c>
      <c r="AR837" s="310"/>
      <c r="AS837" s="310"/>
    </row>
    <row r="838" spans="13:45" customFormat="1" ht="11.25" customHeight="1">
      <c r="M838" s="696" t="s">
        <v>2866</v>
      </c>
      <c r="N838" s="709" t="s">
        <v>1324</v>
      </c>
      <c r="O838" s="189" t="s">
        <v>758</v>
      </c>
      <c r="AB838" s="248"/>
      <c r="AC838" s="248"/>
      <c r="AD838" s="248"/>
      <c r="AE838" s="462"/>
      <c r="AF838" s="462"/>
      <c r="AG838" s="462"/>
      <c r="AH838" s="248"/>
      <c r="AI838" s="248"/>
      <c r="AJ838" s="248"/>
      <c r="AK838" s="183">
        <f t="shared" si="60"/>
        <v>0</v>
      </c>
      <c r="AL838" s="196"/>
      <c r="AM838" s="196"/>
      <c r="AN838" s="310"/>
      <c r="AO838" s="310"/>
      <c r="AP838" s="310"/>
      <c r="AQ838" s="698" t="s">
        <v>2631</v>
      </c>
      <c r="AR838" s="310"/>
      <c r="AS838" s="310"/>
    </row>
    <row r="839" spans="13:45" customFormat="1" ht="11.25" customHeight="1">
      <c r="M839" s="696" t="s">
        <v>2867</v>
      </c>
      <c r="N839" s="709" t="s">
        <v>2633</v>
      </c>
      <c r="O839" s="189" t="s">
        <v>758</v>
      </c>
      <c r="AB839" s="248"/>
      <c r="AC839" s="248"/>
      <c r="AD839" s="248"/>
      <c r="AE839" s="462"/>
      <c r="AF839" s="462"/>
      <c r="AG839" s="462"/>
      <c r="AH839" s="248"/>
      <c r="AI839" s="248"/>
      <c r="AJ839" s="248"/>
      <c r="AK839" s="183">
        <f t="shared" si="60"/>
        <v>0</v>
      </c>
      <c r="AL839" s="196"/>
      <c r="AM839" s="196"/>
      <c r="AN839" s="310"/>
      <c r="AO839" s="310"/>
      <c r="AP839" s="310"/>
      <c r="AQ839" s="698" t="s">
        <v>2634</v>
      </c>
      <c r="AR839" s="310"/>
      <c r="AS839" s="310"/>
    </row>
    <row r="840" spans="13:45" customFormat="1" ht="11.25" customHeight="1">
      <c r="M840" s="696" t="s">
        <v>2868</v>
      </c>
      <c r="N840" s="709" t="s">
        <v>2636</v>
      </c>
      <c r="O840" s="189" t="s">
        <v>758</v>
      </c>
      <c r="AB840" s="248"/>
      <c r="AC840" s="248"/>
      <c r="AD840" s="248"/>
      <c r="AE840" s="462"/>
      <c r="AF840" s="462"/>
      <c r="AG840" s="462"/>
      <c r="AH840" s="248"/>
      <c r="AI840" s="248"/>
      <c r="AJ840" s="248"/>
      <c r="AK840" s="183">
        <f t="shared" si="60"/>
        <v>0</v>
      </c>
      <c r="AL840" s="196"/>
      <c r="AM840" s="196"/>
      <c r="AN840" s="310"/>
      <c r="AO840" s="310"/>
      <c r="AP840" s="310"/>
      <c r="AQ840" s="698" t="s">
        <v>2637</v>
      </c>
      <c r="AR840" s="310"/>
      <c r="AS840" s="310"/>
    </row>
    <row r="841" spans="13:45" customFormat="1" ht="11.25" customHeight="1">
      <c r="M841" s="696" t="s">
        <v>2869</v>
      </c>
      <c r="N841" s="709" t="s">
        <v>2639</v>
      </c>
      <c r="O841" s="189" t="s">
        <v>758</v>
      </c>
      <c r="AB841" s="248"/>
      <c r="AC841" s="248"/>
      <c r="AD841" s="248"/>
      <c r="AE841" s="462"/>
      <c r="AF841" s="462"/>
      <c r="AG841" s="462"/>
      <c r="AH841" s="248"/>
      <c r="AI841" s="248"/>
      <c r="AJ841" s="248"/>
      <c r="AK841" s="183">
        <f t="shared" si="60"/>
        <v>0</v>
      </c>
      <c r="AL841" s="196"/>
      <c r="AM841" s="196"/>
      <c r="AN841" s="310"/>
      <c r="AO841" s="310"/>
      <c r="AP841" s="310"/>
      <c r="AQ841" s="698" t="s">
        <v>2640</v>
      </c>
      <c r="AR841" s="310"/>
      <c r="AS841" s="310"/>
    </row>
    <row r="842" spans="13:45" customFormat="1" ht="11.25" customHeight="1">
      <c r="M842" s="696" t="s">
        <v>2870</v>
      </c>
      <c r="N842" s="709" t="s">
        <v>2642</v>
      </c>
      <c r="O842" s="189" t="s">
        <v>758</v>
      </c>
      <c r="AB842" s="248"/>
      <c r="AC842" s="248"/>
      <c r="AD842" s="248"/>
      <c r="AE842" s="462"/>
      <c r="AF842" s="462"/>
      <c r="AG842" s="462"/>
      <c r="AH842" s="248"/>
      <c r="AI842" s="248"/>
      <c r="AJ842" s="248"/>
      <c r="AK842" s="183">
        <f t="shared" si="60"/>
        <v>0</v>
      </c>
      <c r="AL842" s="196"/>
      <c r="AM842" s="196"/>
      <c r="AN842" s="310"/>
      <c r="AO842" s="310"/>
      <c r="AP842" s="310"/>
      <c r="AQ842" s="698" t="s">
        <v>2643</v>
      </c>
      <c r="AR842" s="310"/>
      <c r="AS842" s="310"/>
    </row>
    <row r="843" spans="13:45" customFormat="1" ht="11.25" customHeight="1">
      <c r="M843" s="696" t="s">
        <v>2871</v>
      </c>
      <c r="N843" s="709" t="s">
        <v>2645</v>
      </c>
      <c r="O843" s="189" t="s">
        <v>758</v>
      </c>
      <c r="AB843" s="248"/>
      <c r="AC843" s="248"/>
      <c r="AD843" s="248"/>
      <c r="AE843" s="462"/>
      <c r="AF843" s="462"/>
      <c r="AG843" s="462"/>
      <c r="AH843" s="248"/>
      <c r="AI843" s="248"/>
      <c r="AJ843" s="248"/>
      <c r="AK843" s="183">
        <f t="shared" si="60"/>
        <v>0</v>
      </c>
      <c r="AL843" s="196"/>
      <c r="AM843" s="196"/>
      <c r="AN843" s="310"/>
      <c r="AO843" s="310"/>
      <c r="AP843" s="310"/>
      <c r="AQ843" s="698" t="s">
        <v>2646</v>
      </c>
      <c r="AR843" s="310"/>
      <c r="AS843" s="310"/>
    </row>
    <row r="844" spans="13:45" customFormat="1" ht="11.25" customHeight="1">
      <c r="M844" s="696" t="s">
        <v>2872</v>
      </c>
      <c r="N844" s="709" t="s">
        <v>1325</v>
      </c>
      <c r="O844" s="189" t="s">
        <v>758</v>
      </c>
      <c r="AB844" s="248"/>
      <c r="AC844" s="248"/>
      <c r="AD844" s="248"/>
      <c r="AE844" s="462"/>
      <c r="AF844" s="462"/>
      <c r="AG844" s="462"/>
      <c r="AH844" s="248"/>
      <c r="AI844" s="248"/>
      <c r="AJ844" s="248"/>
      <c r="AK844" s="183">
        <f t="shared" si="60"/>
        <v>0</v>
      </c>
      <c r="AL844" s="196"/>
      <c r="AM844" s="196"/>
      <c r="AN844" s="310"/>
      <c r="AO844" s="310"/>
      <c r="AP844" s="310"/>
      <c r="AQ844" s="698" t="s">
        <v>2648</v>
      </c>
      <c r="AR844" s="310"/>
      <c r="AS844" s="310"/>
    </row>
    <row r="845" spans="13:45" customFormat="1" ht="11.25" customHeight="1">
      <c r="M845" s="696" t="s">
        <v>2873</v>
      </c>
      <c r="N845" s="709" t="s">
        <v>1326</v>
      </c>
      <c r="O845" s="189" t="s">
        <v>758</v>
      </c>
      <c r="AB845" s="248"/>
      <c r="AC845" s="248"/>
      <c r="AD845" s="248"/>
      <c r="AE845" s="462"/>
      <c r="AF845" s="462"/>
      <c r="AG845" s="462"/>
      <c r="AH845" s="248"/>
      <c r="AI845" s="248"/>
      <c r="AJ845" s="248"/>
      <c r="AK845" s="183">
        <f t="shared" si="60"/>
        <v>0</v>
      </c>
      <c r="AL845" s="196"/>
      <c r="AM845" s="196"/>
      <c r="AN845" s="310"/>
      <c r="AO845" s="310"/>
      <c r="AP845" s="310"/>
      <c r="AQ845" s="698" t="s">
        <v>2650</v>
      </c>
      <c r="AR845" s="310"/>
      <c r="AS845" s="310"/>
    </row>
    <row r="846" spans="13:45" customFormat="1" ht="11.25" customHeight="1">
      <c r="M846" s="696" t="s">
        <v>2874</v>
      </c>
      <c r="N846" s="709" t="s">
        <v>2652</v>
      </c>
      <c r="O846" s="189" t="s">
        <v>758</v>
      </c>
      <c r="AB846" s="248"/>
      <c r="AC846" s="248"/>
      <c r="AD846" s="248"/>
      <c r="AE846" s="462"/>
      <c r="AF846" s="462"/>
      <c r="AG846" s="462"/>
      <c r="AH846" s="248"/>
      <c r="AI846" s="248"/>
      <c r="AJ846" s="248"/>
      <c r="AK846" s="183">
        <f t="shared" si="60"/>
        <v>0</v>
      </c>
      <c r="AL846" s="196"/>
      <c r="AM846" s="196"/>
      <c r="AN846" s="310"/>
      <c r="AO846" s="310"/>
      <c r="AP846" s="310"/>
      <c r="AQ846" s="698" t="s">
        <v>2653</v>
      </c>
      <c r="AR846" s="310"/>
      <c r="AS846" s="310"/>
    </row>
    <row r="847" spans="13:45" customFormat="1" ht="11.25" customHeight="1">
      <c r="M847" s="718"/>
      <c r="N847" s="460"/>
      <c r="O847" s="461"/>
      <c r="AB847" s="248"/>
      <c r="AC847" s="248"/>
      <c r="AD847" s="248"/>
      <c r="AE847" s="462"/>
      <c r="AF847" s="462"/>
      <c r="AG847" s="462"/>
      <c r="AH847" s="248"/>
      <c r="AI847" s="248"/>
      <c r="AJ847" s="248"/>
      <c r="AK847" s="462"/>
      <c r="AL847" s="462"/>
      <c r="AM847" s="462"/>
      <c r="AN847" s="310"/>
      <c r="AO847" s="310"/>
      <c r="AP847" s="310"/>
      <c r="AQ847" s="698"/>
      <c r="AR847" s="310"/>
      <c r="AS847" s="310"/>
    </row>
    <row r="848" spans="13:45" customFormat="1" ht="11.25" customHeight="1">
      <c r="M848" s="718"/>
      <c r="N848" s="460"/>
      <c r="O848" s="461"/>
      <c r="AB848" s="248"/>
      <c r="AC848" s="248"/>
      <c r="AD848" s="248"/>
      <c r="AE848" s="462"/>
      <c r="AF848" s="462"/>
      <c r="AG848" s="462"/>
      <c r="AH848" s="248"/>
      <c r="AI848" s="248"/>
      <c r="AJ848" s="248"/>
      <c r="AK848" s="462"/>
      <c r="AL848" s="462"/>
      <c r="AM848" s="462"/>
      <c r="AN848" s="310"/>
      <c r="AO848" s="310"/>
      <c r="AP848" s="310"/>
      <c r="AQ848" s="698"/>
      <c r="AR848" s="310"/>
      <c r="AS848" s="310"/>
    </row>
    <row r="849" spans="13:45" customFormat="1" ht="11.25" customHeight="1">
      <c r="M849" s="696" t="s">
        <v>1685</v>
      </c>
      <c r="N849" s="719" t="s">
        <v>1327</v>
      </c>
      <c r="O849" s="189" t="s">
        <v>758</v>
      </c>
      <c r="AB849" s="248"/>
      <c r="AC849" s="248"/>
      <c r="AD849" s="248"/>
      <c r="AE849" s="462"/>
      <c r="AF849" s="462"/>
      <c r="AG849" s="462"/>
      <c r="AH849" s="248"/>
      <c r="AI849" s="248"/>
      <c r="AJ849" s="248"/>
      <c r="AK849" s="183">
        <f t="shared" ref="AK849:AK855" si="61">AL849+AM849</f>
        <v>0</v>
      </c>
      <c r="AL849" s="196"/>
      <c r="AM849" s="196"/>
      <c r="AN849" s="310"/>
      <c r="AO849" s="310"/>
      <c r="AP849" s="310"/>
      <c r="AQ849" s="698" t="s">
        <v>1357</v>
      </c>
      <c r="AR849" s="310"/>
      <c r="AS849" s="310"/>
    </row>
    <row r="850" spans="13:45" customFormat="1" ht="11.25" customHeight="1">
      <c r="M850" s="696" t="s">
        <v>1686</v>
      </c>
      <c r="N850" s="712" t="s">
        <v>723</v>
      </c>
      <c r="O850" s="189" t="s">
        <v>758</v>
      </c>
      <c r="AB850" s="248"/>
      <c r="AC850" s="248"/>
      <c r="AD850" s="248"/>
      <c r="AE850" s="462"/>
      <c r="AF850" s="462"/>
      <c r="AG850" s="462"/>
      <c r="AH850" s="248"/>
      <c r="AI850" s="248"/>
      <c r="AJ850" s="248"/>
      <c r="AK850" s="183">
        <f t="shared" si="61"/>
        <v>0</v>
      </c>
      <c r="AL850" s="196"/>
      <c r="AM850" s="196"/>
      <c r="AN850" s="310"/>
      <c r="AO850" s="310"/>
      <c r="AP850" s="310"/>
      <c r="AQ850" s="698" t="s">
        <v>1350</v>
      </c>
      <c r="AR850" s="310"/>
      <c r="AS850" s="310"/>
    </row>
    <row r="851" spans="13:45" customFormat="1" ht="11.25" customHeight="1">
      <c r="M851" s="696" t="s">
        <v>1687</v>
      </c>
      <c r="N851" s="713" t="s">
        <v>748</v>
      </c>
      <c r="O851" s="189" t="s">
        <v>758</v>
      </c>
      <c r="AB851" s="248"/>
      <c r="AC851" s="248"/>
      <c r="AD851" s="248"/>
      <c r="AE851" s="462"/>
      <c r="AF851" s="462"/>
      <c r="AG851" s="462"/>
      <c r="AH851" s="248"/>
      <c r="AI851" s="248"/>
      <c r="AJ851" s="248"/>
      <c r="AK851" s="183">
        <f t="shared" si="61"/>
        <v>0</v>
      </c>
      <c r="AL851" s="196"/>
      <c r="AM851" s="196"/>
      <c r="AN851" s="310"/>
      <c r="AO851" s="310"/>
      <c r="AP851" s="310"/>
      <c r="AQ851" s="698" t="s">
        <v>1351</v>
      </c>
      <c r="AR851" s="310"/>
      <c r="AS851" s="310"/>
    </row>
    <row r="852" spans="13:45" customFormat="1" ht="11.25" customHeight="1">
      <c r="M852" s="696" t="s">
        <v>1688</v>
      </c>
      <c r="N852" s="714" t="s">
        <v>315</v>
      </c>
      <c r="O852" s="189" t="s">
        <v>758</v>
      </c>
      <c r="AB852" s="248"/>
      <c r="AC852" s="248"/>
      <c r="AD852" s="248"/>
      <c r="AE852" s="462"/>
      <c r="AF852" s="462"/>
      <c r="AG852" s="462"/>
      <c r="AH852" s="248"/>
      <c r="AI852" s="248"/>
      <c r="AJ852" s="248"/>
      <c r="AK852" s="183">
        <f t="shared" si="61"/>
        <v>0</v>
      </c>
      <c r="AL852" s="196"/>
      <c r="AM852" s="196"/>
      <c r="AN852" s="310"/>
      <c r="AO852" s="310"/>
      <c r="AP852" s="310"/>
      <c r="AQ852" s="698" t="s">
        <v>1352</v>
      </c>
      <c r="AR852" s="310"/>
      <c r="AS852" s="310"/>
    </row>
    <row r="853" spans="13:45" customFormat="1" ht="11.25" customHeight="1">
      <c r="M853" s="696" t="s">
        <v>1689</v>
      </c>
      <c r="N853" s="715" t="s">
        <v>316</v>
      </c>
      <c r="O853" s="189" t="s">
        <v>758</v>
      </c>
      <c r="AB853" s="248"/>
      <c r="AC853" s="248"/>
      <c r="AD853" s="248"/>
      <c r="AE853" s="462"/>
      <c r="AF853" s="462"/>
      <c r="AG853" s="462"/>
      <c r="AH853" s="248"/>
      <c r="AI853" s="248"/>
      <c r="AJ853" s="248"/>
      <c r="AK853" s="183">
        <f t="shared" si="61"/>
        <v>0</v>
      </c>
      <c r="AL853" s="196"/>
      <c r="AM853" s="196"/>
      <c r="AN853" s="310"/>
      <c r="AO853" s="310"/>
      <c r="AP853" s="310"/>
      <c r="AQ853" s="698" t="s">
        <v>1354</v>
      </c>
      <c r="AR853" s="310"/>
      <c r="AS853" s="310"/>
    </row>
    <row r="854" spans="13:45" customFormat="1" ht="11.25" customHeight="1">
      <c r="M854" s="696" t="s">
        <v>1690</v>
      </c>
      <c r="N854" s="716" t="s">
        <v>317</v>
      </c>
      <c r="O854" s="189" t="s">
        <v>758</v>
      </c>
      <c r="AB854" s="248"/>
      <c r="AC854" s="248"/>
      <c r="AD854" s="248"/>
      <c r="AE854" s="462"/>
      <c r="AF854" s="462"/>
      <c r="AG854" s="462"/>
      <c r="AH854" s="248"/>
      <c r="AI854" s="248"/>
      <c r="AJ854" s="248"/>
      <c r="AK854" s="183">
        <f t="shared" si="61"/>
        <v>0</v>
      </c>
      <c r="AL854" s="196"/>
      <c r="AM854" s="196"/>
      <c r="AN854" s="310"/>
      <c r="AO854" s="310"/>
      <c r="AP854" s="310"/>
      <c r="AQ854" s="698" t="s">
        <v>1353</v>
      </c>
      <c r="AR854" s="310"/>
      <c r="AS854" s="310"/>
    </row>
    <row r="855" spans="13:45" customFormat="1" ht="11.25" customHeight="1">
      <c r="M855" s="696" t="s">
        <v>1691</v>
      </c>
      <c r="N855" s="701" t="s">
        <v>318</v>
      </c>
      <c r="O855" s="189" t="s">
        <v>758</v>
      </c>
      <c r="AB855" s="248"/>
      <c r="AC855" s="248"/>
      <c r="AD855" s="248"/>
      <c r="AE855" s="462"/>
      <c r="AF855" s="462"/>
      <c r="AG855" s="462"/>
      <c r="AH855" s="248"/>
      <c r="AI855" s="248"/>
      <c r="AJ855" s="248"/>
      <c r="AK855" s="183">
        <f t="shared" si="61"/>
        <v>0</v>
      </c>
      <c r="AL855" s="196"/>
      <c r="AM855" s="196"/>
      <c r="AN855" s="310"/>
      <c r="AO855" s="310"/>
      <c r="AP855" s="310"/>
      <c r="AQ855" s="698" t="s">
        <v>1355</v>
      </c>
      <c r="AR855" s="310"/>
      <c r="AS855" s="310"/>
    </row>
    <row r="856" spans="13:45" customFormat="1" ht="11.25" customHeight="1">
      <c r="M856" s="718"/>
      <c r="N856" s="460"/>
      <c r="O856" s="461"/>
      <c r="AB856" s="248"/>
      <c r="AC856" s="248"/>
      <c r="AD856" s="248"/>
      <c r="AE856" s="462"/>
      <c r="AF856" s="462"/>
      <c r="AG856" s="462"/>
      <c r="AH856" s="248"/>
      <c r="AI856" s="248"/>
      <c r="AJ856" s="248"/>
      <c r="AK856" s="462"/>
      <c r="AL856" s="462"/>
      <c r="AM856" s="462"/>
      <c r="AN856" s="310"/>
      <c r="AO856" s="310"/>
      <c r="AP856" s="310"/>
      <c r="AQ856" s="698"/>
      <c r="AR856" s="310"/>
      <c r="AS856" s="310"/>
    </row>
    <row r="857" spans="13:45" customFormat="1" ht="11.25" customHeight="1">
      <c r="M857" s="490" t="s">
        <v>1755</v>
      </c>
      <c r="N857" s="463" t="s">
        <v>661</v>
      </c>
      <c r="O857" s="189" t="s">
        <v>195</v>
      </c>
      <c r="AB857" s="248"/>
      <c r="AC857" s="248"/>
      <c r="AD857" s="248"/>
      <c r="AE857" s="263">
        <f>SUM(AE858,AE862:AE867,AE868,AE873,AE880,AE881,AE901:AE907)</f>
        <v>0</v>
      </c>
      <c r="AF857" s="263">
        <f>SUM(AF858,AF862:AF867,AF868,AF873,AF880,AF881,AF901:AF907)</f>
        <v>0</v>
      </c>
      <c r="AG857" s="263">
        <f>SUM(AG858,AG862:AG867,AG868,AG873,AG880,AG881,AG901:AG907)</f>
        <v>0</v>
      </c>
      <c r="AH857" s="248"/>
      <c r="AI857" s="248"/>
      <c r="AJ857" s="248"/>
      <c r="AK857" s="263">
        <f>SUM(AK858,AK862:AK867,AK868,AK873,AK880,AK881,AK901:AK907)</f>
        <v>0</v>
      </c>
      <c r="AL857" s="263">
        <f>SUM(AL858,AL862:AL867,AL868,AL873,AL880,AL881,AL901:AL907)</f>
        <v>0</v>
      </c>
      <c r="AM857" s="263">
        <f>SUM(AM858,AM862:AM867,AM868,AM873,AM880,AM881,AM901:AM907)</f>
        <v>0</v>
      </c>
      <c r="AN857" s="310"/>
      <c r="AO857" s="310"/>
      <c r="AP857" s="310"/>
      <c r="AQ857" s="36"/>
      <c r="AR857" s="310"/>
      <c r="AS857" s="310"/>
    </row>
    <row r="858" spans="13:45" customFormat="1" ht="11.25" customHeight="1">
      <c r="M858" s="718"/>
      <c r="N858" s="460"/>
      <c r="O858" s="461"/>
      <c r="AB858" s="248"/>
      <c r="AC858" s="248"/>
      <c r="AD858" s="248"/>
      <c r="AE858" s="462"/>
      <c r="AF858" s="462"/>
      <c r="AG858" s="462"/>
      <c r="AH858" s="248"/>
      <c r="AI858" s="248"/>
      <c r="AJ858" s="248"/>
      <c r="AK858" s="462"/>
      <c r="AL858" s="462"/>
      <c r="AM858" s="462"/>
      <c r="AN858" s="310"/>
      <c r="AO858" s="310"/>
      <c r="AP858" s="310"/>
      <c r="AQ858" s="698"/>
      <c r="AR858" s="310"/>
      <c r="AS858" s="310"/>
    </row>
    <row r="859" spans="13:45" customFormat="1" ht="11.25" customHeight="1">
      <c r="M859" s="718"/>
      <c r="N859" s="460"/>
      <c r="O859" s="461"/>
      <c r="AB859" s="248"/>
      <c r="AC859" s="248"/>
      <c r="AD859" s="248"/>
      <c r="AE859" s="241"/>
      <c r="AF859" s="241"/>
      <c r="AG859" s="241"/>
      <c r="AH859" s="248"/>
      <c r="AI859" s="248"/>
      <c r="AJ859" s="248"/>
      <c r="AK859" s="462"/>
      <c r="AL859" s="462"/>
      <c r="AM859" s="462"/>
      <c r="AN859" s="310"/>
      <c r="AO859" s="310"/>
      <c r="AP859" s="310"/>
      <c r="AQ859" s="698"/>
      <c r="AR859" s="310"/>
      <c r="AS859" s="310"/>
    </row>
    <row r="860" spans="13:45" customFormat="1" ht="11.25" customHeight="1">
      <c r="M860" s="718"/>
      <c r="N860" s="460"/>
      <c r="O860" s="461"/>
      <c r="AB860" s="248"/>
      <c r="AC860" s="248"/>
      <c r="AD860" s="248"/>
      <c r="AE860" s="241"/>
      <c r="AF860" s="241"/>
      <c r="AG860" s="241"/>
      <c r="AH860" s="248"/>
      <c r="AI860" s="248"/>
      <c r="AJ860" s="248"/>
      <c r="AK860" s="462"/>
      <c r="AL860" s="462"/>
      <c r="AM860" s="462"/>
      <c r="AN860" s="310"/>
      <c r="AO860" s="310"/>
      <c r="AP860" s="310"/>
      <c r="AQ860" s="698"/>
      <c r="AR860" s="310"/>
      <c r="AS860" s="310"/>
    </row>
    <row r="861" spans="13:45" customFormat="1" ht="11.25" customHeight="1">
      <c r="M861" s="718"/>
      <c r="N861" s="460"/>
      <c r="O861" s="461"/>
      <c r="AB861" s="248"/>
      <c r="AC861" s="248"/>
      <c r="AD861" s="248"/>
      <c r="AE861" s="241"/>
      <c r="AF861" s="241"/>
      <c r="AG861" s="241"/>
      <c r="AH861" s="248"/>
      <c r="AI861" s="248"/>
      <c r="AJ861" s="248"/>
      <c r="AK861" s="462"/>
      <c r="AL861" s="462"/>
      <c r="AM861" s="462"/>
      <c r="AN861" s="310"/>
      <c r="AO861" s="310"/>
      <c r="AP861" s="310"/>
      <c r="AQ861" s="698"/>
      <c r="AR861" s="310"/>
      <c r="AS861" s="310"/>
    </row>
    <row r="862" spans="13:45" customFormat="1" ht="11.25" customHeight="1">
      <c r="M862" s="718"/>
      <c r="N862" s="460"/>
      <c r="O862" s="461"/>
      <c r="AB862" s="248"/>
      <c r="AC862" s="248"/>
      <c r="AD862" s="248"/>
      <c r="AE862" s="241"/>
      <c r="AF862" s="241"/>
      <c r="AG862" s="241"/>
      <c r="AH862" s="248"/>
      <c r="AI862" s="248"/>
      <c r="AJ862" s="248"/>
      <c r="AK862" s="462"/>
      <c r="AL862" s="462"/>
      <c r="AM862" s="462"/>
      <c r="AN862" s="310"/>
      <c r="AO862" s="310"/>
      <c r="AP862" s="310"/>
      <c r="AQ862" s="698"/>
      <c r="AR862" s="310"/>
      <c r="AS862" s="310"/>
    </row>
    <row r="863" spans="13:45" customFormat="1" ht="11.25" customHeight="1">
      <c r="M863" s="718"/>
      <c r="N863" s="460"/>
      <c r="O863" s="461"/>
      <c r="AB863" s="248"/>
      <c r="AC863" s="248"/>
      <c r="AD863" s="248"/>
      <c r="AE863" s="241"/>
      <c r="AF863" s="241"/>
      <c r="AG863" s="241"/>
      <c r="AH863" s="248"/>
      <c r="AI863" s="248"/>
      <c r="AJ863" s="248"/>
      <c r="AK863" s="462"/>
      <c r="AL863" s="462"/>
      <c r="AM863" s="462"/>
      <c r="AN863" s="310"/>
      <c r="AO863" s="310"/>
      <c r="AP863" s="310"/>
      <c r="AQ863" s="698"/>
      <c r="AR863" s="310"/>
      <c r="AS863" s="310"/>
    </row>
    <row r="864" spans="13:45" customFormat="1" ht="11.25" customHeight="1">
      <c r="M864" s="718"/>
      <c r="N864" s="460"/>
      <c r="O864" s="461"/>
      <c r="AB864" s="248"/>
      <c r="AC864" s="248"/>
      <c r="AD864" s="248"/>
      <c r="AE864" s="241"/>
      <c r="AF864" s="241"/>
      <c r="AG864" s="241"/>
      <c r="AH864" s="248"/>
      <c r="AI864" s="248"/>
      <c r="AJ864" s="248"/>
      <c r="AK864" s="462"/>
      <c r="AL864" s="462"/>
      <c r="AM864" s="462"/>
      <c r="AN864" s="310"/>
      <c r="AO864" s="310"/>
      <c r="AP864" s="310"/>
      <c r="AQ864" s="698"/>
      <c r="AR864" s="310"/>
      <c r="AS864" s="310"/>
    </row>
    <row r="865" spans="13:45" customFormat="1" ht="11.25" customHeight="1">
      <c r="M865" s="718"/>
      <c r="N865" s="460"/>
      <c r="O865" s="461"/>
      <c r="AB865" s="248"/>
      <c r="AC865" s="248"/>
      <c r="AD865" s="248"/>
      <c r="AE865" s="241"/>
      <c r="AF865" s="241"/>
      <c r="AG865" s="241"/>
      <c r="AH865" s="248"/>
      <c r="AI865" s="248"/>
      <c r="AJ865" s="248"/>
      <c r="AK865" s="462"/>
      <c r="AL865" s="462"/>
      <c r="AM865" s="462"/>
      <c r="AN865" s="310"/>
      <c r="AO865" s="310"/>
      <c r="AP865" s="310"/>
      <c r="AQ865" s="698"/>
      <c r="AR865" s="310"/>
      <c r="AS865" s="310"/>
    </row>
    <row r="866" spans="13:45" customFormat="1" ht="11.25" customHeight="1">
      <c r="M866" s="696" t="s">
        <v>1756</v>
      </c>
      <c r="N866" s="701" t="s">
        <v>684</v>
      </c>
      <c r="O866" s="189" t="s">
        <v>195</v>
      </c>
      <c r="AB866" s="248"/>
      <c r="AC866" s="248"/>
      <c r="AD866" s="248"/>
      <c r="AE866" s="241"/>
      <c r="AF866" s="241"/>
      <c r="AG866" s="241"/>
      <c r="AH866" s="248"/>
      <c r="AI866" s="248"/>
      <c r="AJ866" s="248"/>
      <c r="AK866" s="183">
        <f t="shared" ref="AK866:AK898" si="62">AL866+AM866</f>
        <v>0</v>
      </c>
      <c r="AL866" s="686">
        <f>AL762*AL814/1000</f>
        <v>0</v>
      </c>
      <c r="AM866" s="686">
        <f>AM762*AM814/1000</f>
        <v>0</v>
      </c>
      <c r="AN866" s="310"/>
      <c r="AO866" s="310"/>
      <c r="AP866" s="310"/>
      <c r="AQ866" s="698" t="s">
        <v>1332</v>
      </c>
      <c r="AR866" s="310"/>
      <c r="AS866" s="310"/>
    </row>
    <row r="867" spans="13:45" customFormat="1" ht="11.25" customHeight="1">
      <c r="M867" s="696" t="s">
        <v>1757</v>
      </c>
      <c r="N867" s="702" t="s">
        <v>718</v>
      </c>
      <c r="O867" s="189" t="s">
        <v>195</v>
      </c>
      <c r="AB867" s="248"/>
      <c r="AC867" s="248"/>
      <c r="AD867" s="248"/>
      <c r="AE867" s="241"/>
      <c r="AF867" s="241"/>
      <c r="AG867" s="241"/>
      <c r="AH867" s="248"/>
      <c r="AI867" s="248"/>
      <c r="AJ867" s="248"/>
      <c r="AK867" s="183">
        <f t="shared" si="62"/>
        <v>0</v>
      </c>
      <c r="AL867" s="686">
        <f>AL763*AL815/1000</f>
        <v>0</v>
      </c>
      <c r="AM867" s="686">
        <f>AM763*AM815/1000</f>
        <v>0</v>
      </c>
      <c r="AN867" s="310"/>
      <c r="AO867" s="310"/>
      <c r="AP867" s="310"/>
      <c r="AQ867" s="698" t="s">
        <v>1333</v>
      </c>
      <c r="AR867" s="310"/>
      <c r="AS867" s="310"/>
    </row>
    <row r="868" spans="13:45" customFormat="1" ht="11.25" customHeight="1">
      <c r="M868" s="696" t="s">
        <v>1758</v>
      </c>
      <c r="N868" s="703" t="s">
        <v>722</v>
      </c>
      <c r="O868" s="189" t="s">
        <v>195</v>
      </c>
      <c r="AB868" s="248"/>
      <c r="AC868" s="248"/>
      <c r="AD868" s="248"/>
      <c r="AE868" s="241"/>
      <c r="AF868" s="241"/>
      <c r="AG868" s="241"/>
      <c r="AH868" s="248"/>
      <c r="AI868" s="248"/>
      <c r="AJ868" s="248"/>
      <c r="AK868" s="183">
        <f t="shared" si="62"/>
        <v>0</v>
      </c>
      <c r="AL868" s="183">
        <f>SUM(AL869:AL872)</f>
        <v>0</v>
      </c>
      <c r="AM868" s="183">
        <f>SUM(AM869:AM872)</f>
        <v>0</v>
      </c>
      <c r="AN868" s="310"/>
      <c r="AO868" s="310"/>
      <c r="AP868" s="310"/>
      <c r="AQ868" s="698" t="s">
        <v>1334</v>
      </c>
      <c r="AR868" s="310"/>
      <c r="AS868" s="310"/>
    </row>
    <row r="869" spans="13:45" customFormat="1" ht="11.25" customHeight="1">
      <c r="M869" s="696" t="s">
        <v>1759</v>
      </c>
      <c r="N869" s="704" t="s">
        <v>1309</v>
      </c>
      <c r="O869" s="189" t="s">
        <v>195</v>
      </c>
      <c r="AB869" s="248"/>
      <c r="AC869" s="248"/>
      <c r="AD869" s="248"/>
      <c r="AE869" s="241"/>
      <c r="AF869" s="241"/>
      <c r="AG869" s="241"/>
      <c r="AH869" s="248"/>
      <c r="AI869" s="248"/>
      <c r="AJ869" s="248"/>
      <c r="AK869" s="183">
        <f t="shared" si="62"/>
        <v>0</v>
      </c>
      <c r="AL869" s="686">
        <f t="shared" ref="AL869:AM872" si="63">AL765*AL817/1000</f>
        <v>0</v>
      </c>
      <c r="AM869" s="686">
        <f t="shared" si="63"/>
        <v>0</v>
      </c>
      <c r="AN869" s="310"/>
      <c r="AO869" s="310"/>
      <c r="AP869" s="310"/>
      <c r="AQ869" s="698" t="s">
        <v>1335</v>
      </c>
      <c r="AR869" s="310"/>
      <c r="AS869" s="310"/>
    </row>
    <row r="870" spans="13:45" customFormat="1" ht="11.25" customHeight="1">
      <c r="M870" s="696" t="s">
        <v>1760</v>
      </c>
      <c r="N870" s="704" t="s">
        <v>1310</v>
      </c>
      <c r="O870" s="189" t="s">
        <v>195</v>
      </c>
      <c r="AB870" s="248"/>
      <c r="AC870" s="248"/>
      <c r="AD870" s="248"/>
      <c r="AE870" s="241"/>
      <c r="AF870" s="241"/>
      <c r="AG870" s="241"/>
      <c r="AH870" s="248"/>
      <c r="AI870" s="248"/>
      <c r="AJ870" s="248"/>
      <c r="AK870" s="183">
        <f t="shared" si="62"/>
        <v>0</v>
      </c>
      <c r="AL870" s="686">
        <f t="shared" si="63"/>
        <v>0</v>
      </c>
      <c r="AM870" s="686">
        <f t="shared" si="63"/>
        <v>0</v>
      </c>
      <c r="AN870" s="310"/>
      <c r="AO870" s="310"/>
      <c r="AP870" s="310"/>
      <c r="AQ870" s="698" t="s">
        <v>1336</v>
      </c>
      <c r="AR870" s="310"/>
      <c r="AS870" s="310"/>
    </row>
    <row r="871" spans="13:45" customFormat="1" ht="11.25" customHeight="1">
      <c r="M871" s="696" t="s">
        <v>1761</v>
      </c>
      <c r="N871" s="704" t="s">
        <v>1311</v>
      </c>
      <c r="O871" s="189" t="s">
        <v>195</v>
      </c>
      <c r="AB871" s="248"/>
      <c r="AC871" s="248"/>
      <c r="AD871" s="248"/>
      <c r="AE871" s="241"/>
      <c r="AF871" s="241"/>
      <c r="AG871" s="241"/>
      <c r="AH871" s="248"/>
      <c r="AI871" s="248"/>
      <c r="AJ871" s="248"/>
      <c r="AK871" s="183">
        <f t="shared" si="62"/>
        <v>0</v>
      </c>
      <c r="AL871" s="686">
        <f t="shared" si="63"/>
        <v>0</v>
      </c>
      <c r="AM871" s="686">
        <f t="shared" si="63"/>
        <v>0</v>
      </c>
      <c r="AN871" s="310"/>
      <c r="AO871" s="310"/>
      <c r="AP871" s="310"/>
      <c r="AQ871" s="698" t="s">
        <v>1337</v>
      </c>
      <c r="AR871" s="310"/>
      <c r="AS871" s="310"/>
    </row>
    <row r="872" spans="13:45" customFormat="1" ht="11.25" customHeight="1">
      <c r="M872" s="696" t="s">
        <v>1762</v>
      </c>
      <c r="N872" s="704" t="s">
        <v>1312</v>
      </c>
      <c r="O872" s="189" t="s">
        <v>195</v>
      </c>
      <c r="AB872" s="248"/>
      <c r="AC872" s="248"/>
      <c r="AD872" s="248"/>
      <c r="AE872" s="241"/>
      <c r="AF872" s="241"/>
      <c r="AG872" s="241"/>
      <c r="AH872" s="248"/>
      <c r="AI872" s="248"/>
      <c r="AJ872" s="248"/>
      <c r="AK872" s="183">
        <f t="shared" si="62"/>
        <v>0</v>
      </c>
      <c r="AL872" s="686">
        <f t="shared" si="63"/>
        <v>0</v>
      </c>
      <c r="AM872" s="686">
        <f t="shared" si="63"/>
        <v>0</v>
      </c>
      <c r="AN872" s="310"/>
      <c r="AO872" s="310"/>
      <c r="AP872" s="310"/>
      <c r="AQ872" s="698" t="s">
        <v>1338</v>
      </c>
      <c r="AR872" s="310"/>
      <c r="AS872" s="310"/>
    </row>
    <row r="873" spans="13:45" customFormat="1" ht="11.25" customHeight="1">
      <c r="M873" s="696" t="s">
        <v>1763</v>
      </c>
      <c r="N873" s="705" t="s">
        <v>720</v>
      </c>
      <c r="O873" s="189" t="s">
        <v>195</v>
      </c>
      <c r="AB873" s="248"/>
      <c r="AC873" s="248"/>
      <c r="AD873" s="248"/>
      <c r="AE873" s="241"/>
      <c r="AF873" s="241"/>
      <c r="AG873" s="241"/>
      <c r="AH873" s="248"/>
      <c r="AI873" s="248"/>
      <c r="AJ873" s="248"/>
      <c r="AK873" s="183">
        <f t="shared" si="62"/>
        <v>0</v>
      </c>
      <c r="AL873" s="183">
        <f>SUM(AL874:AL879)</f>
        <v>0</v>
      </c>
      <c r="AM873" s="183">
        <f>SUM(AM874:AM879)</f>
        <v>0</v>
      </c>
      <c r="AN873" s="310"/>
      <c r="AO873" s="310"/>
      <c r="AP873" s="310"/>
      <c r="AQ873" s="698" t="s">
        <v>1343</v>
      </c>
      <c r="AR873" s="310"/>
      <c r="AS873" s="310"/>
    </row>
    <row r="874" spans="13:45" customFormat="1" ht="11.25" customHeight="1">
      <c r="M874" s="696" t="s">
        <v>1880</v>
      </c>
      <c r="N874" s="706" t="s">
        <v>1313</v>
      </c>
      <c r="O874" s="189" t="s">
        <v>195</v>
      </c>
      <c r="AB874" s="248"/>
      <c r="AC874" s="248"/>
      <c r="AD874" s="248"/>
      <c r="AE874" s="241"/>
      <c r="AF874" s="241"/>
      <c r="AG874" s="241"/>
      <c r="AH874" s="248"/>
      <c r="AI874" s="248"/>
      <c r="AJ874" s="248"/>
      <c r="AK874" s="183">
        <f t="shared" si="62"/>
        <v>0</v>
      </c>
      <c r="AL874" s="686">
        <f t="shared" ref="AL874:AM880" si="64">AL770*AL822/1000</f>
        <v>0</v>
      </c>
      <c r="AM874" s="686">
        <f t="shared" si="64"/>
        <v>0</v>
      </c>
      <c r="AN874" s="310"/>
      <c r="AO874" s="310"/>
      <c r="AP874" s="310"/>
      <c r="AQ874" s="698" t="s">
        <v>1866</v>
      </c>
      <c r="AR874" s="310"/>
      <c r="AS874" s="310"/>
    </row>
    <row r="875" spans="13:45" customFormat="1" ht="11.25" customHeight="1">
      <c r="M875" s="696" t="s">
        <v>1861</v>
      </c>
      <c r="N875" s="706" t="s">
        <v>1314</v>
      </c>
      <c r="O875" s="189" t="s">
        <v>195</v>
      </c>
      <c r="AB875" s="248"/>
      <c r="AC875" s="248"/>
      <c r="AD875" s="248"/>
      <c r="AE875" s="241"/>
      <c r="AF875" s="241"/>
      <c r="AG875" s="241"/>
      <c r="AH875" s="248"/>
      <c r="AI875" s="248"/>
      <c r="AJ875" s="248"/>
      <c r="AK875" s="183">
        <f t="shared" si="62"/>
        <v>0</v>
      </c>
      <c r="AL875" s="686">
        <f t="shared" si="64"/>
        <v>0</v>
      </c>
      <c r="AM875" s="686">
        <f t="shared" si="64"/>
        <v>0</v>
      </c>
      <c r="AN875" s="310"/>
      <c r="AO875" s="310"/>
      <c r="AP875" s="310"/>
      <c r="AQ875" s="698" t="s">
        <v>1847</v>
      </c>
      <c r="AR875" s="310"/>
      <c r="AS875" s="310"/>
    </row>
    <row r="876" spans="13:45" customFormat="1" ht="11.25" customHeight="1">
      <c r="M876" s="696" t="s">
        <v>1842</v>
      </c>
      <c r="N876" s="706" t="s">
        <v>1315</v>
      </c>
      <c r="O876" s="189" t="s">
        <v>195</v>
      </c>
      <c r="AB876" s="248"/>
      <c r="AC876" s="248"/>
      <c r="AD876" s="248"/>
      <c r="AE876" s="241"/>
      <c r="AF876" s="241"/>
      <c r="AG876" s="241"/>
      <c r="AH876" s="248"/>
      <c r="AI876" s="248"/>
      <c r="AJ876" s="248"/>
      <c r="AK876" s="183">
        <f t="shared" si="62"/>
        <v>0</v>
      </c>
      <c r="AL876" s="686">
        <f t="shared" si="64"/>
        <v>0</v>
      </c>
      <c r="AM876" s="686">
        <f t="shared" si="64"/>
        <v>0</v>
      </c>
      <c r="AN876" s="310"/>
      <c r="AO876" s="310"/>
      <c r="AP876" s="310"/>
      <c r="AQ876" s="698" t="s">
        <v>1827</v>
      </c>
      <c r="AR876" s="310"/>
      <c r="AS876" s="310"/>
    </row>
    <row r="877" spans="13:45" customFormat="1" ht="11.25" customHeight="1">
      <c r="M877" s="696" t="s">
        <v>1764</v>
      </c>
      <c r="N877" s="706" t="s">
        <v>1316</v>
      </c>
      <c r="O877" s="189" t="s">
        <v>195</v>
      </c>
      <c r="AB877" s="248"/>
      <c r="AC877" s="248"/>
      <c r="AD877" s="248"/>
      <c r="AE877" s="241"/>
      <c r="AF877" s="241"/>
      <c r="AG877" s="241"/>
      <c r="AH877" s="248"/>
      <c r="AI877" s="248"/>
      <c r="AJ877" s="248"/>
      <c r="AK877" s="183">
        <f t="shared" si="62"/>
        <v>0</v>
      </c>
      <c r="AL877" s="686">
        <f t="shared" si="64"/>
        <v>0</v>
      </c>
      <c r="AM877" s="686">
        <f t="shared" si="64"/>
        <v>0</v>
      </c>
      <c r="AN877" s="310"/>
      <c r="AO877" s="310"/>
      <c r="AP877" s="310"/>
      <c r="AQ877" s="698" t="s">
        <v>1344</v>
      </c>
      <c r="AR877" s="310"/>
      <c r="AS877" s="310"/>
    </row>
    <row r="878" spans="13:45" customFormat="1" ht="11.25" customHeight="1">
      <c r="M878" s="696" t="s">
        <v>1765</v>
      </c>
      <c r="N878" s="706" t="s">
        <v>1317</v>
      </c>
      <c r="O878" s="189" t="s">
        <v>195</v>
      </c>
      <c r="AB878" s="248"/>
      <c r="AC878" s="248"/>
      <c r="AD878" s="248"/>
      <c r="AE878" s="241"/>
      <c r="AF878" s="241"/>
      <c r="AG878" s="241"/>
      <c r="AH878" s="248"/>
      <c r="AI878" s="248"/>
      <c r="AJ878" s="248"/>
      <c r="AK878" s="183">
        <f t="shared" si="62"/>
        <v>0</v>
      </c>
      <c r="AL878" s="686">
        <f t="shared" si="64"/>
        <v>0</v>
      </c>
      <c r="AM878" s="686">
        <f t="shared" si="64"/>
        <v>0</v>
      </c>
      <c r="AN878" s="310"/>
      <c r="AO878" s="310"/>
      <c r="AP878" s="310"/>
      <c r="AQ878" s="698" t="s">
        <v>1345</v>
      </c>
      <c r="AR878" s="310"/>
      <c r="AS878" s="310"/>
    </row>
    <row r="879" spans="13:45" customFormat="1" ht="11.25" customHeight="1">
      <c r="M879" s="696" t="s">
        <v>1766</v>
      </c>
      <c r="N879" s="706" t="s">
        <v>1318</v>
      </c>
      <c r="O879" s="189" t="s">
        <v>195</v>
      </c>
      <c r="AB879" s="248"/>
      <c r="AC879" s="248"/>
      <c r="AD879" s="248"/>
      <c r="AE879" s="241"/>
      <c r="AF879" s="241"/>
      <c r="AG879" s="241"/>
      <c r="AH879" s="248"/>
      <c r="AI879" s="248"/>
      <c r="AJ879" s="248"/>
      <c r="AK879" s="183">
        <f t="shared" si="62"/>
        <v>0</v>
      </c>
      <c r="AL879" s="686">
        <f t="shared" si="64"/>
        <v>0</v>
      </c>
      <c r="AM879" s="686">
        <f t="shared" si="64"/>
        <v>0</v>
      </c>
      <c r="AN879" s="310"/>
      <c r="AO879" s="310"/>
      <c r="AP879" s="310"/>
      <c r="AQ879" s="698" t="s">
        <v>1346</v>
      </c>
      <c r="AR879" s="310"/>
      <c r="AS879" s="310"/>
    </row>
    <row r="880" spans="13:45" customFormat="1" ht="11.25" customHeight="1">
      <c r="M880" s="696" t="s">
        <v>1767</v>
      </c>
      <c r="N880" s="707" t="s">
        <v>721</v>
      </c>
      <c r="O880" s="189" t="s">
        <v>195</v>
      </c>
      <c r="AB880" s="248"/>
      <c r="AC880" s="248"/>
      <c r="AD880" s="248"/>
      <c r="AE880" s="241"/>
      <c r="AF880" s="241"/>
      <c r="AG880" s="241"/>
      <c r="AH880" s="248"/>
      <c r="AI880" s="248"/>
      <c r="AJ880" s="248"/>
      <c r="AK880" s="183">
        <f t="shared" si="62"/>
        <v>0</v>
      </c>
      <c r="AL880" s="686">
        <f t="shared" si="64"/>
        <v>0</v>
      </c>
      <c r="AM880" s="686">
        <f t="shared" si="64"/>
        <v>0</v>
      </c>
      <c r="AN880" s="310"/>
      <c r="AO880" s="310"/>
      <c r="AP880" s="310"/>
      <c r="AQ880" s="698" t="s">
        <v>1347</v>
      </c>
      <c r="AR880" s="310"/>
      <c r="AS880" s="310"/>
    </row>
    <row r="881" spans="13:45" customFormat="1" ht="11.25" customHeight="1">
      <c r="M881" s="696" t="s">
        <v>1768</v>
      </c>
      <c r="N881" s="708" t="s">
        <v>712</v>
      </c>
      <c r="O881" s="189" t="s">
        <v>195</v>
      </c>
      <c r="AB881" s="248"/>
      <c r="AC881" s="248"/>
      <c r="AD881" s="248"/>
      <c r="AE881" s="241"/>
      <c r="AF881" s="241"/>
      <c r="AG881" s="241"/>
      <c r="AH881" s="248"/>
      <c r="AI881" s="248"/>
      <c r="AJ881" s="248"/>
      <c r="AK881" s="183">
        <f t="shared" si="62"/>
        <v>0</v>
      </c>
      <c r="AL881" s="183">
        <f>SUM(AL882:AL898)</f>
        <v>0</v>
      </c>
      <c r="AM881" s="183">
        <f>SUM(AM882:AM898)</f>
        <v>0</v>
      </c>
      <c r="AN881" s="310"/>
      <c r="AO881" s="310"/>
      <c r="AP881" s="310"/>
      <c r="AQ881" s="698" t="s">
        <v>1348</v>
      </c>
      <c r="AR881" s="310"/>
      <c r="AS881" s="310"/>
    </row>
    <row r="882" spans="13:45" customFormat="1" ht="11.25" customHeight="1">
      <c r="M882" s="696" t="s">
        <v>2875</v>
      </c>
      <c r="N882" s="709" t="s">
        <v>1319</v>
      </c>
      <c r="O882" s="189" t="s">
        <v>195</v>
      </c>
      <c r="AB882" s="248"/>
      <c r="AC882" s="248"/>
      <c r="AD882" s="248"/>
      <c r="AE882" s="241"/>
      <c r="AF882" s="241"/>
      <c r="AG882" s="241"/>
      <c r="AH882" s="248"/>
      <c r="AI882" s="248"/>
      <c r="AJ882" s="248"/>
      <c r="AK882" s="183">
        <f t="shared" si="62"/>
        <v>0</v>
      </c>
      <c r="AL882" s="686">
        <f t="shared" ref="AL882:AM897" si="65">AL778*AL830/1000</f>
        <v>0</v>
      </c>
      <c r="AM882" s="686">
        <f t="shared" si="65"/>
        <v>0</v>
      </c>
      <c r="AN882" s="310"/>
      <c r="AO882" s="310"/>
      <c r="AP882" s="310"/>
      <c r="AQ882" s="698" t="s">
        <v>2612</v>
      </c>
      <c r="AR882" s="310"/>
      <c r="AS882" s="310"/>
    </row>
    <row r="883" spans="13:45" customFormat="1" ht="11.25" customHeight="1">
      <c r="M883" s="696" t="s">
        <v>2876</v>
      </c>
      <c r="N883" s="709" t="s">
        <v>1320</v>
      </c>
      <c r="O883" s="189" t="s">
        <v>195</v>
      </c>
      <c r="AB883" s="248"/>
      <c r="AC883" s="248"/>
      <c r="AD883" s="248"/>
      <c r="AE883" s="241"/>
      <c r="AF883" s="241"/>
      <c r="AG883" s="241"/>
      <c r="AH883" s="248"/>
      <c r="AI883" s="248"/>
      <c r="AJ883" s="248"/>
      <c r="AK883" s="183">
        <f t="shared" si="62"/>
        <v>0</v>
      </c>
      <c r="AL883" s="686">
        <f t="shared" si="65"/>
        <v>0</v>
      </c>
      <c r="AM883" s="686">
        <f t="shared" si="65"/>
        <v>0</v>
      </c>
      <c r="AN883" s="310"/>
      <c r="AO883" s="310"/>
      <c r="AP883" s="310"/>
      <c r="AQ883" s="698" t="s">
        <v>2614</v>
      </c>
      <c r="AR883" s="310"/>
      <c r="AS883" s="310"/>
    </row>
    <row r="884" spans="13:45" customFormat="1" ht="11.25" customHeight="1">
      <c r="M884" s="696" t="s">
        <v>2877</v>
      </c>
      <c r="N884" s="709" t="s">
        <v>1321</v>
      </c>
      <c r="O884" s="189" t="s">
        <v>195</v>
      </c>
      <c r="AB884" s="248"/>
      <c r="AC884" s="248"/>
      <c r="AD884" s="248"/>
      <c r="AE884" s="241"/>
      <c r="AF884" s="241"/>
      <c r="AG884" s="241"/>
      <c r="AH884" s="248"/>
      <c r="AI884" s="248"/>
      <c r="AJ884" s="248"/>
      <c r="AK884" s="183">
        <f t="shared" si="62"/>
        <v>0</v>
      </c>
      <c r="AL884" s="686">
        <f t="shared" si="65"/>
        <v>0</v>
      </c>
      <c r="AM884" s="686">
        <f t="shared" si="65"/>
        <v>0</v>
      </c>
      <c r="AN884" s="310"/>
      <c r="AO884" s="310"/>
      <c r="AP884" s="310"/>
      <c r="AQ884" s="698" t="s">
        <v>2616</v>
      </c>
      <c r="AR884" s="310"/>
      <c r="AS884" s="310"/>
    </row>
    <row r="885" spans="13:45" customFormat="1" ht="11.25" customHeight="1">
      <c r="M885" s="696" t="s">
        <v>2878</v>
      </c>
      <c r="N885" s="709" t="s">
        <v>2618</v>
      </c>
      <c r="O885" s="189" t="s">
        <v>195</v>
      </c>
      <c r="AB885" s="248"/>
      <c r="AC885" s="248"/>
      <c r="AD885" s="248"/>
      <c r="AE885" s="241"/>
      <c r="AF885" s="241"/>
      <c r="AG885" s="241"/>
      <c r="AH885" s="248"/>
      <c r="AI885" s="248"/>
      <c r="AJ885" s="248"/>
      <c r="AK885" s="183">
        <f t="shared" si="62"/>
        <v>0</v>
      </c>
      <c r="AL885" s="686">
        <f t="shared" si="65"/>
        <v>0</v>
      </c>
      <c r="AM885" s="686">
        <f t="shared" si="65"/>
        <v>0</v>
      </c>
      <c r="AN885" s="310"/>
      <c r="AO885" s="310"/>
      <c r="AP885" s="310"/>
      <c r="AQ885" s="698" t="s">
        <v>2619</v>
      </c>
      <c r="AR885" s="310"/>
      <c r="AS885" s="310"/>
    </row>
    <row r="886" spans="13:45" customFormat="1" ht="11.25" customHeight="1">
      <c r="M886" s="696" t="s">
        <v>2879</v>
      </c>
      <c r="N886" s="709" t="s">
        <v>2621</v>
      </c>
      <c r="O886" s="189" t="s">
        <v>195</v>
      </c>
      <c r="AB886" s="248"/>
      <c r="AC886" s="248"/>
      <c r="AD886" s="248"/>
      <c r="AE886" s="241"/>
      <c r="AF886" s="241"/>
      <c r="AG886" s="241"/>
      <c r="AH886" s="248"/>
      <c r="AI886" s="248"/>
      <c r="AJ886" s="248"/>
      <c r="AK886" s="183">
        <f t="shared" si="62"/>
        <v>0</v>
      </c>
      <c r="AL886" s="686">
        <f t="shared" si="65"/>
        <v>0</v>
      </c>
      <c r="AM886" s="686">
        <f t="shared" si="65"/>
        <v>0</v>
      </c>
      <c r="AN886" s="310"/>
      <c r="AO886" s="310"/>
      <c r="AP886" s="310"/>
      <c r="AQ886" s="698" t="s">
        <v>2622</v>
      </c>
      <c r="AR886" s="310"/>
      <c r="AS886" s="310"/>
    </row>
    <row r="887" spans="13:45" customFormat="1" ht="11.25" customHeight="1">
      <c r="M887" s="696" t="s">
        <v>2880</v>
      </c>
      <c r="N887" s="709" t="s">
        <v>1322</v>
      </c>
      <c r="O887" s="189" t="s">
        <v>195</v>
      </c>
      <c r="AB887" s="248"/>
      <c r="AC887" s="248"/>
      <c r="AD887" s="248"/>
      <c r="AE887" s="241"/>
      <c r="AF887" s="241"/>
      <c r="AG887" s="241"/>
      <c r="AH887" s="248"/>
      <c r="AI887" s="248"/>
      <c r="AJ887" s="248"/>
      <c r="AK887" s="183">
        <f t="shared" si="62"/>
        <v>0</v>
      </c>
      <c r="AL887" s="686">
        <f t="shared" si="65"/>
        <v>0</v>
      </c>
      <c r="AM887" s="686">
        <f t="shared" si="65"/>
        <v>0</v>
      </c>
      <c r="AN887" s="310"/>
      <c r="AO887" s="310"/>
      <c r="AP887" s="310"/>
      <c r="AQ887" s="698" t="s">
        <v>2624</v>
      </c>
      <c r="AR887" s="310"/>
      <c r="AS887" s="310"/>
    </row>
    <row r="888" spans="13:45" customFormat="1" ht="11.25" customHeight="1">
      <c r="M888" s="696" t="s">
        <v>2881</v>
      </c>
      <c r="N888" s="709" t="s">
        <v>2626</v>
      </c>
      <c r="O888" s="189" t="s">
        <v>195</v>
      </c>
      <c r="AB888" s="248"/>
      <c r="AC888" s="248"/>
      <c r="AD888" s="248"/>
      <c r="AE888" s="241"/>
      <c r="AF888" s="241"/>
      <c r="AG888" s="241"/>
      <c r="AH888" s="248"/>
      <c r="AI888" s="248"/>
      <c r="AJ888" s="248"/>
      <c r="AK888" s="183">
        <f t="shared" si="62"/>
        <v>0</v>
      </c>
      <c r="AL888" s="686">
        <f t="shared" si="65"/>
        <v>0</v>
      </c>
      <c r="AM888" s="686">
        <f t="shared" si="65"/>
        <v>0</v>
      </c>
      <c r="AN888" s="310"/>
      <c r="AO888" s="310"/>
      <c r="AP888" s="310"/>
      <c r="AQ888" s="698" t="s">
        <v>2627</v>
      </c>
      <c r="AR888" s="310"/>
      <c r="AS888" s="310"/>
    </row>
    <row r="889" spans="13:45" customFormat="1" ht="11.25" customHeight="1">
      <c r="M889" s="696" t="s">
        <v>2882</v>
      </c>
      <c r="N889" s="709" t="s">
        <v>1323</v>
      </c>
      <c r="O889" s="189" t="s">
        <v>195</v>
      </c>
      <c r="AB889" s="248"/>
      <c r="AC889" s="248"/>
      <c r="AD889" s="248"/>
      <c r="AE889" s="241"/>
      <c r="AF889" s="241"/>
      <c r="AG889" s="241"/>
      <c r="AH889" s="248"/>
      <c r="AI889" s="248"/>
      <c r="AJ889" s="248"/>
      <c r="AK889" s="183">
        <f t="shared" si="62"/>
        <v>0</v>
      </c>
      <c r="AL889" s="686">
        <f t="shared" si="65"/>
        <v>0</v>
      </c>
      <c r="AM889" s="686">
        <f t="shared" si="65"/>
        <v>0</v>
      </c>
      <c r="AN889" s="310"/>
      <c r="AO889" s="310"/>
      <c r="AP889" s="310"/>
      <c r="AQ889" s="698" t="s">
        <v>2629</v>
      </c>
      <c r="AR889" s="310"/>
      <c r="AS889" s="310"/>
    </row>
    <row r="890" spans="13:45" customFormat="1" ht="11.25" customHeight="1">
      <c r="M890" s="696" t="s">
        <v>2883</v>
      </c>
      <c r="N890" s="709" t="s">
        <v>1324</v>
      </c>
      <c r="O890" s="189" t="s">
        <v>195</v>
      </c>
      <c r="AB890" s="248"/>
      <c r="AC890" s="248"/>
      <c r="AD890" s="248"/>
      <c r="AE890" s="241"/>
      <c r="AF890" s="241"/>
      <c r="AG890" s="241"/>
      <c r="AH890" s="248"/>
      <c r="AI890" s="248"/>
      <c r="AJ890" s="248"/>
      <c r="AK890" s="183">
        <f t="shared" si="62"/>
        <v>0</v>
      </c>
      <c r="AL890" s="686">
        <f t="shared" si="65"/>
        <v>0</v>
      </c>
      <c r="AM890" s="686">
        <f t="shared" si="65"/>
        <v>0</v>
      </c>
      <c r="AN890" s="310"/>
      <c r="AO890" s="310"/>
      <c r="AP890" s="310"/>
      <c r="AQ890" s="698" t="s">
        <v>2631</v>
      </c>
      <c r="AR890" s="310"/>
      <c r="AS890" s="310"/>
    </row>
    <row r="891" spans="13:45" customFormat="1" ht="11.25" customHeight="1">
      <c r="M891" s="696" t="s">
        <v>2884</v>
      </c>
      <c r="N891" s="709" t="s">
        <v>2633</v>
      </c>
      <c r="O891" s="189" t="s">
        <v>195</v>
      </c>
      <c r="AB891" s="248"/>
      <c r="AC891" s="248"/>
      <c r="AD891" s="248"/>
      <c r="AE891" s="241"/>
      <c r="AF891" s="241"/>
      <c r="AG891" s="241"/>
      <c r="AH891" s="248"/>
      <c r="AI891" s="248"/>
      <c r="AJ891" s="248"/>
      <c r="AK891" s="183">
        <f t="shared" si="62"/>
        <v>0</v>
      </c>
      <c r="AL891" s="686">
        <f t="shared" si="65"/>
        <v>0</v>
      </c>
      <c r="AM891" s="686">
        <f t="shared" si="65"/>
        <v>0</v>
      </c>
      <c r="AN891" s="310"/>
      <c r="AO891" s="310"/>
      <c r="AP891" s="310"/>
      <c r="AQ891" s="698" t="s">
        <v>2634</v>
      </c>
      <c r="AR891" s="310"/>
      <c r="AS891" s="310"/>
    </row>
    <row r="892" spans="13:45" customFormat="1" ht="11.25" customHeight="1">
      <c r="M892" s="696" t="s">
        <v>2885</v>
      </c>
      <c r="N892" s="709" t="s">
        <v>2636</v>
      </c>
      <c r="O892" s="189" t="s">
        <v>195</v>
      </c>
      <c r="AB892" s="248"/>
      <c r="AC892" s="248"/>
      <c r="AD892" s="248"/>
      <c r="AE892" s="241"/>
      <c r="AF892" s="241"/>
      <c r="AG892" s="241"/>
      <c r="AH892" s="248"/>
      <c r="AI892" s="248"/>
      <c r="AJ892" s="248"/>
      <c r="AK892" s="183">
        <f t="shared" si="62"/>
        <v>0</v>
      </c>
      <c r="AL892" s="686">
        <f t="shared" si="65"/>
        <v>0</v>
      </c>
      <c r="AM892" s="686">
        <f t="shared" si="65"/>
        <v>0</v>
      </c>
      <c r="AN892" s="310"/>
      <c r="AO892" s="310"/>
      <c r="AP892" s="310"/>
      <c r="AQ892" s="698" t="s">
        <v>2637</v>
      </c>
      <c r="AR892" s="310"/>
      <c r="AS892" s="310"/>
    </row>
    <row r="893" spans="13:45" customFormat="1" ht="11.25" customHeight="1">
      <c r="M893" s="696" t="s">
        <v>2886</v>
      </c>
      <c r="N893" s="709" t="s">
        <v>2639</v>
      </c>
      <c r="O893" s="189" t="s">
        <v>195</v>
      </c>
      <c r="AB893" s="248"/>
      <c r="AC893" s="248"/>
      <c r="AD893" s="248"/>
      <c r="AE893" s="241"/>
      <c r="AF893" s="241"/>
      <c r="AG893" s="241"/>
      <c r="AH893" s="248"/>
      <c r="AI893" s="248"/>
      <c r="AJ893" s="248"/>
      <c r="AK893" s="183">
        <f t="shared" si="62"/>
        <v>0</v>
      </c>
      <c r="AL893" s="686">
        <f t="shared" si="65"/>
        <v>0</v>
      </c>
      <c r="AM893" s="686">
        <f t="shared" si="65"/>
        <v>0</v>
      </c>
      <c r="AN893" s="310"/>
      <c r="AO893" s="310"/>
      <c r="AP893" s="310"/>
      <c r="AQ893" s="698" t="s">
        <v>2640</v>
      </c>
      <c r="AR893" s="310"/>
      <c r="AS893" s="310"/>
    </row>
    <row r="894" spans="13:45" customFormat="1" ht="11.25" customHeight="1">
      <c r="M894" s="696" t="s">
        <v>2887</v>
      </c>
      <c r="N894" s="709" t="s">
        <v>2642</v>
      </c>
      <c r="O894" s="189" t="s">
        <v>195</v>
      </c>
      <c r="AB894" s="248"/>
      <c r="AC894" s="248"/>
      <c r="AD894" s="248"/>
      <c r="AE894" s="241"/>
      <c r="AF894" s="241"/>
      <c r="AG894" s="241"/>
      <c r="AH894" s="248"/>
      <c r="AI894" s="248"/>
      <c r="AJ894" s="248"/>
      <c r="AK894" s="183">
        <f t="shared" si="62"/>
        <v>0</v>
      </c>
      <c r="AL894" s="686">
        <f t="shared" si="65"/>
        <v>0</v>
      </c>
      <c r="AM894" s="686">
        <f t="shared" si="65"/>
        <v>0</v>
      </c>
      <c r="AN894" s="310"/>
      <c r="AO894" s="310"/>
      <c r="AP894" s="310"/>
      <c r="AQ894" s="698" t="s">
        <v>2643</v>
      </c>
      <c r="AR894" s="310"/>
      <c r="AS894" s="310"/>
    </row>
    <row r="895" spans="13:45" customFormat="1" ht="11.25" customHeight="1">
      <c r="M895" s="696" t="s">
        <v>2888</v>
      </c>
      <c r="N895" s="709" t="s">
        <v>2645</v>
      </c>
      <c r="O895" s="189" t="s">
        <v>195</v>
      </c>
      <c r="AB895" s="248"/>
      <c r="AC895" s="248"/>
      <c r="AD895" s="248"/>
      <c r="AE895" s="241"/>
      <c r="AF895" s="241"/>
      <c r="AG895" s="241"/>
      <c r="AH895" s="248"/>
      <c r="AI895" s="248"/>
      <c r="AJ895" s="248"/>
      <c r="AK895" s="183">
        <f t="shared" si="62"/>
        <v>0</v>
      </c>
      <c r="AL895" s="686">
        <f t="shared" si="65"/>
        <v>0</v>
      </c>
      <c r="AM895" s="686">
        <f t="shared" si="65"/>
        <v>0</v>
      </c>
      <c r="AN895" s="310"/>
      <c r="AO895" s="310"/>
      <c r="AP895" s="310"/>
      <c r="AQ895" s="698" t="s">
        <v>2646</v>
      </c>
      <c r="AR895" s="310"/>
      <c r="AS895" s="310"/>
    </row>
    <row r="896" spans="13:45" customFormat="1" ht="11.25" customHeight="1">
      <c r="M896" s="696" t="s">
        <v>2889</v>
      </c>
      <c r="N896" s="709" t="s">
        <v>1325</v>
      </c>
      <c r="O896" s="189" t="s">
        <v>195</v>
      </c>
      <c r="AB896" s="248"/>
      <c r="AC896" s="248"/>
      <c r="AD896" s="248"/>
      <c r="AE896" s="241"/>
      <c r="AF896" s="241"/>
      <c r="AG896" s="241"/>
      <c r="AH896" s="248"/>
      <c r="AI896" s="248"/>
      <c r="AJ896" s="248"/>
      <c r="AK896" s="183">
        <f t="shared" si="62"/>
        <v>0</v>
      </c>
      <c r="AL896" s="686">
        <f t="shared" si="65"/>
        <v>0</v>
      </c>
      <c r="AM896" s="686">
        <f t="shared" si="65"/>
        <v>0</v>
      </c>
      <c r="AN896" s="310"/>
      <c r="AO896" s="310"/>
      <c r="AP896" s="310"/>
      <c r="AQ896" s="698" t="s">
        <v>2648</v>
      </c>
      <c r="AR896" s="310"/>
      <c r="AS896" s="310"/>
    </row>
    <row r="897" spans="13:45" customFormat="1" ht="11.25" customHeight="1">
      <c r="M897" s="696" t="s">
        <v>2890</v>
      </c>
      <c r="N897" s="709" t="s">
        <v>1326</v>
      </c>
      <c r="O897" s="189" t="s">
        <v>195</v>
      </c>
      <c r="AB897" s="248"/>
      <c r="AC897" s="248"/>
      <c r="AD897" s="248"/>
      <c r="AE897" s="241"/>
      <c r="AF897" s="241"/>
      <c r="AG897" s="241"/>
      <c r="AH897" s="248"/>
      <c r="AI897" s="248"/>
      <c r="AJ897" s="248"/>
      <c r="AK897" s="183">
        <f t="shared" si="62"/>
        <v>0</v>
      </c>
      <c r="AL897" s="686">
        <f t="shared" si="65"/>
        <v>0</v>
      </c>
      <c r="AM897" s="686">
        <f t="shared" si="65"/>
        <v>0</v>
      </c>
      <c r="AN897" s="310"/>
      <c r="AO897" s="310"/>
      <c r="AP897" s="310"/>
      <c r="AQ897" s="698" t="s">
        <v>2650</v>
      </c>
      <c r="AR897" s="310"/>
      <c r="AS897" s="310"/>
    </row>
    <row r="898" spans="13:45" customFormat="1" ht="11.25" customHeight="1">
      <c r="M898" s="696" t="s">
        <v>2891</v>
      </c>
      <c r="N898" s="709" t="s">
        <v>2652</v>
      </c>
      <c r="O898" s="189" t="s">
        <v>195</v>
      </c>
      <c r="AB898" s="248"/>
      <c r="AC898" s="248"/>
      <c r="AD898" s="248"/>
      <c r="AE898" s="241"/>
      <c r="AF898" s="241"/>
      <c r="AG898" s="241"/>
      <c r="AH898" s="248"/>
      <c r="AI898" s="248"/>
      <c r="AJ898" s="248"/>
      <c r="AK898" s="183">
        <f t="shared" si="62"/>
        <v>0</v>
      </c>
      <c r="AL898" s="686">
        <f>AL794*AL846/1000</f>
        <v>0</v>
      </c>
      <c r="AM898" s="686">
        <f>AM794*AM846/1000</f>
        <v>0</v>
      </c>
      <c r="AN898" s="310"/>
      <c r="AO898" s="310"/>
      <c r="AP898" s="310"/>
      <c r="AQ898" s="698" t="s">
        <v>2653</v>
      </c>
      <c r="AR898" s="310"/>
      <c r="AS898" s="310"/>
    </row>
    <row r="899" spans="13:45" customFormat="1" ht="11.25" customHeight="1">
      <c r="M899" s="718"/>
      <c r="N899" s="460"/>
      <c r="O899" s="461"/>
      <c r="AB899" s="248"/>
      <c r="AC899" s="248"/>
      <c r="AD899" s="248"/>
      <c r="AE899" s="241"/>
      <c r="AF899" s="241"/>
      <c r="AG899" s="241"/>
      <c r="AH899" s="248"/>
      <c r="AI899" s="248"/>
      <c r="AJ899" s="248"/>
      <c r="AK899" s="462"/>
      <c r="AL899" s="462"/>
      <c r="AM899" s="462"/>
      <c r="AN899" s="310"/>
      <c r="AO899" s="310"/>
      <c r="AP899" s="310"/>
      <c r="AQ899" s="698"/>
      <c r="AR899" s="310"/>
      <c r="AS899" s="310"/>
    </row>
    <row r="900" spans="13:45" customFormat="1" ht="11.25" customHeight="1">
      <c r="M900" s="718"/>
      <c r="N900" s="460"/>
      <c r="O900" s="461"/>
      <c r="AB900" s="248"/>
      <c r="AC900" s="248"/>
      <c r="AD900" s="248"/>
      <c r="AE900" s="241"/>
      <c r="AF900" s="241"/>
      <c r="AG900" s="241"/>
      <c r="AH900" s="248"/>
      <c r="AI900" s="248"/>
      <c r="AJ900" s="248"/>
      <c r="AK900" s="462"/>
      <c r="AL900" s="462"/>
      <c r="AM900" s="462"/>
      <c r="AN900" s="310"/>
      <c r="AO900" s="310"/>
      <c r="AP900" s="310"/>
      <c r="AQ900" s="698"/>
      <c r="AR900" s="310"/>
      <c r="AS900" s="310"/>
    </row>
    <row r="901" spans="13:45" customFormat="1" ht="11.25" customHeight="1">
      <c r="M901" s="696" t="s">
        <v>1769</v>
      </c>
      <c r="N901" s="719" t="s">
        <v>1327</v>
      </c>
      <c r="O901" s="189" t="s">
        <v>195</v>
      </c>
      <c r="AB901" s="248"/>
      <c r="AC901" s="248"/>
      <c r="AD901" s="248"/>
      <c r="AE901" s="241"/>
      <c r="AF901" s="241"/>
      <c r="AG901" s="241"/>
      <c r="AH901" s="248"/>
      <c r="AI901" s="248"/>
      <c r="AJ901" s="248"/>
      <c r="AK901" s="183">
        <f t="shared" ref="AK901:AK907" si="66">AL901+AM901</f>
        <v>0</v>
      </c>
      <c r="AL901" s="686">
        <f t="shared" ref="AL901:AM907" si="67">AL797*AL849/1000</f>
        <v>0</v>
      </c>
      <c r="AM901" s="686">
        <f t="shared" si="67"/>
        <v>0</v>
      </c>
      <c r="AN901" s="310"/>
      <c r="AO901" s="310"/>
      <c r="AP901" s="310"/>
      <c r="AQ901" s="698" t="s">
        <v>1357</v>
      </c>
      <c r="AR901" s="310"/>
      <c r="AS901" s="310"/>
    </row>
    <row r="902" spans="13:45" customFormat="1" ht="11.25" customHeight="1">
      <c r="M902" s="696" t="s">
        <v>1770</v>
      </c>
      <c r="N902" s="712" t="s">
        <v>723</v>
      </c>
      <c r="O902" s="189" t="s">
        <v>195</v>
      </c>
      <c r="AB902" s="248"/>
      <c r="AC902" s="248"/>
      <c r="AD902" s="248"/>
      <c r="AE902" s="241"/>
      <c r="AF902" s="241"/>
      <c r="AG902" s="241"/>
      <c r="AH902" s="248"/>
      <c r="AI902" s="248"/>
      <c r="AJ902" s="248"/>
      <c r="AK902" s="183">
        <f t="shared" si="66"/>
        <v>0</v>
      </c>
      <c r="AL902" s="686">
        <f t="shared" si="67"/>
        <v>0</v>
      </c>
      <c r="AM902" s="686">
        <f t="shared" si="67"/>
        <v>0</v>
      </c>
      <c r="AN902" s="310"/>
      <c r="AO902" s="310"/>
      <c r="AP902" s="310"/>
      <c r="AQ902" s="698" t="s">
        <v>1350</v>
      </c>
      <c r="AR902" s="310"/>
      <c r="AS902" s="310"/>
    </row>
    <row r="903" spans="13:45" customFormat="1" ht="11.25" customHeight="1">
      <c r="M903" s="696" t="s">
        <v>1771</v>
      </c>
      <c r="N903" s="713" t="s">
        <v>748</v>
      </c>
      <c r="O903" s="189" t="s">
        <v>195</v>
      </c>
      <c r="AB903" s="248"/>
      <c r="AC903" s="248"/>
      <c r="AD903" s="248"/>
      <c r="AE903" s="241"/>
      <c r="AF903" s="241"/>
      <c r="AG903" s="241"/>
      <c r="AH903" s="248"/>
      <c r="AI903" s="248"/>
      <c r="AJ903" s="248"/>
      <c r="AK903" s="183">
        <f t="shared" si="66"/>
        <v>0</v>
      </c>
      <c r="AL903" s="686">
        <f t="shared" si="67"/>
        <v>0</v>
      </c>
      <c r="AM903" s="686">
        <f t="shared" si="67"/>
        <v>0</v>
      </c>
      <c r="AN903" s="310"/>
      <c r="AO903" s="310"/>
      <c r="AP903" s="310"/>
      <c r="AQ903" s="698" t="s">
        <v>1351</v>
      </c>
      <c r="AR903" s="310"/>
      <c r="AS903" s="310"/>
    </row>
    <row r="904" spans="13:45" customFormat="1" ht="11.25" customHeight="1">
      <c r="M904" s="696" t="s">
        <v>1772</v>
      </c>
      <c r="N904" s="714" t="s">
        <v>315</v>
      </c>
      <c r="O904" s="189" t="s">
        <v>195</v>
      </c>
      <c r="AB904" s="248"/>
      <c r="AC904" s="248"/>
      <c r="AD904" s="248"/>
      <c r="AE904" s="241"/>
      <c r="AF904" s="241"/>
      <c r="AG904" s="241"/>
      <c r="AH904" s="248"/>
      <c r="AI904" s="248"/>
      <c r="AJ904" s="248"/>
      <c r="AK904" s="183">
        <f t="shared" si="66"/>
        <v>0</v>
      </c>
      <c r="AL904" s="686">
        <f t="shared" si="67"/>
        <v>0</v>
      </c>
      <c r="AM904" s="686">
        <f t="shared" si="67"/>
        <v>0</v>
      </c>
      <c r="AN904" s="310"/>
      <c r="AO904" s="310"/>
      <c r="AP904" s="310"/>
      <c r="AQ904" s="698" t="s">
        <v>1352</v>
      </c>
      <c r="AR904" s="310"/>
      <c r="AS904" s="310"/>
    </row>
    <row r="905" spans="13:45" customFormat="1" ht="11.25" customHeight="1">
      <c r="M905" s="696" t="s">
        <v>1773</v>
      </c>
      <c r="N905" s="715" t="s">
        <v>316</v>
      </c>
      <c r="O905" s="189" t="s">
        <v>195</v>
      </c>
      <c r="AB905" s="248"/>
      <c r="AC905" s="248"/>
      <c r="AD905" s="248"/>
      <c r="AE905" s="241"/>
      <c r="AF905" s="241"/>
      <c r="AG905" s="241"/>
      <c r="AH905" s="248"/>
      <c r="AI905" s="248"/>
      <c r="AJ905" s="248"/>
      <c r="AK905" s="183">
        <f t="shared" si="66"/>
        <v>0</v>
      </c>
      <c r="AL905" s="686">
        <f t="shared" si="67"/>
        <v>0</v>
      </c>
      <c r="AM905" s="686">
        <f t="shared" si="67"/>
        <v>0</v>
      </c>
      <c r="AN905" s="310"/>
      <c r="AO905" s="310"/>
      <c r="AP905" s="310"/>
      <c r="AQ905" s="698" t="s">
        <v>1354</v>
      </c>
      <c r="AR905" s="310"/>
      <c r="AS905" s="310"/>
    </row>
    <row r="906" spans="13:45" customFormat="1" ht="11.25" customHeight="1">
      <c r="M906" s="696" t="s">
        <v>1774</v>
      </c>
      <c r="N906" s="716" t="s">
        <v>317</v>
      </c>
      <c r="O906" s="189" t="s">
        <v>195</v>
      </c>
      <c r="AB906" s="248"/>
      <c r="AC906" s="248"/>
      <c r="AD906" s="248"/>
      <c r="AE906" s="241"/>
      <c r="AF906" s="241"/>
      <c r="AG906" s="241"/>
      <c r="AH906" s="248"/>
      <c r="AI906" s="248"/>
      <c r="AJ906" s="248"/>
      <c r="AK906" s="183">
        <f t="shared" si="66"/>
        <v>0</v>
      </c>
      <c r="AL906" s="686">
        <f t="shared" si="67"/>
        <v>0</v>
      </c>
      <c r="AM906" s="686">
        <f t="shared" si="67"/>
        <v>0</v>
      </c>
      <c r="AN906" s="310"/>
      <c r="AO906" s="310"/>
      <c r="AP906" s="310"/>
      <c r="AQ906" s="698" t="s">
        <v>1353</v>
      </c>
      <c r="AR906" s="310"/>
      <c r="AS906" s="310"/>
    </row>
    <row r="907" spans="13:45" customFormat="1" ht="11.25" customHeight="1">
      <c r="M907" s="696" t="s">
        <v>1775</v>
      </c>
      <c r="N907" s="701" t="s">
        <v>318</v>
      </c>
      <c r="O907" s="189" t="s">
        <v>195</v>
      </c>
      <c r="AB907" s="248"/>
      <c r="AC907" s="248"/>
      <c r="AD907" s="248"/>
      <c r="AE907" s="241"/>
      <c r="AF907" s="241"/>
      <c r="AG907" s="241"/>
      <c r="AH907" s="248"/>
      <c r="AI907" s="248"/>
      <c r="AJ907" s="248"/>
      <c r="AK907" s="183">
        <f t="shared" si="66"/>
        <v>0</v>
      </c>
      <c r="AL907" s="686">
        <f t="shared" si="67"/>
        <v>0</v>
      </c>
      <c r="AM907" s="686">
        <f t="shared" si="67"/>
        <v>0</v>
      </c>
      <c r="AN907" s="310"/>
      <c r="AO907" s="310"/>
      <c r="AP907" s="310"/>
      <c r="AQ907" s="698" t="s">
        <v>1355</v>
      </c>
      <c r="AR907" s="310"/>
      <c r="AS907" s="310"/>
    </row>
    <row r="908" spans="13:45" customFormat="1" ht="11.25" customHeight="1">
      <c r="M908" s="718"/>
      <c r="N908" s="460"/>
      <c r="O908" s="461"/>
      <c r="AB908" s="248"/>
      <c r="AC908" s="248"/>
      <c r="AD908" s="248"/>
      <c r="AE908" s="241"/>
      <c r="AF908" s="241"/>
      <c r="AG908" s="241"/>
      <c r="AH908" s="248"/>
      <c r="AI908" s="248"/>
      <c r="AJ908" s="248"/>
      <c r="AK908" s="266"/>
      <c r="AL908" s="266"/>
      <c r="AM908" s="266"/>
      <c r="AN908" s="310"/>
      <c r="AO908" s="310"/>
      <c r="AP908" s="310"/>
      <c r="AQ908" s="698"/>
      <c r="AR908" s="310"/>
      <c r="AS908" s="310"/>
    </row>
    <row r="909" spans="13:45" customFormat="1" ht="11.25" customHeight="1">
      <c r="M909" s="490" t="s">
        <v>1611</v>
      </c>
      <c r="N909" s="463" t="s">
        <v>662</v>
      </c>
      <c r="O909" s="189"/>
      <c r="AB909" s="248"/>
      <c r="AC909" s="248"/>
      <c r="AD909" s="248"/>
      <c r="AE909" s="241"/>
      <c r="AF909" s="241"/>
      <c r="AG909" s="241"/>
      <c r="AH909" s="248"/>
      <c r="AI909" s="248"/>
      <c r="AJ909" s="248"/>
      <c r="AK909" s="241"/>
      <c r="AL909" s="241"/>
      <c r="AM909" s="241"/>
      <c r="AN909" s="310"/>
      <c r="AO909" s="310"/>
      <c r="AP909" s="310"/>
      <c r="AQ909" s="36"/>
      <c r="AR909" s="310"/>
      <c r="AS909" s="310"/>
    </row>
    <row r="910" spans="13:45" customFormat="1" ht="11.25" customHeight="1">
      <c r="M910" s="718"/>
      <c r="N910" s="460"/>
      <c r="O910" s="461"/>
      <c r="AB910" s="248"/>
      <c r="AC910" s="248"/>
      <c r="AD910" s="248"/>
      <c r="AE910" s="462"/>
      <c r="AF910" s="462"/>
      <c r="AG910" s="462"/>
      <c r="AH910" s="248"/>
      <c r="AI910" s="248"/>
      <c r="AJ910" s="248"/>
      <c r="AK910" s="266"/>
      <c r="AL910" s="266"/>
      <c r="AM910" s="266"/>
      <c r="AN910" s="310"/>
      <c r="AO910" s="310"/>
      <c r="AP910" s="310"/>
      <c r="AQ910" s="698"/>
      <c r="AR910" s="310"/>
      <c r="AS910" s="310"/>
    </row>
    <row r="911" spans="13:45" customFormat="1" ht="11.25" customHeight="1">
      <c r="M911" s="718"/>
      <c r="N911" s="460"/>
      <c r="O911" s="461"/>
      <c r="AB911" s="248"/>
      <c r="AC911" s="248"/>
      <c r="AD911" s="248"/>
      <c r="AE911" s="462"/>
      <c r="AF911" s="462"/>
      <c r="AG911" s="462"/>
      <c r="AH911" s="248"/>
      <c r="AI911" s="248"/>
      <c r="AJ911" s="248"/>
      <c r="AK911" s="266"/>
      <c r="AL911" s="266"/>
      <c r="AM911" s="266"/>
      <c r="AN911" s="310"/>
      <c r="AO911" s="310"/>
      <c r="AP911" s="310"/>
      <c r="AQ911" s="698"/>
      <c r="AR911" s="310"/>
      <c r="AS911" s="310"/>
    </row>
    <row r="912" spans="13:45" customFormat="1" ht="11.25" customHeight="1">
      <c r="M912" s="718"/>
      <c r="N912" s="460"/>
      <c r="O912" s="461"/>
      <c r="AB912" s="248"/>
      <c r="AC912" s="248"/>
      <c r="AD912" s="248"/>
      <c r="AE912" s="462"/>
      <c r="AF912" s="462"/>
      <c r="AG912" s="462"/>
      <c r="AH912" s="248"/>
      <c r="AI912" s="248"/>
      <c r="AJ912" s="248"/>
      <c r="AK912" s="266"/>
      <c r="AL912" s="266"/>
      <c r="AM912" s="266"/>
      <c r="AN912" s="310"/>
      <c r="AO912" s="310"/>
      <c r="AP912" s="310"/>
      <c r="AQ912" s="698"/>
      <c r="AR912" s="310"/>
      <c r="AS912" s="310"/>
    </row>
    <row r="913" spans="13:45" customFormat="1" ht="11.25" customHeight="1">
      <c r="M913" s="718"/>
      <c r="N913" s="460"/>
      <c r="O913" s="461"/>
      <c r="AB913" s="248"/>
      <c r="AC913" s="248"/>
      <c r="AD913" s="248"/>
      <c r="AE913" s="462"/>
      <c r="AF913" s="462"/>
      <c r="AG913" s="462"/>
      <c r="AH913" s="248"/>
      <c r="AI913" s="248"/>
      <c r="AJ913" s="248"/>
      <c r="AK913" s="266"/>
      <c r="AL913" s="266"/>
      <c r="AM913" s="266"/>
      <c r="AN913" s="310"/>
      <c r="AO913" s="310"/>
      <c r="AP913" s="310"/>
      <c r="AQ913" s="698"/>
      <c r="AR913" s="310"/>
      <c r="AS913" s="310"/>
    </row>
    <row r="914" spans="13:45" customFormat="1" ht="11.25" customHeight="1">
      <c r="M914" s="718"/>
      <c r="N914" s="460"/>
      <c r="O914" s="461"/>
      <c r="AB914" s="248"/>
      <c r="AC914" s="248"/>
      <c r="AD914" s="248"/>
      <c r="AE914" s="462"/>
      <c r="AF914" s="462"/>
      <c r="AG914" s="462"/>
      <c r="AH914" s="248"/>
      <c r="AI914" s="248"/>
      <c r="AJ914" s="248"/>
      <c r="AK914" s="266"/>
      <c r="AL914" s="266"/>
      <c r="AM914" s="266"/>
      <c r="AN914" s="310"/>
      <c r="AO914" s="310"/>
      <c r="AP914" s="310"/>
      <c r="AQ914" s="698"/>
      <c r="AR914" s="310"/>
      <c r="AS914" s="310"/>
    </row>
    <row r="915" spans="13:45" customFormat="1" ht="11.25" customHeight="1">
      <c r="M915" s="718"/>
      <c r="N915" s="460"/>
      <c r="O915" s="461"/>
      <c r="AB915" s="248"/>
      <c r="AC915" s="248"/>
      <c r="AD915" s="248"/>
      <c r="AE915" s="462"/>
      <c r="AF915" s="462"/>
      <c r="AG915" s="462"/>
      <c r="AH915" s="248"/>
      <c r="AI915" s="248"/>
      <c r="AJ915" s="248"/>
      <c r="AK915" s="266"/>
      <c r="AL915" s="266"/>
      <c r="AM915" s="266"/>
      <c r="AN915" s="310"/>
      <c r="AO915" s="310"/>
      <c r="AP915" s="310"/>
      <c r="AQ915" s="698"/>
      <c r="AR915" s="310"/>
      <c r="AS915" s="310"/>
    </row>
    <row r="916" spans="13:45" customFormat="1" ht="11.25" customHeight="1">
      <c r="M916" s="718"/>
      <c r="N916" s="460"/>
      <c r="O916" s="461"/>
      <c r="AB916" s="248"/>
      <c r="AC916" s="248"/>
      <c r="AD916" s="248"/>
      <c r="AE916" s="462"/>
      <c r="AF916" s="462"/>
      <c r="AG916" s="462"/>
      <c r="AH916" s="248"/>
      <c r="AI916" s="248"/>
      <c r="AJ916" s="248"/>
      <c r="AK916" s="266"/>
      <c r="AL916" s="266"/>
      <c r="AM916" s="266"/>
      <c r="AN916" s="310"/>
      <c r="AO916" s="310"/>
      <c r="AP916" s="310"/>
      <c r="AQ916" s="698"/>
      <c r="AR916" s="310"/>
      <c r="AS916" s="310"/>
    </row>
    <row r="917" spans="13:45" customFormat="1" ht="11.25" customHeight="1">
      <c r="M917" s="718"/>
      <c r="N917" s="460"/>
      <c r="O917" s="461"/>
      <c r="AB917" s="248"/>
      <c r="AC917" s="248"/>
      <c r="AD917" s="248"/>
      <c r="AE917" s="462"/>
      <c r="AF917" s="462"/>
      <c r="AG917" s="462"/>
      <c r="AH917" s="248"/>
      <c r="AI917" s="248"/>
      <c r="AJ917" s="248"/>
      <c r="AK917" s="266"/>
      <c r="AL917" s="266"/>
      <c r="AM917" s="266"/>
      <c r="AN917" s="310"/>
      <c r="AO917" s="310"/>
      <c r="AP917" s="310"/>
      <c r="AQ917" s="698"/>
      <c r="AR917" s="310"/>
      <c r="AS917" s="310"/>
    </row>
    <row r="918" spans="13:45" customFormat="1" ht="11.25" customHeight="1">
      <c r="M918" s="696" t="s">
        <v>1692</v>
      </c>
      <c r="N918" s="701" t="s">
        <v>684</v>
      </c>
      <c r="O918" s="189" t="s">
        <v>751</v>
      </c>
      <c r="AB918" s="248"/>
      <c r="AC918" s="248"/>
      <c r="AD918" s="248"/>
      <c r="AE918" s="462"/>
      <c r="AF918" s="462"/>
      <c r="AG918" s="462"/>
      <c r="AH918" s="248"/>
      <c r="AI918" s="248"/>
      <c r="AJ918" s="248"/>
      <c r="AK918" s="686">
        <f>IF(AK970=0,0,AK1022/AK970*1000)</f>
        <v>0</v>
      </c>
      <c r="AL918" s="196"/>
      <c r="AM918" s="196"/>
      <c r="AN918" s="310"/>
      <c r="AO918" s="310"/>
      <c r="AP918" s="310"/>
      <c r="AQ918" s="698" t="s">
        <v>1332</v>
      </c>
      <c r="AR918" s="310"/>
      <c r="AS918" s="310"/>
    </row>
    <row r="919" spans="13:45" customFormat="1" ht="11.25" customHeight="1">
      <c r="M919" s="696" t="s">
        <v>1693</v>
      </c>
      <c r="N919" s="702" t="s">
        <v>718</v>
      </c>
      <c r="O919" s="189" t="s">
        <v>751</v>
      </c>
      <c r="AB919" s="248"/>
      <c r="AC919" s="248"/>
      <c r="AD919" s="248"/>
      <c r="AE919" s="462"/>
      <c r="AF919" s="462"/>
      <c r="AG919" s="462"/>
      <c r="AH919" s="248"/>
      <c r="AI919" s="248"/>
      <c r="AJ919" s="248"/>
      <c r="AK919" s="686">
        <f t="shared" ref="AK919:AK950" si="68">IF(AK971=0,0,AK1023/AK971*1000)</f>
        <v>0</v>
      </c>
      <c r="AL919" s="196"/>
      <c r="AM919" s="196"/>
      <c r="AN919" s="310"/>
      <c r="AO919" s="310"/>
      <c r="AP919" s="310"/>
      <c r="AQ919" s="698" t="s">
        <v>1333</v>
      </c>
      <c r="AR919" s="310"/>
      <c r="AS919" s="310"/>
    </row>
    <row r="920" spans="13:45" customFormat="1" ht="11.25" customHeight="1">
      <c r="M920" s="696" t="s">
        <v>1694</v>
      </c>
      <c r="N920" s="703" t="s">
        <v>722</v>
      </c>
      <c r="O920" s="189" t="s">
        <v>751</v>
      </c>
      <c r="AB920" s="248"/>
      <c r="AC920" s="248"/>
      <c r="AD920" s="248"/>
      <c r="AE920" s="462"/>
      <c r="AF920" s="462"/>
      <c r="AG920" s="462"/>
      <c r="AH920" s="248"/>
      <c r="AI920" s="248"/>
      <c r="AJ920" s="248"/>
      <c r="AK920" s="686">
        <f t="shared" si="68"/>
        <v>0</v>
      </c>
      <c r="AL920" s="686">
        <f>IF(AL972=0,0,AL1024/AL972*1000)</f>
        <v>0</v>
      </c>
      <c r="AM920" s="686">
        <f>IF(AM972=0,0,AM1024/AM972*1000)</f>
        <v>0</v>
      </c>
      <c r="AN920" s="310"/>
      <c r="AO920" s="310"/>
      <c r="AP920" s="310"/>
      <c r="AQ920" s="698" t="s">
        <v>1334</v>
      </c>
      <c r="AR920" s="310"/>
      <c r="AS920" s="310"/>
    </row>
    <row r="921" spans="13:45" customFormat="1" ht="11.25" customHeight="1">
      <c r="M921" s="696" t="s">
        <v>1695</v>
      </c>
      <c r="N921" s="704" t="s">
        <v>1309</v>
      </c>
      <c r="O921" s="189" t="s">
        <v>751</v>
      </c>
      <c r="AB921" s="248"/>
      <c r="AC921" s="248"/>
      <c r="AD921" s="248"/>
      <c r="AE921" s="462"/>
      <c r="AF921" s="462"/>
      <c r="AG921" s="462"/>
      <c r="AH921" s="248"/>
      <c r="AI921" s="248"/>
      <c r="AJ921" s="248"/>
      <c r="AK921" s="686">
        <f t="shared" si="68"/>
        <v>0</v>
      </c>
      <c r="AL921" s="196"/>
      <c r="AM921" s="196"/>
      <c r="AN921" s="310"/>
      <c r="AO921" s="310"/>
      <c r="AP921" s="310"/>
      <c r="AQ921" s="698" t="s">
        <v>1335</v>
      </c>
      <c r="AR921" s="310"/>
      <c r="AS921" s="310"/>
    </row>
    <row r="922" spans="13:45" customFormat="1" ht="11.25" customHeight="1">
      <c r="M922" s="696" t="s">
        <v>1696</v>
      </c>
      <c r="N922" s="704" t="s">
        <v>1310</v>
      </c>
      <c r="O922" s="189" t="s">
        <v>751</v>
      </c>
      <c r="AB922" s="248"/>
      <c r="AC922" s="248"/>
      <c r="AD922" s="248"/>
      <c r="AE922" s="462"/>
      <c r="AF922" s="462"/>
      <c r="AG922" s="462"/>
      <c r="AH922" s="248"/>
      <c r="AI922" s="248"/>
      <c r="AJ922" s="248"/>
      <c r="AK922" s="686">
        <f t="shared" si="68"/>
        <v>0</v>
      </c>
      <c r="AL922" s="196"/>
      <c r="AM922" s="196"/>
      <c r="AN922" s="310"/>
      <c r="AO922" s="310"/>
      <c r="AP922" s="310"/>
      <c r="AQ922" s="698" t="s">
        <v>1336</v>
      </c>
      <c r="AR922" s="310"/>
      <c r="AS922" s="310"/>
    </row>
    <row r="923" spans="13:45" customFormat="1" ht="11.25" customHeight="1">
      <c r="M923" s="696" t="s">
        <v>1697</v>
      </c>
      <c r="N923" s="704" t="s">
        <v>1311</v>
      </c>
      <c r="O923" s="189" t="s">
        <v>751</v>
      </c>
      <c r="AB923" s="248"/>
      <c r="AC923" s="248"/>
      <c r="AD923" s="248"/>
      <c r="AE923" s="462"/>
      <c r="AF923" s="462"/>
      <c r="AG923" s="462"/>
      <c r="AH923" s="248"/>
      <c r="AI923" s="248"/>
      <c r="AJ923" s="248"/>
      <c r="AK923" s="686">
        <f t="shared" si="68"/>
        <v>0</v>
      </c>
      <c r="AL923" s="196"/>
      <c r="AM923" s="196"/>
      <c r="AN923" s="310"/>
      <c r="AO923" s="310"/>
      <c r="AP923" s="310"/>
      <c r="AQ923" s="698" t="s">
        <v>1337</v>
      </c>
      <c r="AR923" s="310"/>
      <c r="AS923" s="310"/>
    </row>
    <row r="924" spans="13:45" customFormat="1" ht="11.25" customHeight="1">
      <c r="M924" s="696" t="s">
        <v>1698</v>
      </c>
      <c r="N924" s="704" t="s">
        <v>1312</v>
      </c>
      <c r="O924" s="189" t="s">
        <v>751</v>
      </c>
      <c r="AB924" s="248"/>
      <c r="AC924" s="248"/>
      <c r="AD924" s="248"/>
      <c r="AE924" s="462"/>
      <c r="AF924" s="462"/>
      <c r="AG924" s="462"/>
      <c r="AH924" s="248"/>
      <c r="AI924" s="248"/>
      <c r="AJ924" s="248"/>
      <c r="AK924" s="686">
        <f t="shared" si="68"/>
        <v>0</v>
      </c>
      <c r="AL924" s="196"/>
      <c r="AM924" s="196"/>
      <c r="AN924" s="310"/>
      <c r="AO924" s="310"/>
      <c r="AP924" s="310"/>
      <c r="AQ924" s="698" t="s">
        <v>1338</v>
      </c>
      <c r="AR924" s="310"/>
      <c r="AS924" s="310"/>
    </row>
    <row r="925" spans="13:45" customFormat="1" ht="11.25" customHeight="1">
      <c r="M925" s="696" t="s">
        <v>1699</v>
      </c>
      <c r="N925" s="705" t="s">
        <v>720</v>
      </c>
      <c r="O925" s="189" t="s">
        <v>751</v>
      </c>
      <c r="AB925" s="248"/>
      <c r="AC925" s="248"/>
      <c r="AD925" s="248"/>
      <c r="AE925" s="462"/>
      <c r="AF925" s="462"/>
      <c r="AG925" s="462"/>
      <c r="AH925" s="248"/>
      <c r="AI925" s="248"/>
      <c r="AJ925" s="248"/>
      <c r="AK925" s="686">
        <f t="shared" si="68"/>
        <v>0</v>
      </c>
      <c r="AL925" s="686">
        <f>IF(AL977=0,0,AL1029/AL977*1000)</f>
        <v>0</v>
      </c>
      <c r="AM925" s="686">
        <f>IF(AM977=0,0,AM1029/AM977*1000)</f>
        <v>0</v>
      </c>
      <c r="AN925" s="310"/>
      <c r="AO925" s="310"/>
      <c r="AP925" s="310"/>
      <c r="AQ925" s="698" t="s">
        <v>1343</v>
      </c>
      <c r="AR925" s="310"/>
      <c r="AS925" s="310"/>
    </row>
    <row r="926" spans="13:45" customFormat="1" ht="11.25" customHeight="1">
      <c r="M926" s="696" t="s">
        <v>1881</v>
      </c>
      <c r="N926" s="706" t="s">
        <v>1313</v>
      </c>
      <c r="O926" s="189" t="s">
        <v>751</v>
      </c>
      <c r="AB926" s="248"/>
      <c r="AC926" s="248"/>
      <c r="AD926" s="248"/>
      <c r="AE926" s="462"/>
      <c r="AF926" s="462"/>
      <c r="AG926" s="462"/>
      <c r="AH926" s="248"/>
      <c r="AI926" s="248"/>
      <c r="AJ926" s="248"/>
      <c r="AK926" s="686">
        <f t="shared" si="68"/>
        <v>0</v>
      </c>
      <c r="AL926" s="196"/>
      <c r="AM926" s="196"/>
      <c r="AN926" s="310"/>
      <c r="AO926" s="310"/>
      <c r="AP926" s="310"/>
      <c r="AQ926" s="698" t="s">
        <v>1866</v>
      </c>
      <c r="AR926" s="310"/>
      <c r="AS926" s="310"/>
    </row>
    <row r="927" spans="13:45" customFormat="1" ht="11.25" customHeight="1">
      <c r="M927" s="696" t="s">
        <v>1862</v>
      </c>
      <c r="N927" s="706" t="s">
        <v>1314</v>
      </c>
      <c r="O927" s="189" t="s">
        <v>751</v>
      </c>
      <c r="AB927" s="248"/>
      <c r="AC927" s="248"/>
      <c r="AD927" s="248"/>
      <c r="AE927" s="462"/>
      <c r="AF927" s="462"/>
      <c r="AG927" s="462"/>
      <c r="AH927" s="248"/>
      <c r="AI927" s="248"/>
      <c r="AJ927" s="248"/>
      <c r="AK927" s="686">
        <f t="shared" si="68"/>
        <v>0</v>
      </c>
      <c r="AL927" s="196"/>
      <c r="AM927" s="196"/>
      <c r="AN927" s="310"/>
      <c r="AO927" s="310"/>
      <c r="AP927" s="310"/>
      <c r="AQ927" s="698" t="s">
        <v>1847</v>
      </c>
      <c r="AR927" s="310"/>
      <c r="AS927" s="310"/>
    </row>
    <row r="928" spans="13:45" customFormat="1" ht="11.25" customHeight="1">
      <c r="M928" s="696" t="s">
        <v>1843</v>
      </c>
      <c r="N928" s="706" t="s">
        <v>1315</v>
      </c>
      <c r="O928" s="189" t="s">
        <v>751</v>
      </c>
      <c r="AB928" s="248"/>
      <c r="AC928" s="248"/>
      <c r="AD928" s="248"/>
      <c r="AE928" s="462"/>
      <c r="AF928" s="462"/>
      <c r="AG928" s="462"/>
      <c r="AH928" s="248"/>
      <c r="AI928" s="248"/>
      <c r="AJ928" s="248"/>
      <c r="AK928" s="686">
        <f t="shared" si="68"/>
        <v>0</v>
      </c>
      <c r="AL928" s="196"/>
      <c r="AM928" s="196"/>
      <c r="AN928" s="310"/>
      <c r="AO928" s="310"/>
      <c r="AP928" s="310"/>
      <c r="AQ928" s="698" t="s">
        <v>1827</v>
      </c>
      <c r="AR928" s="310"/>
      <c r="AS928" s="310"/>
    </row>
    <row r="929" spans="13:45" customFormat="1" ht="11.25" customHeight="1">
      <c r="M929" s="696" t="s">
        <v>1700</v>
      </c>
      <c r="N929" s="706" t="s">
        <v>1316</v>
      </c>
      <c r="O929" s="189" t="s">
        <v>751</v>
      </c>
      <c r="AB929" s="248"/>
      <c r="AC929" s="248"/>
      <c r="AD929" s="248"/>
      <c r="AE929" s="462"/>
      <c r="AF929" s="462"/>
      <c r="AG929" s="462"/>
      <c r="AH929" s="248"/>
      <c r="AI929" s="248"/>
      <c r="AJ929" s="248"/>
      <c r="AK929" s="686">
        <f t="shared" si="68"/>
        <v>0</v>
      </c>
      <c r="AL929" s="196"/>
      <c r="AM929" s="196"/>
      <c r="AN929" s="310"/>
      <c r="AO929" s="310"/>
      <c r="AP929" s="310"/>
      <c r="AQ929" s="698" t="s">
        <v>1344</v>
      </c>
      <c r="AR929" s="310"/>
      <c r="AS929" s="310"/>
    </row>
    <row r="930" spans="13:45" customFormat="1" ht="11.25" customHeight="1">
      <c r="M930" s="696" t="s">
        <v>1701</v>
      </c>
      <c r="N930" s="706" t="s">
        <v>1317</v>
      </c>
      <c r="O930" s="189" t="s">
        <v>751</v>
      </c>
      <c r="AB930" s="248"/>
      <c r="AC930" s="248"/>
      <c r="AD930" s="248"/>
      <c r="AE930" s="462"/>
      <c r="AF930" s="462"/>
      <c r="AG930" s="462"/>
      <c r="AH930" s="248"/>
      <c r="AI930" s="248"/>
      <c r="AJ930" s="248"/>
      <c r="AK930" s="686">
        <f t="shared" si="68"/>
        <v>0</v>
      </c>
      <c r="AL930" s="196"/>
      <c r="AM930" s="196"/>
      <c r="AN930" s="310"/>
      <c r="AO930" s="310"/>
      <c r="AP930" s="310"/>
      <c r="AQ930" s="698" t="s">
        <v>1345</v>
      </c>
      <c r="AR930" s="310"/>
      <c r="AS930" s="310"/>
    </row>
    <row r="931" spans="13:45" customFormat="1" ht="11.25" customHeight="1">
      <c r="M931" s="696" t="s">
        <v>1702</v>
      </c>
      <c r="N931" s="706" t="s">
        <v>1318</v>
      </c>
      <c r="O931" s="189" t="s">
        <v>751</v>
      </c>
      <c r="AB931" s="248"/>
      <c r="AC931" s="248"/>
      <c r="AD931" s="248"/>
      <c r="AE931" s="462"/>
      <c r="AF931" s="462"/>
      <c r="AG931" s="462"/>
      <c r="AH931" s="248"/>
      <c r="AI931" s="248"/>
      <c r="AJ931" s="248"/>
      <c r="AK931" s="686">
        <f t="shared" si="68"/>
        <v>0</v>
      </c>
      <c r="AL931" s="196"/>
      <c r="AM931" s="196"/>
      <c r="AN931" s="310"/>
      <c r="AO931" s="310"/>
      <c r="AP931" s="310"/>
      <c r="AQ931" s="698" t="s">
        <v>1346</v>
      </c>
      <c r="AR931" s="310"/>
      <c r="AS931" s="310"/>
    </row>
    <row r="932" spans="13:45" customFormat="1" ht="11.25" customHeight="1">
      <c r="M932" s="696" t="s">
        <v>1703</v>
      </c>
      <c r="N932" s="707" t="s">
        <v>721</v>
      </c>
      <c r="O932" s="189" t="s">
        <v>751</v>
      </c>
      <c r="AB932" s="248"/>
      <c r="AC932" s="248"/>
      <c r="AD932" s="248"/>
      <c r="AE932" s="462"/>
      <c r="AF932" s="462"/>
      <c r="AG932" s="462"/>
      <c r="AH932" s="248"/>
      <c r="AI932" s="248"/>
      <c r="AJ932" s="248"/>
      <c r="AK932" s="686">
        <f t="shared" si="68"/>
        <v>0</v>
      </c>
      <c r="AL932" s="196"/>
      <c r="AM932" s="196"/>
      <c r="AN932" s="310"/>
      <c r="AO932" s="310"/>
      <c r="AP932" s="310"/>
      <c r="AQ932" s="698" t="s">
        <v>1347</v>
      </c>
      <c r="AR932" s="310"/>
      <c r="AS932" s="310"/>
    </row>
    <row r="933" spans="13:45" customFormat="1" ht="11.25" customHeight="1">
      <c r="M933" s="696" t="s">
        <v>1704</v>
      </c>
      <c r="N933" s="708" t="s">
        <v>712</v>
      </c>
      <c r="O933" s="189" t="s">
        <v>751</v>
      </c>
      <c r="AB933" s="248"/>
      <c r="AC933" s="248"/>
      <c r="AD933" s="248"/>
      <c r="AE933" s="462"/>
      <c r="AF933" s="462"/>
      <c r="AG933" s="462"/>
      <c r="AH933" s="248"/>
      <c r="AI933" s="248"/>
      <c r="AJ933" s="248"/>
      <c r="AK933" s="686">
        <f t="shared" si="68"/>
        <v>0</v>
      </c>
      <c r="AL933" s="686">
        <f>IF(AL985=0,0,AL1037/AL985*1000)</f>
        <v>0</v>
      </c>
      <c r="AM933" s="686">
        <f>IF(AM985=0,0,AM1037/AM985*1000)</f>
        <v>0</v>
      </c>
      <c r="AN933" s="310"/>
      <c r="AO933" s="310"/>
      <c r="AP933" s="310"/>
      <c r="AQ933" s="698" t="s">
        <v>1348</v>
      </c>
      <c r="AR933" s="310"/>
      <c r="AS933" s="310"/>
    </row>
    <row r="934" spans="13:45" customFormat="1" ht="11.25" customHeight="1">
      <c r="M934" s="696" t="s">
        <v>2892</v>
      </c>
      <c r="N934" s="709" t="s">
        <v>1319</v>
      </c>
      <c r="O934" s="189" t="s">
        <v>751</v>
      </c>
      <c r="AB934" s="248"/>
      <c r="AC934" s="248"/>
      <c r="AD934" s="248"/>
      <c r="AE934" s="462"/>
      <c r="AF934" s="462"/>
      <c r="AG934" s="462"/>
      <c r="AH934" s="248"/>
      <c r="AI934" s="248"/>
      <c r="AJ934" s="248"/>
      <c r="AK934" s="686">
        <f t="shared" si="68"/>
        <v>0</v>
      </c>
      <c r="AL934" s="196"/>
      <c r="AM934" s="196"/>
      <c r="AN934" s="310"/>
      <c r="AO934" s="310"/>
      <c r="AP934" s="310"/>
      <c r="AQ934" s="698" t="s">
        <v>2612</v>
      </c>
      <c r="AR934" s="310"/>
      <c r="AS934" s="310"/>
    </row>
    <row r="935" spans="13:45" customFormat="1" ht="11.25" customHeight="1">
      <c r="M935" s="696" t="s">
        <v>2893</v>
      </c>
      <c r="N935" s="709" t="s">
        <v>1320</v>
      </c>
      <c r="O935" s="189" t="s">
        <v>751</v>
      </c>
      <c r="AB935" s="248"/>
      <c r="AC935" s="248"/>
      <c r="AD935" s="248"/>
      <c r="AE935" s="462"/>
      <c r="AF935" s="462"/>
      <c r="AG935" s="462"/>
      <c r="AH935" s="248"/>
      <c r="AI935" s="248"/>
      <c r="AJ935" s="248"/>
      <c r="AK935" s="686">
        <f t="shared" si="68"/>
        <v>0</v>
      </c>
      <c r="AL935" s="196"/>
      <c r="AM935" s="196"/>
      <c r="AN935" s="310"/>
      <c r="AO935" s="310"/>
      <c r="AP935" s="310"/>
      <c r="AQ935" s="698" t="s">
        <v>2614</v>
      </c>
      <c r="AR935" s="310"/>
      <c r="AS935" s="310"/>
    </row>
    <row r="936" spans="13:45" customFormat="1" ht="11.25" customHeight="1">
      <c r="M936" s="696" t="s">
        <v>2894</v>
      </c>
      <c r="N936" s="709" t="s">
        <v>1321</v>
      </c>
      <c r="O936" s="189" t="s">
        <v>751</v>
      </c>
      <c r="AB936" s="248"/>
      <c r="AC936" s="248"/>
      <c r="AD936" s="248"/>
      <c r="AE936" s="462"/>
      <c r="AF936" s="462"/>
      <c r="AG936" s="462"/>
      <c r="AH936" s="248"/>
      <c r="AI936" s="248"/>
      <c r="AJ936" s="248"/>
      <c r="AK936" s="686">
        <f t="shared" si="68"/>
        <v>0</v>
      </c>
      <c r="AL936" s="196"/>
      <c r="AM936" s="196"/>
      <c r="AN936" s="310"/>
      <c r="AO936" s="310"/>
      <c r="AP936" s="310"/>
      <c r="AQ936" s="698" t="s">
        <v>2616</v>
      </c>
      <c r="AR936" s="310"/>
      <c r="AS936" s="310"/>
    </row>
    <row r="937" spans="13:45" customFormat="1" ht="11.25" customHeight="1">
      <c r="M937" s="696" t="s">
        <v>2895</v>
      </c>
      <c r="N937" s="709" t="s">
        <v>2618</v>
      </c>
      <c r="O937" s="189" t="s">
        <v>751</v>
      </c>
      <c r="AB937" s="248"/>
      <c r="AC937" s="248"/>
      <c r="AD937" s="248"/>
      <c r="AE937" s="462"/>
      <c r="AF937" s="462"/>
      <c r="AG937" s="462"/>
      <c r="AH937" s="248"/>
      <c r="AI937" s="248"/>
      <c r="AJ937" s="248"/>
      <c r="AK937" s="686">
        <f t="shared" si="68"/>
        <v>0</v>
      </c>
      <c r="AL937" s="196"/>
      <c r="AM937" s="196"/>
      <c r="AN937" s="310"/>
      <c r="AO937" s="310"/>
      <c r="AP937" s="310"/>
      <c r="AQ937" s="698" t="s">
        <v>2619</v>
      </c>
      <c r="AR937" s="310"/>
      <c r="AS937" s="310"/>
    </row>
    <row r="938" spans="13:45" customFormat="1" ht="11.25" customHeight="1">
      <c r="M938" s="696" t="s">
        <v>2896</v>
      </c>
      <c r="N938" s="709" t="s">
        <v>2621</v>
      </c>
      <c r="O938" s="189" t="s">
        <v>751</v>
      </c>
      <c r="AB938" s="248"/>
      <c r="AC938" s="248"/>
      <c r="AD938" s="248"/>
      <c r="AE938" s="462"/>
      <c r="AF938" s="462"/>
      <c r="AG938" s="462"/>
      <c r="AH938" s="248"/>
      <c r="AI938" s="248"/>
      <c r="AJ938" s="248"/>
      <c r="AK938" s="686">
        <f t="shared" si="68"/>
        <v>0</v>
      </c>
      <c r="AL938" s="196"/>
      <c r="AM938" s="196"/>
      <c r="AN938" s="310"/>
      <c r="AO938" s="310"/>
      <c r="AP938" s="310"/>
      <c r="AQ938" s="698" t="s">
        <v>2622</v>
      </c>
      <c r="AR938" s="310"/>
      <c r="AS938" s="310"/>
    </row>
    <row r="939" spans="13:45" customFormat="1" ht="11.25" customHeight="1">
      <c r="M939" s="696" t="s">
        <v>2897</v>
      </c>
      <c r="N939" s="709" t="s">
        <v>1322</v>
      </c>
      <c r="O939" s="189" t="s">
        <v>751</v>
      </c>
      <c r="AB939" s="248"/>
      <c r="AC939" s="248"/>
      <c r="AD939" s="248"/>
      <c r="AE939" s="462"/>
      <c r="AF939" s="462"/>
      <c r="AG939" s="462"/>
      <c r="AH939" s="248"/>
      <c r="AI939" s="248"/>
      <c r="AJ939" s="248"/>
      <c r="AK939" s="686">
        <f t="shared" si="68"/>
        <v>0</v>
      </c>
      <c r="AL939" s="196"/>
      <c r="AM939" s="196"/>
      <c r="AN939" s="310"/>
      <c r="AO939" s="310"/>
      <c r="AP939" s="310"/>
      <c r="AQ939" s="698" t="s">
        <v>2624</v>
      </c>
      <c r="AR939" s="310"/>
      <c r="AS939" s="310"/>
    </row>
    <row r="940" spans="13:45" customFormat="1" ht="11.25" customHeight="1">
      <c r="M940" s="696" t="s">
        <v>2898</v>
      </c>
      <c r="N940" s="709" t="s">
        <v>2626</v>
      </c>
      <c r="O940" s="189" t="s">
        <v>751</v>
      </c>
      <c r="AB940" s="248"/>
      <c r="AC940" s="248"/>
      <c r="AD940" s="248"/>
      <c r="AE940" s="462"/>
      <c r="AF940" s="462"/>
      <c r="AG940" s="462"/>
      <c r="AH940" s="248"/>
      <c r="AI940" s="248"/>
      <c r="AJ940" s="248"/>
      <c r="AK940" s="686">
        <f t="shared" si="68"/>
        <v>0</v>
      </c>
      <c r="AL940" s="196"/>
      <c r="AM940" s="196"/>
      <c r="AN940" s="310"/>
      <c r="AO940" s="310"/>
      <c r="AP940" s="310"/>
      <c r="AQ940" s="698" t="s">
        <v>2627</v>
      </c>
      <c r="AR940" s="310"/>
      <c r="AS940" s="310"/>
    </row>
    <row r="941" spans="13:45" customFormat="1" ht="11.25" customHeight="1">
      <c r="M941" s="696" t="s">
        <v>2899</v>
      </c>
      <c r="N941" s="709" t="s">
        <v>1323</v>
      </c>
      <c r="O941" s="189" t="s">
        <v>751</v>
      </c>
      <c r="AB941" s="248"/>
      <c r="AC941" s="248"/>
      <c r="AD941" s="248"/>
      <c r="AE941" s="462"/>
      <c r="AF941" s="462"/>
      <c r="AG941" s="462"/>
      <c r="AH941" s="248"/>
      <c r="AI941" s="248"/>
      <c r="AJ941" s="248"/>
      <c r="AK941" s="686">
        <f t="shared" si="68"/>
        <v>0</v>
      </c>
      <c r="AL941" s="196"/>
      <c r="AM941" s="196"/>
      <c r="AN941" s="310"/>
      <c r="AO941" s="310"/>
      <c r="AP941" s="310"/>
      <c r="AQ941" s="698" t="s">
        <v>2629</v>
      </c>
      <c r="AR941" s="310"/>
      <c r="AS941" s="310"/>
    </row>
    <row r="942" spans="13:45" customFormat="1" ht="11.25" customHeight="1">
      <c r="M942" s="696" t="s">
        <v>2900</v>
      </c>
      <c r="N942" s="709" t="s">
        <v>1324</v>
      </c>
      <c r="O942" s="189" t="s">
        <v>751</v>
      </c>
      <c r="AB942" s="248"/>
      <c r="AC942" s="248"/>
      <c r="AD942" s="248"/>
      <c r="AE942" s="462"/>
      <c r="AF942" s="462"/>
      <c r="AG942" s="462"/>
      <c r="AH942" s="248"/>
      <c r="AI942" s="248"/>
      <c r="AJ942" s="248"/>
      <c r="AK942" s="686">
        <f t="shared" si="68"/>
        <v>0</v>
      </c>
      <c r="AL942" s="196"/>
      <c r="AM942" s="196"/>
      <c r="AN942" s="310"/>
      <c r="AO942" s="310"/>
      <c r="AP942" s="310"/>
      <c r="AQ942" s="698" t="s">
        <v>2631</v>
      </c>
      <c r="AR942" s="310"/>
      <c r="AS942" s="310"/>
    </row>
    <row r="943" spans="13:45" customFormat="1" ht="11.25" customHeight="1">
      <c r="M943" s="696" t="s">
        <v>2901</v>
      </c>
      <c r="N943" s="709" t="s">
        <v>2633</v>
      </c>
      <c r="O943" s="189" t="s">
        <v>751</v>
      </c>
      <c r="AB943" s="248"/>
      <c r="AC943" s="248"/>
      <c r="AD943" s="248"/>
      <c r="AE943" s="462"/>
      <c r="AF943" s="462"/>
      <c r="AG943" s="462"/>
      <c r="AH943" s="248"/>
      <c r="AI943" s="248"/>
      <c r="AJ943" s="248"/>
      <c r="AK943" s="686">
        <f t="shared" si="68"/>
        <v>0</v>
      </c>
      <c r="AL943" s="196"/>
      <c r="AM943" s="196"/>
      <c r="AN943" s="310"/>
      <c r="AO943" s="310"/>
      <c r="AP943" s="310"/>
      <c r="AQ943" s="698" t="s">
        <v>2634</v>
      </c>
      <c r="AR943" s="310"/>
      <c r="AS943" s="310"/>
    </row>
    <row r="944" spans="13:45" customFormat="1" ht="11.25" customHeight="1">
      <c r="M944" s="696" t="s">
        <v>2902</v>
      </c>
      <c r="N944" s="709" t="s">
        <v>2636</v>
      </c>
      <c r="O944" s="189" t="s">
        <v>751</v>
      </c>
      <c r="AB944" s="248"/>
      <c r="AC944" s="248"/>
      <c r="AD944" s="248"/>
      <c r="AE944" s="462"/>
      <c r="AF944" s="462"/>
      <c r="AG944" s="462"/>
      <c r="AH944" s="248"/>
      <c r="AI944" s="248"/>
      <c r="AJ944" s="248"/>
      <c r="AK944" s="686">
        <f t="shared" si="68"/>
        <v>0</v>
      </c>
      <c r="AL944" s="196"/>
      <c r="AM944" s="196"/>
      <c r="AN944" s="310"/>
      <c r="AO944" s="310"/>
      <c r="AP944" s="310"/>
      <c r="AQ944" s="698" t="s">
        <v>2637</v>
      </c>
      <c r="AR944" s="310"/>
      <c r="AS944" s="310"/>
    </row>
    <row r="945" spans="13:45" customFormat="1" ht="11.25" customHeight="1">
      <c r="M945" s="696" t="s">
        <v>2903</v>
      </c>
      <c r="N945" s="709" t="s">
        <v>2639</v>
      </c>
      <c r="O945" s="189" t="s">
        <v>751</v>
      </c>
      <c r="AB945" s="248"/>
      <c r="AC945" s="248"/>
      <c r="AD945" s="248"/>
      <c r="AE945" s="462"/>
      <c r="AF945" s="462"/>
      <c r="AG945" s="462"/>
      <c r="AH945" s="248"/>
      <c r="AI945" s="248"/>
      <c r="AJ945" s="248"/>
      <c r="AK945" s="686">
        <f t="shared" si="68"/>
        <v>0</v>
      </c>
      <c r="AL945" s="196"/>
      <c r="AM945" s="196"/>
      <c r="AN945" s="310"/>
      <c r="AO945" s="310"/>
      <c r="AP945" s="310"/>
      <c r="AQ945" s="698" t="s">
        <v>2640</v>
      </c>
      <c r="AR945" s="310"/>
      <c r="AS945" s="310"/>
    </row>
    <row r="946" spans="13:45" customFormat="1" ht="11.25" customHeight="1">
      <c r="M946" s="696" t="s">
        <v>2904</v>
      </c>
      <c r="N946" s="709" t="s">
        <v>2642</v>
      </c>
      <c r="O946" s="189" t="s">
        <v>751</v>
      </c>
      <c r="AB946" s="248"/>
      <c r="AC946" s="248"/>
      <c r="AD946" s="248"/>
      <c r="AE946" s="462"/>
      <c r="AF946" s="462"/>
      <c r="AG946" s="462"/>
      <c r="AH946" s="248"/>
      <c r="AI946" s="248"/>
      <c r="AJ946" s="248"/>
      <c r="AK946" s="686">
        <f t="shared" si="68"/>
        <v>0</v>
      </c>
      <c r="AL946" s="196"/>
      <c r="AM946" s="196"/>
      <c r="AN946" s="310"/>
      <c r="AO946" s="310"/>
      <c r="AP946" s="310"/>
      <c r="AQ946" s="698" t="s">
        <v>2643</v>
      </c>
      <c r="AR946" s="310"/>
      <c r="AS946" s="310"/>
    </row>
    <row r="947" spans="13:45" customFormat="1" ht="11.25" customHeight="1">
      <c r="M947" s="696" t="s">
        <v>2905</v>
      </c>
      <c r="N947" s="709" t="s">
        <v>2645</v>
      </c>
      <c r="O947" s="189" t="s">
        <v>751</v>
      </c>
      <c r="AB947" s="248"/>
      <c r="AC947" s="248"/>
      <c r="AD947" s="248"/>
      <c r="AE947" s="462"/>
      <c r="AF947" s="462"/>
      <c r="AG947" s="462"/>
      <c r="AH947" s="248"/>
      <c r="AI947" s="248"/>
      <c r="AJ947" s="248"/>
      <c r="AK947" s="686">
        <f t="shared" si="68"/>
        <v>0</v>
      </c>
      <c r="AL947" s="196"/>
      <c r="AM947" s="196"/>
      <c r="AN947" s="310"/>
      <c r="AO947" s="310"/>
      <c r="AP947" s="310"/>
      <c r="AQ947" s="698" t="s">
        <v>2646</v>
      </c>
      <c r="AR947" s="310"/>
      <c r="AS947" s="310"/>
    </row>
    <row r="948" spans="13:45" customFormat="1" ht="11.25" customHeight="1">
      <c r="M948" s="696" t="s">
        <v>2906</v>
      </c>
      <c r="N948" s="709" t="s">
        <v>1325</v>
      </c>
      <c r="O948" s="189" t="s">
        <v>751</v>
      </c>
      <c r="AB948" s="248"/>
      <c r="AC948" s="248"/>
      <c r="AD948" s="248"/>
      <c r="AE948" s="462"/>
      <c r="AF948" s="462"/>
      <c r="AG948" s="462"/>
      <c r="AH948" s="248"/>
      <c r="AI948" s="248"/>
      <c r="AJ948" s="248"/>
      <c r="AK948" s="686">
        <f t="shared" si="68"/>
        <v>0</v>
      </c>
      <c r="AL948" s="196"/>
      <c r="AM948" s="196"/>
      <c r="AN948" s="310"/>
      <c r="AO948" s="310"/>
      <c r="AP948" s="310"/>
      <c r="AQ948" s="698" t="s">
        <v>2648</v>
      </c>
      <c r="AR948" s="310"/>
      <c r="AS948" s="310"/>
    </row>
    <row r="949" spans="13:45" customFormat="1" ht="11.25" customHeight="1">
      <c r="M949" s="696" t="s">
        <v>2907</v>
      </c>
      <c r="N949" s="709" t="s">
        <v>1326</v>
      </c>
      <c r="O949" s="189" t="s">
        <v>751</v>
      </c>
      <c r="AB949" s="248"/>
      <c r="AC949" s="248"/>
      <c r="AD949" s="248"/>
      <c r="AE949" s="462"/>
      <c r="AF949" s="462"/>
      <c r="AG949" s="462"/>
      <c r="AH949" s="248"/>
      <c r="AI949" s="248"/>
      <c r="AJ949" s="248"/>
      <c r="AK949" s="686">
        <f t="shared" si="68"/>
        <v>0</v>
      </c>
      <c r="AL949" s="196"/>
      <c r="AM949" s="196"/>
      <c r="AN949" s="310"/>
      <c r="AO949" s="310"/>
      <c r="AP949" s="310"/>
      <c r="AQ949" s="698" t="s">
        <v>2650</v>
      </c>
      <c r="AR949" s="310"/>
      <c r="AS949" s="310"/>
    </row>
    <row r="950" spans="13:45" customFormat="1" ht="11.25" customHeight="1">
      <c r="M950" s="696" t="s">
        <v>2908</v>
      </c>
      <c r="N950" s="709" t="s">
        <v>2652</v>
      </c>
      <c r="O950" s="189" t="s">
        <v>751</v>
      </c>
      <c r="AB950" s="248"/>
      <c r="AC950" s="248"/>
      <c r="AD950" s="248"/>
      <c r="AE950" s="462"/>
      <c r="AF950" s="462"/>
      <c r="AG950" s="462"/>
      <c r="AH950" s="248"/>
      <c r="AI950" s="248"/>
      <c r="AJ950" s="248"/>
      <c r="AK950" s="686">
        <f t="shared" si="68"/>
        <v>0</v>
      </c>
      <c r="AL950" s="196"/>
      <c r="AM950" s="196"/>
      <c r="AN950" s="310"/>
      <c r="AO950" s="310"/>
      <c r="AP950" s="310"/>
      <c r="AQ950" s="698" t="s">
        <v>2653</v>
      </c>
      <c r="AR950" s="310"/>
      <c r="AS950" s="310"/>
    </row>
    <row r="951" spans="13:45" customFormat="1" ht="11.25" customHeight="1">
      <c r="M951" s="718"/>
      <c r="N951" s="460"/>
      <c r="O951" s="461"/>
      <c r="AB951" s="248"/>
      <c r="AC951" s="248"/>
      <c r="AD951" s="248"/>
      <c r="AE951" s="462"/>
      <c r="AF951" s="462"/>
      <c r="AG951" s="462"/>
      <c r="AH951" s="248"/>
      <c r="AI951" s="248"/>
      <c r="AJ951" s="248"/>
      <c r="AK951" s="462"/>
      <c r="AL951" s="462"/>
      <c r="AM951" s="462"/>
      <c r="AN951" s="310"/>
      <c r="AO951" s="310"/>
      <c r="AP951" s="310"/>
      <c r="AQ951" s="698"/>
      <c r="AR951" s="310"/>
      <c r="AS951" s="310"/>
    </row>
    <row r="952" spans="13:45" customFormat="1" ht="11.25" customHeight="1">
      <c r="M952" s="718"/>
      <c r="N952" s="460"/>
      <c r="O952" s="461"/>
      <c r="AB952" s="248"/>
      <c r="AC952" s="248"/>
      <c r="AD952" s="248"/>
      <c r="AE952" s="462"/>
      <c r="AF952" s="462"/>
      <c r="AG952" s="462"/>
      <c r="AH952" s="248"/>
      <c r="AI952" s="248"/>
      <c r="AJ952" s="248"/>
      <c r="AK952" s="462"/>
      <c r="AL952" s="462"/>
      <c r="AM952" s="462"/>
      <c r="AN952" s="310"/>
      <c r="AO952" s="310"/>
      <c r="AP952" s="310"/>
      <c r="AQ952" s="698"/>
      <c r="AR952" s="310"/>
      <c r="AS952" s="310"/>
    </row>
    <row r="953" spans="13:45" customFormat="1" ht="11.25" customHeight="1">
      <c r="M953" s="696" t="s">
        <v>1705</v>
      </c>
      <c r="N953" s="719" t="s">
        <v>1327</v>
      </c>
      <c r="O953" s="189" t="s">
        <v>751</v>
      </c>
      <c r="AB953" s="248"/>
      <c r="AC953" s="248"/>
      <c r="AD953" s="248"/>
      <c r="AE953" s="462"/>
      <c r="AF953" s="462"/>
      <c r="AG953" s="462"/>
      <c r="AH953" s="248"/>
      <c r="AI953" s="248"/>
      <c r="AJ953" s="248"/>
      <c r="AK953" s="686">
        <f t="shared" ref="AK953:AK959" si="69">IF(AK1005=0,0,AK1057/AK1005*1000)</f>
        <v>0</v>
      </c>
      <c r="AL953" s="196"/>
      <c r="AM953" s="196"/>
      <c r="AN953" s="310"/>
      <c r="AO953" s="310"/>
      <c r="AP953" s="310"/>
      <c r="AQ953" s="698" t="s">
        <v>1357</v>
      </c>
      <c r="AR953" s="310"/>
      <c r="AS953" s="310"/>
    </row>
    <row r="954" spans="13:45" customFormat="1" ht="11.25" customHeight="1">
      <c r="M954" s="696" t="s">
        <v>1706</v>
      </c>
      <c r="N954" s="712" t="s">
        <v>723</v>
      </c>
      <c r="O954" s="189" t="s">
        <v>751</v>
      </c>
      <c r="AB954" s="248"/>
      <c r="AC954" s="248"/>
      <c r="AD954" s="248"/>
      <c r="AE954" s="462"/>
      <c r="AF954" s="462"/>
      <c r="AG954" s="462"/>
      <c r="AH954" s="248"/>
      <c r="AI954" s="248"/>
      <c r="AJ954" s="248"/>
      <c r="AK954" s="686">
        <f t="shared" si="69"/>
        <v>0</v>
      </c>
      <c r="AL954" s="196"/>
      <c r="AM954" s="196"/>
      <c r="AN954" s="310"/>
      <c r="AO954" s="310"/>
      <c r="AP954" s="310"/>
      <c r="AQ954" s="698" t="s">
        <v>1350</v>
      </c>
      <c r="AR954" s="310"/>
      <c r="AS954" s="310"/>
    </row>
    <row r="955" spans="13:45" customFormat="1" ht="11.25" customHeight="1">
      <c r="M955" s="696" t="s">
        <v>1707</v>
      </c>
      <c r="N955" s="713" t="s">
        <v>748</v>
      </c>
      <c r="O955" s="189" t="s">
        <v>751</v>
      </c>
      <c r="AB955" s="248"/>
      <c r="AC955" s="248"/>
      <c r="AD955" s="248"/>
      <c r="AE955" s="462"/>
      <c r="AF955" s="462"/>
      <c r="AG955" s="462"/>
      <c r="AH955" s="248"/>
      <c r="AI955" s="248"/>
      <c r="AJ955" s="248"/>
      <c r="AK955" s="686">
        <f t="shared" si="69"/>
        <v>0</v>
      </c>
      <c r="AL955" s="196"/>
      <c r="AM955" s="196"/>
      <c r="AN955" s="310"/>
      <c r="AO955" s="310"/>
      <c r="AP955" s="310"/>
      <c r="AQ955" s="698" t="s">
        <v>1351</v>
      </c>
      <c r="AR955" s="310"/>
      <c r="AS955" s="310"/>
    </row>
    <row r="956" spans="13:45" customFormat="1" ht="11.25" customHeight="1">
      <c r="M956" s="696" t="s">
        <v>1708</v>
      </c>
      <c r="N956" s="714" t="s">
        <v>315</v>
      </c>
      <c r="O956" s="189" t="s">
        <v>751</v>
      </c>
      <c r="AB956" s="248"/>
      <c r="AC956" s="248"/>
      <c r="AD956" s="248"/>
      <c r="AE956" s="462"/>
      <c r="AF956" s="462"/>
      <c r="AG956" s="462"/>
      <c r="AH956" s="248"/>
      <c r="AI956" s="248"/>
      <c r="AJ956" s="248"/>
      <c r="AK956" s="686">
        <f t="shared" si="69"/>
        <v>0</v>
      </c>
      <c r="AL956" s="196"/>
      <c r="AM956" s="196"/>
      <c r="AN956" s="310"/>
      <c r="AO956" s="310"/>
      <c r="AP956" s="310"/>
      <c r="AQ956" s="698" t="s">
        <v>1352</v>
      </c>
      <c r="AR956" s="310"/>
      <c r="AS956" s="310"/>
    </row>
    <row r="957" spans="13:45" customFormat="1" ht="11.25" customHeight="1">
      <c r="M957" s="696" t="s">
        <v>1709</v>
      </c>
      <c r="N957" s="715" t="s">
        <v>316</v>
      </c>
      <c r="O957" s="189" t="s">
        <v>751</v>
      </c>
      <c r="AB957" s="248"/>
      <c r="AC957" s="248"/>
      <c r="AD957" s="248"/>
      <c r="AE957" s="462"/>
      <c r="AF957" s="462"/>
      <c r="AG957" s="462"/>
      <c r="AH957" s="248"/>
      <c r="AI957" s="248"/>
      <c r="AJ957" s="248"/>
      <c r="AK957" s="686">
        <f t="shared" si="69"/>
        <v>0</v>
      </c>
      <c r="AL957" s="196"/>
      <c r="AM957" s="196"/>
      <c r="AN957" s="310"/>
      <c r="AO957" s="310"/>
      <c r="AP957" s="310"/>
      <c r="AQ957" s="698" t="s">
        <v>1354</v>
      </c>
      <c r="AR957" s="310"/>
      <c r="AS957" s="310"/>
    </row>
    <row r="958" spans="13:45" customFormat="1" ht="11.25" customHeight="1">
      <c r="M958" s="696" t="s">
        <v>1710</v>
      </c>
      <c r="N958" s="716" t="s">
        <v>317</v>
      </c>
      <c r="O958" s="189" t="s">
        <v>751</v>
      </c>
      <c r="AB958" s="248"/>
      <c r="AC958" s="248"/>
      <c r="AD958" s="248"/>
      <c r="AE958" s="462"/>
      <c r="AF958" s="462"/>
      <c r="AG958" s="462"/>
      <c r="AH958" s="248"/>
      <c r="AI958" s="248"/>
      <c r="AJ958" s="248"/>
      <c r="AK958" s="686">
        <f t="shared" si="69"/>
        <v>0</v>
      </c>
      <c r="AL958" s="196"/>
      <c r="AM958" s="196"/>
      <c r="AN958" s="310"/>
      <c r="AO958" s="310"/>
      <c r="AP958" s="310"/>
      <c r="AQ958" s="698" t="s">
        <v>1353</v>
      </c>
      <c r="AR958" s="310"/>
      <c r="AS958" s="310"/>
    </row>
    <row r="959" spans="13:45" customFormat="1" ht="11.25" customHeight="1">
      <c r="M959" s="696" t="s">
        <v>1711</v>
      </c>
      <c r="N959" s="701" t="s">
        <v>318</v>
      </c>
      <c r="O959" s="189" t="s">
        <v>751</v>
      </c>
      <c r="AB959" s="248"/>
      <c r="AC959" s="248"/>
      <c r="AD959" s="248"/>
      <c r="AE959" s="462"/>
      <c r="AF959" s="462"/>
      <c r="AG959" s="462"/>
      <c r="AH959" s="248"/>
      <c r="AI959" s="248"/>
      <c r="AJ959" s="248"/>
      <c r="AK959" s="686">
        <f t="shared" si="69"/>
        <v>0</v>
      </c>
      <c r="AL959" s="196"/>
      <c r="AM959" s="196"/>
      <c r="AN959" s="310"/>
      <c r="AO959" s="310"/>
      <c r="AP959" s="310"/>
      <c r="AQ959" s="698" t="s">
        <v>1355</v>
      </c>
      <c r="AR959" s="310"/>
      <c r="AS959" s="310"/>
    </row>
    <row r="960" spans="13:45" customFormat="1" ht="11.25" customHeight="1">
      <c r="M960" s="718"/>
      <c r="N960" s="460"/>
      <c r="O960" s="461"/>
      <c r="AB960" s="248"/>
      <c r="AC960" s="248"/>
      <c r="AD960" s="248"/>
      <c r="AE960" s="462"/>
      <c r="AF960" s="462"/>
      <c r="AG960" s="462"/>
      <c r="AH960" s="248"/>
      <c r="AI960" s="248"/>
      <c r="AJ960" s="248"/>
      <c r="AK960" s="266"/>
      <c r="AL960" s="266"/>
      <c r="AM960" s="266"/>
      <c r="AN960" s="310"/>
      <c r="AO960" s="310"/>
      <c r="AP960" s="310"/>
      <c r="AQ960" s="698"/>
      <c r="AR960" s="310"/>
      <c r="AS960" s="310"/>
    </row>
    <row r="961" spans="13:45" customFormat="1" ht="11.25" customHeight="1">
      <c r="M961" s="490" t="s">
        <v>1734</v>
      </c>
      <c r="N961" s="463" t="s">
        <v>663</v>
      </c>
      <c r="O961" s="189"/>
      <c r="AB961" s="248"/>
      <c r="AC961" s="248"/>
      <c r="AD961" s="248"/>
      <c r="AE961" s="462"/>
      <c r="AF961" s="462"/>
      <c r="AG961" s="462"/>
      <c r="AH961" s="248"/>
      <c r="AI961" s="248"/>
      <c r="AJ961" s="248"/>
      <c r="AK961" s="241"/>
      <c r="AL961" s="241"/>
      <c r="AM961" s="241"/>
      <c r="AN961" s="310"/>
      <c r="AO961" s="310"/>
      <c r="AP961" s="310"/>
      <c r="AQ961" s="36"/>
      <c r="AR961" s="310"/>
      <c r="AS961" s="310"/>
    </row>
    <row r="962" spans="13:45" customFormat="1" ht="11.25" customHeight="1">
      <c r="M962" s="718"/>
      <c r="N962" s="460"/>
      <c r="O962" s="461"/>
      <c r="AB962" s="248"/>
      <c r="AC962" s="248"/>
      <c r="AD962" s="248"/>
      <c r="AE962" s="462"/>
      <c r="AF962" s="462"/>
      <c r="AG962" s="462"/>
      <c r="AH962" s="248"/>
      <c r="AI962" s="248"/>
      <c r="AJ962" s="248"/>
      <c r="AK962" s="462"/>
      <c r="AL962" s="462"/>
      <c r="AM962" s="462"/>
      <c r="AN962" s="310"/>
      <c r="AO962" s="310"/>
      <c r="AP962" s="310"/>
      <c r="AQ962" s="698"/>
      <c r="AR962" s="310"/>
      <c r="AS962" s="310"/>
    </row>
    <row r="963" spans="13:45" customFormat="1" ht="11.25" customHeight="1">
      <c r="M963" s="718"/>
      <c r="N963" s="460"/>
      <c r="O963" s="461"/>
      <c r="AB963" s="248"/>
      <c r="AC963" s="248"/>
      <c r="AD963" s="248"/>
      <c r="AE963" s="462"/>
      <c r="AF963" s="462"/>
      <c r="AG963" s="462"/>
      <c r="AH963" s="248"/>
      <c r="AI963" s="248"/>
      <c r="AJ963" s="248"/>
      <c r="AK963" s="462"/>
      <c r="AL963" s="462"/>
      <c r="AM963" s="462"/>
      <c r="AN963" s="310"/>
      <c r="AO963" s="310"/>
      <c r="AP963" s="310"/>
      <c r="AQ963" s="698"/>
      <c r="AR963" s="310"/>
      <c r="AS963" s="310"/>
    </row>
    <row r="964" spans="13:45" customFormat="1" ht="11.25" customHeight="1">
      <c r="M964" s="718"/>
      <c r="N964" s="460"/>
      <c r="O964" s="461"/>
      <c r="AB964" s="248"/>
      <c r="AC964" s="248"/>
      <c r="AD964" s="248"/>
      <c r="AE964" s="462"/>
      <c r="AF964" s="462"/>
      <c r="AG964" s="462"/>
      <c r="AH964" s="248"/>
      <c r="AI964" s="248"/>
      <c r="AJ964" s="248"/>
      <c r="AK964" s="462"/>
      <c r="AL964" s="462"/>
      <c r="AM964" s="462"/>
      <c r="AN964" s="310"/>
      <c r="AO964" s="310"/>
      <c r="AP964" s="310"/>
      <c r="AQ964" s="698"/>
      <c r="AR964" s="310"/>
      <c r="AS964" s="310"/>
    </row>
    <row r="965" spans="13:45" customFormat="1" ht="11.25" customHeight="1">
      <c r="M965" s="718"/>
      <c r="N965" s="460"/>
      <c r="O965" s="461"/>
      <c r="AB965" s="248"/>
      <c r="AC965" s="248"/>
      <c r="AD965" s="248"/>
      <c r="AE965" s="462"/>
      <c r="AF965" s="462"/>
      <c r="AG965" s="462"/>
      <c r="AH965" s="248"/>
      <c r="AI965" s="248"/>
      <c r="AJ965" s="248"/>
      <c r="AK965" s="462"/>
      <c r="AL965" s="462"/>
      <c r="AM965" s="462"/>
      <c r="AN965" s="310"/>
      <c r="AO965" s="310"/>
      <c r="AP965" s="310"/>
      <c r="AQ965" s="698"/>
      <c r="AR965" s="310"/>
      <c r="AS965" s="310"/>
    </row>
    <row r="966" spans="13:45" customFormat="1" ht="11.25" customHeight="1">
      <c r="M966" s="718"/>
      <c r="N966" s="460"/>
      <c r="O966" s="461"/>
      <c r="AB966" s="248"/>
      <c r="AC966" s="248"/>
      <c r="AD966" s="248"/>
      <c r="AE966" s="462"/>
      <c r="AF966" s="462"/>
      <c r="AG966" s="462"/>
      <c r="AH966" s="248"/>
      <c r="AI966" s="248"/>
      <c r="AJ966" s="248"/>
      <c r="AK966" s="462"/>
      <c r="AL966" s="462"/>
      <c r="AM966" s="462"/>
      <c r="AN966" s="310"/>
      <c r="AO966" s="310"/>
      <c r="AP966" s="310"/>
      <c r="AQ966" s="698"/>
      <c r="AR966" s="310"/>
      <c r="AS966" s="310"/>
    </row>
    <row r="967" spans="13:45" customFormat="1" ht="11.25" customHeight="1">
      <c r="M967" s="718"/>
      <c r="N967" s="460"/>
      <c r="O967" s="461"/>
      <c r="AB967" s="248"/>
      <c r="AC967" s="248"/>
      <c r="AD967" s="248"/>
      <c r="AE967" s="462"/>
      <c r="AF967" s="462"/>
      <c r="AG967" s="462"/>
      <c r="AH967" s="248"/>
      <c r="AI967" s="248"/>
      <c r="AJ967" s="248"/>
      <c r="AK967" s="462"/>
      <c r="AL967" s="462"/>
      <c r="AM967" s="462"/>
      <c r="AN967" s="310"/>
      <c r="AO967" s="310"/>
      <c r="AP967" s="310"/>
      <c r="AQ967" s="698"/>
      <c r="AR967" s="310"/>
      <c r="AS967" s="310"/>
    </row>
    <row r="968" spans="13:45" customFormat="1" ht="11.25" customHeight="1">
      <c r="M968" s="718"/>
      <c r="N968" s="460"/>
      <c r="O968" s="461"/>
      <c r="AB968" s="248"/>
      <c r="AC968" s="248"/>
      <c r="AD968" s="248"/>
      <c r="AE968" s="462"/>
      <c r="AF968" s="462"/>
      <c r="AG968" s="462"/>
      <c r="AH968" s="248"/>
      <c r="AI968" s="248"/>
      <c r="AJ968" s="248"/>
      <c r="AK968" s="462"/>
      <c r="AL968" s="462"/>
      <c r="AM968" s="462"/>
      <c r="AN968" s="310"/>
      <c r="AO968" s="310"/>
      <c r="AP968" s="310"/>
      <c r="AQ968" s="698"/>
      <c r="AR968" s="310"/>
      <c r="AS968" s="310"/>
    </row>
    <row r="969" spans="13:45" customFormat="1" ht="11.25" customHeight="1">
      <c r="M969" s="718"/>
      <c r="N969" s="460"/>
      <c r="O969" s="461"/>
      <c r="AB969" s="248"/>
      <c r="AC969" s="248"/>
      <c r="AD969" s="248"/>
      <c r="AE969" s="462"/>
      <c r="AF969" s="462"/>
      <c r="AG969" s="462"/>
      <c r="AH969" s="248"/>
      <c r="AI969" s="248"/>
      <c r="AJ969" s="248"/>
      <c r="AK969" s="462"/>
      <c r="AL969" s="462"/>
      <c r="AM969" s="462"/>
      <c r="AN969" s="310"/>
      <c r="AO969" s="310"/>
      <c r="AP969" s="310"/>
      <c r="AQ969" s="698"/>
      <c r="AR969" s="310"/>
      <c r="AS969" s="310"/>
    </row>
    <row r="970" spans="13:45" customFormat="1" ht="11.25" customHeight="1">
      <c r="M970" s="696" t="s">
        <v>1735</v>
      </c>
      <c r="N970" s="701" t="s">
        <v>684</v>
      </c>
      <c r="O970" s="189" t="s">
        <v>758</v>
      </c>
      <c r="AB970" s="248"/>
      <c r="AC970" s="248"/>
      <c r="AD970" s="248"/>
      <c r="AE970" s="462"/>
      <c r="AF970" s="462"/>
      <c r="AG970" s="462"/>
      <c r="AH970" s="248"/>
      <c r="AI970" s="248"/>
      <c r="AJ970" s="248"/>
      <c r="AK970" s="183">
        <f t="shared" ref="AK970:AK1002" si="70">AL970+AM970</f>
        <v>0</v>
      </c>
      <c r="AL970" s="196"/>
      <c r="AM970" s="196"/>
      <c r="AN970" s="310"/>
      <c r="AO970" s="310"/>
      <c r="AP970" s="310"/>
      <c r="AQ970" s="698" t="s">
        <v>1332</v>
      </c>
      <c r="AR970" s="310"/>
      <c r="AS970" s="310"/>
    </row>
    <row r="971" spans="13:45" customFormat="1" ht="11.25" customHeight="1">
      <c r="M971" s="696" t="s">
        <v>1736</v>
      </c>
      <c r="N971" s="702" t="s">
        <v>718</v>
      </c>
      <c r="O971" s="189" t="s">
        <v>758</v>
      </c>
      <c r="AB971" s="248"/>
      <c r="AC971" s="248"/>
      <c r="AD971" s="248"/>
      <c r="AE971" s="462"/>
      <c r="AF971" s="462"/>
      <c r="AG971" s="462"/>
      <c r="AH971" s="248"/>
      <c r="AI971" s="248"/>
      <c r="AJ971" s="248"/>
      <c r="AK971" s="183">
        <f t="shared" si="70"/>
        <v>0</v>
      </c>
      <c r="AL971" s="196"/>
      <c r="AM971" s="196"/>
      <c r="AN971" s="310"/>
      <c r="AO971" s="310"/>
      <c r="AP971" s="310"/>
      <c r="AQ971" s="698" t="s">
        <v>1333</v>
      </c>
      <c r="AR971" s="310"/>
      <c r="AS971" s="310"/>
    </row>
    <row r="972" spans="13:45" customFormat="1" ht="11.25" customHeight="1">
      <c r="M972" s="696" t="s">
        <v>1737</v>
      </c>
      <c r="N972" s="703" t="s">
        <v>722</v>
      </c>
      <c r="O972" s="189" t="s">
        <v>758</v>
      </c>
      <c r="AB972" s="248"/>
      <c r="AC972" s="248"/>
      <c r="AD972" s="248"/>
      <c r="AE972" s="462"/>
      <c r="AF972" s="462"/>
      <c r="AG972" s="462"/>
      <c r="AH972" s="248"/>
      <c r="AI972" s="248"/>
      <c r="AJ972" s="248"/>
      <c r="AK972" s="183">
        <f t="shared" si="70"/>
        <v>0</v>
      </c>
      <c r="AL972" s="183">
        <f>SUM(AL973:AL976)</f>
        <v>0</v>
      </c>
      <c r="AM972" s="183">
        <f>SUM(AM973:AM976)</f>
        <v>0</v>
      </c>
      <c r="AN972" s="310"/>
      <c r="AO972" s="310"/>
      <c r="AP972" s="310"/>
      <c r="AQ972" s="698" t="s">
        <v>1334</v>
      </c>
      <c r="AR972" s="310"/>
      <c r="AS972" s="310"/>
    </row>
    <row r="973" spans="13:45" customFormat="1" ht="11.25" customHeight="1">
      <c r="M973" s="696" t="s">
        <v>1738</v>
      </c>
      <c r="N973" s="704" t="s">
        <v>1309</v>
      </c>
      <c r="O973" s="189" t="s">
        <v>758</v>
      </c>
      <c r="AB973" s="248"/>
      <c r="AC973" s="248"/>
      <c r="AD973" s="248"/>
      <c r="AE973" s="462"/>
      <c r="AF973" s="462"/>
      <c r="AG973" s="462"/>
      <c r="AH973" s="248"/>
      <c r="AI973" s="248"/>
      <c r="AJ973" s="248"/>
      <c r="AK973" s="183">
        <f t="shared" si="70"/>
        <v>0</v>
      </c>
      <c r="AL973" s="196"/>
      <c r="AM973" s="196"/>
      <c r="AN973" s="310"/>
      <c r="AO973" s="310"/>
      <c r="AP973" s="310"/>
      <c r="AQ973" s="698" t="s">
        <v>1335</v>
      </c>
      <c r="AR973" s="310"/>
      <c r="AS973" s="310"/>
    </row>
    <row r="974" spans="13:45" customFormat="1" ht="11.25" customHeight="1">
      <c r="M974" s="696" t="s">
        <v>1739</v>
      </c>
      <c r="N974" s="704" t="s">
        <v>1310</v>
      </c>
      <c r="O974" s="189" t="s">
        <v>758</v>
      </c>
      <c r="AB974" s="248"/>
      <c r="AC974" s="248"/>
      <c r="AD974" s="248"/>
      <c r="AE974" s="462"/>
      <c r="AF974" s="462"/>
      <c r="AG974" s="462"/>
      <c r="AH974" s="248"/>
      <c r="AI974" s="248"/>
      <c r="AJ974" s="248"/>
      <c r="AK974" s="183">
        <f t="shared" si="70"/>
        <v>0</v>
      </c>
      <c r="AL974" s="196"/>
      <c r="AM974" s="196"/>
      <c r="AN974" s="310"/>
      <c r="AO974" s="310"/>
      <c r="AP974" s="310"/>
      <c r="AQ974" s="698" t="s">
        <v>1336</v>
      </c>
      <c r="AR974" s="310"/>
      <c r="AS974" s="310"/>
    </row>
    <row r="975" spans="13:45" customFormat="1" ht="11.25" customHeight="1">
      <c r="M975" s="696" t="s">
        <v>1740</v>
      </c>
      <c r="N975" s="704" t="s">
        <v>1311</v>
      </c>
      <c r="O975" s="189" t="s">
        <v>758</v>
      </c>
      <c r="AB975" s="248"/>
      <c r="AC975" s="248"/>
      <c r="AD975" s="248"/>
      <c r="AE975" s="462"/>
      <c r="AF975" s="462"/>
      <c r="AG975" s="462"/>
      <c r="AH975" s="248"/>
      <c r="AI975" s="248"/>
      <c r="AJ975" s="248"/>
      <c r="AK975" s="183">
        <f t="shared" si="70"/>
        <v>0</v>
      </c>
      <c r="AL975" s="196"/>
      <c r="AM975" s="196"/>
      <c r="AN975" s="310"/>
      <c r="AO975" s="310"/>
      <c r="AP975" s="310"/>
      <c r="AQ975" s="698" t="s">
        <v>1337</v>
      </c>
      <c r="AR975" s="310"/>
      <c r="AS975" s="310"/>
    </row>
    <row r="976" spans="13:45" customFormat="1" ht="11.25" customHeight="1">
      <c r="M976" s="696" t="s">
        <v>1741</v>
      </c>
      <c r="N976" s="704" t="s">
        <v>1312</v>
      </c>
      <c r="O976" s="189" t="s">
        <v>758</v>
      </c>
      <c r="AB976" s="248"/>
      <c r="AC976" s="248"/>
      <c r="AD976" s="248"/>
      <c r="AE976" s="462"/>
      <c r="AF976" s="462"/>
      <c r="AG976" s="462"/>
      <c r="AH976" s="248"/>
      <c r="AI976" s="248"/>
      <c r="AJ976" s="248"/>
      <c r="AK976" s="183">
        <f t="shared" si="70"/>
        <v>0</v>
      </c>
      <c r="AL976" s="196"/>
      <c r="AM976" s="196"/>
      <c r="AN976" s="310"/>
      <c r="AO976" s="310"/>
      <c r="AP976" s="310"/>
      <c r="AQ976" s="698" t="s">
        <v>1338</v>
      </c>
      <c r="AR976" s="310"/>
      <c r="AS976" s="310"/>
    </row>
    <row r="977" spans="13:45" customFormat="1" ht="11.25" customHeight="1">
      <c r="M977" s="696" t="s">
        <v>1742</v>
      </c>
      <c r="N977" s="705" t="s">
        <v>720</v>
      </c>
      <c r="O977" s="189" t="s">
        <v>758</v>
      </c>
      <c r="AB977" s="248"/>
      <c r="AC977" s="248"/>
      <c r="AD977" s="248"/>
      <c r="AE977" s="462"/>
      <c r="AF977" s="462"/>
      <c r="AG977" s="462"/>
      <c r="AH977" s="248"/>
      <c r="AI977" s="248"/>
      <c r="AJ977" s="248"/>
      <c r="AK977" s="183">
        <f t="shared" si="70"/>
        <v>0</v>
      </c>
      <c r="AL977" s="183">
        <f>SUM(AL978:AL983)</f>
        <v>0</v>
      </c>
      <c r="AM977" s="183">
        <f>SUM(AM978:AM983)</f>
        <v>0</v>
      </c>
      <c r="AN977" s="310"/>
      <c r="AO977" s="310"/>
      <c r="AP977" s="310"/>
      <c r="AQ977" s="698" t="s">
        <v>1343</v>
      </c>
      <c r="AR977" s="310"/>
      <c r="AS977" s="310"/>
    </row>
    <row r="978" spans="13:45" customFormat="1" ht="11.25" customHeight="1">
      <c r="M978" s="696" t="s">
        <v>1882</v>
      </c>
      <c r="N978" s="706" t="s">
        <v>1313</v>
      </c>
      <c r="O978" s="189" t="s">
        <v>758</v>
      </c>
      <c r="AB978" s="248"/>
      <c r="AC978" s="248"/>
      <c r="AD978" s="248"/>
      <c r="AE978" s="462"/>
      <c r="AF978" s="462"/>
      <c r="AG978" s="462"/>
      <c r="AH978" s="248"/>
      <c r="AI978" s="248"/>
      <c r="AJ978" s="248"/>
      <c r="AK978" s="183">
        <f t="shared" si="70"/>
        <v>0</v>
      </c>
      <c r="AL978" s="196"/>
      <c r="AM978" s="196"/>
      <c r="AN978" s="310"/>
      <c r="AO978" s="310"/>
      <c r="AP978" s="310"/>
      <c r="AQ978" s="698" t="s">
        <v>1866</v>
      </c>
      <c r="AR978" s="310"/>
      <c r="AS978" s="310"/>
    </row>
    <row r="979" spans="13:45" customFormat="1" ht="11.25" customHeight="1">
      <c r="M979" s="696" t="s">
        <v>1863</v>
      </c>
      <c r="N979" s="706" t="s">
        <v>1314</v>
      </c>
      <c r="O979" s="189" t="s">
        <v>758</v>
      </c>
      <c r="AB979" s="248"/>
      <c r="AC979" s="248"/>
      <c r="AD979" s="248"/>
      <c r="AE979" s="462"/>
      <c r="AF979" s="462"/>
      <c r="AG979" s="462"/>
      <c r="AH979" s="248"/>
      <c r="AI979" s="248"/>
      <c r="AJ979" s="248"/>
      <c r="AK979" s="183">
        <f t="shared" si="70"/>
        <v>0</v>
      </c>
      <c r="AL979" s="196"/>
      <c r="AM979" s="196"/>
      <c r="AN979" s="310"/>
      <c r="AO979" s="310"/>
      <c r="AP979" s="310"/>
      <c r="AQ979" s="698" t="s">
        <v>1847</v>
      </c>
      <c r="AR979" s="310"/>
      <c r="AS979" s="310"/>
    </row>
    <row r="980" spans="13:45" customFormat="1" ht="11.25" customHeight="1">
      <c r="M980" s="696" t="s">
        <v>1844</v>
      </c>
      <c r="N980" s="706" t="s">
        <v>1315</v>
      </c>
      <c r="O980" s="189" t="s">
        <v>758</v>
      </c>
      <c r="AB980" s="248"/>
      <c r="AC980" s="248"/>
      <c r="AD980" s="248"/>
      <c r="AE980" s="462"/>
      <c r="AF980" s="462"/>
      <c r="AG980" s="462"/>
      <c r="AH980" s="248"/>
      <c r="AI980" s="248"/>
      <c r="AJ980" s="248"/>
      <c r="AK980" s="183">
        <f t="shared" si="70"/>
        <v>0</v>
      </c>
      <c r="AL980" s="196"/>
      <c r="AM980" s="196"/>
      <c r="AN980" s="310"/>
      <c r="AO980" s="310"/>
      <c r="AP980" s="310"/>
      <c r="AQ980" s="698" t="s">
        <v>1827</v>
      </c>
      <c r="AR980" s="310"/>
      <c r="AS980" s="310"/>
    </row>
    <row r="981" spans="13:45" customFormat="1" ht="11.25" customHeight="1">
      <c r="M981" s="696" t="s">
        <v>1743</v>
      </c>
      <c r="N981" s="706" t="s">
        <v>1316</v>
      </c>
      <c r="O981" s="189" t="s">
        <v>758</v>
      </c>
      <c r="AB981" s="248"/>
      <c r="AC981" s="248"/>
      <c r="AD981" s="248"/>
      <c r="AE981" s="462"/>
      <c r="AF981" s="462"/>
      <c r="AG981" s="462"/>
      <c r="AH981" s="248"/>
      <c r="AI981" s="248"/>
      <c r="AJ981" s="248"/>
      <c r="AK981" s="183">
        <f t="shared" si="70"/>
        <v>0</v>
      </c>
      <c r="AL981" s="196"/>
      <c r="AM981" s="196"/>
      <c r="AN981" s="310"/>
      <c r="AO981" s="310"/>
      <c r="AP981" s="310"/>
      <c r="AQ981" s="698" t="s">
        <v>1344</v>
      </c>
      <c r="AR981" s="310"/>
      <c r="AS981" s="310"/>
    </row>
    <row r="982" spans="13:45" customFormat="1" ht="11.25" customHeight="1">
      <c r="M982" s="696" t="s">
        <v>1744</v>
      </c>
      <c r="N982" s="706" t="s">
        <v>1317</v>
      </c>
      <c r="O982" s="189" t="s">
        <v>758</v>
      </c>
      <c r="AB982" s="248"/>
      <c r="AC982" s="248"/>
      <c r="AD982" s="248"/>
      <c r="AE982" s="462"/>
      <c r="AF982" s="462"/>
      <c r="AG982" s="462"/>
      <c r="AH982" s="248"/>
      <c r="AI982" s="248"/>
      <c r="AJ982" s="248"/>
      <c r="AK982" s="183">
        <f t="shared" si="70"/>
        <v>0</v>
      </c>
      <c r="AL982" s="196"/>
      <c r="AM982" s="196"/>
      <c r="AN982" s="310"/>
      <c r="AO982" s="310"/>
      <c r="AP982" s="310"/>
      <c r="AQ982" s="698" t="s">
        <v>1345</v>
      </c>
      <c r="AR982" s="310"/>
      <c r="AS982" s="310"/>
    </row>
    <row r="983" spans="13:45" customFormat="1" ht="11.25" customHeight="1">
      <c r="M983" s="696" t="s">
        <v>1745</v>
      </c>
      <c r="N983" s="706" t="s">
        <v>1318</v>
      </c>
      <c r="O983" s="189" t="s">
        <v>758</v>
      </c>
      <c r="AB983" s="248"/>
      <c r="AC983" s="248"/>
      <c r="AD983" s="248"/>
      <c r="AE983" s="462"/>
      <c r="AF983" s="462"/>
      <c r="AG983" s="462"/>
      <c r="AH983" s="248"/>
      <c r="AI983" s="248"/>
      <c r="AJ983" s="248"/>
      <c r="AK983" s="183">
        <f t="shared" si="70"/>
        <v>0</v>
      </c>
      <c r="AL983" s="196"/>
      <c r="AM983" s="196"/>
      <c r="AN983" s="310"/>
      <c r="AO983" s="310"/>
      <c r="AP983" s="310"/>
      <c r="AQ983" s="698" t="s">
        <v>1346</v>
      </c>
      <c r="AR983" s="310"/>
      <c r="AS983" s="310"/>
    </row>
    <row r="984" spans="13:45" customFormat="1" ht="11.25" customHeight="1">
      <c r="M984" s="696" t="s">
        <v>1746</v>
      </c>
      <c r="N984" s="707" t="s">
        <v>721</v>
      </c>
      <c r="O984" s="189" t="s">
        <v>758</v>
      </c>
      <c r="AB984" s="248"/>
      <c r="AC984" s="248"/>
      <c r="AD984" s="248"/>
      <c r="AE984" s="462"/>
      <c r="AF984" s="462"/>
      <c r="AG984" s="462"/>
      <c r="AH984" s="248"/>
      <c r="AI984" s="248"/>
      <c r="AJ984" s="248"/>
      <c r="AK984" s="183">
        <f t="shared" si="70"/>
        <v>0</v>
      </c>
      <c r="AL984" s="196"/>
      <c r="AM984" s="196"/>
      <c r="AN984" s="310"/>
      <c r="AO984" s="310"/>
      <c r="AP984" s="310"/>
      <c r="AQ984" s="698" t="s">
        <v>1347</v>
      </c>
      <c r="AR984" s="310"/>
      <c r="AS984" s="310"/>
    </row>
    <row r="985" spans="13:45" customFormat="1" ht="11.25" customHeight="1">
      <c r="M985" s="696" t="s">
        <v>1747</v>
      </c>
      <c r="N985" s="708" t="s">
        <v>712</v>
      </c>
      <c r="O985" s="189" t="s">
        <v>758</v>
      </c>
      <c r="AB985" s="248"/>
      <c r="AC985" s="248"/>
      <c r="AD985" s="248"/>
      <c r="AE985" s="462"/>
      <c r="AF985" s="462"/>
      <c r="AG985" s="462"/>
      <c r="AH985" s="248"/>
      <c r="AI985" s="248"/>
      <c r="AJ985" s="248"/>
      <c r="AK985" s="183">
        <f t="shared" si="70"/>
        <v>0</v>
      </c>
      <c r="AL985" s="183">
        <f>SUM(AL986:AL1002)</f>
        <v>0</v>
      </c>
      <c r="AM985" s="183">
        <f>SUM(AM986:AM1002)</f>
        <v>0</v>
      </c>
      <c r="AN985" s="310"/>
      <c r="AO985" s="310"/>
      <c r="AP985" s="310"/>
      <c r="AQ985" s="698" t="s">
        <v>1348</v>
      </c>
      <c r="AR985" s="310"/>
      <c r="AS985" s="310"/>
    </row>
    <row r="986" spans="13:45" customFormat="1" ht="11.25" customHeight="1">
      <c r="M986" s="696" t="s">
        <v>2909</v>
      </c>
      <c r="N986" s="709" t="s">
        <v>1319</v>
      </c>
      <c r="O986" s="189" t="s">
        <v>758</v>
      </c>
      <c r="AB986" s="248"/>
      <c r="AC986" s="248"/>
      <c r="AD986" s="248"/>
      <c r="AE986" s="462"/>
      <c r="AF986" s="462"/>
      <c r="AG986" s="462"/>
      <c r="AH986" s="248"/>
      <c r="AI986" s="248"/>
      <c r="AJ986" s="248"/>
      <c r="AK986" s="183">
        <f t="shared" si="70"/>
        <v>0</v>
      </c>
      <c r="AL986" s="196"/>
      <c r="AM986" s="196"/>
      <c r="AN986" s="310"/>
      <c r="AO986" s="310"/>
      <c r="AP986" s="310"/>
      <c r="AQ986" s="698" t="s">
        <v>2612</v>
      </c>
      <c r="AR986" s="310"/>
      <c r="AS986" s="310"/>
    </row>
    <row r="987" spans="13:45" customFormat="1" ht="11.25" customHeight="1">
      <c r="M987" s="696" t="s">
        <v>2910</v>
      </c>
      <c r="N987" s="709" t="s">
        <v>1320</v>
      </c>
      <c r="O987" s="189" t="s">
        <v>758</v>
      </c>
      <c r="AB987" s="248"/>
      <c r="AC987" s="248"/>
      <c r="AD987" s="248"/>
      <c r="AE987" s="462"/>
      <c r="AF987" s="462"/>
      <c r="AG987" s="462"/>
      <c r="AH987" s="248"/>
      <c r="AI987" s="248"/>
      <c r="AJ987" s="248"/>
      <c r="AK987" s="183">
        <f t="shared" si="70"/>
        <v>0</v>
      </c>
      <c r="AL987" s="196"/>
      <c r="AM987" s="196"/>
      <c r="AN987" s="310"/>
      <c r="AO987" s="310"/>
      <c r="AP987" s="310"/>
      <c r="AQ987" s="698" t="s">
        <v>2614</v>
      </c>
      <c r="AR987" s="310"/>
      <c r="AS987" s="310"/>
    </row>
    <row r="988" spans="13:45" customFormat="1" ht="11.25" customHeight="1">
      <c r="M988" s="696" t="s">
        <v>2911</v>
      </c>
      <c r="N988" s="709" t="s">
        <v>1321</v>
      </c>
      <c r="O988" s="189" t="s">
        <v>758</v>
      </c>
      <c r="AB988" s="248"/>
      <c r="AC988" s="248"/>
      <c r="AD988" s="248"/>
      <c r="AE988" s="462"/>
      <c r="AF988" s="462"/>
      <c r="AG988" s="462"/>
      <c r="AH988" s="248"/>
      <c r="AI988" s="248"/>
      <c r="AJ988" s="248"/>
      <c r="AK988" s="183">
        <f t="shared" si="70"/>
        <v>0</v>
      </c>
      <c r="AL988" s="196"/>
      <c r="AM988" s="196"/>
      <c r="AN988" s="310"/>
      <c r="AO988" s="310"/>
      <c r="AP988" s="310"/>
      <c r="AQ988" s="698" t="s">
        <v>2616</v>
      </c>
      <c r="AR988" s="310"/>
      <c r="AS988" s="310"/>
    </row>
    <row r="989" spans="13:45" customFormat="1" ht="11.25" customHeight="1">
      <c r="M989" s="696" t="s">
        <v>2912</v>
      </c>
      <c r="N989" s="709" t="s">
        <v>2618</v>
      </c>
      <c r="O989" s="189" t="s">
        <v>758</v>
      </c>
      <c r="AB989" s="248"/>
      <c r="AC989" s="248"/>
      <c r="AD989" s="248"/>
      <c r="AE989" s="462"/>
      <c r="AF989" s="462"/>
      <c r="AG989" s="462"/>
      <c r="AH989" s="248"/>
      <c r="AI989" s="248"/>
      <c r="AJ989" s="248"/>
      <c r="AK989" s="183">
        <f t="shared" si="70"/>
        <v>0</v>
      </c>
      <c r="AL989" s="196"/>
      <c r="AM989" s="196"/>
      <c r="AN989" s="310"/>
      <c r="AO989" s="310"/>
      <c r="AP989" s="310"/>
      <c r="AQ989" s="698" t="s">
        <v>2619</v>
      </c>
      <c r="AR989" s="310"/>
      <c r="AS989" s="310"/>
    </row>
    <row r="990" spans="13:45" customFormat="1" ht="11.25" customHeight="1">
      <c r="M990" s="696" t="s">
        <v>2913</v>
      </c>
      <c r="N990" s="709" t="s">
        <v>2621</v>
      </c>
      <c r="O990" s="189" t="s">
        <v>758</v>
      </c>
      <c r="AB990" s="248"/>
      <c r="AC990" s="248"/>
      <c r="AD990" s="248"/>
      <c r="AE990" s="462"/>
      <c r="AF990" s="462"/>
      <c r="AG990" s="462"/>
      <c r="AH990" s="248"/>
      <c r="AI990" s="248"/>
      <c r="AJ990" s="248"/>
      <c r="AK990" s="183">
        <f t="shared" si="70"/>
        <v>0</v>
      </c>
      <c r="AL990" s="196"/>
      <c r="AM990" s="196"/>
      <c r="AN990" s="310"/>
      <c r="AO990" s="310"/>
      <c r="AP990" s="310"/>
      <c r="AQ990" s="698" t="s">
        <v>2622</v>
      </c>
      <c r="AR990" s="310"/>
      <c r="AS990" s="310"/>
    </row>
    <row r="991" spans="13:45" customFormat="1" ht="11.25" customHeight="1">
      <c r="M991" s="696" t="s">
        <v>2914</v>
      </c>
      <c r="N991" s="709" t="s">
        <v>1322</v>
      </c>
      <c r="O991" s="189" t="s">
        <v>758</v>
      </c>
      <c r="AB991" s="248"/>
      <c r="AC991" s="248"/>
      <c r="AD991" s="248"/>
      <c r="AE991" s="462"/>
      <c r="AF991" s="462"/>
      <c r="AG991" s="462"/>
      <c r="AH991" s="248"/>
      <c r="AI991" s="248"/>
      <c r="AJ991" s="248"/>
      <c r="AK991" s="183">
        <f t="shared" si="70"/>
        <v>0</v>
      </c>
      <c r="AL991" s="196"/>
      <c r="AM991" s="196"/>
      <c r="AN991" s="310"/>
      <c r="AO991" s="310"/>
      <c r="AP991" s="310"/>
      <c r="AQ991" s="698" t="s">
        <v>2624</v>
      </c>
      <c r="AR991" s="310"/>
      <c r="AS991" s="310"/>
    </row>
    <row r="992" spans="13:45" customFormat="1" ht="11.25" customHeight="1">
      <c r="M992" s="696" t="s">
        <v>2915</v>
      </c>
      <c r="N992" s="709" t="s">
        <v>2626</v>
      </c>
      <c r="O992" s="189" t="s">
        <v>758</v>
      </c>
      <c r="AB992" s="248"/>
      <c r="AC992" s="248"/>
      <c r="AD992" s="248"/>
      <c r="AE992" s="462"/>
      <c r="AF992" s="462"/>
      <c r="AG992" s="462"/>
      <c r="AH992" s="248"/>
      <c r="AI992" s="248"/>
      <c r="AJ992" s="248"/>
      <c r="AK992" s="183">
        <f t="shared" si="70"/>
        <v>0</v>
      </c>
      <c r="AL992" s="196"/>
      <c r="AM992" s="196"/>
      <c r="AN992" s="310"/>
      <c r="AO992" s="310"/>
      <c r="AP992" s="310"/>
      <c r="AQ992" s="698" t="s">
        <v>2627</v>
      </c>
      <c r="AR992" s="310"/>
      <c r="AS992" s="310"/>
    </row>
    <row r="993" spans="13:45" customFormat="1" ht="11.25" customHeight="1">
      <c r="M993" s="696" t="s">
        <v>2916</v>
      </c>
      <c r="N993" s="709" t="s">
        <v>1323</v>
      </c>
      <c r="O993" s="189" t="s">
        <v>758</v>
      </c>
      <c r="AB993" s="248"/>
      <c r="AC993" s="248"/>
      <c r="AD993" s="248"/>
      <c r="AE993" s="462"/>
      <c r="AF993" s="462"/>
      <c r="AG993" s="462"/>
      <c r="AH993" s="248"/>
      <c r="AI993" s="248"/>
      <c r="AJ993" s="248"/>
      <c r="AK993" s="183">
        <f t="shared" si="70"/>
        <v>0</v>
      </c>
      <c r="AL993" s="196"/>
      <c r="AM993" s="196"/>
      <c r="AN993" s="310"/>
      <c r="AO993" s="310"/>
      <c r="AP993" s="310"/>
      <c r="AQ993" s="698" t="s">
        <v>2629</v>
      </c>
      <c r="AR993" s="310"/>
      <c r="AS993" s="310"/>
    </row>
    <row r="994" spans="13:45" customFormat="1" ht="11.25" customHeight="1">
      <c r="M994" s="696" t="s">
        <v>2917</v>
      </c>
      <c r="N994" s="709" t="s">
        <v>1324</v>
      </c>
      <c r="O994" s="189" t="s">
        <v>758</v>
      </c>
      <c r="AB994" s="248"/>
      <c r="AC994" s="248"/>
      <c r="AD994" s="248"/>
      <c r="AE994" s="462"/>
      <c r="AF994" s="462"/>
      <c r="AG994" s="462"/>
      <c r="AH994" s="248"/>
      <c r="AI994" s="248"/>
      <c r="AJ994" s="248"/>
      <c r="AK994" s="183">
        <f t="shared" si="70"/>
        <v>0</v>
      </c>
      <c r="AL994" s="196"/>
      <c r="AM994" s="196"/>
      <c r="AN994" s="310"/>
      <c r="AO994" s="310"/>
      <c r="AP994" s="310"/>
      <c r="AQ994" s="698" t="s">
        <v>2631</v>
      </c>
      <c r="AR994" s="310"/>
      <c r="AS994" s="310"/>
    </row>
    <row r="995" spans="13:45" customFormat="1" ht="11.25" customHeight="1">
      <c r="M995" s="696" t="s">
        <v>2918</v>
      </c>
      <c r="N995" s="709" t="s">
        <v>2633</v>
      </c>
      <c r="O995" s="189" t="s">
        <v>758</v>
      </c>
      <c r="AB995" s="248"/>
      <c r="AC995" s="248"/>
      <c r="AD995" s="248"/>
      <c r="AE995" s="462"/>
      <c r="AF995" s="462"/>
      <c r="AG995" s="462"/>
      <c r="AH995" s="248"/>
      <c r="AI995" s="248"/>
      <c r="AJ995" s="248"/>
      <c r="AK995" s="183">
        <f t="shared" si="70"/>
        <v>0</v>
      </c>
      <c r="AL995" s="196"/>
      <c r="AM995" s="196"/>
      <c r="AN995" s="310"/>
      <c r="AO995" s="310"/>
      <c r="AP995" s="310"/>
      <c r="AQ995" s="698" t="s">
        <v>2634</v>
      </c>
      <c r="AR995" s="310"/>
      <c r="AS995" s="310"/>
    </row>
    <row r="996" spans="13:45" customFormat="1" ht="11.25" customHeight="1">
      <c r="M996" s="696" t="s">
        <v>2919</v>
      </c>
      <c r="N996" s="709" t="s">
        <v>2636</v>
      </c>
      <c r="O996" s="189" t="s">
        <v>758</v>
      </c>
      <c r="AB996" s="248"/>
      <c r="AC996" s="248"/>
      <c r="AD996" s="248"/>
      <c r="AE996" s="462"/>
      <c r="AF996" s="462"/>
      <c r="AG996" s="462"/>
      <c r="AH996" s="248"/>
      <c r="AI996" s="248"/>
      <c r="AJ996" s="248"/>
      <c r="AK996" s="183">
        <f t="shared" si="70"/>
        <v>0</v>
      </c>
      <c r="AL996" s="196"/>
      <c r="AM996" s="196"/>
      <c r="AN996" s="310"/>
      <c r="AO996" s="310"/>
      <c r="AP996" s="310"/>
      <c r="AQ996" s="698" t="s">
        <v>2637</v>
      </c>
      <c r="AR996" s="310"/>
      <c r="AS996" s="310"/>
    </row>
    <row r="997" spans="13:45" customFormat="1" ht="11.25" customHeight="1">
      <c r="M997" s="696" t="s">
        <v>2920</v>
      </c>
      <c r="N997" s="709" t="s">
        <v>2639</v>
      </c>
      <c r="O997" s="189" t="s">
        <v>758</v>
      </c>
      <c r="AB997" s="248"/>
      <c r="AC997" s="248"/>
      <c r="AD997" s="248"/>
      <c r="AE997" s="462"/>
      <c r="AF997" s="462"/>
      <c r="AG997" s="462"/>
      <c r="AH997" s="248"/>
      <c r="AI997" s="248"/>
      <c r="AJ997" s="248"/>
      <c r="AK997" s="183">
        <f t="shared" si="70"/>
        <v>0</v>
      </c>
      <c r="AL997" s="196"/>
      <c r="AM997" s="196"/>
      <c r="AN997" s="310"/>
      <c r="AO997" s="310"/>
      <c r="AP997" s="310"/>
      <c r="AQ997" s="698" t="s">
        <v>2640</v>
      </c>
      <c r="AR997" s="310"/>
      <c r="AS997" s="310"/>
    </row>
    <row r="998" spans="13:45" customFormat="1" ht="11.25" customHeight="1">
      <c r="M998" s="696" t="s">
        <v>2921</v>
      </c>
      <c r="N998" s="709" t="s">
        <v>2642</v>
      </c>
      <c r="O998" s="189" t="s">
        <v>758</v>
      </c>
      <c r="AB998" s="248"/>
      <c r="AC998" s="248"/>
      <c r="AD998" s="248"/>
      <c r="AE998" s="462"/>
      <c r="AF998" s="462"/>
      <c r="AG998" s="462"/>
      <c r="AH998" s="248"/>
      <c r="AI998" s="248"/>
      <c r="AJ998" s="248"/>
      <c r="AK998" s="183">
        <f t="shared" si="70"/>
        <v>0</v>
      </c>
      <c r="AL998" s="196"/>
      <c r="AM998" s="196"/>
      <c r="AN998" s="310"/>
      <c r="AO998" s="310"/>
      <c r="AP998" s="310"/>
      <c r="AQ998" s="698" t="s">
        <v>2643</v>
      </c>
      <c r="AR998" s="310"/>
      <c r="AS998" s="310"/>
    </row>
    <row r="999" spans="13:45" customFormat="1" ht="11.25" customHeight="1">
      <c r="M999" s="696" t="s">
        <v>2922</v>
      </c>
      <c r="N999" s="709" t="s">
        <v>2645</v>
      </c>
      <c r="O999" s="189" t="s">
        <v>758</v>
      </c>
      <c r="AB999" s="248"/>
      <c r="AC999" s="248"/>
      <c r="AD999" s="248"/>
      <c r="AE999" s="462"/>
      <c r="AF999" s="462"/>
      <c r="AG999" s="462"/>
      <c r="AH999" s="248"/>
      <c r="AI999" s="248"/>
      <c r="AJ999" s="248"/>
      <c r="AK999" s="183">
        <f t="shared" si="70"/>
        <v>0</v>
      </c>
      <c r="AL999" s="196"/>
      <c r="AM999" s="196"/>
      <c r="AN999" s="310"/>
      <c r="AO999" s="310"/>
      <c r="AP999" s="310"/>
      <c r="AQ999" s="698" t="s">
        <v>2646</v>
      </c>
      <c r="AR999" s="310"/>
      <c r="AS999" s="310"/>
    </row>
    <row r="1000" spans="13:45" customFormat="1" ht="11.25" customHeight="1">
      <c r="M1000" s="696" t="s">
        <v>2923</v>
      </c>
      <c r="N1000" s="709" t="s">
        <v>1325</v>
      </c>
      <c r="O1000" s="189" t="s">
        <v>758</v>
      </c>
      <c r="AB1000" s="248"/>
      <c r="AC1000" s="248"/>
      <c r="AD1000" s="248"/>
      <c r="AE1000" s="462"/>
      <c r="AF1000" s="462"/>
      <c r="AG1000" s="462"/>
      <c r="AH1000" s="248"/>
      <c r="AI1000" s="248"/>
      <c r="AJ1000" s="248"/>
      <c r="AK1000" s="183">
        <f t="shared" si="70"/>
        <v>0</v>
      </c>
      <c r="AL1000" s="196"/>
      <c r="AM1000" s="196"/>
      <c r="AN1000" s="310"/>
      <c r="AO1000" s="310"/>
      <c r="AP1000" s="310"/>
      <c r="AQ1000" s="698" t="s">
        <v>2648</v>
      </c>
      <c r="AR1000" s="310"/>
      <c r="AS1000" s="310"/>
    </row>
    <row r="1001" spans="13:45" customFormat="1" ht="11.25" customHeight="1">
      <c r="M1001" s="696" t="s">
        <v>2924</v>
      </c>
      <c r="N1001" s="709" t="s">
        <v>1326</v>
      </c>
      <c r="O1001" s="189" t="s">
        <v>758</v>
      </c>
      <c r="AB1001" s="248"/>
      <c r="AC1001" s="248"/>
      <c r="AD1001" s="248"/>
      <c r="AE1001" s="462"/>
      <c r="AF1001" s="462"/>
      <c r="AG1001" s="462"/>
      <c r="AH1001" s="248"/>
      <c r="AI1001" s="248"/>
      <c r="AJ1001" s="248"/>
      <c r="AK1001" s="183">
        <f t="shared" si="70"/>
        <v>0</v>
      </c>
      <c r="AL1001" s="196"/>
      <c r="AM1001" s="196"/>
      <c r="AN1001" s="310"/>
      <c r="AO1001" s="310"/>
      <c r="AP1001" s="310"/>
      <c r="AQ1001" s="698" t="s">
        <v>2650</v>
      </c>
      <c r="AR1001" s="310"/>
      <c r="AS1001" s="310"/>
    </row>
    <row r="1002" spans="13:45" customFormat="1" ht="11.25" customHeight="1">
      <c r="M1002" s="696" t="s">
        <v>2925</v>
      </c>
      <c r="N1002" s="709" t="s">
        <v>2652</v>
      </c>
      <c r="O1002" s="189" t="s">
        <v>758</v>
      </c>
      <c r="AB1002" s="248"/>
      <c r="AC1002" s="248"/>
      <c r="AD1002" s="248"/>
      <c r="AE1002" s="462"/>
      <c r="AF1002" s="462"/>
      <c r="AG1002" s="462"/>
      <c r="AH1002" s="248"/>
      <c r="AI1002" s="248"/>
      <c r="AJ1002" s="248"/>
      <c r="AK1002" s="183">
        <f t="shared" si="70"/>
        <v>0</v>
      </c>
      <c r="AL1002" s="196"/>
      <c r="AM1002" s="196"/>
      <c r="AN1002" s="310"/>
      <c r="AO1002" s="310"/>
      <c r="AP1002" s="310"/>
      <c r="AQ1002" s="698" t="s">
        <v>2653</v>
      </c>
      <c r="AR1002" s="310"/>
      <c r="AS1002" s="310"/>
    </row>
    <row r="1003" spans="13:45" customFormat="1" ht="11.25" customHeight="1">
      <c r="M1003" s="718"/>
      <c r="N1003" s="460"/>
      <c r="O1003" s="461"/>
      <c r="AB1003" s="248"/>
      <c r="AC1003" s="248"/>
      <c r="AD1003" s="248"/>
      <c r="AE1003" s="462"/>
      <c r="AF1003" s="462"/>
      <c r="AG1003" s="462"/>
      <c r="AH1003" s="248"/>
      <c r="AI1003" s="248"/>
      <c r="AJ1003" s="248"/>
      <c r="AK1003" s="462"/>
      <c r="AL1003" s="462"/>
      <c r="AM1003" s="462"/>
      <c r="AN1003" s="310"/>
      <c r="AO1003" s="310"/>
      <c r="AP1003" s="310"/>
      <c r="AQ1003" s="698"/>
      <c r="AR1003" s="310"/>
      <c r="AS1003" s="310"/>
    </row>
    <row r="1004" spans="13:45" customFormat="1" ht="11.25" customHeight="1">
      <c r="M1004" s="718"/>
      <c r="N1004" s="460"/>
      <c r="O1004" s="461"/>
      <c r="AB1004" s="248"/>
      <c r="AC1004" s="248"/>
      <c r="AD1004" s="248"/>
      <c r="AE1004" s="462"/>
      <c r="AF1004" s="462"/>
      <c r="AG1004" s="462"/>
      <c r="AH1004" s="248"/>
      <c r="AI1004" s="248"/>
      <c r="AJ1004" s="248"/>
      <c r="AK1004" s="462"/>
      <c r="AL1004" s="462"/>
      <c r="AM1004" s="462"/>
      <c r="AN1004" s="310"/>
      <c r="AO1004" s="310"/>
      <c r="AP1004" s="310"/>
      <c r="AQ1004" s="698"/>
      <c r="AR1004" s="310"/>
      <c r="AS1004" s="310"/>
    </row>
    <row r="1005" spans="13:45" customFormat="1" ht="11.25" customHeight="1">
      <c r="M1005" s="696" t="s">
        <v>1748</v>
      </c>
      <c r="N1005" s="719" t="s">
        <v>1327</v>
      </c>
      <c r="O1005" s="189" t="s">
        <v>758</v>
      </c>
      <c r="AB1005" s="248"/>
      <c r="AC1005" s="248"/>
      <c r="AD1005" s="248"/>
      <c r="AE1005" s="462"/>
      <c r="AF1005" s="462"/>
      <c r="AG1005" s="462"/>
      <c r="AH1005" s="248"/>
      <c r="AI1005" s="248"/>
      <c r="AJ1005" s="248"/>
      <c r="AK1005" s="183">
        <f t="shared" ref="AK1005:AK1011" si="71">AL1005+AM1005</f>
        <v>0</v>
      </c>
      <c r="AL1005" s="196"/>
      <c r="AM1005" s="196"/>
      <c r="AN1005" s="310"/>
      <c r="AO1005" s="310"/>
      <c r="AP1005" s="310"/>
      <c r="AQ1005" s="698" t="s">
        <v>1357</v>
      </c>
      <c r="AR1005" s="310"/>
      <c r="AS1005" s="310"/>
    </row>
    <row r="1006" spans="13:45" customFormat="1" ht="11.25" customHeight="1">
      <c r="M1006" s="696" t="s">
        <v>1749</v>
      </c>
      <c r="N1006" s="712" t="s">
        <v>723</v>
      </c>
      <c r="O1006" s="189" t="s">
        <v>758</v>
      </c>
      <c r="AB1006" s="248"/>
      <c r="AC1006" s="248"/>
      <c r="AD1006" s="248"/>
      <c r="AE1006" s="462"/>
      <c r="AF1006" s="462"/>
      <c r="AG1006" s="462"/>
      <c r="AH1006" s="248"/>
      <c r="AI1006" s="248"/>
      <c r="AJ1006" s="248"/>
      <c r="AK1006" s="183">
        <f t="shared" si="71"/>
        <v>0</v>
      </c>
      <c r="AL1006" s="196"/>
      <c r="AM1006" s="196"/>
      <c r="AN1006" s="310"/>
      <c r="AO1006" s="310"/>
      <c r="AP1006" s="310"/>
      <c r="AQ1006" s="698" t="s">
        <v>1350</v>
      </c>
      <c r="AR1006" s="310"/>
      <c r="AS1006" s="310"/>
    </row>
    <row r="1007" spans="13:45" customFormat="1" ht="11.25" customHeight="1">
      <c r="M1007" s="696" t="s">
        <v>1750</v>
      </c>
      <c r="N1007" s="713" t="s">
        <v>748</v>
      </c>
      <c r="O1007" s="189" t="s">
        <v>758</v>
      </c>
      <c r="AB1007" s="248"/>
      <c r="AC1007" s="248"/>
      <c r="AD1007" s="248"/>
      <c r="AE1007" s="462"/>
      <c r="AF1007" s="462"/>
      <c r="AG1007" s="462"/>
      <c r="AH1007" s="248"/>
      <c r="AI1007" s="248"/>
      <c r="AJ1007" s="248"/>
      <c r="AK1007" s="183">
        <f t="shared" si="71"/>
        <v>0</v>
      </c>
      <c r="AL1007" s="196"/>
      <c r="AM1007" s="196"/>
      <c r="AN1007" s="310"/>
      <c r="AO1007" s="310"/>
      <c r="AP1007" s="310"/>
      <c r="AQ1007" s="698" t="s">
        <v>1351</v>
      </c>
      <c r="AR1007" s="310"/>
      <c r="AS1007" s="310"/>
    </row>
    <row r="1008" spans="13:45" customFormat="1" ht="11.25" customHeight="1">
      <c r="M1008" s="696" t="s">
        <v>1751</v>
      </c>
      <c r="N1008" s="714" t="s">
        <v>315</v>
      </c>
      <c r="O1008" s="189" t="s">
        <v>758</v>
      </c>
      <c r="AB1008" s="248"/>
      <c r="AC1008" s="248"/>
      <c r="AD1008" s="248"/>
      <c r="AE1008" s="462"/>
      <c r="AF1008" s="462"/>
      <c r="AG1008" s="462"/>
      <c r="AH1008" s="248"/>
      <c r="AI1008" s="248"/>
      <c r="AJ1008" s="248"/>
      <c r="AK1008" s="183">
        <f t="shared" si="71"/>
        <v>0</v>
      </c>
      <c r="AL1008" s="196"/>
      <c r="AM1008" s="196"/>
      <c r="AN1008" s="310"/>
      <c r="AO1008" s="310"/>
      <c r="AP1008" s="310"/>
      <c r="AQ1008" s="698" t="s">
        <v>1352</v>
      </c>
      <c r="AR1008" s="310"/>
      <c r="AS1008" s="310"/>
    </row>
    <row r="1009" spans="13:45" customFormat="1" ht="11.25" customHeight="1">
      <c r="M1009" s="696" t="s">
        <v>1752</v>
      </c>
      <c r="N1009" s="715" t="s">
        <v>316</v>
      </c>
      <c r="O1009" s="189" t="s">
        <v>758</v>
      </c>
      <c r="AB1009" s="248"/>
      <c r="AC1009" s="248"/>
      <c r="AD1009" s="248"/>
      <c r="AE1009" s="462"/>
      <c r="AF1009" s="462"/>
      <c r="AG1009" s="462"/>
      <c r="AH1009" s="248"/>
      <c r="AI1009" s="248"/>
      <c r="AJ1009" s="248"/>
      <c r="AK1009" s="183">
        <f t="shared" si="71"/>
        <v>0</v>
      </c>
      <c r="AL1009" s="196"/>
      <c r="AM1009" s="196"/>
      <c r="AN1009" s="310"/>
      <c r="AO1009" s="310"/>
      <c r="AP1009" s="310"/>
      <c r="AQ1009" s="698" t="s">
        <v>1354</v>
      </c>
      <c r="AR1009" s="310"/>
      <c r="AS1009" s="310"/>
    </row>
    <row r="1010" spans="13:45" customFormat="1" ht="11.25" customHeight="1">
      <c r="M1010" s="696" t="s">
        <v>1753</v>
      </c>
      <c r="N1010" s="716" t="s">
        <v>317</v>
      </c>
      <c r="O1010" s="189" t="s">
        <v>758</v>
      </c>
      <c r="AB1010" s="248"/>
      <c r="AC1010" s="248"/>
      <c r="AD1010" s="248"/>
      <c r="AE1010" s="462"/>
      <c r="AF1010" s="462"/>
      <c r="AG1010" s="462"/>
      <c r="AH1010" s="248"/>
      <c r="AI1010" s="248"/>
      <c r="AJ1010" s="248"/>
      <c r="AK1010" s="183">
        <f t="shared" si="71"/>
        <v>0</v>
      </c>
      <c r="AL1010" s="196"/>
      <c r="AM1010" s="196"/>
      <c r="AN1010" s="310"/>
      <c r="AO1010" s="310"/>
      <c r="AP1010" s="310"/>
      <c r="AQ1010" s="698" t="s">
        <v>1353</v>
      </c>
      <c r="AR1010" s="310"/>
      <c r="AS1010" s="310"/>
    </row>
    <row r="1011" spans="13:45" customFormat="1" ht="11.25" customHeight="1">
      <c r="M1011" s="696" t="s">
        <v>1754</v>
      </c>
      <c r="N1011" s="701" t="s">
        <v>318</v>
      </c>
      <c r="O1011" s="189" t="s">
        <v>758</v>
      </c>
      <c r="AB1011" s="248"/>
      <c r="AC1011" s="248"/>
      <c r="AD1011" s="248"/>
      <c r="AE1011" s="462"/>
      <c r="AF1011" s="462"/>
      <c r="AG1011" s="462"/>
      <c r="AH1011" s="248"/>
      <c r="AI1011" s="248"/>
      <c r="AJ1011" s="248"/>
      <c r="AK1011" s="183">
        <f t="shared" si="71"/>
        <v>0</v>
      </c>
      <c r="AL1011" s="196"/>
      <c r="AM1011" s="196"/>
      <c r="AN1011" s="310"/>
      <c r="AO1011" s="310"/>
      <c r="AP1011" s="310"/>
      <c r="AQ1011" s="698" t="s">
        <v>1355</v>
      </c>
      <c r="AR1011" s="310"/>
      <c r="AS1011" s="310"/>
    </row>
    <row r="1012" spans="13:45" customFormat="1" ht="11.25" customHeight="1">
      <c r="M1012" s="718"/>
      <c r="N1012" s="460"/>
      <c r="O1012" s="461"/>
      <c r="AB1012" s="248"/>
      <c r="AC1012" s="248"/>
      <c r="AD1012" s="248"/>
      <c r="AE1012" s="462"/>
      <c r="AF1012" s="462"/>
      <c r="AG1012" s="462"/>
      <c r="AH1012" s="248"/>
      <c r="AI1012" s="248"/>
      <c r="AJ1012" s="248"/>
      <c r="AK1012" s="266"/>
      <c r="AL1012" s="266"/>
      <c r="AM1012" s="266"/>
      <c r="AN1012" s="310"/>
      <c r="AO1012" s="310"/>
      <c r="AP1012" s="310"/>
      <c r="AQ1012" s="698"/>
      <c r="AR1012" s="310"/>
      <c r="AS1012" s="310"/>
    </row>
    <row r="1013" spans="13:45" customFormat="1" ht="11.25" customHeight="1">
      <c r="M1013" s="490" t="s">
        <v>1713</v>
      </c>
      <c r="N1013" s="463" t="s">
        <v>664</v>
      </c>
      <c r="O1013" s="189" t="s">
        <v>195</v>
      </c>
      <c r="AB1013" s="248"/>
      <c r="AC1013" s="248"/>
      <c r="AD1013" s="248"/>
      <c r="AE1013" s="263">
        <f>SUM(AE1014,AE1018:AE1023,AE1024,AE1029,AE1036,AE1037,AE1057:AE1063)</f>
        <v>0</v>
      </c>
      <c r="AF1013" s="263">
        <f>SUM(AF1014,AF1018:AF1023,AF1024,AF1029,AF1036,AF1037,AF1057:AF1063)</f>
        <v>0</v>
      </c>
      <c r="AG1013" s="263">
        <f>SUM(AG1014,AG1018:AG1023,AG1024,AG1029,AG1036,AG1037,AG1057:AG1063)</f>
        <v>0</v>
      </c>
      <c r="AH1013" s="248"/>
      <c r="AI1013" s="248"/>
      <c r="AJ1013" s="248"/>
      <c r="AK1013" s="263">
        <f>SUM(AK1014,AK1018:AK1023,AK1024,AK1029,AK1036,AK1037,AK1057:AK1063)</f>
        <v>0</v>
      </c>
      <c r="AL1013" s="263">
        <f>SUM(AL1014,AL1018:AL1023,AL1024,AL1029,AL1036,AL1037,AL1057:AL1063)</f>
        <v>0</v>
      </c>
      <c r="AM1013" s="263">
        <f>SUM(AM1014,AM1018:AM1023,AM1024,AM1029,AM1036,AM1037,AM1057:AM1063)</f>
        <v>0</v>
      </c>
      <c r="AN1013" s="310"/>
      <c r="AO1013" s="310"/>
      <c r="AP1013" s="310"/>
      <c r="AQ1013" s="36"/>
      <c r="AR1013" s="310"/>
      <c r="AS1013" s="310"/>
    </row>
    <row r="1014" spans="13:45" customFormat="1" ht="11.25" customHeight="1">
      <c r="M1014" s="718"/>
      <c r="N1014" s="460"/>
      <c r="O1014" s="461"/>
      <c r="AB1014" s="248"/>
      <c r="AC1014" s="248"/>
      <c r="AD1014" s="248"/>
      <c r="AE1014" s="462"/>
      <c r="AF1014" s="462"/>
      <c r="AG1014" s="462"/>
      <c r="AH1014" s="248"/>
      <c r="AI1014" s="248"/>
      <c r="AJ1014" s="248"/>
      <c r="AK1014" s="462"/>
      <c r="AL1014" s="462"/>
      <c r="AM1014" s="462"/>
      <c r="AN1014" s="310"/>
      <c r="AO1014" s="310"/>
      <c r="AP1014" s="310"/>
      <c r="AQ1014" s="698"/>
      <c r="AR1014" s="310"/>
      <c r="AS1014" s="310"/>
    </row>
    <row r="1015" spans="13:45" customFormat="1" ht="11.25" customHeight="1">
      <c r="M1015" s="718"/>
      <c r="N1015" s="460"/>
      <c r="O1015" s="461"/>
      <c r="AB1015" s="248"/>
      <c r="AC1015" s="248"/>
      <c r="AD1015" s="248"/>
      <c r="AE1015" s="462"/>
      <c r="AF1015" s="462"/>
      <c r="AG1015" s="462"/>
      <c r="AH1015" s="248"/>
      <c r="AI1015" s="248"/>
      <c r="AJ1015" s="248"/>
      <c r="AK1015" s="462"/>
      <c r="AL1015" s="462"/>
      <c r="AM1015" s="462"/>
      <c r="AN1015" s="310"/>
      <c r="AO1015" s="310"/>
      <c r="AP1015" s="310"/>
      <c r="AQ1015" s="698"/>
      <c r="AR1015" s="310"/>
      <c r="AS1015" s="310"/>
    </row>
    <row r="1016" spans="13:45" customFormat="1" ht="11.25" customHeight="1">
      <c r="M1016" s="718"/>
      <c r="N1016" s="460"/>
      <c r="O1016" s="461"/>
      <c r="AB1016" s="248"/>
      <c r="AC1016" s="248"/>
      <c r="AD1016" s="248"/>
      <c r="AE1016" s="462"/>
      <c r="AF1016" s="462"/>
      <c r="AG1016" s="462"/>
      <c r="AH1016" s="248"/>
      <c r="AI1016" s="248"/>
      <c r="AJ1016" s="248"/>
      <c r="AK1016" s="462"/>
      <c r="AL1016" s="462"/>
      <c r="AM1016" s="462"/>
      <c r="AN1016" s="310"/>
      <c r="AO1016" s="310"/>
      <c r="AP1016" s="310"/>
      <c r="AQ1016" s="698"/>
      <c r="AR1016" s="310"/>
      <c r="AS1016" s="310"/>
    </row>
    <row r="1017" spans="13:45" customFormat="1" ht="11.25" customHeight="1">
      <c r="M1017" s="718"/>
      <c r="N1017" s="460"/>
      <c r="O1017" s="461"/>
      <c r="AB1017" s="248"/>
      <c r="AC1017" s="248"/>
      <c r="AD1017" s="248"/>
      <c r="AE1017" s="462"/>
      <c r="AF1017" s="462"/>
      <c r="AG1017" s="462"/>
      <c r="AH1017" s="248"/>
      <c r="AI1017" s="248"/>
      <c r="AJ1017" s="248"/>
      <c r="AK1017" s="462"/>
      <c r="AL1017" s="462"/>
      <c r="AM1017" s="462"/>
      <c r="AN1017" s="310"/>
      <c r="AO1017" s="310"/>
      <c r="AP1017" s="310"/>
      <c r="AQ1017" s="698"/>
      <c r="AR1017" s="310"/>
      <c r="AS1017" s="310"/>
    </row>
    <row r="1018" spans="13:45" customFormat="1" ht="11.25" customHeight="1">
      <c r="M1018" s="718"/>
      <c r="N1018" s="460"/>
      <c r="O1018" s="461"/>
      <c r="AB1018" s="248"/>
      <c r="AC1018" s="248"/>
      <c r="AD1018" s="248"/>
      <c r="AE1018" s="462"/>
      <c r="AF1018" s="462"/>
      <c r="AG1018" s="462"/>
      <c r="AH1018" s="248"/>
      <c r="AI1018" s="248"/>
      <c r="AJ1018" s="248"/>
      <c r="AK1018" s="462"/>
      <c r="AL1018" s="462"/>
      <c r="AM1018" s="462"/>
      <c r="AN1018" s="310"/>
      <c r="AO1018" s="310"/>
      <c r="AP1018" s="310"/>
      <c r="AQ1018" s="698"/>
      <c r="AR1018" s="310"/>
      <c r="AS1018" s="310"/>
    </row>
    <row r="1019" spans="13:45" customFormat="1" ht="11.25" customHeight="1">
      <c r="M1019" s="718"/>
      <c r="N1019" s="460"/>
      <c r="O1019" s="461"/>
      <c r="AB1019" s="248"/>
      <c r="AC1019" s="248"/>
      <c r="AD1019" s="248"/>
      <c r="AE1019" s="462"/>
      <c r="AF1019" s="462"/>
      <c r="AG1019" s="462"/>
      <c r="AH1019" s="248"/>
      <c r="AI1019" s="248"/>
      <c r="AJ1019" s="248"/>
      <c r="AK1019" s="462"/>
      <c r="AL1019" s="462"/>
      <c r="AM1019" s="462"/>
      <c r="AN1019" s="310"/>
      <c r="AO1019" s="310"/>
      <c r="AP1019" s="310"/>
      <c r="AQ1019" s="698"/>
      <c r="AR1019" s="310"/>
      <c r="AS1019" s="310"/>
    </row>
    <row r="1020" spans="13:45" customFormat="1" ht="11.25" customHeight="1">
      <c r="M1020" s="718"/>
      <c r="N1020" s="460"/>
      <c r="O1020" s="461"/>
      <c r="AB1020" s="248"/>
      <c r="AC1020" s="248"/>
      <c r="AD1020" s="248"/>
      <c r="AE1020" s="462"/>
      <c r="AF1020" s="462"/>
      <c r="AG1020" s="462"/>
      <c r="AH1020" s="248"/>
      <c r="AI1020" s="248"/>
      <c r="AJ1020" s="248"/>
      <c r="AK1020" s="462"/>
      <c r="AL1020" s="462"/>
      <c r="AM1020" s="462"/>
      <c r="AN1020" s="310"/>
      <c r="AO1020" s="310"/>
      <c r="AP1020" s="310"/>
      <c r="AQ1020" s="698"/>
      <c r="AR1020" s="310"/>
      <c r="AS1020" s="310"/>
    </row>
    <row r="1021" spans="13:45" customFormat="1" ht="11.25" customHeight="1">
      <c r="M1021" s="718"/>
      <c r="N1021" s="460"/>
      <c r="O1021" s="461"/>
      <c r="AB1021" s="248"/>
      <c r="AC1021" s="248"/>
      <c r="AD1021" s="248"/>
      <c r="AE1021" s="462"/>
      <c r="AF1021" s="462"/>
      <c r="AG1021" s="462"/>
      <c r="AH1021" s="248"/>
      <c r="AI1021" s="248"/>
      <c r="AJ1021" s="248"/>
      <c r="AK1021" s="462"/>
      <c r="AL1021" s="462"/>
      <c r="AM1021" s="462"/>
      <c r="AN1021" s="310"/>
      <c r="AO1021" s="310"/>
      <c r="AP1021" s="310"/>
      <c r="AQ1021" s="698"/>
      <c r="AR1021" s="310"/>
      <c r="AS1021" s="310"/>
    </row>
    <row r="1022" spans="13:45" customFormat="1" ht="11.25" customHeight="1">
      <c r="M1022" s="696" t="s">
        <v>1714</v>
      </c>
      <c r="N1022" s="701" t="s">
        <v>684</v>
      </c>
      <c r="O1022" s="189" t="s">
        <v>195</v>
      </c>
      <c r="AB1022" s="248"/>
      <c r="AC1022" s="248"/>
      <c r="AD1022" s="248"/>
      <c r="AE1022" s="462"/>
      <c r="AF1022" s="462"/>
      <c r="AG1022" s="462"/>
      <c r="AH1022" s="248"/>
      <c r="AI1022" s="248"/>
      <c r="AJ1022" s="248"/>
      <c r="AK1022" s="183">
        <f t="shared" ref="AK1022:AK1054" si="72">AL1022+AM1022</f>
        <v>0</v>
      </c>
      <c r="AL1022" s="686">
        <f>AL918*AL970/1000</f>
        <v>0</v>
      </c>
      <c r="AM1022" s="686">
        <f>AM918*AM970/1000</f>
        <v>0</v>
      </c>
      <c r="AN1022" s="310"/>
      <c r="AO1022" s="310"/>
      <c r="AP1022" s="310"/>
      <c r="AQ1022" s="698" t="s">
        <v>1332</v>
      </c>
      <c r="AR1022" s="310"/>
      <c r="AS1022" s="310"/>
    </row>
    <row r="1023" spans="13:45" customFormat="1" ht="11.25" customHeight="1">
      <c r="M1023" s="696" t="s">
        <v>1715</v>
      </c>
      <c r="N1023" s="702" t="s">
        <v>718</v>
      </c>
      <c r="O1023" s="189" t="s">
        <v>195</v>
      </c>
      <c r="AB1023" s="248"/>
      <c r="AC1023" s="248"/>
      <c r="AD1023" s="248"/>
      <c r="AE1023" s="462"/>
      <c r="AF1023" s="462"/>
      <c r="AG1023" s="462"/>
      <c r="AH1023" s="248"/>
      <c r="AI1023" s="248"/>
      <c r="AJ1023" s="248"/>
      <c r="AK1023" s="183">
        <f t="shared" si="72"/>
        <v>0</v>
      </c>
      <c r="AL1023" s="686">
        <f>AL919*AL971/1000</f>
        <v>0</v>
      </c>
      <c r="AM1023" s="686">
        <f>AM919*AM971/1000</f>
        <v>0</v>
      </c>
      <c r="AN1023" s="310"/>
      <c r="AO1023" s="310"/>
      <c r="AP1023" s="310"/>
      <c r="AQ1023" s="698" t="s">
        <v>1333</v>
      </c>
      <c r="AR1023" s="310"/>
      <c r="AS1023" s="310"/>
    </row>
    <row r="1024" spans="13:45" customFormat="1" ht="11.25" customHeight="1">
      <c r="M1024" s="696" t="s">
        <v>1716</v>
      </c>
      <c r="N1024" s="703" t="s">
        <v>722</v>
      </c>
      <c r="O1024" s="189" t="s">
        <v>195</v>
      </c>
      <c r="AB1024" s="248"/>
      <c r="AC1024" s="248"/>
      <c r="AD1024" s="248"/>
      <c r="AE1024" s="462"/>
      <c r="AF1024" s="462"/>
      <c r="AG1024" s="462"/>
      <c r="AH1024" s="248"/>
      <c r="AI1024" s="248"/>
      <c r="AJ1024" s="248"/>
      <c r="AK1024" s="183">
        <f t="shared" si="72"/>
        <v>0</v>
      </c>
      <c r="AL1024" s="183">
        <f>SUM(AL1025:AL1028)</f>
        <v>0</v>
      </c>
      <c r="AM1024" s="183">
        <f>SUM(AM1025:AM1028)</f>
        <v>0</v>
      </c>
      <c r="AN1024" s="310"/>
      <c r="AO1024" s="310"/>
      <c r="AP1024" s="310"/>
      <c r="AQ1024" s="698" t="s">
        <v>1334</v>
      </c>
      <c r="AR1024" s="310"/>
      <c r="AS1024" s="310"/>
    </row>
    <row r="1025" spans="13:45" customFormat="1" ht="11.25" customHeight="1">
      <c r="M1025" s="696" t="s">
        <v>1717</v>
      </c>
      <c r="N1025" s="704" t="s">
        <v>1309</v>
      </c>
      <c r="O1025" s="189" t="s">
        <v>195</v>
      </c>
      <c r="AB1025" s="248"/>
      <c r="AC1025" s="248"/>
      <c r="AD1025" s="248"/>
      <c r="AE1025" s="462"/>
      <c r="AF1025" s="462"/>
      <c r="AG1025" s="462"/>
      <c r="AH1025" s="248"/>
      <c r="AI1025" s="248"/>
      <c r="AJ1025" s="248"/>
      <c r="AK1025" s="183">
        <f t="shared" si="72"/>
        <v>0</v>
      </c>
      <c r="AL1025" s="686">
        <f t="shared" ref="AL1025:AM1028" si="73">AL921*AL973/1000</f>
        <v>0</v>
      </c>
      <c r="AM1025" s="686">
        <f t="shared" si="73"/>
        <v>0</v>
      </c>
      <c r="AN1025" s="310"/>
      <c r="AO1025" s="310"/>
      <c r="AP1025" s="310"/>
      <c r="AQ1025" s="698" t="s">
        <v>1335</v>
      </c>
      <c r="AR1025" s="310"/>
      <c r="AS1025" s="310"/>
    </row>
    <row r="1026" spans="13:45" customFormat="1" ht="11.25" customHeight="1">
      <c r="M1026" s="696" t="s">
        <v>1718</v>
      </c>
      <c r="N1026" s="704" t="s">
        <v>1310</v>
      </c>
      <c r="O1026" s="189" t="s">
        <v>195</v>
      </c>
      <c r="AB1026" s="248"/>
      <c r="AC1026" s="248"/>
      <c r="AD1026" s="248"/>
      <c r="AE1026" s="462"/>
      <c r="AF1026" s="462"/>
      <c r="AG1026" s="462"/>
      <c r="AH1026" s="248"/>
      <c r="AI1026" s="248"/>
      <c r="AJ1026" s="248"/>
      <c r="AK1026" s="183">
        <f t="shared" si="72"/>
        <v>0</v>
      </c>
      <c r="AL1026" s="686">
        <f t="shared" si="73"/>
        <v>0</v>
      </c>
      <c r="AM1026" s="686">
        <f t="shared" si="73"/>
        <v>0</v>
      </c>
      <c r="AN1026" s="310"/>
      <c r="AO1026" s="310"/>
      <c r="AP1026" s="310"/>
      <c r="AQ1026" s="698" t="s">
        <v>1336</v>
      </c>
      <c r="AR1026" s="310"/>
      <c r="AS1026" s="310"/>
    </row>
    <row r="1027" spans="13:45" customFormat="1" ht="11.25" customHeight="1">
      <c r="M1027" s="696" t="s">
        <v>1719</v>
      </c>
      <c r="N1027" s="704" t="s">
        <v>1311</v>
      </c>
      <c r="O1027" s="189" t="s">
        <v>195</v>
      </c>
      <c r="AB1027" s="248"/>
      <c r="AC1027" s="248"/>
      <c r="AD1027" s="248"/>
      <c r="AE1027" s="462"/>
      <c r="AF1027" s="462"/>
      <c r="AG1027" s="462"/>
      <c r="AH1027" s="248"/>
      <c r="AI1027" s="248"/>
      <c r="AJ1027" s="248"/>
      <c r="AK1027" s="183">
        <f t="shared" si="72"/>
        <v>0</v>
      </c>
      <c r="AL1027" s="686">
        <f t="shared" si="73"/>
        <v>0</v>
      </c>
      <c r="AM1027" s="686">
        <f t="shared" si="73"/>
        <v>0</v>
      </c>
      <c r="AN1027" s="310"/>
      <c r="AO1027" s="310"/>
      <c r="AP1027" s="310"/>
      <c r="AQ1027" s="698" t="s">
        <v>1337</v>
      </c>
      <c r="AR1027" s="310"/>
      <c r="AS1027" s="310"/>
    </row>
    <row r="1028" spans="13:45" customFormat="1" ht="11.25" customHeight="1">
      <c r="M1028" s="696" t="s">
        <v>1720</v>
      </c>
      <c r="N1028" s="704" t="s">
        <v>1312</v>
      </c>
      <c r="O1028" s="189" t="s">
        <v>195</v>
      </c>
      <c r="AB1028" s="248"/>
      <c r="AC1028" s="248"/>
      <c r="AD1028" s="248"/>
      <c r="AE1028" s="462"/>
      <c r="AF1028" s="462"/>
      <c r="AG1028" s="462"/>
      <c r="AH1028" s="248"/>
      <c r="AI1028" s="248"/>
      <c r="AJ1028" s="248"/>
      <c r="AK1028" s="183">
        <f t="shared" si="72"/>
        <v>0</v>
      </c>
      <c r="AL1028" s="686">
        <f t="shared" si="73"/>
        <v>0</v>
      </c>
      <c r="AM1028" s="686">
        <f t="shared" si="73"/>
        <v>0</v>
      </c>
      <c r="AN1028" s="310"/>
      <c r="AO1028" s="310"/>
      <c r="AP1028" s="310"/>
      <c r="AQ1028" s="698" t="s">
        <v>1338</v>
      </c>
      <c r="AR1028" s="310"/>
      <c r="AS1028" s="310"/>
    </row>
    <row r="1029" spans="13:45" customFormat="1" ht="11.25" customHeight="1">
      <c r="M1029" s="696" t="s">
        <v>1721</v>
      </c>
      <c r="N1029" s="705" t="s">
        <v>720</v>
      </c>
      <c r="O1029" s="189" t="s">
        <v>195</v>
      </c>
      <c r="AB1029" s="248"/>
      <c r="AC1029" s="248"/>
      <c r="AD1029" s="248"/>
      <c r="AE1029" s="462"/>
      <c r="AF1029" s="462"/>
      <c r="AG1029" s="462"/>
      <c r="AH1029" s="248"/>
      <c r="AI1029" s="248"/>
      <c r="AJ1029" s="248"/>
      <c r="AK1029" s="183">
        <f t="shared" si="72"/>
        <v>0</v>
      </c>
      <c r="AL1029" s="183">
        <f>SUM(AL1030:AL1035)</f>
        <v>0</v>
      </c>
      <c r="AM1029" s="183">
        <f>SUM(AM1030:AM1035)</f>
        <v>0</v>
      </c>
      <c r="AN1029" s="310"/>
      <c r="AO1029" s="310"/>
      <c r="AP1029" s="310"/>
      <c r="AQ1029" s="698" t="s">
        <v>1343</v>
      </c>
      <c r="AR1029" s="310"/>
      <c r="AS1029" s="310"/>
    </row>
    <row r="1030" spans="13:45" customFormat="1" ht="11.25" customHeight="1">
      <c r="M1030" s="696" t="s">
        <v>1883</v>
      </c>
      <c r="N1030" s="706" t="s">
        <v>1313</v>
      </c>
      <c r="O1030" s="189" t="s">
        <v>195</v>
      </c>
      <c r="AB1030" s="248"/>
      <c r="AC1030" s="248"/>
      <c r="AD1030" s="248"/>
      <c r="AE1030" s="462"/>
      <c r="AF1030" s="462"/>
      <c r="AG1030" s="462"/>
      <c r="AH1030" s="248"/>
      <c r="AI1030" s="248"/>
      <c r="AJ1030" s="248"/>
      <c r="AK1030" s="183">
        <f t="shared" si="72"/>
        <v>0</v>
      </c>
      <c r="AL1030" s="686">
        <f t="shared" ref="AL1030:AM1036" si="74">AL926*AL978/1000</f>
        <v>0</v>
      </c>
      <c r="AM1030" s="686">
        <f t="shared" si="74"/>
        <v>0</v>
      </c>
      <c r="AN1030" s="310"/>
      <c r="AO1030" s="310"/>
      <c r="AP1030" s="310"/>
      <c r="AQ1030" s="698" t="s">
        <v>1866</v>
      </c>
      <c r="AR1030" s="310"/>
      <c r="AS1030" s="310"/>
    </row>
    <row r="1031" spans="13:45" customFormat="1" ht="11.25" customHeight="1">
      <c r="M1031" s="696" t="s">
        <v>1864</v>
      </c>
      <c r="N1031" s="706" t="s">
        <v>1314</v>
      </c>
      <c r="O1031" s="189" t="s">
        <v>195</v>
      </c>
      <c r="AB1031" s="248"/>
      <c r="AC1031" s="248"/>
      <c r="AD1031" s="248"/>
      <c r="AE1031" s="462"/>
      <c r="AF1031" s="462"/>
      <c r="AG1031" s="462"/>
      <c r="AH1031" s="248"/>
      <c r="AI1031" s="248"/>
      <c r="AJ1031" s="248"/>
      <c r="AK1031" s="183">
        <f t="shared" si="72"/>
        <v>0</v>
      </c>
      <c r="AL1031" s="686">
        <f t="shared" si="74"/>
        <v>0</v>
      </c>
      <c r="AM1031" s="686">
        <f t="shared" si="74"/>
        <v>0</v>
      </c>
      <c r="AN1031" s="310"/>
      <c r="AO1031" s="310"/>
      <c r="AP1031" s="310"/>
      <c r="AQ1031" s="698" t="s">
        <v>1847</v>
      </c>
      <c r="AR1031" s="310"/>
      <c r="AS1031" s="310"/>
    </row>
    <row r="1032" spans="13:45" customFormat="1" ht="11.25" customHeight="1">
      <c r="M1032" s="696" t="s">
        <v>1845</v>
      </c>
      <c r="N1032" s="706" t="s">
        <v>1315</v>
      </c>
      <c r="O1032" s="189" t="s">
        <v>195</v>
      </c>
      <c r="AB1032" s="248"/>
      <c r="AC1032" s="248"/>
      <c r="AD1032" s="248"/>
      <c r="AE1032" s="462"/>
      <c r="AF1032" s="462"/>
      <c r="AG1032" s="462"/>
      <c r="AH1032" s="248"/>
      <c r="AI1032" s="248"/>
      <c r="AJ1032" s="248"/>
      <c r="AK1032" s="183">
        <f t="shared" si="72"/>
        <v>0</v>
      </c>
      <c r="AL1032" s="686">
        <f t="shared" si="74"/>
        <v>0</v>
      </c>
      <c r="AM1032" s="686">
        <f t="shared" si="74"/>
        <v>0</v>
      </c>
      <c r="AN1032" s="310"/>
      <c r="AO1032" s="310"/>
      <c r="AP1032" s="310"/>
      <c r="AQ1032" s="698" t="s">
        <v>1827</v>
      </c>
      <c r="AR1032" s="310"/>
      <c r="AS1032" s="310"/>
    </row>
    <row r="1033" spans="13:45" customFormat="1" ht="11.25" customHeight="1">
      <c r="M1033" s="696" t="s">
        <v>1722</v>
      </c>
      <c r="N1033" s="706" t="s">
        <v>1316</v>
      </c>
      <c r="O1033" s="189" t="s">
        <v>195</v>
      </c>
      <c r="AB1033" s="248"/>
      <c r="AC1033" s="248"/>
      <c r="AD1033" s="248"/>
      <c r="AE1033" s="462"/>
      <c r="AF1033" s="462"/>
      <c r="AG1033" s="462"/>
      <c r="AH1033" s="248"/>
      <c r="AI1033" s="248"/>
      <c r="AJ1033" s="248"/>
      <c r="AK1033" s="183">
        <f t="shared" si="72"/>
        <v>0</v>
      </c>
      <c r="AL1033" s="686">
        <f t="shared" si="74"/>
        <v>0</v>
      </c>
      <c r="AM1033" s="686">
        <f t="shared" si="74"/>
        <v>0</v>
      </c>
      <c r="AN1033" s="310"/>
      <c r="AO1033" s="310"/>
      <c r="AP1033" s="310"/>
      <c r="AQ1033" s="698" t="s">
        <v>1344</v>
      </c>
      <c r="AR1033" s="310"/>
      <c r="AS1033" s="310"/>
    </row>
    <row r="1034" spans="13:45" customFormat="1" ht="11.25" customHeight="1">
      <c r="M1034" s="696" t="s">
        <v>1723</v>
      </c>
      <c r="N1034" s="706" t="s">
        <v>1317</v>
      </c>
      <c r="O1034" s="189" t="s">
        <v>195</v>
      </c>
      <c r="AB1034" s="248"/>
      <c r="AC1034" s="248"/>
      <c r="AD1034" s="248"/>
      <c r="AE1034" s="462"/>
      <c r="AF1034" s="462"/>
      <c r="AG1034" s="462"/>
      <c r="AH1034" s="248"/>
      <c r="AI1034" s="248"/>
      <c r="AJ1034" s="248"/>
      <c r="AK1034" s="183">
        <f t="shared" si="72"/>
        <v>0</v>
      </c>
      <c r="AL1034" s="686">
        <f t="shared" si="74"/>
        <v>0</v>
      </c>
      <c r="AM1034" s="686">
        <f t="shared" si="74"/>
        <v>0</v>
      </c>
      <c r="AN1034" s="310"/>
      <c r="AO1034" s="310"/>
      <c r="AP1034" s="310"/>
      <c r="AQ1034" s="698" t="s">
        <v>1345</v>
      </c>
      <c r="AR1034" s="310"/>
      <c r="AS1034" s="310"/>
    </row>
    <row r="1035" spans="13:45" customFormat="1" ht="11.25" customHeight="1">
      <c r="M1035" s="696" t="s">
        <v>1724</v>
      </c>
      <c r="N1035" s="706" t="s">
        <v>1318</v>
      </c>
      <c r="O1035" s="189" t="s">
        <v>195</v>
      </c>
      <c r="AB1035" s="248"/>
      <c r="AC1035" s="248"/>
      <c r="AD1035" s="248"/>
      <c r="AE1035" s="462"/>
      <c r="AF1035" s="462"/>
      <c r="AG1035" s="462"/>
      <c r="AH1035" s="248"/>
      <c r="AI1035" s="248"/>
      <c r="AJ1035" s="248"/>
      <c r="AK1035" s="183">
        <f t="shared" si="72"/>
        <v>0</v>
      </c>
      <c r="AL1035" s="686">
        <f t="shared" si="74"/>
        <v>0</v>
      </c>
      <c r="AM1035" s="686">
        <f t="shared" si="74"/>
        <v>0</v>
      </c>
      <c r="AN1035" s="310"/>
      <c r="AO1035" s="310"/>
      <c r="AP1035" s="310"/>
      <c r="AQ1035" s="698" t="s">
        <v>1346</v>
      </c>
      <c r="AR1035" s="310"/>
      <c r="AS1035" s="310"/>
    </row>
    <row r="1036" spans="13:45" customFormat="1" ht="11.25" customHeight="1">
      <c r="M1036" s="696" t="s">
        <v>1725</v>
      </c>
      <c r="N1036" s="707" t="s">
        <v>721</v>
      </c>
      <c r="O1036" s="189" t="s">
        <v>195</v>
      </c>
      <c r="AB1036" s="248"/>
      <c r="AC1036" s="248"/>
      <c r="AD1036" s="248"/>
      <c r="AE1036" s="462"/>
      <c r="AF1036" s="462"/>
      <c r="AG1036" s="462"/>
      <c r="AH1036" s="248"/>
      <c r="AI1036" s="248"/>
      <c r="AJ1036" s="248"/>
      <c r="AK1036" s="183">
        <f t="shared" si="72"/>
        <v>0</v>
      </c>
      <c r="AL1036" s="686">
        <f t="shared" si="74"/>
        <v>0</v>
      </c>
      <c r="AM1036" s="686">
        <f t="shared" si="74"/>
        <v>0</v>
      </c>
      <c r="AN1036" s="310"/>
      <c r="AO1036" s="310"/>
      <c r="AP1036" s="310"/>
      <c r="AQ1036" s="698" t="s">
        <v>1347</v>
      </c>
      <c r="AR1036" s="310"/>
      <c r="AS1036" s="310"/>
    </row>
    <row r="1037" spans="13:45" customFormat="1" ht="11.25" customHeight="1">
      <c r="M1037" s="696" t="s">
        <v>1726</v>
      </c>
      <c r="N1037" s="708" t="s">
        <v>712</v>
      </c>
      <c r="O1037" s="189" t="s">
        <v>195</v>
      </c>
      <c r="AB1037" s="248"/>
      <c r="AC1037" s="248"/>
      <c r="AD1037" s="248"/>
      <c r="AE1037" s="462"/>
      <c r="AF1037" s="462"/>
      <c r="AG1037" s="462"/>
      <c r="AH1037" s="248"/>
      <c r="AI1037" s="248"/>
      <c r="AJ1037" s="248"/>
      <c r="AK1037" s="183">
        <f t="shared" si="72"/>
        <v>0</v>
      </c>
      <c r="AL1037" s="183">
        <f>SUM(AL1038:AL1054)</f>
        <v>0</v>
      </c>
      <c r="AM1037" s="183">
        <f>SUM(AM1038:AM1054)</f>
        <v>0</v>
      </c>
      <c r="AN1037" s="310"/>
      <c r="AO1037" s="310"/>
      <c r="AP1037" s="310"/>
      <c r="AQ1037" s="698" t="s">
        <v>1348</v>
      </c>
      <c r="AR1037" s="310"/>
      <c r="AS1037" s="310"/>
    </row>
    <row r="1038" spans="13:45" customFormat="1" ht="11.25" customHeight="1">
      <c r="M1038" s="696" t="s">
        <v>2926</v>
      </c>
      <c r="N1038" s="709" t="s">
        <v>1319</v>
      </c>
      <c r="O1038" s="189" t="s">
        <v>195</v>
      </c>
      <c r="AB1038" s="248"/>
      <c r="AC1038" s="248"/>
      <c r="AD1038" s="248"/>
      <c r="AE1038" s="462"/>
      <c r="AF1038" s="462"/>
      <c r="AG1038" s="462"/>
      <c r="AH1038" s="248"/>
      <c r="AI1038" s="248"/>
      <c r="AJ1038" s="248"/>
      <c r="AK1038" s="183">
        <f t="shared" si="72"/>
        <v>0</v>
      </c>
      <c r="AL1038" s="686">
        <f t="shared" ref="AL1038:AM1053" si="75">AL934*AL986/1000</f>
        <v>0</v>
      </c>
      <c r="AM1038" s="686">
        <f t="shared" si="75"/>
        <v>0</v>
      </c>
      <c r="AN1038" s="310"/>
      <c r="AO1038" s="310"/>
      <c r="AP1038" s="310"/>
      <c r="AQ1038" s="698" t="s">
        <v>2612</v>
      </c>
      <c r="AR1038" s="310"/>
      <c r="AS1038" s="310"/>
    </row>
    <row r="1039" spans="13:45" customFormat="1" ht="11.25" customHeight="1">
      <c r="M1039" s="696" t="s">
        <v>2927</v>
      </c>
      <c r="N1039" s="709" t="s">
        <v>1320</v>
      </c>
      <c r="O1039" s="189" t="s">
        <v>195</v>
      </c>
      <c r="AB1039" s="248"/>
      <c r="AC1039" s="248"/>
      <c r="AD1039" s="248"/>
      <c r="AE1039" s="462"/>
      <c r="AF1039" s="462"/>
      <c r="AG1039" s="462"/>
      <c r="AH1039" s="248"/>
      <c r="AI1039" s="248"/>
      <c r="AJ1039" s="248"/>
      <c r="AK1039" s="183">
        <f t="shared" si="72"/>
        <v>0</v>
      </c>
      <c r="AL1039" s="686">
        <f t="shared" si="75"/>
        <v>0</v>
      </c>
      <c r="AM1039" s="686">
        <f t="shared" si="75"/>
        <v>0</v>
      </c>
      <c r="AN1039" s="310"/>
      <c r="AO1039" s="310"/>
      <c r="AP1039" s="310"/>
      <c r="AQ1039" s="698" t="s">
        <v>2614</v>
      </c>
      <c r="AR1039" s="310"/>
      <c r="AS1039" s="310"/>
    </row>
    <row r="1040" spans="13:45" customFormat="1" ht="11.25" customHeight="1">
      <c r="M1040" s="696" t="s">
        <v>2928</v>
      </c>
      <c r="N1040" s="709" t="s">
        <v>1321</v>
      </c>
      <c r="O1040" s="189" t="s">
        <v>195</v>
      </c>
      <c r="AB1040" s="248"/>
      <c r="AC1040" s="248"/>
      <c r="AD1040" s="248"/>
      <c r="AE1040" s="462"/>
      <c r="AF1040" s="462"/>
      <c r="AG1040" s="462"/>
      <c r="AH1040" s="248"/>
      <c r="AI1040" s="248"/>
      <c r="AJ1040" s="248"/>
      <c r="AK1040" s="183">
        <f t="shared" si="72"/>
        <v>0</v>
      </c>
      <c r="AL1040" s="686">
        <f t="shared" si="75"/>
        <v>0</v>
      </c>
      <c r="AM1040" s="686">
        <f t="shared" si="75"/>
        <v>0</v>
      </c>
      <c r="AN1040" s="310"/>
      <c r="AO1040" s="310"/>
      <c r="AP1040" s="310"/>
      <c r="AQ1040" s="698" t="s">
        <v>2616</v>
      </c>
      <c r="AR1040" s="310"/>
      <c r="AS1040" s="310"/>
    </row>
    <row r="1041" spans="13:45" customFormat="1" ht="11.25" customHeight="1">
      <c r="M1041" s="696" t="s">
        <v>2929</v>
      </c>
      <c r="N1041" s="709" t="s">
        <v>2618</v>
      </c>
      <c r="O1041" s="189" t="s">
        <v>195</v>
      </c>
      <c r="AB1041" s="248"/>
      <c r="AC1041" s="248"/>
      <c r="AD1041" s="248"/>
      <c r="AE1041" s="462"/>
      <c r="AF1041" s="462"/>
      <c r="AG1041" s="462"/>
      <c r="AH1041" s="248"/>
      <c r="AI1041" s="248"/>
      <c r="AJ1041" s="248"/>
      <c r="AK1041" s="183">
        <f t="shared" si="72"/>
        <v>0</v>
      </c>
      <c r="AL1041" s="686">
        <f t="shared" si="75"/>
        <v>0</v>
      </c>
      <c r="AM1041" s="686">
        <f t="shared" si="75"/>
        <v>0</v>
      </c>
      <c r="AN1041" s="310"/>
      <c r="AO1041" s="310"/>
      <c r="AP1041" s="310"/>
      <c r="AQ1041" s="698" t="s">
        <v>2619</v>
      </c>
      <c r="AR1041" s="310"/>
      <c r="AS1041" s="310"/>
    </row>
    <row r="1042" spans="13:45" customFormat="1" ht="11.25" customHeight="1">
      <c r="M1042" s="696" t="s">
        <v>2930</v>
      </c>
      <c r="N1042" s="709" t="s">
        <v>2621</v>
      </c>
      <c r="O1042" s="189" t="s">
        <v>195</v>
      </c>
      <c r="AB1042" s="248"/>
      <c r="AC1042" s="248"/>
      <c r="AD1042" s="248"/>
      <c r="AE1042" s="462"/>
      <c r="AF1042" s="462"/>
      <c r="AG1042" s="462"/>
      <c r="AH1042" s="248"/>
      <c r="AI1042" s="248"/>
      <c r="AJ1042" s="248"/>
      <c r="AK1042" s="183">
        <f t="shared" si="72"/>
        <v>0</v>
      </c>
      <c r="AL1042" s="686">
        <f t="shared" si="75"/>
        <v>0</v>
      </c>
      <c r="AM1042" s="686">
        <f t="shared" si="75"/>
        <v>0</v>
      </c>
      <c r="AN1042" s="310"/>
      <c r="AO1042" s="310"/>
      <c r="AP1042" s="310"/>
      <c r="AQ1042" s="698" t="s">
        <v>2622</v>
      </c>
      <c r="AR1042" s="310"/>
      <c r="AS1042" s="310"/>
    </row>
    <row r="1043" spans="13:45" customFormat="1" ht="11.25" customHeight="1">
      <c r="M1043" s="696" t="s">
        <v>2931</v>
      </c>
      <c r="N1043" s="709" t="s">
        <v>1322</v>
      </c>
      <c r="O1043" s="189" t="s">
        <v>195</v>
      </c>
      <c r="AB1043" s="248"/>
      <c r="AC1043" s="248"/>
      <c r="AD1043" s="248"/>
      <c r="AE1043" s="462"/>
      <c r="AF1043" s="462"/>
      <c r="AG1043" s="462"/>
      <c r="AH1043" s="248"/>
      <c r="AI1043" s="248"/>
      <c r="AJ1043" s="248"/>
      <c r="AK1043" s="183">
        <f t="shared" si="72"/>
        <v>0</v>
      </c>
      <c r="AL1043" s="686">
        <f t="shared" si="75"/>
        <v>0</v>
      </c>
      <c r="AM1043" s="686">
        <f t="shared" si="75"/>
        <v>0</v>
      </c>
      <c r="AN1043" s="310"/>
      <c r="AO1043" s="310"/>
      <c r="AP1043" s="310"/>
      <c r="AQ1043" s="698" t="s">
        <v>2624</v>
      </c>
      <c r="AR1043" s="310"/>
      <c r="AS1043" s="310"/>
    </row>
    <row r="1044" spans="13:45" customFormat="1" ht="11.25" customHeight="1">
      <c r="M1044" s="696" t="s">
        <v>2932</v>
      </c>
      <c r="N1044" s="709" t="s">
        <v>2626</v>
      </c>
      <c r="O1044" s="189" t="s">
        <v>195</v>
      </c>
      <c r="AB1044" s="248"/>
      <c r="AC1044" s="248"/>
      <c r="AD1044" s="248"/>
      <c r="AE1044" s="462"/>
      <c r="AF1044" s="462"/>
      <c r="AG1044" s="462"/>
      <c r="AH1044" s="248"/>
      <c r="AI1044" s="248"/>
      <c r="AJ1044" s="248"/>
      <c r="AK1044" s="183">
        <f t="shared" si="72"/>
        <v>0</v>
      </c>
      <c r="AL1044" s="686">
        <f t="shared" si="75"/>
        <v>0</v>
      </c>
      <c r="AM1044" s="686">
        <f t="shared" si="75"/>
        <v>0</v>
      </c>
      <c r="AN1044" s="310"/>
      <c r="AO1044" s="310"/>
      <c r="AP1044" s="310"/>
      <c r="AQ1044" s="698" t="s">
        <v>2627</v>
      </c>
      <c r="AR1044" s="310"/>
      <c r="AS1044" s="310"/>
    </row>
    <row r="1045" spans="13:45" customFormat="1" ht="11.25" customHeight="1">
      <c r="M1045" s="696" t="s">
        <v>2933</v>
      </c>
      <c r="N1045" s="709" t="s">
        <v>1323</v>
      </c>
      <c r="O1045" s="189" t="s">
        <v>195</v>
      </c>
      <c r="AB1045" s="248"/>
      <c r="AC1045" s="248"/>
      <c r="AD1045" s="248"/>
      <c r="AE1045" s="462"/>
      <c r="AF1045" s="462"/>
      <c r="AG1045" s="462"/>
      <c r="AH1045" s="248"/>
      <c r="AI1045" s="248"/>
      <c r="AJ1045" s="248"/>
      <c r="AK1045" s="183">
        <f t="shared" si="72"/>
        <v>0</v>
      </c>
      <c r="AL1045" s="686">
        <f t="shared" si="75"/>
        <v>0</v>
      </c>
      <c r="AM1045" s="686">
        <f t="shared" si="75"/>
        <v>0</v>
      </c>
      <c r="AN1045" s="310"/>
      <c r="AO1045" s="310"/>
      <c r="AP1045" s="310"/>
      <c r="AQ1045" s="698" t="s">
        <v>2629</v>
      </c>
      <c r="AR1045" s="310"/>
      <c r="AS1045" s="310"/>
    </row>
    <row r="1046" spans="13:45" customFormat="1" ht="11.25" customHeight="1">
      <c r="M1046" s="696" t="s">
        <v>2934</v>
      </c>
      <c r="N1046" s="709" t="s">
        <v>1324</v>
      </c>
      <c r="O1046" s="189" t="s">
        <v>195</v>
      </c>
      <c r="AB1046" s="248"/>
      <c r="AC1046" s="248"/>
      <c r="AD1046" s="248"/>
      <c r="AE1046" s="462"/>
      <c r="AF1046" s="462"/>
      <c r="AG1046" s="462"/>
      <c r="AH1046" s="248"/>
      <c r="AI1046" s="248"/>
      <c r="AJ1046" s="248"/>
      <c r="AK1046" s="183">
        <f t="shared" si="72"/>
        <v>0</v>
      </c>
      <c r="AL1046" s="686">
        <f t="shared" si="75"/>
        <v>0</v>
      </c>
      <c r="AM1046" s="686">
        <f t="shared" si="75"/>
        <v>0</v>
      </c>
      <c r="AN1046" s="310"/>
      <c r="AO1046" s="310"/>
      <c r="AP1046" s="310"/>
      <c r="AQ1046" s="698" t="s">
        <v>2631</v>
      </c>
      <c r="AR1046" s="310"/>
      <c r="AS1046" s="310"/>
    </row>
    <row r="1047" spans="13:45" customFormat="1" ht="11.25" customHeight="1">
      <c r="M1047" s="696" t="s">
        <v>2935</v>
      </c>
      <c r="N1047" s="709" t="s">
        <v>2633</v>
      </c>
      <c r="O1047" s="189" t="s">
        <v>195</v>
      </c>
      <c r="AB1047" s="248"/>
      <c r="AC1047" s="248"/>
      <c r="AD1047" s="248"/>
      <c r="AE1047" s="462"/>
      <c r="AF1047" s="462"/>
      <c r="AG1047" s="462"/>
      <c r="AH1047" s="248"/>
      <c r="AI1047" s="248"/>
      <c r="AJ1047" s="248"/>
      <c r="AK1047" s="183">
        <f t="shared" si="72"/>
        <v>0</v>
      </c>
      <c r="AL1047" s="686">
        <f t="shared" si="75"/>
        <v>0</v>
      </c>
      <c r="AM1047" s="686">
        <f t="shared" si="75"/>
        <v>0</v>
      </c>
      <c r="AN1047" s="310"/>
      <c r="AO1047" s="310"/>
      <c r="AP1047" s="310"/>
      <c r="AQ1047" s="698" t="s">
        <v>2634</v>
      </c>
      <c r="AR1047" s="310"/>
      <c r="AS1047" s="310"/>
    </row>
    <row r="1048" spans="13:45" customFormat="1" ht="11.25" customHeight="1">
      <c r="M1048" s="696" t="s">
        <v>2936</v>
      </c>
      <c r="N1048" s="709" t="s">
        <v>2636</v>
      </c>
      <c r="O1048" s="189" t="s">
        <v>195</v>
      </c>
      <c r="AB1048" s="248"/>
      <c r="AC1048" s="248"/>
      <c r="AD1048" s="248"/>
      <c r="AE1048" s="462"/>
      <c r="AF1048" s="462"/>
      <c r="AG1048" s="462"/>
      <c r="AH1048" s="248"/>
      <c r="AI1048" s="248"/>
      <c r="AJ1048" s="248"/>
      <c r="AK1048" s="183">
        <f t="shared" si="72"/>
        <v>0</v>
      </c>
      <c r="AL1048" s="686">
        <f t="shared" si="75"/>
        <v>0</v>
      </c>
      <c r="AM1048" s="686">
        <f t="shared" si="75"/>
        <v>0</v>
      </c>
      <c r="AN1048" s="310"/>
      <c r="AO1048" s="310"/>
      <c r="AP1048" s="310"/>
      <c r="AQ1048" s="698" t="s">
        <v>2637</v>
      </c>
      <c r="AR1048" s="310"/>
      <c r="AS1048" s="310"/>
    </row>
    <row r="1049" spans="13:45" customFormat="1" ht="11.25" customHeight="1">
      <c r="M1049" s="696" t="s">
        <v>2937</v>
      </c>
      <c r="N1049" s="709" t="s">
        <v>2639</v>
      </c>
      <c r="O1049" s="189" t="s">
        <v>195</v>
      </c>
      <c r="AB1049" s="248"/>
      <c r="AC1049" s="248"/>
      <c r="AD1049" s="248"/>
      <c r="AE1049" s="462"/>
      <c r="AF1049" s="462"/>
      <c r="AG1049" s="462"/>
      <c r="AH1049" s="248"/>
      <c r="AI1049" s="248"/>
      <c r="AJ1049" s="248"/>
      <c r="AK1049" s="183">
        <f t="shared" si="72"/>
        <v>0</v>
      </c>
      <c r="AL1049" s="686">
        <f t="shared" si="75"/>
        <v>0</v>
      </c>
      <c r="AM1049" s="686">
        <f t="shared" si="75"/>
        <v>0</v>
      </c>
      <c r="AN1049" s="310"/>
      <c r="AO1049" s="310"/>
      <c r="AP1049" s="310"/>
      <c r="AQ1049" s="698" t="s">
        <v>2640</v>
      </c>
      <c r="AR1049" s="310"/>
      <c r="AS1049" s="310"/>
    </row>
    <row r="1050" spans="13:45" customFormat="1" ht="11.25" customHeight="1">
      <c r="M1050" s="696" t="s">
        <v>2938</v>
      </c>
      <c r="N1050" s="709" t="s">
        <v>2642</v>
      </c>
      <c r="O1050" s="189" t="s">
        <v>195</v>
      </c>
      <c r="AB1050" s="248"/>
      <c r="AC1050" s="248"/>
      <c r="AD1050" s="248"/>
      <c r="AE1050" s="462"/>
      <c r="AF1050" s="462"/>
      <c r="AG1050" s="462"/>
      <c r="AH1050" s="248"/>
      <c r="AI1050" s="248"/>
      <c r="AJ1050" s="248"/>
      <c r="AK1050" s="183">
        <f t="shared" si="72"/>
        <v>0</v>
      </c>
      <c r="AL1050" s="686">
        <f t="shared" si="75"/>
        <v>0</v>
      </c>
      <c r="AM1050" s="686">
        <f t="shared" si="75"/>
        <v>0</v>
      </c>
      <c r="AN1050" s="310"/>
      <c r="AO1050" s="310"/>
      <c r="AP1050" s="310"/>
      <c r="AQ1050" s="698" t="s">
        <v>2643</v>
      </c>
      <c r="AR1050" s="310"/>
      <c r="AS1050" s="310"/>
    </row>
    <row r="1051" spans="13:45" customFormat="1" ht="11.25" customHeight="1">
      <c r="M1051" s="696" t="s">
        <v>2939</v>
      </c>
      <c r="N1051" s="709" t="s">
        <v>2645</v>
      </c>
      <c r="O1051" s="189" t="s">
        <v>195</v>
      </c>
      <c r="AB1051" s="248"/>
      <c r="AC1051" s="248"/>
      <c r="AD1051" s="248"/>
      <c r="AE1051" s="462"/>
      <c r="AF1051" s="462"/>
      <c r="AG1051" s="462"/>
      <c r="AH1051" s="248"/>
      <c r="AI1051" s="248"/>
      <c r="AJ1051" s="248"/>
      <c r="AK1051" s="183">
        <f t="shared" si="72"/>
        <v>0</v>
      </c>
      <c r="AL1051" s="686">
        <f t="shared" si="75"/>
        <v>0</v>
      </c>
      <c r="AM1051" s="686">
        <f t="shared" si="75"/>
        <v>0</v>
      </c>
      <c r="AN1051" s="310"/>
      <c r="AO1051" s="310"/>
      <c r="AP1051" s="310"/>
      <c r="AQ1051" s="698" t="s">
        <v>2646</v>
      </c>
      <c r="AR1051" s="310"/>
      <c r="AS1051" s="310"/>
    </row>
    <row r="1052" spans="13:45" customFormat="1" ht="11.25" customHeight="1">
      <c r="M1052" s="696" t="s">
        <v>2940</v>
      </c>
      <c r="N1052" s="709" t="s">
        <v>1325</v>
      </c>
      <c r="O1052" s="189" t="s">
        <v>195</v>
      </c>
      <c r="AB1052" s="248"/>
      <c r="AC1052" s="248"/>
      <c r="AD1052" s="248"/>
      <c r="AE1052" s="462"/>
      <c r="AF1052" s="462"/>
      <c r="AG1052" s="462"/>
      <c r="AH1052" s="248"/>
      <c r="AI1052" s="248"/>
      <c r="AJ1052" s="248"/>
      <c r="AK1052" s="183">
        <f t="shared" si="72"/>
        <v>0</v>
      </c>
      <c r="AL1052" s="686">
        <f t="shared" si="75"/>
        <v>0</v>
      </c>
      <c r="AM1052" s="686">
        <f t="shared" si="75"/>
        <v>0</v>
      </c>
      <c r="AN1052" s="310"/>
      <c r="AO1052" s="310"/>
      <c r="AP1052" s="310"/>
      <c r="AQ1052" s="698" t="s">
        <v>2648</v>
      </c>
      <c r="AR1052" s="310"/>
      <c r="AS1052" s="310"/>
    </row>
    <row r="1053" spans="13:45" customFormat="1" ht="11.25" customHeight="1">
      <c r="M1053" s="696" t="s">
        <v>2941</v>
      </c>
      <c r="N1053" s="709" t="s">
        <v>1326</v>
      </c>
      <c r="O1053" s="189" t="s">
        <v>195</v>
      </c>
      <c r="AB1053" s="248"/>
      <c r="AC1053" s="248"/>
      <c r="AD1053" s="248"/>
      <c r="AE1053" s="462"/>
      <c r="AF1053" s="462"/>
      <c r="AG1053" s="462"/>
      <c r="AH1053" s="248"/>
      <c r="AI1053" s="248"/>
      <c r="AJ1053" s="248"/>
      <c r="AK1053" s="183">
        <f t="shared" si="72"/>
        <v>0</v>
      </c>
      <c r="AL1053" s="686">
        <f t="shared" si="75"/>
        <v>0</v>
      </c>
      <c r="AM1053" s="686">
        <f t="shared" si="75"/>
        <v>0</v>
      </c>
      <c r="AN1053" s="310"/>
      <c r="AO1053" s="310"/>
      <c r="AP1053" s="310"/>
      <c r="AQ1053" s="698" t="s">
        <v>2650</v>
      </c>
      <c r="AR1053" s="310"/>
      <c r="AS1053" s="310"/>
    </row>
    <row r="1054" spans="13:45" customFormat="1" ht="11.25" customHeight="1">
      <c r="M1054" s="696" t="s">
        <v>2942</v>
      </c>
      <c r="N1054" s="709" t="s">
        <v>2652</v>
      </c>
      <c r="O1054" s="189" t="s">
        <v>195</v>
      </c>
      <c r="AB1054" s="248"/>
      <c r="AC1054" s="248"/>
      <c r="AD1054" s="248"/>
      <c r="AE1054" s="462"/>
      <c r="AF1054" s="462"/>
      <c r="AG1054" s="462"/>
      <c r="AH1054" s="248"/>
      <c r="AI1054" s="248"/>
      <c r="AJ1054" s="248"/>
      <c r="AK1054" s="183">
        <f t="shared" si="72"/>
        <v>0</v>
      </c>
      <c r="AL1054" s="686">
        <f>AL950*AL1002/1000</f>
        <v>0</v>
      </c>
      <c r="AM1054" s="686">
        <f>AM950*AM1002/1000</f>
        <v>0</v>
      </c>
      <c r="AN1054" s="310"/>
      <c r="AO1054" s="310"/>
      <c r="AP1054" s="310"/>
      <c r="AQ1054" s="698" t="s">
        <v>2653</v>
      </c>
      <c r="AR1054" s="310"/>
      <c r="AS1054" s="310"/>
    </row>
    <row r="1055" spans="13:45" customFormat="1" ht="11.25" customHeight="1">
      <c r="M1055" s="718"/>
      <c r="N1055" s="460"/>
      <c r="O1055" s="461"/>
      <c r="AB1055" s="248"/>
      <c r="AC1055" s="248"/>
      <c r="AD1055" s="248"/>
      <c r="AE1055" s="462"/>
      <c r="AF1055" s="462"/>
      <c r="AG1055" s="462"/>
      <c r="AH1055" s="248"/>
      <c r="AI1055" s="248"/>
      <c r="AJ1055" s="248"/>
      <c r="AK1055" s="462"/>
      <c r="AL1055" s="462"/>
      <c r="AM1055" s="462"/>
      <c r="AN1055" s="310"/>
      <c r="AO1055" s="310"/>
      <c r="AP1055" s="310"/>
      <c r="AQ1055" s="698"/>
      <c r="AR1055" s="310"/>
      <c r="AS1055" s="310"/>
    </row>
    <row r="1056" spans="13:45" customFormat="1" ht="11.25" customHeight="1">
      <c r="M1056" s="718"/>
      <c r="N1056" s="460"/>
      <c r="O1056" s="461"/>
      <c r="AB1056" s="248"/>
      <c r="AC1056" s="248"/>
      <c r="AD1056" s="248"/>
      <c r="AE1056" s="462"/>
      <c r="AF1056" s="462"/>
      <c r="AG1056" s="462"/>
      <c r="AH1056" s="248"/>
      <c r="AI1056" s="248"/>
      <c r="AJ1056" s="248"/>
      <c r="AK1056" s="462"/>
      <c r="AL1056" s="462"/>
      <c r="AM1056" s="462"/>
      <c r="AN1056" s="310"/>
      <c r="AO1056" s="310"/>
      <c r="AP1056" s="310"/>
      <c r="AQ1056" s="698"/>
      <c r="AR1056" s="310"/>
      <c r="AS1056" s="310"/>
    </row>
    <row r="1057" spans="13:45" customFormat="1" ht="11.25" customHeight="1">
      <c r="M1057" s="696" t="s">
        <v>1727</v>
      </c>
      <c r="N1057" s="719" t="s">
        <v>1327</v>
      </c>
      <c r="O1057" s="189" t="s">
        <v>195</v>
      </c>
      <c r="AB1057" s="248"/>
      <c r="AC1057" s="248"/>
      <c r="AD1057" s="248"/>
      <c r="AE1057" s="462"/>
      <c r="AF1057" s="462"/>
      <c r="AG1057" s="462"/>
      <c r="AH1057" s="248"/>
      <c r="AI1057" s="248"/>
      <c r="AJ1057" s="248"/>
      <c r="AK1057" s="183">
        <f t="shared" ref="AK1057:AK1063" si="76">AL1057+AM1057</f>
        <v>0</v>
      </c>
      <c r="AL1057" s="686">
        <f t="shared" ref="AL1057:AM1063" si="77">AL953*AL1005/1000</f>
        <v>0</v>
      </c>
      <c r="AM1057" s="686">
        <f t="shared" si="77"/>
        <v>0</v>
      </c>
      <c r="AN1057" s="310"/>
      <c r="AO1057" s="310"/>
      <c r="AP1057" s="310"/>
      <c r="AQ1057" s="698" t="s">
        <v>1357</v>
      </c>
      <c r="AR1057" s="310"/>
      <c r="AS1057" s="310"/>
    </row>
    <row r="1058" spans="13:45" customFormat="1" ht="11.25" customHeight="1">
      <c r="M1058" s="696" t="s">
        <v>1728</v>
      </c>
      <c r="N1058" s="712" t="s">
        <v>723</v>
      </c>
      <c r="O1058" s="189" t="s">
        <v>195</v>
      </c>
      <c r="AB1058" s="248"/>
      <c r="AC1058" s="248"/>
      <c r="AD1058" s="248"/>
      <c r="AE1058" s="462"/>
      <c r="AF1058" s="462"/>
      <c r="AG1058" s="462"/>
      <c r="AH1058" s="248"/>
      <c r="AI1058" s="248"/>
      <c r="AJ1058" s="248"/>
      <c r="AK1058" s="183">
        <f t="shared" si="76"/>
        <v>0</v>
      </c>
      <c r="AL1058" s="686">
        <f t="shared" si="77"/>
        <v>0</v>
      </c>
      <c r="AM1058" s="686">
        <f t="shared" si="77"/>
        <v>0</v>
      </c>
      <c r="AN1058" s="310"/>
      <c r="AO1058" s="310"/>
      <c r="AP1058" s="310"/>
      <c r="AQ1058" s="698" t="s">
        <v>1350</v>
      </c>
      <c r="AR1058" s="310"/>
      <c r="AS1058" s="310"/>
    </row>
    <row r="1059" spans="13:45" customFormat="1" ht="11.25" customHeight="1">
      <c r="M1059" s="696" t="s">
        <v>1729</v>
      </c>
      <c r="N1059" s="713" t="s">
        <v>748</v>
      </c>
      <c r="O1059" s="189" t="s">
        <v>195</v>
      </c>
      <c r="AB1059" s="248"/>
      <c r="AC1059" s="248"/>
      <c r="AD1059" s="248"/>
      <c r="AE1059" s="462"/>
      <c r="AF1059" s="462"/>
      <c r="AG1059" s="462"/>
      <c r="AH1059" s="248"/>
      <c r="AI1059" s="248"/>
      <c r="AJ1059" s="248"/>
      <c r="AK1059" s="183">
        <f t="shared" si="76"/>
        <v>0</v>
      </c>
      <c r="AL1059" s="686">
        <f t="shared" si="77"/>
        <v>0</v>
      </c>
      <c r="AM1059" s="686">
        <f t="shared" si="77"/>
        <v>0</v>
      </c>
      <c r="AN1059" s="310"/>
      <c r="AO1059" s="310"/>
      <c r="AP1059" s="310"/>
      <c r="AQ1059" s="698" t="s">
        <v>1351</v>
      </c>
      <c r="AR1059" s="310"/>
      <c r="AS1059" s="310"/>
    </row>
    <row r="1060" spans="13:45" customFormat="1" ht="11.25" customHeight="1">
      <c r="M1060" s="696" t="s">
        <v>1730</v>
      </c>
      <c r="N1060" s="714" t="s">
        <v>315</v>
      </c>
      <c r="O1060" s="189" t="s">
        <v>195</v>
      </c>
      <c r="AB1060" s="248"/>
      <c r="AC1060" s="248"/>
      <c r="AD1060" s="248"/>
      <c r="AE1060" s="462"/>
      <c r="AF1060" s="462"/>
      <c r="AG1060" s="462"/>
      <c r="AH1060" s="248"/>
      <c r="AI1060" s="248"/>
      <c r="AJ1060" s="248"/>
      <c r="AK1060" s="183">
        <f t="shared" si="76"/>
        <v>0</v>
      </c>
      <c r="AL1060" s="686">
        <f t="shared" si="77"/>
        <v>0</v>
      </c>
      <c r="AM1060" s="686">
        <f t="shared" si="77"/>
        <v>0</v>
      </c>
      <c r="AN1060" s="310"/>
      <c r="AO1060" s="310"/>
      <c r="AP1060" s="310"/>
      <c r="AQ1060" s="698" t="s">
        <v>1352</v>
      </c>
      <c r="AR1060" s="310"/>
      <c r="AS1060" s="310"/>
    </row>
    <row r="1061" spans="13:45" customFormat="1" ht="11.25" customHeight="1">
      <c r="M1061" s="696" t="s">
        <v>1731</v>
      </c>
      <c r="N1061" s="715" t="s">
        <v>316</v>
      </c>
      <c r="O1061" s="189" t="s">
        <v>195</v>
      </c>
      <c r="AB1061" s="248"/>
      <c r="AC1061" s="248"/>
      <c r="AD1061" s="248"/>
      <c r="AE1061" s="462"/>
      <c r="AF1061" s="462"/>
      <c r="AG1061" s="462"/>
      <c r="AH1061" s="248"/>
      <c r="AI1061" s="248"/>
      <c r="AJ1061" s="248"/>
      <c r="AK1061" s="183">
        <f t="shared" si="76"/>
        <v>0</v>
      </c>
      <c r="AL1061" s="686">
        <f t="shared" si="77"/>
        <v>0</v>
      </c>
      <c r="AM1061" s="686">
        <f t="shared" si="77"/>
        <v>0</v>
      </c>
      <c r="AN1061" s="310"/>
      <c r="AO1061" s="310"/>
      <c r="AP1061" s="310"/>
      <c r="AQ1061" s="698" t="s">
        <v>1354</v>
      </c>
      <c r="AR1061" s="310"/>
      <c r="AS1061" s="310"/>
    </row>
    <row r="1062" spans="13:45" customFormat="1" ht="11.25" customHeight="1">
      <c r="M1062" s="696" t="s">
        <v>1732</v>
      </c>
      <c r="N1062" s="716" t="s">
        <v>317</v>
      </c>
      <c r="O1062" s="189" t="s">
        <v>195</v>
      </c>
      <c r="AB1062" s="248"/>
      <c r="AC1062" s="248"/>
      <c r="AD1062" s="248"/>
      <c r="AE1062" s="462"/>
      <c r="AF1062" s="462"/>
      <c r="AG1062" s="462"/>
      <c r="AH1062" s="248"/>
      <c r="AI1062" s="248"/>
      <c r="AJ1062" s="248"/>
      <c r="AK1062" s="183">
        <f t="shared" si="76"/>
        <v>0</v>
      </c>
      <c r="AL1062" s="686">
        <f t="shared" si="77"/>
        <v>0</v>
      </c>
      <c r="AM1062" s="686">
        <f t="shared" si="77"/>
        <v>0</v>
      </c>
      <c r="AN1062" s="310"/>
      <c r="AO1062" s="310"/>
      <c r="AP1062" s="310"/>
      <c r="AQ1062" s="698" t="s">
        <v>1353</v>
      </c>
      <c r="AR1062" s="310"/>
      <c r="AS1062" s="310"/>
    </row>
    <row r="1063" spans="13:45" customFormat="1" ht="11.25" customHeight="1">
      <c r="M1063" s="696" t="s">
        <v>1733</v>
      </c>
      <c r="N1063" s="701" t="s">
        <v>318</v>
      </c>
      <c r="O1063" s="189" t="s">
        <v>195</v>
      </c>
      <c r="AB1063" s="248"/>
      <c r="AC1063" s="248"/>
      <c r="AD1063" s="248"/>
      <c r="AE1063" s="462"/>
      <c r="AF1063" s="462"/>
      <c r="AG1063" s="462"/>
      <c r="AH1063" s="248"/>
      <c r="AI1063" s="248"/>
      <c r="AJ1063" s="248"/>
      <c r="AK1063" s="183">
        <f t="shared" si="76"/>
        <v>0</v>
      </c>
      <c r="AL1063" s="686">
        <f t="shared" si="77"/>
        <v>0</v>
      </c>
      <c r="AM1063" s="686">
        <f t="shared" si="77"/>
        <v>0</v>
      </c>
      <c r="AN1063" s="310"/>
      <c r="AO1063" s="310"/>
      <c r="AP1063" s="310"/>
      <c r="AQ1063" s="698" t="s">
        <v>1355</v>
      </c>
      <c r="AR1063" s="310"/>
      <c r="AS1063" s="310"/>
    </row>
    <row r="1064" spans="13:45" customFormat="1" ht="11.25" customHeight="1">
      <c r="M1064" s="718"/>
      <c r="N1064" s="460"/>
      <c r="O1064" s="461"/>
      <c r="AB1064" s="248"/>
      <c r="AC1064" s="248"/>
      <c r="AD1064" s="248"/>
      <c r="AE1064" s="462"/>
      <c r="AF1064" s="462"/>
      <c r="AG1064" s="462"/>
      <c r="AH1064" s="248"/>
      <c r="AI1064" s="248"/>
      <c r="AJ1064" s="248"/>
      <c r="AK1064" s="266"/>
      <c r="AL1064" s="266"/>
      <c r="AM1064" s="266"/>
      <c r="AN1064" s="310"/>
      <c r="AO1064" s="310"/>
      <c r="AP1064" s="310"/>
      <c r="AQ1064" s="698"/>
      <c r="AR1064" s="310"/>
      <c r="AS1064" s="310"/>
    </row>
    <row r="1065" spans="13:45" customFormat="1" ht="11.25" customHeight="1">
      <c r="M1065" s="491"/>
      <c r="N1065" s="460"/>
      <c r="O1065" s="461"/>
      <c r="AB1065" s="248"/>
      <c r="AC1065" s="248"/>
      <c r="AD1065" s="248"/>
      <c r="AE1065" s="462"/>
      <c r="AF1065" s="462"/>
      <c r="AG1065" s="462"/>
      <c r="AH1065" s="248"/>
      <c r="AI1065" s="248"/>
      <c r="AJ1065" s="248"/>
      <c r="AK1065" s="266"/>
      <c r="AL1065" s="266"/>
      <c r="AM1065" s="266"/>
      <c r="AN1065" s="310"/>
      <c r="AO1065" s="310"/>
      <c r="AP1065" s="310"/>
      <c r="AQ1065" s="36"/>
      <c r="AR1065" s="310"/>
      <c r="AS1065" s="310"/>
    </row>
    <row r="1066" spans="13:45" customFormat="1" ht="11.25" customHeight="1">
      <c r="M1066" s="490"/>
      <c r="N1066" s="463" t="s">
        <v>665</v>
      </c>
      <c r="O1066" s="189"/>
      <c r="AB1066" s="248"/>
      <c r="AC1066" s="248"/>
      <c r="AD1066" s="248"/>
      <c r="AE1066" s="462"/>
      <c r="AF1066" s="462"/>
      <c r="AG1066" s="462"/>
      <c r="AH1066" s="248"/>
      <c r="AI1066" s="248"/>
      <c r="AJ1066" s="248"/>
      <c r="AK1066" s="241"/>
      <c r="AL1066" s="241"/>
      <c r="AM1066" s="241"/>
      <c r="AN1066" s="310"/>
      <c r="AO1066" s="310"/>
      <c r="AP1066" s="310"/>
      <c r="AQ1066" s="36"/>
      <c r="AR1066" s="310"/>
      <c r="AS1066" s="310"/>
    </row>
    <row r="1067" spans="13:45" customFormat="1" ht="11.25" customHeight="1">
      <c r="M1067" s="491"/>
      <c r="N1067" s="460"/>
      <c r="O1067" s="461"/>
      <c r="AB1067" s="248"/>
      <c r="AC1067" s="248"/>
      <c r="AD1067" s="248"/>
      <c r="AE1067" s="462"/>
      <c r="AF1067" s="462"/>
      <c r="AG1067" s="462"/>
      <c r="AH1067" s="248"/>
      <c r="AI1067" s="248"/>
      <c r="AJ1067" s="248"/>
      <c r="AK1067" s="266"/>
      <c r="AL1067" s="266"/>
      <c r="AM1067" s="266"/>
      <c r="AN1067" s="310"/>
      <c r="AO1067" s="310"/>
      <c r="AP1067" s="310"/>
      <c r="AQ1067" s="36"/>
      <c r="AR1067" s="310"/>
      <c r="AS1067" s="310"/>
    </row>
    <row r="1068" spans="13:45" customFormat="1" ht="11.25" customHeight="1">
      <c r="M1068" s="721" t="s">
        <v>319</v>
      </c>
      <c r="N1068" s="459" t="s">
        <v>666</v>
      </c>
      <c r="O1068" s="189" t="s">
        <v>667</v>
      </c>
      <c r="AB1068" s="248"/>
      <c r="AC1068" s="248"/>
      <c r="AD1068" s="248"/>
      <c r="AE1068" s="462"/>
      <c r="AF1068" s="462"/>
      <c r="AG1068" s="462"/>
      <c r="AH1068" s="248"/>
      <c r="AI1068" s="248"/>
      <c r="AJ1068" s="248"/>
      <c r="AK1068" s="183">
        <f>AL1068+AM1068</f>
        <v>0</v>
      </c>
      <c r="AL1068" s="686">
        <f>AL1072+AL1078+AL1084+AL1090</f>
        <v>0</v>
      </c>
      <c r="AM1068" s="686">
        <f>AM1072+AM1078+AM1084+AM1090</f>
        <v>0</v>
      </c>
      <c r="AN1068" s="310"/>
      <c r="AO1068" s="310"/>
      <c r="AP1068" s="310"/>
      <c r="AQ1068" s="698" t="s">
        <v>1366</v>
      </c>
      <c r="AR1068" s="310"/>
      <c r="AS1068" s="310"/>
    </row>
    <row r="1069" spans="13:45" customFormat="1" ht="11.25" customHeight="1">
      <c r="M1069" s="721" t="s">
        <v>320</v>
      </c>
      <c r="N1069" s="459" t="s">
        <v>668</v>
      </c>
      <c r="O1069" s="189" t="s">
        <v>669</v>
      </c>
      <c r="AB1069" s="248"/>
      <c r="AC1069" s="248"/>
      <c r="AD1069" s="248"/>
      <c r="AE1069" s="462"/>
      <c r="AF1069" s="462"/>
      <c r="AG1069" s="462"/>
      <c r="AH1069" s="248"/>
      <c r="AI1069" s="248"/>
      <c r="AJ1069" s="248"/>
      <c r="AK1069" s="183">
        <f>AL1069+AM1069</f>
        <v>0</v>
      </c>
      <c r="AL1069" s="686">
        <f>AL1075+AL1081+AL1087+AL1093</f>
        <v>0</v>
      </c>
      <c r="AM1069" s="686">
        <f>AM1075+AM1081+AM1087+AM1093</f>
        <v>0</v>
      </c>
      <c r="AN1069" s="310"/>
      <c r="AO1069" s="310"/>
      <c r="AP1069" s="310"/>
      <c r="AQ1069" s="698" t="s">
        <v>1367</v>
      </c>
      <c r="AR1069" s="310"/>
      <c r="AS1069" s="310"/>
    </row>
    <row r="1070" spans="13:45" customFormat="1" ht="11.25" customHeight="1">
      <c r="M1070" s="721" t="s">
        <v>612</v>
      </c>
      <c r="N1070" s="459" t="s">
        <v>334</v>
      </c>
      <c r="O1070" s="189" t="s">
        <v>195</v>
      </c>
      <c r="AB1070" s="248"/>
      <c r="AC1070" s="248"/>
      <c r="AD1070" s="248"/>
      <c r="AE1070" s="462"/>
      <c r="AF1070" s="462"/>
      <c r="AG1070" s="462"/>
      <c r="AH1070" s="248"/>
      <c r="AI1070" s="248"/>
      <c r="AJ1070" s="248"/>
      <c r="AK1070" s="183">
        <f>AL1070+AM1070</f>
        <v>0</v>
      </c>
      <c r="AL1070" s="686">
        <f>AL1071*AL1072</f>
        <v>0</v>
      </c>
      <c r="AM1070" s="686">
        <f>AM1071*AM1072</f>
        <v>0</v>
      </c>
      <c r="AN1070" s="310"/>
      <c r="AO1070" s="310"/>
      <c r="AP1070" s="310"/>
      <c r="AQ1070" s="698" t="s">
        <v>1366</v>
      </c>
      <c r="AR1070" s="310"/>
      <c r="AS1070" s="310"/>
    </row>
    <row r="1071" spans="13:45" customFormat="1" ht="11.25" customHeight="1">
      <c r="M1071" s="722" t="str">
        <f>M1070 &amp; ".1"</f>
        <v>4.13.1.1.1</v>
      </c>
      <c r="N1071" s="465" t="s">
        <v>670</v>
      </c>
      <c r="O1071" s="189" t="s">
        <v>313</v>
      </c>
      <c r="AB1071" s="248"/>
      <c r="AC1071" s="248"/>
      <c r="AD1071" s="248"/>
      <c r="AE1071" s="462"/>
      <c r="AF1071" s="462"/>
      <c r="AG1071" s="462"/>
      <c r="AH1071" s="248"/>
      <c r="AI1071" s="248"/>
      <c r="AJ1071" s="248"/>
      <c r="AK1071" s="686">
        <f>IF(AK1072=0,0,AK1070/AK1072)</f>
        <v>0</v>
      </c>
      <c r="AL1071" s="245"/>
      <c r="AM1071" s="245"/>
      <c r="AN1071" s="310"/>
      <c r="AO1071" s="310"/>
      <c r="AP1071" s="310"/>
      <c r="AQ1071" s="698" t="s">
        <v>1366</v>
      </c>
      <c r="AR1071" s="310"/>
      <c r="AS1071" s="310"/>
    </row>
    <row r="1072" spans="13:45" customFormat="1" ht="11.25" customHeight="1">
      <c r="M1072" s="722" t="str">
        <f>M1070 &amp; ".2"</f>
        <v>4.13.1.1.2</v>
      </c>
      <c r="N1072" s="465" t="s">
        <v>666</v>
      </c>
      <c r="O1072" s="189" t="s">
        <v>667</v>
      </c>
      <c r="AB1072" s="248"/>
      <c r="AC1072" s="248"/>
      <c r="AD1072" s="248"/>
      <c r="AE1072" s="462"/>
      <c r="AF1072" s="462"/>
      <c r="AG1072" s="462"/>
      <c r="AH1072" s="248"/>
      <c r="AI1072" s="248"/>
      <c r="AJ1072" s="248"/>
      <c r="AK1072" s="183">
        <f>AL1072+AM1072</f>
        <v>0</v>
      </c>
      <c r="AL1072" s="245"/>
      <c r="AM1072" s="245"/>
      <c r="AN1072" s="310"/>
      <c r="AO1072" s="310"/>
      <c r="AP1072" s="310"/>
      <c r="AQ1072" s="698" t="s">
        <v>1366</v>
      </c>
      <c r="AR1072" s="310"/>
      <c r="AS1072" s="310"/>
    </row>
    <row r="1073" spans="13:45" customFormat="1" ht="11.25" customHeight="1" collapsed="1">
      <c r="M1073" s="721" t="s">
        <v>613</v>
      </c>
      <c r="N1073" s="459" t="s">
        <v>338</v>
      </c>
      <c r="O1073" s="189" t="s">
        <v>195</v>
      </c>
      <c r="AB1073" s="248"/>
      <c r="AC1073" s="248"/>
      <c r="AD1073" s="248"/>
      <c r="AE1073" s="462"/>
      <c r="AF1073" s="462"/>
      <c r="AG1073" s="462"/>
      <c r="AH1073" s="248"/>
      <c r="AI1073" s="248"/>
      <c r="AJ1073" s="248"/>
      <c r="AK1073" s="183">
        <f>AL1073+AM1073</f>
        <v>0</v>
      </c>
      <c r="AL1073" s="686">
        <f>AL1074*AL1075</f>
        <v>0</v>
      </c>
      <c r="AM1073" s="686">
        <f>AM1074*AM1075</f>
        <v>0</v>
      </c>
      <c r="AN1073" s="310"/>
      <c r="AO1073" s="310"/>
      <c r="AP1073" s="310"/>
      <c r="AQ1073" s="698" t="s">
        <v>1367</v>
      </c>
      <c r="AR1073" s="310"/>
      <c r="AS1073" s="310"/>
    </row>
    <row r="1074" spans="13:45" customFormat="1" ht="11.25" customHeight="1">
      <c r="M1074" s="722" t="str">
        <f>M1073 &amp; ".1"</f>
        <v>4.13.1.2.1</v>
      </c>
      <c r="N1074" s="465" t="s">
        <v>671</v>
      </c>
      <c r="O1074" s="189" t="s">
        <v>314</v>
      </c>
      <c r="AB1074" s="248"/>
      <c r="AC1074" s="248"/>
      <c r="AD1074" s="248"/>
      <c r="AE1074" s="462"/>
      <c r="AF1074" s="462"/>
      <c r="AG1074" s="462"/>
      <c r="AH1074" s="248"/>
      <c r="AI1074" s="248"/>
      <c r="AJ1074" s="248"/>
      <c r="AK1074" s="686">
        <f>IF(AK1075=0,0,AK1073/AK1075)</f>
        <v>0</v>
      </c>
      <c r="AL1074" s="245"/>
      <c r="AM1074" s="245"/>
      <c r="AN1074" s="310"/>
      <c r="AO1074" s="310"/>
      <c r="AP1074" s="310"/>
      <c r="AQ1074" s="698" t="s">
        <v>1367</v>
      </c>
      <c r="AR1074" s="310"/>
      <c r="AS1074" s="310"/>
    </row>
    <row r="1075" spans="13:45" customFormat="1" ht="11.25" customHeight="1">
      <c r="M1075" s="722" t="str">
        <f>M1073 &amp; ".2"</f>
        <v>4.13.1.2.2</v>
      </c>
      <c r="N1075" s="465" t="s">
        <v>672</v>
      </c>
      <c r="O1075" s="189" t="s">
        <v>669</v>
      </c>
      <c r="AB1075" s="248"/>
      <c r="AC1075" s="248"/>
      <c r="AD1075" s="248"/>
      <c r="AE1075" s="462"/>
      <c r="AF1075" s="462"/>
      <c r="AG1075" s="462"/>
      <c r="AH1075" s="248"/>
      <c r="AI1075" s="248"/>
      <c r="AJ1075" s="248"/>
      <c r="AK1075" s="183">
        <f>AL1075+AM1075</f>
        <v>0</v>
      </c>
      <c r="AL1075" s="245"/>
      <c r="AM1075" s="245"/>
      <c r="AN1075" s="310"/>
      <c r="AO1075" s="310"/>
      <c r="AP1075" s="310"/>
      <c r="AQ1075" s="698" t="s">
        <v>1367</v>
      </c>
      <c r="AR1075" s="310"/>
      <c r="AS1075" s="310"/>
    </row>
    <row r="1076" spans="13:45" customFormat="1" ht="11.25" customHeight="1">
      <c r="M1076" s="721" t="s">
        <v>614</v>
      </c>
      <c r="N1076" s="459" t="s">
        <v>342</v>
      </c>
      <c r="O1076" s="189" t="s">
        <v>195</v>
      </c>
      <c r="AB1076" s="248"/>
      <c r="AC1076" s="248"/>
      <c r="AD1076" s="248"/>
      <c r="AE1076" s="462"/>
      <c r="AF1076" s="462"/>
      <c r="AG1076" s="462"/>
      <c r="AH1076" s="248"/>
      <c r="AI1076" s="248"/>
      <c r="AJ1076" s="248"/>
      <c r="AK1076" s="183">
        <f>AL1076+AM1076</f>
        <v>0</v>
      </c>
      <c r="AL1076" s="686">
        <f>AL1077*AL1078</f>
        <v>0</v>
      </c>
      <c r="AM1076" s="686">
        <f>AM1077*AM1078</f>
        <v>0</v>
      </c>
      <c r="AN1076" s="310"/>
      <c r="AO1076" s="310"/>
      <c r="AP1076" s="310"/>
      <c r="AQ1076" s="698" t="s">
        <v>1366</v>
      </c>
      <c r="AR1076" s="310"/>
      <c r="AS1076" s="310"/>
    </row>
    <row r="1077" spans="13:45" customFormat="1" ht="11.25" customHeight="1" collapsed="1">
      <c r="M1077" s="722" t="str">
        <f>M1076 &amp; ".1"</f>
        <v>4.13.2.1.1</v>
      </c>
      <c r="N1077" s="465" t="s">
        <v>670</v>
      </c>
      <c r="O1077" s="189" t="s">
        <v>313</v>
      </c>
      <c r="AB1077" s="248"/>
      <c r="AC1077" s="248"/>
      <c r="AD1077" s="248"/>
      <c r="AE1077" s="462"/>
      <c r="AF1077" s="462"/>
      <c r="AG1077" s="462"/>
      <c r="AH1077" s="248"/>
      <c r="AI1077" s="248"/>
      <c r="AJ1077" s="248"/>
      <c r="AK1077" s="686">
        <f>IF(AK1078=0,0,AK1076/AK1078)</f>
        <v>0</v>
      </c>
      <c r="AL1077" s="245"/>
      <c r="AM1077" s="245"/>
      <c r="AN1077" s="310"/>
      <c r="AO1077" s="310"/>
      <c r="AP1077" s="310"/>
      <c r="AQ1077" s="698" t="s">
        <v>1366</v>
      </c>
      <c r="AR1077" s="310"/>
      <c r="AS1077" s="310"/>
    </row>
    <row r="1078" spans="13:45" customFormat="1" ht="11.25" customHeight="1">
      <c r="M1078" s="722" t="str">
        <f>M1076 &amp; ".2"</f>
        <v>4.13.2.1.2</v>
      </c>
      <c r="N1078" s="465" t="s">
        <v>666</v>
      </c>
      <c r="O1078" s="189" t="s">
        <v>667</v>
      </c>
      <c r="AB1078" s="248"/>
      <c r="AC1078" s="248"/>
      <c r="AD1078" s="248"/>
      <c r="AE1078" s="462"/>
      <c r="AF1078" s="462"/>
      <c r="AG1078" s="462"/>
      <c r="AH1078" s="248"/>
      <c r="AI1078" s="248"/>
      <c r="AJ1078" s="248"/>
      <c r="AK1078" s="183">
        <f>AL1078+AM1078</f>
        <v>0</v>
      </c>
      <c r="AL1078" s="245"/>
      <c r="AM1078" s="245"/>
      <c r="AN1078" s="310"/>
      <c r="AO1078" s="310"/>
      <c r="AP1078" s="310"/>
      <c r="AQ1078" s="698" t="s">
        <v>1366</v>
      </c>
      <c r="AR1078" s="310"/>
      <c r="AS1078" s="310"/>
    </row>
    <row r="1079" spans="13:45" customFormat="1" ht="11.25" customHeight="1">
      <c r="M1079" s="721" t="s">
        <v>615</v>
      </c>
      <c r="N1079" s="459" t="s">
        <v>346</v>
      </c>
      <c r="O1079" s="189" t="s">
        <v>195</v>
      </c>
      <c r="AB1079" s="248"/>
      <c r="AC1079" s="248"/>
      <c r="AD1079" s="248"/>
      <c r="AE1079" s="462"/>
      <c r="AF1079" s="462"/>
      <c r="AG1079" s="462"/>
      <c r="AH1079" s="248"/>
      <c r="AI1079" s="248"/>
      <c r="AJ1079" s="248"/>
      <c r="AK1079" s="183">
        <f>AL1079+AM1079</f>
        <v>0</v>
      </c>
      <c r="AL1079" s="686">
        <f>AL1080*AL1081</f>
        <v>0</v>
      </c>
      <c r="AM1079" s="686">
        <f>AM1080*AM1081</f>
        <v>0</v>
      </c>
      <c r="AN1079" s="310"/>
      <c r="AO1079" s="310"/>
      <c r="AP1079" s="310"/>
      <c r="AQ1079" s="698" t="s">
        <v>1367</v>
      </c>
      <c r="AR1079" s="310"/>
      <c r="AS1079" s="310"/>
    </row>
    <row r="1080" spans="13:45" customFormat="1" ht="11.25" customHeight="1">
      <c r="M1080" s="722" t="str">
        <f>M1079 &amp; ".1"</f>
        <v>4.13.2.2.1</v>
      </c>
      <c r="N1080" s="465" t="s">
        <v>671</v>
      </c>
      <c r="O1080" s="189" t="s">
        <v>314</v>
      </c>
      <c r="AB1080" s="248"/>
      <c r="AC1080" s="248"/>
      <c r="AD1080" s="248"/>
      <c r="AE1080" s="462"/>
      <c r="AF1080" s="462"/>
      <c r="AG1080" s="462"/>
      <c r="AH1080" s="248"/>
      <c r="AI1080" s="248"/>
      <c r="AJ1080" s="248"/>
      <c r="AK1080" s="686">
        <f>IF(AK1081=0,0,AK1079/AK1081)</f>
        <v>0</v>
      </c>
      <c r="AL1080" s="245"/>
      <c r="AM1080" s="245"/>
      <c r="AN1080" s="310"/>
      <c r="AO1080" s="310"/>
      <c r="AP1080" s="310"/>
      <c r="AQ1080" s="698" t="s">
        <v>1367</v>
      </c>
      <c r="AR1080" s="310"/>
      <c r="AS1080" s="310"/>
    </row>
    <row r="1081" spans="13:45" customFormat="1" ht="11.25" customHeight="1" collapsed="1">
      <c r="M1081" s="722" t="str">
        <f>M1079 &amp; ".2"</f>
        <v>4.13.2.2.2</v>
      </c>
      <c r="N1081" s="465" t="s">
        <v>672</v>
      </c>
      <c r="O1081" s="189" t="s">
        <v>669</v>
      </c>
      <c r="AB1081" s="248"/>
      <c r="AC1081" s="248"/>
      <c r="AD1081" s="248"/>
      <c r="AE1081" s="462"/>
      <c r="AF1081" s="462"/>
      <c r="AG1081" s="462"/>
      <c r="AH1081" s="248"/>
      <c r="AI1081" s="248"/>
      <c r="AJ1081" s="248"/>
      <c r="AK1081" s="183">
        <f>AL1081+AM1081</f>
        <v>0</v>
      </c>
      <c r="AL1081" s="245"/>
      <c r="AM1081" s="245"/>
      <c r="AN1081" s="310"/>
      <c r="AO1081" s="310"/>
      <c r="AP1081" s="310"/>
      <c r="AQ1081" s="698" t="s">
        <v>1367</v>
      </c>
      <c r="AR1081" s="310"/>
      <c r="AS1081" s="310"/>
    </row>
    <row r="1082" spans="13:45" customFormat="1" ht="11.25" customHeight="1">
      <c r="M1082" s="721" t="s">
        <v>616</v>
      </c>
      <c r="N1082" s="459" t="s">
        <v>350</v>
      </c>
      <c r="O1082" s="189" t="s">
        <v>195</v>
      </c>
      <c r="AB1082" s="248"/>
      <c r="AC1082" s="248"/>
      <c r="AD1082" s="248"/>
      <c r="AE1082" s="462"/>
      <c r="AF1082" s="462"/>
      <c r="AG1082" s="462"/>
      <c r="AH1082" s="248"/>
      <c r="AI1082" s="248"/>
      <c r="AJ1082" s="248"/>
      <c r="AK1082" s="183">
        <f>AL1082+AM1082</f>
        <v>0</v>
      </c>
      <c r="AL1082" s="686">
        <f>AL1083*AL1084</f>
        <v>0</v>
      </c>
      <c r="AM1082" s="686">
        <f>AM1083*AM1084</f>
        <v>0</v>
      </c>
      <c r="AN1082" s="310"/>
      <c r="AO1082" s="310"/>
      <c r="AP1082" s="310"/>
      <c r="AQ1082" s="698" t="s">
        <v>1366</v>
      </c>
      <c r="AR1082" s="310"/>
      <c r="AS1082" s="310"/>
    </row>
    <row r="1083" spans="13:45" customFormat="1" ht="11.25" customHeight="1">
      <c r="M1083" s="722" t="str">
        <f>M1082 &amp; ".1"</f>
        <v>4.13.3.1.1</v>
      </c>
      <c r="N1083" s="465" t="s">
        <v>670</v>
      </c>
      <c r="O1083" s="189" t="s">
        <v>313</v>
      </c>
      <c r="AB1083" s="248"/>
      <c r="AC1083" s="248"/>
      <c r="AD1083" s="248"/>
      <c r="AE1083" s="462"/>
      <c r="AF1083" s="462"/>
      <c r="AG1083" s="462"/>
      <c r="AH1083" s="248"/>
      <c r="AI1083" s="248"/>
      <c r="AJ1083" s="248"/>
      <c r="AK1083" s="686">
        <f>IF(AK1084=0,0,AK1082/AK1084)</f>
        <v>0</v>
      </c>
      <c r="AL1083" s="245"/>
      <c r="AM1083" s="245"/>
      <c r="AN1083" s="310"/>
      <c r="AO1083" s="310"/>
      <c r="AP1083" s="310"/>
      <c r="AQ1083" s="698" t="s">
        <v>1366</v>
      </c>
      <c r="AR1083" s="310"/>
      <c r="AS1083" s="310"/>
    </row>
    <row r="1084" spans="13:45" customFormat="1" ht="11.25" customHeight="1">
      <c r="M1084" s="722" t="str">
        <f>M1082 &amp; ".2"</f>
        <v>4.13.3.1.2</v>
      </c>
      <c r="N1084" s="465" t="s">
        <v>666</v>
      </c>
      <c r="O1084" s="189" t="s">
        <v>667</v>
      </c>
      <c r="AB1084" s="248"/>
      <c r="AC1084" s="248"/>
      <c r="AD1084" s="248"/>
      <c r="AE1084" s="462"/>
      <c r="AF1084" s="462"/>
      <c r="AG1084" s="462"/>
      <c r="AH1084" s="248"/>
      <c r="AI1084" s="248"/>
      <c r="AJ1084" s="248"/>
      <c r="AK1084" s="183">
        <f>AL1084+AM1084</f>
        <v>0</v>
      </c>
      <c r="AL1084" s="245"/>
      <c r="AM1084" s="245"/>
      <c r="AN1084" s="310"/>
      <c r="AO1084" s="310"/>
      <c r="AP1084" s="310"/>
      <c r="AQ1084" s="698" t="s">
        <v>1366</v>
      </c>
      <c r="AR1084" s="310"/>
      <c r="AS1084" s="310"/>
    </row>
    <row r="1085" spans="13:45" customFormat="1" ht="11.25" customHeight="1" collapsed="1">
      <c r="M1085" s="721" t="s">
        <v>617</v>
      </c>
      <c r="N1085" s="459" t="s">
        <v>354</v>
      </c>
      <c r="O1085" s="189" t="s">
        <v>195</v>
      </c>
      <c r="AB1085" s="248"/>
      <c r="AC1085" s="248"/>
      <c r="AD1085" s="248"/>
      <c r="AE1085" s="462"/>
      <c r="AF1085" s="462"/>
      <c r="AG1085" s="462"/>
      <c r="AH1085" s="248"/>
      <c r="AI1085" s="248"/>
      <c r="AJ1085" s="248"/>
      <c r="AK1085" s="183">
        <f>AL1085+AM1085</f>
        <v>0</v>
      </c>
      <c r="AL1085" s="686">
        <f>AL1086*AL1087</f>
        <v>0</v>
      </c>
      <c r="AM1085" s="686">
        <f>AM1086*AM1087</f>
        <v>0</v>
      </c>
      <c r="AN1085" s="310"/>
      <c r="AO1085" s="310"/>
      <c r="AP1085" s="310"/>
      <c r="AQ1085" s="698" t="s">
        <v>1367</v>
      </c>
      <c r="AR1085" s="310"/>
      <c r="AS1085" s="310"/>
    </row>
    <row r="1086" spans="13:45" customFormat="1" ht="11.25" customHeight="1">
      <c r="M1086" s="722" t="str">
        <f>M1085 &amp; ".1"</f>
        <v>4.13.3.2.1</v>
      </c>
      <c r="N1086" s="465" t="s">
        <v>671</v>
      </c>
      <c r="O1086" s="189" t="s">
        <v>314</v>
      </c>
      <c r="AB1086" s="248"/>
      <c r="AC1086" s="248"/>
      <c r="AD1086" s="248"/>
      <c r="AE1086" s="462"/>
      <c r="AF1086" s="462"/>
      <c r="AG1086" s="462"/>
      <c r="AH1086" s="248"/>
      <c r="AI1086" s="248"/>
      <c r="AJ1086" s="248"/>
      <c r="AK1086" s="686">
        <f>IF(AK1087=0,0,AK1085/AK1087)</f>
        <v>0</v>
      </c>
      <c r="AL1086" s="245"/>
      <c r="AM1086" s="245"/>
      <c r="AN1086" s="310"/>
      <c r="AO1086" s="310"/>
      <c r="AP1086" s="310"/>
      <c r="AQ1086" s="698" t="s">
        <v>1367</v>
      </c>
      <c r="AR1086" s="310"/>
      <c r="AS1086" s="310"/>
    </row>
    <row r="1087" spans="13:45" customFormat="1" ht="11.25" customHeight="1">
      <c r="M1087" s="722" t="str">
        <f>M1085 &amp; ".2"</f>
        <v>4.13.3.2.2</v>
      </c>
      <c r="N1087" s="465" t="s">
        <v>672</v>
      </c>
      <c r="O1087" s="189" t="s">
        <v>669</v>
      </c>
      <c r="AB1087" s="248"/>
      <c r="AC1087" s="248"/>
      <c r="AD1087" s="248"/>
      <c r="AE1087" s="462"/>
      <c r="AF1087" s="462"/>
      <c r="AG1087" s="462"/>
      <c r="AH1087" s="248"/>
      <c r="AI1087" s="248"/>
      <c r="AJ1087" s="248"/>
      <c r="AK1087" s="183">
        <f>AL1087+AM1087</f>
        <v>0</v>
      </c>
      <c r="AL1087" s="245"/>
      <c r="AM1087" s="245"/>
      <c r="AN1087" s="310"/>
      <c r="AO1087" s="310"/>
      <c r="AP1087" s="310"/>
      <c r="AQ1087" s="698" t="s">
        <v>1367</v>
      </c>
      <c r="AR1087" s="310"/>
      <c r="AS1087" s="310"/>
    </row>
    <row r="1088" spans="13:45" customFormat="1" ht="11.25" customHeight="1">
      <c r="M1088" s="721" t="s">
        <v>618</v>
      </c>
      <c r="N1088" s="459" t="s">
        <v>358</v>
      </c>
      <c r="O1088" s="189" t="s">
        <v>195</v>
      </c>
      <c r="AB1088" s="248"/>
      <c r="AC1088" s="248"/>
      <c r="AD1088" s="248"/>
      <c r="AE1088" s="462"/>
      <c r="AF1088" s="462"/>
      <c r="AG1088" s="462"/>
      <c r="AH1088" s="248"/>
      <c r="AI1088" s="248"/>
      <c r="AJ1088" s="248"/>
      <c r="AK1088" s="183">
        <f>AL1088+AM1088</f>
        <v>0</v>
      </c>
      <c r="AL1088" s="686">
        <f>AL1089*AL1090</f>
        <v>0</v>
      </c>
      <c r="AM1088" s="686">
        <f>AM1089*AM1090</f>
        <v>0</v>
      </c>
      <c r="AN1088" s="310"/>
      <c r="AO1088" s="310"/>
      <c r="AP1088" s="310"/>
      <c r="AQ1088" s="698" t="s">
        <v>1366</v>
      </c>
      <c r="AR1088" s="310"/>
      <c r="AS1088" s="310"/>
    </row>
    <row r="1089" spans="13:45" customFormat="1" ht="11.25" customHeight="1">
      <c r="M1089" s="722" t="str">
        <f>M1088 &amp; ".1"</f>
        <v>4.13.4.1.1</v>
      </c>
      <c r="N1089" s="465" t="s">
        <v>670</v>
      </c>
      <c r="O1089" s="189" t="s">
        <v>313</v>
      </c>
      <c r="AB1089" s="248"/>
      <c r="AC1089" s="248"/>
      <c r="AD1089" s="248"/>
      <c r="AE1089" s="462"/>
      <c r="AF1089" s="462"/>
      <c r="AG1089" s="462"/>
      <c r="AH1089" s="248"/>
      <c r="AI1089" s="248"/>
      <c r="AJ1089" s="248"/>
      <c r="AK1089" s="686">
        <f>IF(AK1090=0,0,AK1088/AK1090)</f>
        <v>0</v>
      </c>
      <c r="AL1089" s="245"/>
      <c r="AM1089" s="245"/>
      <c r="AN1089" s="310"/>
      <c r="AO1089" s="310"/>
      <c r="AP1089" s="310"/>
      <c r="AQ1089" s="698" t="s">
        <v>1366</v>
      </c>
      <c r="AR1089" s="310"/>
      <c r="AS1089" s="310"/>
    </row>
    <row r="1090" spans="13:45" customFormat="1" ht="11.25" customHeight="1">
      <c r="M1090" s="722" t="str">
        <f>M1088 &amp; ".2"</f>
        <v>4.13.4.1.2</v>
      </c>
      <c r="N1090" s="465" t="s">
        <v>666</v>
      </c>
      <c r="O1090" s="189" t="s">
        <v>667</v>
      </c>
      <c r="AB1090" s="248"/>
      <c r="AC1090" s="248"/>
      <c r="AD1090" s="248"/>
      <c r="AE1090" s="462"/>
      <c r="AF1090" s="462"/>
      <c r="AG1090" s="462"/>
      <c r="AH1090" s="248"/>
      <c r="AI1090" s="248"/>
      <c r="AJ1090" s="248"/>
      <c r="AK1090" s="183">
        <f>AL1090+AM1090</f>
        <v>0</v>
      </c>
      <c r="AL1090" s="245"/>
      <c r="AM1090" s="245"/>
      <c r="AN1090" s="310"/>
      <c r="AO1090" s="310"/>
      <c r="AP1090" s="310"/>
      <c r="AQ1090" s="698" t="s">
        <v>1366</v>
      </c>
      <c r="AR1090" s="310"/>
      <c r="AS1090" s="310"/>
    </row>
    <row r="1091" spans="13:45" customFormat="1" ht="11.25" customHeight="1">
      <c r="M1091" s="721" t="s">
        <v>619</v>
      </c>
      <c r="N1091" s="459" t="s">
        <v>362</v>
      </c>
      <c r="O1091" s="189" t="s">
        <v>195</v>
      </c>
      <c r="AB1091" s="248"/>
      <c r="AC1091" s="248"/>
      <c r="AD1091" s="248"/>
      <c r="AE1091" s="462"/>
      <c r="AF1091" s="462"/>
      <c r="AG1091" s="462"/>
      <c r="AH1091" s="248"/>
      <c r="AI1091" s="248"/>
      <c r="AJ1091" s="248"/>
      <c r="AK1091" s="183">
        <f>AL1091+AM1091</f>
        <v>0</v>
      </c>
      <c r="AL1091" s="686">
        <f>AL1092*AL1093</f>
        <v>0</v>
      </c>
      <c r="AM1091" s="686">
        <f>AM1092*AM1093</f>
        <v>0</v>
      </c>
      <c r="AN1091" s="310"/>
      <c r="AO1091" s="310"/>
      <c r="AP1091" s="310"/>
      <c r="AQ1091" s="698" t="s">
        <v>1367</v>
      </c>
      <c r="AR1091" s="310"/>
      <c r="AS1091" s="310"/>
    </row>
    <row r="1092" spans="13:45" customFormat="1" ht="11.25" customHeight="1">
      <c r="M1092" s="722" t="str">
        <f>M1091 &amp; ".1"</f>
        <v>4.13.4.2.1</v>
      </c>
      <c r="N1092" s="465" t="s">
        <v>671</v>
      </c>
      <c r="O1092" s="189" t="s">
        <v>314</v>
      </c>
      <c r="AB1092" s="248"/>
      <c r="AC1092" s="248"/>
      <c r="AD1092" s="248"/>
      <c r="AE1092" s="462"/>
      <c r="AF1092" s="462"/>
      <c r="AG1092" s="462"/>
      <c r="AH1092" s="248"/>
      <c r="AI1092" s="248"/>
      <c r="AJ1092" s="248"/>
      <c r="AK1092" s="686">
        <f>IF(AK1093=0,0,AK1091/AK1093)</f>
        <v>0</v>
      </c>
      <c r="AL1092" s="245"/>
      <c r="AM1092" s="245"/>
      <c r="AN1092" s="310"/>
      <c r="AO1092" s="310"/>
      <c r="AP1092" s="310"/>
      <c r="AQ1092" s="698" t="s">
        <v>1367</v>
      </c>
      <c r="AR1092" s="310"/>
      <c r="AS1092" s="310"/>
    </row>
    <row r="1093" spans="13:45" customFormat="1" ht="11.25" customHeight="1">
      <c r="M1093" s="722" t="str">
        <f>M1091 &amp; ".2"</f>
        <v>4.13.4.2.2</v>
      </c>
      <c r="N1093" s="465" t="s">
        <v>672</v>
      </c>
      <c r="O1093" s="189" t="s">
        <v>669</v>
      </c>
      <c r="AB1093" s="248"/>
      <c r="AC1093" s="248"/>
      <c r="AD1093" s="248"/>
      <c r="AE1093" s="462"/>
      <c r="AF1093" s="462"/>
      <c r="AG1093" s="462"/>
      <c r="AH1093" s="248"/>
      <c r="AI1093" s="248"/>
      <c r="AJ1093" s="248"/>
      <c r="AK1093" s="183">
        <f>AL1093+AM1093</f>
        <v>0</v>
      </c>
      <c r="AL1093" s="245"/>
      <c r="AM1093" s="245"/>
      <c r="AN1093" s="310"/>
      <c r="AO1093" s="310"/>
      <c r="AP1093" s="310"/>
      <c r="AQ1093" s="698" t="s">
        <v>1367</v>
      </c>
      <c r="AR1093" s="310"/>
      <c r="AS1093" s="310"/>
    </row>
    <row r="1094" spans="13:45" customFormat="1" ht="11.25" customHeight="1">
      <c r="M1094" s="491"/>
      <c r="N1094" s="460"/>
      <c r="O1094" s="461"/>
      <c r="AB1094" s="248"/>
      <c r="AC1094" s="248"/>
      <c r="AD1094" s="248"/>
      <c r="AE1094" s="462"/>
      <c r="AF1094" s="462"/>
      <c r="AG1094" s="462"/>
      <c r="AH1094" s="248"/>
      <c r="AI1094" s="248"/>
      <c r="AJ1094" s="248"/>
      <c r="AK1094" s="462"/>
      <c r="AL1094" s="462"/>
      <c r="AM1094" s="462"/>
      <c r="AN1094" s="310"/>
      <c r="AO1094" s="310"/>
      <c r="AP1094" s="310"/>
      <c r="AQ1094" s="36"/>
      <c r="AR1094" s="310"/>
      <c r="AS1094" s="310"/>
    </row>
    <row r="1095" spans="13:45" customFormat="1" ht="11.25" customHeight="1">
      <c r="M1095" s="490"/>
      <c r="N1095" s="463" t="s">
        <v>321</v>
      </c>
      <c r="O1095" s="189" t="s">
        <v>195</v>
      </c>
      <c r="AB1095" s="248"/>
      <c r="AC1095" s="248"/>
      <c r="AD1095" s="248"/>
      <c r="AE1095" s="462"/>
      <c r="AF1095" s="462"/>
      <c r="AG1095" s="462"/>
      <c r="AH1095" s="248"/>
      <c r="AI1095" s="248"/>
      <c r="AJ1095" s="248"/>
      <c r="AK1095" s="183">
        <f>AL1095+AM1095</f>
        <v>0</v>
      </c>
      <c r="AL1095" s="686">
        <f>SUM(AL1096,AL1099,AL1102)</f>
        <v>0</v>
      </c>
      <c r="AM1095" s="686">
        <f>SUM(AM1096,AM1099,AM1102)</f>
        <v>0</v>
      </c>
      <c r="AN1095" s="310"/>
      <c r="AO1095" s="310"/>
      <c r="AP1095" s="310"/>
      <c r="AQ1095" s="698" t="s">
        <v>1356</v>
      </c>
      <c r="AR1095" s="310"/>
      <c r="AS1095" s="310"/>
    </row>
    <row r="1096" spans="13:45" customFormat="1" ht="11.25" customHeight="1">
      <c r="M1096" s="696" t="s">
        <v>242</v>
      </c>
      <c r="N1096" s="466" t="s">
        <v>243</v>
      </c>
      <c r="O1096" s="189" t="s">
        <v>195</v>
      </c>
      <c r="AB1096" s="248"/>
      <c r="AC1096" s="248"/>
      <c r="AD1096" s="248"/>
      <c r="AE1096" s="462"/>
      <c r="AF1096" s="462"/>
      <c r="AG1096" s="462"/>
      <c r="AH1096" s="248"/>
      <c r="AI1096" s="248"/>
      <c r="AJ1096" s="248"/>
      <c r="AK1096" s="183">
        <f>AL1096+AM1096</f>
        <v>0</v>
      </c>
      <c r="AL1096" s="686">
        <f>AL1097*AL1098/1000</f>
        <v>0</v>
      </c>
      <c r="AM1096" s="686">
        <f>AM1097*AM1098/1000</f>
        <v>0</v>
      </c>
      <c r="AN1096" s="310"/>
      <c r="AO1096" s="310"/>
      <c r="AP1096" s="310"/>
      <c r="AQ1096" s="698" t="s">
        <v>1356</v>
      </c>
      <c r="AR1096" s="310"/>
      <c r="AS1096" s="310"/>
    </row>
    <row r="1097" spans="13:45" customFormat="1" ht="11.25" customHeight="1">
      <c r="M1097" s="696" t="s">
        <v>244</v>
      </c>
      <c r="N1097" s="467" t="s">
        <v>247</v>
      </c>
      <c r="O1097" s="189" t="s">
        <v>506</v>
      </c>
      <c r="AB1097" s="248"/>
      <c r="AC1097" s="248"/>
      <c r="AD1097" s="248"/>
      <c r="AE1097" s="462"/>
      <c r="AF1097" s="462"/>
      <c r="AG1097" s="462"/>
      <c r="AH1097" s="248"/>
      <c r="AI1097" s="248"/>
      <c r="AJ1097" s="248"/>
      <c r="AK1097" s="686">
        <f>IF(AK1098=0,0,AK1096/AK1098*1000)</f>
        <v>0</v>
      </c>
      <c r="AL1097" s="196"/>
      <c r="AM1097" s="196"/>
      <c r="AN1097" s="310"/>
      <c r="AO1097" s="310"/>
      <c r="AP1097" s="310"/>
      <c r="AQ1097" s="698" t="s">
        <v>1356</v>
      </c>
      <c r="AR1097" s="310"/>
      <c r="AS1097" s="310"/>
    </row>
    <row r="1098" spans="13:45" customFormat="1" ht="11.25" customHeight="1">
      <c r="M1098" s="696" t="s">
        <v>246</v>
      </c>
      <c r="N1098" s="467" t="s">
        <v>245</v>
      </c>
      <c r="O1098" s="189" t="s">
        <v>507</v>
      </c>
      <c r="AB1098" s="248"/>
      <c r="AC1098" s="248"/>
      <c r="AD1098" s="248"/>
      <c r="AE1098" s="462"/>
      <c r="AF1098" s="462"/>
      <c r="AG1098" s="462"/>
      <c r="AH1098" s="248"/>
      <c r="AI1098" s="248"/>
      <c r="AJ1098" s="248"/>
      <c r="AK1098" s="183">
        <f>AL1098+AM1098</f>
        <v>0</v>
      </c>
      <c r="AL1098" s="196"/>
      <c r="AM1098" s="196"/>
      <c r="AN1098" s="310"/>
      <c r="AO1098" s="310"/>
      <c r="AP1098" s="310"/>
      <c r="AQ1098" s="698" t="s">
        <v>1356</v>
      </c>
      <c r="AR1098" s="310"/>
      <c r="AS1098" s="310"/>
    </row>
    <row r="1099" spans="13:45" customFormat="1" ht="11.25" customHeight="1">
      <c r="M1099" s="696" t="s">
        <v>248</v>
      </c>
      <c r="N1099" s="466" t="s">
        <v>249</v>
      </c>
      <c r="O1099" s="189" t="s">
        <v>195</v>
      </c>
      <c r="AB1099" s="248"/>
      <c r="AC1099" s="248"/>
      <c r="AD1099" s="248"/>
      <c r="AE1099" s="462"/>
      <c r="AF1099" s="462"/>
      <c r="AG1099" s="462"/>
      <c r="AH1099" s="248"/>
      <c r="AI1099" s="248"/>
      <c r="AJ1099" s="248"/>
      <c r="AK1099" s="183">
        <f>AL1099+AM1099</f>
        <v>0</v>
      </c>
      <c r="AL1099" s="686">
        <f>AL1100*AL1101/1000</f>
        <v>0</v>
      </c>
      <c r="AM1099" s="686">
        <f>AM1100*AM1101/1000</f>
        <v>0</v>
      </c>
      <c r="AN1099" s="310"/>
      <c r="AO1099" s="310"/>
      <c r="AP1099" s="310"/>
      <c r="AQ1099" s="698" t="s">
        <v>1356</v>
      </c>
      <c r="AR1099" s="310"/>
      <c r="AS1099" s="310"/>
    </row>
    <row r="1100" spans="13:45" customFormat="1" ht="11.25" customHeight="1">
      <c r="M1100" s="696" t="s">
        <v>250</v>
      </c>
      <c r="N1100" s="467" t="s">
        <v>247</v>
      </c>
      <c r="O1100" s="189" t="s">
        <v>751</v>
      </c>
      <c r="AB1100" s="248"/>
      <c r="AC1100" s="248"/>
      <c r="AD1100" s="248"/>
      <c r="AE1100" s="462"/>
      <c r="AF1100" s="462"/>
      <c r="AG1100" s="462"/>
      <c r="AH1100" s="248"/>
      <c r="AI1100" s="248"/>
      <c r="AJ1100" s="248"/>
      <c r="AK1100" s="686">
        <f>IF(AK1101=0,0,AK1099/AK1101*1000)</f>
        <v>0</v>
      </c>
      <c r="AL1100" s="196"/>
      <c r="AM1100" s="196"/>
      <c r="AN1100" s="310"/>
      <c r="AO1100" s="310"/>
      <c r="AP1100" s="310"/>
      <c r="AQ1100" s="698" t="s">
        <v>1356</v>
      </c>
      <c r="AR1100" s="310"/>
      <c r="AS1100" s="310"/>
    </row>
    <row r="1101" spans="13:45" customFormat="1" ht="11.25" customHeight="1">
      <c r="M1101" s="696" t="s">
        <v>251</v>
      </c>
      <c r="N1101" s="467" t="s">
        <v>245</v>
      </c>
      <c r="O1101" s="189" t="s">
        <v>758</v>
      </c>
      <c r="AB1101" s="248"/>
      <c r="AC1101" s="248"/>
      <c r="AD1101" s="248"/>
      <c r="AE1101" s="462"/>
      <c r="AF1101" s="462"/>
      <c r="AG1101" s="462"/>
      <c r="AH1101" s="248"/>
      <c r="AI1101" s="248"/>
      <c r="AJ1101" s="248"/>
      <c r="AK1101" s="183">
        <f>AL1101+AM1101</f>
        <v>0</v>
      </c>
      <c r="AL1101" s="196"/>
      <c r="AM1101" s="196"/>
      <c r="AN1101" s="310"/>
      <c r="AO1101" s="310"/>
      <c r="AP1101" s="310"/>
      <c r="AQ1101" s="698" t="s">
        <v>1356</v>
      </c>
      <c r="AR1101" s="310"/>
      <c r="AS1101" s="310"/>
    </row>
    <row r="1102" spans="13:45" customFormat="1" ht="11.25" customHeight="1">
      <c r="M1102" s="696" t="s">
        <v>252</v>
      </c>
      <c r="N1102" s="466" t="s">
        <v>253</v>
      </c>
      <c r="O1102" s="189" t="s">
        <v>195</v>
      </c>
      <c r="AB1102" s="248"/>
      <c r="AC1102" s="248"/>
      <c r="AD1102" s="248"/>
      <c r="AE1102" s="462"/>
      <c r="AF1102" s="462"/>
      <c r="AG1102" s="462"/>
      <c r="AH1102" s="248"/>
      <c r="AI1102" s="248"/>
      <c r="AJ1102" s="248"/>
      <c r="AK1102" s="183">
        <f>AL1102+AM1102</f>
        <v>0</v>
      </c>
      <c r="AL1102" s="196"/>
      <c r="AM1102" s="196"/>
      <c r="AN1102" s="310"/>
      <c r="AO1102" s="310"/>
      <c r="AP1102" s="310"/>
      <c r="AQ1102" s="698" t="s">
        <v>1356</v>
      </c>
      <c r="AR1102" s="310"/>
      <c r="AS1102" s="310"/>
    </row>
    <row r="1103" spans="13:45" customFormat="1" ht="11.25" customHeight="1">
      <c r="M1103" s="491"/>
      <c r="N1103" s="460"/>
      <c r="O1103" s="461"/>
      <c r="AB1103" s="248"/>
      <c r="AC1103" s="248"/>
      <c r="AD1103" s="248"/>
      <c r="AE1103" s="266"/>
      <c r="AF1103" s="266"/>
      <c r="AG1103" s="266"/>
      <c r="AH1103" s="248"/>
      <c r="AI1103" s="248"/>
      <c r="AJ1103" s="248"/>
      <c r="AK1103" s="723"/>
      <c r="AL1103" s="723"/>
      <c r="AM1103" s="723"/>
      <c r="AN1103" s="310"/>
      <c r="AO1103" s="310"/>
      <c r="AP1103" s="310"/>
      <c r="AQ1103" s="36"/>
      <c r="AR1103" s="310"/>
      <c r="AS1103" s="310"/>
    </row>
    <row r="1104" spans="13:45" customFormat="1" ht="11.25" customHeight="1">
      <c r="M1104" s="721" t="s">
        <v>607</v>
      </c>
      <c r="N1104" s="466" t="s">
        <v>1712</v>
      </c>
      <c r="O1104" s="685" t="s">
        <v>149</v>
      </c>
      <c r="AB1104" s="248"/>
      <c r="AC1104" s="248"/>
      <c r="AD1104" s="248"/>
      <c r="AE1104" s="257">
        <f>AF1104+AG1104</f>
        <v>0</v>
      </c>
      <c r="AF1104" s="262">
        <f>SUMIF(БПр!$BA$131:$BA$160,AF$17 &amp; ".0-" &amp; AF$9,БПр!$M$131:$M$160)-SUMIF(БПр!$BA$131:$BA$160,AF$17 &amp; ".0-" &amp; AF$9,БПр!$U$131:$U$160)+SUMIF(БПр!$BA$131:$BA$160,AF$17 &amp; ".0-" &amp; AF$9,БПр!$AN$131:$AN$160)</f>
        <v>0</v>
      </c>
      <c r="AG1104" s="262">
        <f>SUMIF(БПр!$BA$131:$BA$160,AG$17 &amp; ".0-" &amp; AG$9,БПр!$M$131:$M$160)-SUMIF(БПр!$BA$131:$BA$160,AG$17 &amp; ".0-" &amp; AG$9,БПр!$U$131:$U$160)+SUMIF(БПр!$BA$131:$BA$160,AG$17 &amp; ".0-" &amp; AG$9,БПр!$AN$131:$AN$160)</f>
        <v>0</v>
      </c>
      <c r="AH1104" s="248"/>
      <c r="AI1104" s="248"/>
      <c r="AJ1104" s="248"/>
      <c r="AK1104" s="686"/>
      <c r="AL1104" s="724"/>
      <c r="AM1104" s="262"/>
      <c r="AN1104" s="310"/>
      <c r="AO1104" s="310"/>
      <c r="AP1104" s="310"/>
      <c r="AQ1104" s="36"/>
      <c r="AR1104" s="310"/>
      <c r="AS1104" s="310"/>
    </row>
    <row r="1105" spans="13:45" customFormat="1" ht="11.25" customHeight="1">
      <c r="M1105" s="491"/>
      <c r="N1105" s="460"/>
      <c r="O1105" s="461"/>
      <c r="AB1105" s="248"/>
      <c r="AC1105" s="248"/>
      <c r="AD1105" s="248"/>
      <c r="AE1105" s="266"/>
      <c r="AF1105" s="462"/>
      <c r="AG1105" s="462"/>
      <c r="AH1105" s="248"/>
      <c r="AI1105" s="248"/>
      <c r="AJ1105" s="248"/>
      <c r="AK1105" s="725"/>
      <c r="AL1105" s="462"/>
      <c r="AM1105" s="462"/>
      <c r="AN1105" s="310"/>
      <c r="AO1105" s="310"/>
      <c r="AP1105" s="310"/>
      <c r="AQ1105" s="36"/>
      <c r="AR1105" s="310"/>
      <c r="AS1105" s="310"/>
    </row>
    <row r="1106" spans="13:45" customFormat="1" ht="11.25" customHeight="1">
      <c r="M1106" s="721" t="s">
        <v>608</v>
      </c>
      <c r="N1106" s="466" t="s">
        <v>2943</v>
      </c>
      <c r="O1106" s="685" t="s">
        <v>149</v>
      </c>
      <c r="AB1106" s="248"/>
      <c r="AC1106" s="248"/>
      <c r="AD1106" s="248"/>
      <c r="AE1106" s="257">
        <f>AF1106+AG1106</f>
        <v>0</v>
      </c>
      <c r="AF1106" s="262">
        <f>SUMIF(БПр!$BA$131:$BA$160,AF$17 &amp; ".0-" &amp; AF$9,БПр!$K$131:$K$160)</f>
        <v>0</v>
      </c>
      <c r="AG1106" s="262">
        <f>SUMIF(БПр!$BA$131:$BA$160,AG$17 &amp; ".0-" &amp; AG$9,БПр!$K$131:$K$160)</f>
        <v>0</v>
      </c>
      <c r="AH1106" s="248"/>
      <c r="AI1106" s="248"/>
      <c r="AJ1106" s="248"/>
      <c r="AK1106" s="686"/>
      <c r="AL1106" s="724"/>
      <c r="AM1106" s="262"/>
      <c r="AN1106" s="310"/>
      <c r="AO1106" s="310"/>
      <c r="AP1106" s="310"/>
      <c r="AQ1106" s="36"/>
      <c r="AR1106" s="310"/>
      <c r="AS1106" s="310"/>
    </row>
    <row r="1107" spans="13:45" customFormat="1" ht="11.25" customHeight="1">
      <c r="M1107" s="721" t="s">
        <v>2944</v>
      </c>
      <c r="N1107" s="466" t="s">
        <v>2945</v>
      </c>
      <c r="O1107" s="685" t="s">
        <v>149</v>
      </c>
      <c r="AB1107" s="248"/>
      <c r="AC1107" s="248"/>
      <c r="AD1107" s="248"/>
      <c r="AE1107" s="686">
        <f>AF1107+AG1107</f>
        <v>0</v>
      </c>
      <c r="AF1107" s="241"/>
      <c r="AG1107" s="241"/>
      <c r="AH1107" s="248"/>
      <c r="AI1107" s="248"/>
      <c r="AJ1107" s="248"/>
      <c r="AK1107" s="256"/>
      <c r="AL1107" s="726"/>
      <c r="AM1107" s="680"/>
      <c r="AN1107" s="310"/>
      <c r="AO1107" s="310"/>
      <c r="AP1107" s="310"/>
      <c r="AQ1107" s="36"/>
      <c r="AR1107" s="310"/>
      <c r="AS1107" s="310"/>
    </row>
    <row r="1108" spans="13:45" customFormat="1" ht="11.25" customHeight="1">
      <c r="M1108" s="721" t="s">
        <v>2946</v>
      </c>
      <c r="N1108" s="466" t="s">
        <v>2947</v>
      </c>
      <c r="O1108" s="685" t="s">
        <v>149</v>
      </c>
      <c r="AB1108" s="248"/>
      <c r="AC1108" s="248"/>
      <c r="AD1108" s="248"/>
      <c r="AE1108" s="686">
        <f>AF1108+AG1108</f>
        <v>0</v>
      </c>
      <c r="AF1108" s="727">
        <f>AF1106-AF1107</f>
        <v>0</v>
      </c>
      <c r="AG1108" s="727">
        <f>AG1106-AG1107</f>
        <v>0</v>
      </c>
      <c r="AH1108" s="248"/>
      <c r="AI1108" s="248"/>
      <c r="AJ1108" s="248"/>
      <c r="AK1108" s="686"/>
      <c r="AL1108" s="727"/>
      <c r="AM1108" s="727"/>
      <c r="AN1108" s="310"/>
      <c r="AO1108" s="310"/>
      <c r="AP1108" s="310"/>
      <c r="AQ1108" s="36"/>
      <c r="AR1108" s="310"/>
      <c r="AS1108" s="310"/>
    </row>
    <row r="1109" spans="13:45" customFormat="1" ht="11.25" customHeight="1">
      <c r="M1109" s="491"/>
      <c r="N1109" s="460"/>
      <c r="O1109" s="461"/>
      <c r="AB1109" s="248"/>
      <c r="AC1109" s="248"/>
      <c r="AD1109" s="248"/>
      <c r="AE1109" s="266"/>
      <c r="AF1109" s="266"/>
      <c r="AG1109" s="266"/>
      <c r="AH1109" s="248"/>
      <c r="AI1109" s="248"/>
      <c r="AJ1109" s="248"/>
      <c r="AK1109" s="728"/>
      <c r="AL1109" s="728"/>
      <c r="AM1109" s="728"/>
      <c r="AN1109" s="310"/>
      <c r="AO1109" s="310"/>
      <c r="AP1109" s="310"/>
      <c r="AQ1109" s="36"/>
      <c r="AR1109" s="310"/>
      <c r="AS1109" s="310"/>
    </row>
    <row r="1110" spans="13:45" customFormat="1" ht="11.25" customHeight="1">
      <c r="M1110" s="490" t="s">
        <v>2948</v>
      </c>
      <c r="N1110" s="463" t="s">
        <v>3001</v>
      </c>
      <c r="O1110" s="189" t="s">
        <v>195</v>
      </c>
      <c r="AB1110" s="248"/>
      <c r="AC1110" s="248"/>
      <c r="AD1110" s="248"/>
      <c r="AE1110" s="263">
        <f>SUM(AE1111,AE1115:AE1120,AE1121,AE1126,AE1133,AE1134,AE1152:AE1161)</f>
        <v>0</v>
      </c>
      <c r="AF1110" s="263">
        <f>SUM(AF1111,AF1115:AF1120,AF1121,AF1126,AF1133,AF1134,AF1152:AF1161)</f>
        <v>0</v>
      </c>
      <c r="AG1110" s="263">
        <f>SUM(AG1111,AG1115:AG1120,AG1121,AG1126,AG1133,AG1134,AG1152:AG1161)</f>
        <v>0</v>
      </c>
      <c r="AH1110" s="248"/>
      <c r="AI1110" s="248"/>
      <c r="AJ1110" s="248"/>
      <c r="AK1110" s="263">
        <f>SUM(AK1111,AK1115:AK1120,AK1121,AK1126,AK1133,AK1134,AK1152:AK1161)</f>
        <v>0</v>
      </c>
      <c r="AL1110" s="263">
        <f>SUM(AL1111,AL1115:AL1120,AL1121,AL1126,AL1133,AL1134,AL1152:AL1161)</f>
        <v>0</v>
      </c>
      <c r="AM1110" s="263">
        <f>SUM(AM1111,AM1115:AM1120,AM1121,AM1126,AM1133,AM1134,AM1152:AM1161)</f>
        <v>0</v>
      </c>
      <c r="AN1110" s="310"/>
      <c r="AO1110" s="310"/>
      <c r="AP1110" s="310"/>
      <c r="AQ1110" s="36"/>
      <c r="AR1110" s="310"/>
      <c r="AS1110" s="310"/>
    </row>
    <row r="1111" spans="13:45" customFormat="1" ht="11.25" customHeight="1">
      <c r="M1111" s="696" t="s">
        <v>2949</v>
      </c>
      <c r="N1111" s="697" t="s">
        <v>1304</v>
      </c>
      <c r="O1111" s="189" t="s">
        <v>195</v>
      </c>
      <c r="AB1111" s="248"/>
      <c r="AC1111" s="248"/>
      <c r="AD1111" s="248"/>
      <c r="AE1111" s="266"/>
      <c r="AF1111" s="266"/>
      <c r="AG1111" s="266"/>
      <c r="AH1111" s="248"/>
      <c r="AI1111" s="248"/>
      <c r="AJ1111" s="248"/>
      <c r="AK1111" s="183">
        <f>SUM(AK1112:AK1114)</f>
        <v>0</v>
      </c>
      <c r="AL1111" s="183">
        <f>SUM(AL1112:AL1114)</f>
        <v>0</v>
      </c>
      <c r="AM1111" s="183">
        <f>SUM(AM1112:AM1114)</f>
        <v>0</v>
      </c>
      <c r="AN1111" s="310"/>
      <c r="AO1111" s="310"/>
      <c r="AP1111" s="310"/>
      <c r="AQ1111" s="698" t="s">
        <v>1328</v>
      </c>
      <c r="AR1111" s="310"/>
      <c r="AS1111" s="310"/>
    </row>
    <row r="1112" spans="13:45" customFormat="1" ht="11.25" customHeight="1">
      <c r="M1112" s="696" t="s">
        <v>2950</v>
      </c>
      <c r="N1112" s="699" t="s">
        <v>713</v>
      </c>
      <c r="O1112" s="189" t="s">
        <v>195</v>
      </c>
      <c r="AB1112" s="248"/>
      <c r="AC1112" s="248"/>
      <c r="AD1112" s="248"/>
      <c r="AE1112" s="266"/>
      <c r="AF1112" s="266"/>
      <c r="AG1112" s="266"/>
      <c r="AH1112" s="248"/>
      <c r="AI1112" s="248"/>
      <c r="AJ1112" s="248"/>
      <c r="AK1112" s="183">
        <f t="shared" ref="AK1112:AK1143" si="78">AL1112+AM1112</f>
        <v>0</v>
      </c>
      <c r="AL1112" s="729">
        <f>IF(OR(AL38=0,AL1107=0,AL1106=0),0,AL38*AL1107/AL1106)</f>
        <v>0</v>
      </c>
      <c r="AM1112" s="729">
        <f>IF(OR(AM38=0,AM1107=0,AM1106=0),0,AM38*AM1107/AM1106)</f>
        <v>0</v>
      </c>
      <c r="AN1112" s="310"/>
      <c r="AO1112" s="310"/>
      <c r="AP1112" s="310"/>
      <c r="AQ1112" s="698" t="s">
        <v>1329</v>
      </c>
      <c r="AR1112" s="310"/>
      <c r="AS1112" s="310"/>
    </row>
    <row r="1113" spans="13:45" customFormat="1" ht="11.25" customHeight="1">
      <c r="M1113" s="696" t="s">
        <v>2951</v>
      </c>
      <c r="N1113" s="699" t="s">
        <v>715</v>
      </c>
      <c r="O1113" s="189" t="s">
        <v>195</v>
      </c>
      <c r="AB1113" s="248"/>
      <c r="AC1113" s="248"/>
      <c r="AD1113" s="248"/>
      <c r="AE1113" s="266"/>
      <c r="AF1113" s="266"/>
      <c r="AG1113" s="266"/>
      <c r="AH1113" s="248"/>
      <c r="AI1113" s="248"/>
      <c r="AJ1113" s="248"/>
      <c r="AK1113" s="183">
        <f t="shared" si="78"/>
        <v>0</v>
      </c>
      <c r="AL1113" s="729">
        <f>IF(OR(AL39=0,AL1107=0,AL1106=0),0,AL39*AL1107/AL1106)</f>
        <v>0</v>
      </c>
      <c r="AM1113" s="729">
        <f>IF(OR(AM39=0,AM1107=0,AM1106=0),0,AM39*AM1107/AM1106)</f>
        <v>0</v>
      </c>
      <c r="AN1113" s="310"/>
      <c r="AO1113" s="310"/>
      <c r="AP1113" s="310"/>
      <c r="AQ1113" s="698" t="s">
        <v>1330</v>
      </c>
      <c r="AR1113" s="310"/>
      <c r="AS1113" s="310"/>
    </row>
    <row r="1114" spans="13:45" customFormat="1" ht="11.25" customHeight="1">
      <c r="M1114" s="696" t="s">
        <v>2952</v>
      </c>
      <c r="N1114" s="699" t="s">
        <v>716</v>
      </c>
      <c r="O1114" s="189" t="s">
        <v>195</v>
      </c>
      <c r="AB1114" s="248"/>
      <c r="AC1114" s="248"/>
      <c r="AD1114" s="248"/>
      <c r="AE1114" s="266"/>
      <c r="AF1114" s="266"/>
      <c r="AG1114" s="266"/>
      <c r="AH1114" s="248"/>
      <c r="AI1114" s="248"/>
      <c r="AJ1114" s="248"/>
      <c r="AK1114" s="183">
        <f t="shared" si="78"/>
        <v>0</v>
      </c>
      <c r="AL1114" s="729">
        <f>IF(OR(AL40=0,AL1107=0,AL1106=0),0,AL40*AL1107/AL1106)</f>
        <v>0</v>
      </c>
      <c r="AM1114" s="729">
        <f>IF(OR(AM40=0,AM1107=0,AM1106=0),0,AM40*AM1107/AM1106)</f>
        <v>0</v>
      </c>
      <c r="AN1114" s="310"/>
      <c r="AO1114" s="310"/>
      <c r="AP1114" s="310"/>
      <c r="AQ1114" s="698" t="s">
        <v>1331</v>
      </c>
      <c r="AR1114" s="310"/>
      <c r="AS1114" s="310"/>
    </row>
    <row r="1115" spans="13:45" customFormat="1" ht="11.25" customHeight="1">
      <c r="M1115" s="696" t="s">
        <v>2953</v>
      </c>
      <c r="N1115" s="700" t="s">
        <v>1305</v>
      </c>
      <c r="O1115" s="189" t="s">
        <v>195</v>
      </c>
      <c r="AB1115" s="248"/>
      <c r="AC1115" s="248"/>
      <c r="AD1115" s="248"/>
      <c r="AE1115" s="266"/>
      <c r="AF1115" s="266"/>
      <c r="AG1115" s="266"/>
      <c r="AH1115" s="248"/>
      <c r="AI1115" s="248"/>
      <c r="AJ1115" s="248"/>
      <c r="AK1115" s="183">
        <f t="shared" si="78"/>
        <v>0</v>
      </c>
      <c r="AL1115" s="729">
        <f>IF(OR(AL41=0,AL1107=0,AL1106=0),0,AL41*AL1107/AL1106)</f>
        <v>0</v>
      </c>
      <c r="AM1115" s="729">
        <f>IF(OR(AM41=0,AM1107=0,AM1106=0),0,AM41*AM1107/AM1106)</f>
        <v>0</v>
      </c>
      <c r="AN1115" s="310"/>
      <c r="AO1115" s="310"/>
      <c r="AP1115" s="310"/>
      <c r="AQ1115" s="698" t="s">
        <v>1340</v>
      </c>
      <c r="AR1115" s="310"/>
      <c r="AS1115" s="310"/>
    </row>
    <row r="1116" spans="13:45" customFormat="1" ht="11.25" customHeight="1">
      <c r="M1116" s="696" t="s">
        <v>2954</v>
      </c>
      <c r="N1116" s="700" t="s">
        <v>1306</v>
      </c>
      <c r="O1116" s="189" t="s">
        <v>195</v>
      </c>
      <c r="AB1116" s="248"/>
      <c r="AC1116" s="248"/>
      <c r="AD1116" s="248"/>
      <c r="AE1116" s="266"/>
      <c r="AF1116" s="266"/>
      <c r="AG1116" s="266"/>
      <c r="AH1116" s="248"/>
      <c r="AI1116" s="248"/>
      <c r="AJ1116" s="248"/>
      <c r="AK1116" s="183">
        <f t="shared" si="78"/>
        <v>0</v>
      </c>
      <c r="AL1116" s="729">
        <f>IF(OR(AL42=0,AL1107=0,AL1106=0),0,AL42*AL1107/AL1106)</f>
        <v>0</v>
      </c>
      <c r="AM1116" s="729">
        <f>IF(OR(AM42=0,AM1107=0,AM1106=0),0,AM42*AM1107/AM1106)</f>
        <v>0</v>
      </c>
      <c r="AN1116" s="310"/>
      <c r="AO1116" s="310"/>
      <c r="AP1116" s="310"/>
      <c r="AQ1116" s="698" t="s">
        <v>1341</v>
      </c>
      <c r="AR1116" s="310"/>
      <c r="AS1116" s="310"/>
    </row>
    <row r="1117" spans="13:45" customFormat="1" ht="11.25" customHeight="1">
      <c r="M1117" s="696" t="s">
        <v>2955</v>
      </c>
      <c r="N1117" s="700" t="s">
        <v>1307</v>
      </c>
      <c r="O1117" s="189" t="s">
        <v>195</v>
      </c>
      <c r="AB1117" s="248"/>
      <c r="AC1117" s="248"/>
      <c r="AD1117" s="248"/>
      <c r="AE1117" s="266"/>
      <c r="AF1117" s="266"/>
      <c r="AG1117" s="266"/>
      <c r="AH1117" s="248"/>
      <c r="AI1117" s="248"/>
      <c r="AJ1117" s="248"/>
      <c r="AK1117" s="183">
        <f t="shared" si="78"/>
        <v>0</v>
      </c>
      <c r="AL1117" s="729">
        <f>IF(OR(AL43=0,AL1107=0,AL1106=0),0,AL43*AL1107/AL1106)</f>
        <v>0</v>
      </c>
      <c r="AM1117" s="729">
        <f>IF(OR(AM43=0,AM1107=0,AM1106=0),0,AM43*AM1107/AM1106)</f>
        <v>0</v>
      </c>
      <c r="AN1117" s="310"/>
      <c r="AO1117" s="310"/>
      <c r="AP1117" s="310"/>
      <c r="AQ1117" s="698" t="s">
        <v>1342</v>
      </c>
      <c r="AR1117" s="310"/>
      <c r="AS1117" s="310"/>
    </row>
    <row r="1118" spans="13:45" customFormat="1" ht="11.25" customHeight="1">
      <c r="M1118" s="696" t="s">
        <v>2956</v>
      </c>
      <c r="N1118" s="700" t="s">
        <v>1308</v>
      </c>
      <c r="O1118" s="189" t="s">
        <v>195</v>
      </c>
      <c r="AB1118" s="248"/>
      <c r="AC1118" s="248"/>
      <c r="AD1118" s="248"/>
      <c r="AE1118" s="266"/>
      <c r="AF1118" s="266"/>
      <c r="AG1118" s="266"/>
      <c r="AH1118" s="248"/>
      <c r="AI1118" s="248"/>
      <c r="AJ1118" s="248"/>
      <c r="AK1118" s="183">
        <f t="shared" si="78"/>
        <v>0</v>
      </c>
      <c r="AL1118" s="729">
        <f>IF(OR(AL44=0,AL1107=0,AL1106=0),0,AL44*AL1107/AL1106)</f>
        <v>0</v>
      </c>
      <c r="AM1118" s="729">
        <f>IF(OR(AM44=0,AM1107=0,AM1106=0),0,AM44*AM1107/AM1106)</f>
        <v>0</v>
      </c>
      <c r="AN1118" s="310"/>
      <c r="AO1118" s="310"/>
      <c r="AP1118" s="310"/>
      <c r="AQ1118" s="698" t="s">
        <v>1339</v>
      </c>
      <c r="AR1118" s="310"/>
      <c r="AS1118" s="310"/>
    </row>
    <row r="1119" spans="13:45" customFormat="1" ht="11.25" customHeight="1">
      <c r="M1119" s="696" t="s">
        <v>2957</v>
      </c>
      <c r="N1119" s="701" t="s">
        <v>684</v>
      </c>
      <c r="O1119" s="189" t="s">
        <v>195</v>
      </c>
      <c r="AB1119" s="248"/>
      <c r="AC1119" s="248"/>
      <c r="AD1119" s="248"/>
      <c r="AE1119" s="266"/>
      <c r="AF1119" s="266"/>
      <c r="AG1119" s="266"/>
      <c r="AH1119" s="248"/>
      <c r="AI1119" s="248"/>
      <c r="AJ1119" s="248"/>
      <c r="AK1119" s="183">
        <f t="shared" si="78"/>
        <v>0</v>
      </c>
      <c r="AL1119" s="729">
        <f>IF(OR(AL45=0,AL1107=0,AL1106=0),0,AL45*AL1107/AL1106)</f>
        <v>0</v>
      </c>
      <c r="AM1119" s="729">
        <f>IF(OR(AM45=0,AM1107=0,AM1106=0),0,AM45*AM1107/AM1106)</f>
        <v>0</v>
      </c>
      <c r="AN1119" s="310"/>
      <c r="AO1119" s="310"/>
      <c r="AP1119" s="310"/>
      <c r="AQ1119" s="698" t="s">
        <v>1332</v>
      </c>
      <c r="AR1119" s="310"/>
      <c r="AS1119" s="310"/>
    </row>
    <row r="1120" spans="13:45" customFormat="1" ht="11.25" customHeight="1">
      <c r="M1120" s="696" t="s">
        <v>2958</v>
      </c>
      <c r="N1120" s="702" t="s">
        <v>718</v>
      </c>
      <c r="O1120" s="189" t="s">
        <v>195</v>
      </c>
      <c r="AB1120" s="248"/>
      <c r="AC1120" s="248"/>
      <c r="AD1120" s="248"/>
      <c r="AE1120" s="266"/>
      <c r="AF1120" s="266"/>
      <c r="AG1120" s="266"/>
      <c r="AH1120" s="248"/>
      <c r="AI1120" s="248"/>
      <c r="AJ1120" s="248"/>
      <c r="AK1120" s="183">
        <f t="shared" si="78"/>
        <v>0</v>
      </c>
      <c r="AL1120" s="729">
        <f>IF(OR(AL46=0,AL1107=0,AL1106=0),0,AL46*AL1107/AL1106)</f>
        <v>0</v>
      </c>
      <c r="AM1120" s="729">
        <f>IF(OR(AM46=0,AM1107=0,AM1106=0),0,AM46*AM1107/AM1106)</f>
        <v>0</v>
      </c>
      <c r="AN1120" s="310"/>
      <c r="AO1120" s="310"/>
      <c r="AP1120" s="310"/>
      <c r="AQ1120" s="698" t="s">
        <v>1333</v>
      </c>
      <c r="AR1120" s="310"/>
      <c r="AS1120" s="310"/>
    </row>
    <row r="1121" spans="13:45" customFormat="1" ht="11.25" customHeight="1">
      <c r="M1121" s="696" t="s">
        <v>2959</v>
      </c>
      <c r="N1121" s="703" t="s">
        <v>722</v>
      </c>
      <c r="O1121" s="189" t="s">
        <v>195</v>
      </c>
      <c r="AB1121" s="248"/>
      <c r="AC1121" s="248"/>
      <c r="AD1121" s="248"/>
      <c r="AE1121" s="266"/>
      <c r="AF1121" s="266"/>
      <c r="AG1121" s="266"/>
      <c r="AH1121" s="248"/>
      <c r="AI1121" s="248"/>
      <c r="AJ1121" s="248"/>
      <c r="AK1121" s="183">
        <f t="shared" si="78"/>
        <v>0</v>
      </c>
      <c r="AL1121" s="183">
        <f>SUM(AL1122:AL1125)</f>
        <v>0</v>
      </c>
      <c r="AM1121" s="183">
        <f>SUM(AM1122:AM1125)</f>
        <v>0</v>
      </c>
      <c r="AN1121" s="310"/>
      <c r="AO1121" s="310"/>
      <c r="AP1121" s="310"/>
      <c r="AQ1121" s="698" t="s">
        <v>1334</v>
      </c>
      <c r="AR1121" s="310"/>
      <c r="AS1121" s="310"/>
    </row>
    <row r="1122" spans="13:45" customFormat="1" ht="11.25" customHeight="1">
      <c r="M1122" s="696" t="s">
        <v>2960</v>
      </c>
      <c r="N1122" s="704" t="s">
        <v>1309</v>
      </c>
      <c r="O1122" s="189" t="s">
        <v>195</v>
      </c>
      <c r="AB1122" s="248"/>
      <c r="AC1122" s="248"/>
      <c r="AD1122" s="248"/>
      <c r="AE1122" s="266"/>
      <c r="AF1122" s="266"/>
      <c r="AG1122" s="266"/>
      <c r="AH1122" s="248"/>
      <c r="AI1122" s="248"/>
      <c r="AJ1122" s="248"/>
      <c r="AK1122" s="183">
        <f t="shared" si="78"/>
        <v>0</v>
      </c>
      <c r="AL1122" s="729">
        <f>IF(OR(AL48=0,AL1107=0,AL1106=0),0,AL48*AL1107/AL1106)</f>
        <v>0</v>
      </c>
      <c r="AM1122" s="729">
        <f>IF(OR(AM48=0,AM1107=0,AM1106=0),0,AM48*AM1107/AM1106)</f>
        <v>0</v>
      </c>
      <c r="AN1122" s="310"/>
      <c r="AO1122" s="310"/>
      <c r="AP1122" s="310"/>
      <c r="AQ1122" s="698" t="s">
        <v>1335</v>
      </c>
      <c r="AR1122" s="310"/>
      <c r="AS1122" s="310"/>
    </row>
    <row r="1123" spans="13:45" customFormat="1" ht="11.25" customHeight="1">
      <c r="M1123" s="696" t="s">
        <v>2961</v>
      </c>
      <c r="N1123" s="704" t="s">
        <v>1310</v>
      </c>
      <c r="O1123" s="189" t="s">
        <v>195</v>
      </c>
      <c r="AB1123" s="248"/>
      <c r="AC1123" s="248"/>
      <c r="AD1123" s="248"/>
      <c r="AE1123" s="266"/>
      <c r="AF1123" s="266"/>
      <c r="AG1123" s="266"/>
      <c r="AH1123" s="248"/>
      <c r="AI1123" s="248"/>
      <c r="AJ1123" s="248"/>
      <c r="AK1123" s="183">
        <f t="shared" si="78"/>
        <v>0</v>
      </c>
      <c r="AL1123" s="729">
        <f>IF(OR(AL49=0,AL1107=0,AL1106=0),0,AL49*AL1107/AL1106)</f>
        <v>0</v>
      </c>
      <c r="AM1123" s="729">
        <f>IF(OR(AM49=0,AM1107=0,AM1106=0),0,AM49*AM1107/AM1106)</f>
        <v>0</v>
      </c>
      <c r="AN1123" s="310"/>
      <c r="AO1123" s="310"/>
      <c r="AP1123" s="310"/>
      <c r="AQ1123" s="698" t="s">
        <v>1336</v>
      </c>
      <c r="AR1123" s="310"/>
      <c r="AS1123" s="310"/>
    </row>
    <row r="1124" spans="13:45" customFormat="1" ht="11.25" customHeight="1">
      <c r="M1124" s="696" t="s">
        <v>2962</v>
      </c>
      <c r="N1124" s="704" t="s">
        <v>1311</v>
      </c>
      <c r="O1124" s="189" t="s">
        <v>195</v>
      </c>
      <c r="AB1124" s="248"/>
      <c r="AC1124" s="248"/>
      <c r="AD1124" s="248"/>
      <c r="AE1124" s="266"/>
      <c r="AF1124" s="266"/>
      <c r="AG1124" s="266"/>
      <c r="AH1124" s="248"/>
      <c r="AI1124" s="248"/>
      <c r="AJ1124" s="248"/>
      <c r="AK1124" s="183">
        <f t="shared" si="78"/>
        <v>0</v>
      </c>
      <c r="AL1124" s="729">
        <f>IF(OR(AL50=0,AL1107=0,AL1106=0),0,AL50*AL1107/AL1106)</f>
        <v>0</v>
      </c>
      <c r="AM1124" s="729">
        <f>IF(OR(AM50=0,AM1107=0,AM1106=0),0,AM50*AM1107/AM1106)</f>
        <v>0</v>
      </c>
      <c r="AN1124" s="310"/>
      <c r="AO1124" s="310"/>
      <c r="AP1124" s="310"/>
      <c r="AQ1124" s="698" t="s">
        <v>1337</v>
      </c>
      <c r="AR1124" s="310"/>
      <c r="AS1124" s="310"/>
    </row>
    <row r="1125" spans="13:45" customFormat="1" ht="11.25" customHeight="1">
      <c r="M1125" s="696" t="s">
        <v>2963</v>
      </c>
      <c r="N1125" s="704" t="s">
        <v>1312</v>
      </c>
      <c r="O1125" s="189" t="s">
        <v>195</v>
      </c>
      <c r="AB1125" s="248"/>
      <c r="AC1125" s="248"/>
      <c r="AD1125" s="248"/>
      <c r="AE1125" s="266"/>
      <c r="AF1125" s="266"/>
      <c r="AG1125" s="266"/>
      <c r="AH1125" s="248"/>
      <c r="AI1125" s="248"/>
      <c r="AJ1125" s="248"/>
      <c r="AK1125" s="183">
        <f t="shared" si="78"/>
        <v>0</v>
      </c>
      <c r="AL1125" s="729">
        <f>IF(OR(AL51=0,AL1107=0,AL1106=0),0,AL51*AL1107/AL1106)</f>
        <v>0</v>
      </c>
      <c r="AM1125" s="729">
        <f>IF(OR(AM51=0,AM1107=0,AM1106=0),0,AM51*AM1107/AM1106)</f>
        <v>0</v>
      </c>
      <c r="AN1125" s="310"/>
      <c r="AO1125" s="310"/>
      <c r="AP1125" s="310"/>
      <c r="AQ1125" s="698" t="s">
        <v>1338</v>
      </c>
      <c r="AR1125" s="310"/>
      <c r="AS1125" s="310"/>
    </row>
    <row r="1126" spans="13:45" customFormat="1" ht="11.25" customHeight="1">
      <c r="M1126" s="696" t="s">
        <v>2964</v>
      </c>
      <c r="N1126" s="705" t="s">
        <v>720</v>
      </c>
      <c r="O1126" s="189" t="s">
        <v>195</v>
      </c>
      <c r="AB1126" s="248"/>
      <c r="AC1126" s="248"/>
      <c r="AD1126" s="248"/>
      <c r="AE1126" s="266"/>
      <c r="AF1126" s="266"/>
      <c r="AG1126" s="266"/>
      <c r="AH1126" s="248"/>
      <c r="AI1126" s="248"/>
      <c r="AJ1126" s="248"/>
      <c r="AK1126" s="183">
        <f t="shared" si="78"/>
        <v>0</v>
      </c>
      <c r="AL1126" s="183">
        <f>SUM(AL1127:AL1132)</f>
        <v>0</v>
      </c>
      <c r="AM1126" s="183">
        <f>SUM(AM1127:AM1132)</f>
        <v>0</v>
      </c>
      <c r="AN1126" s="310"/>
      <c r="AO1126" s="310"/>
      <c r="AP1126" s="310"/>
      <c r="AQ1126" s="698" t="s">
        <v>1343</v>
      </c>
      <c r="AR1126" s="310"/>
      <c r="AS1126" s="310"/>
    </row>
    <row r="1127" spans="13:45" customFormat="1" ht="11.25" customHeight="1">
      <c r="M1127" s="696" t="s">
        <v>2965</v>
      </c>
      <c r="N1127" s="706" t="s">
        <v>1313</v>
      </c>
      <c r="O1127" s="189" t="s">
        <v>195</v>
      </c>
      <c r="AB1127" s="248"/>
      <c r="AC1127" s="248"/>
      <c r="AD1127" s="248"/>
      <c r="AE1127" s="266"/>
      <c r="AF1127" s="266"/>
      <c r="AG1127" s="266"/>
      <c r="AH1127" s="248"/>
      <c r="AI1127" s="248"/>
      <c r="AJ1127" s="248"/>
      <c r="AK1127" s="183">
        <f t="shared" si="78"/>
        <v>0</v>
      </c>
      <c r="AL1127" s="729">
        <f>IF(OR(AL53=0,AL1107=0,AL1106=0),0,AL53*AL1107/AL1106)</f>
        <v>0</v>
      </c>
      <c r="AM1127" s="729">
        <f>IF(OR(AM53=0,AM1107=0,AM1106=0),0,AM53*AM1107/AM1106)</f>
        <v>0</v>
      </c>
      <c r="AN1127" s="310"/>
      <c r="AO1127" s="310"/>
      <c r="AP1127" s="310"/>
      <c r="AQ1127" s="698" t="s">
        <v>1866</v>
      </c>
      <c r="AR1127" s="310"/>
      <c r="AS1127" s="310"/>
    </row>
    <row r="1128" spans="13:45" customFormat="1" ht="11.25" customHeight="1">
      <c r="M1128" s="696" t="s">
        <v>2966</v>
      </c>
      <c r="N1128" s="706" t="s">
        <v>1314</v>
      </c>
      <c r="O1128" s="189" t="s">
        <v>195</v>
      </c>
      <c r="AB1128" s="248"/>
      <c r="AC1128" s="248"/>
      <c r="AD1128" s="248"/>
      <c r="AE1128" s="266"/>
      <c r="AF1128" s="266"/>
      <c r="AG1128" s="266"/>
      <c r="AH1128" s="248"/>
      <c r="AI1128" s="248"/>
      <c r="AJ1128" s="248"/>
      <c r="AK1128" s="183">
        <f t="shared" si="78"/>
        <v>0</v>
      </c>
      <c r="AL1128" s="729">
        <f>IF(OR(AL54=0,AL1107=0,AL1106=0),0,AL54*AL1107/AL1106)</f>
        <v>0</v>
      </c>
      <c r="AM1128" s="729">
        <f>IF(OR(AM54=0,AM1107=0,AM1106=0),0,AM54*AM1107/AM1106)</f>
        <v>0</v>
      </c>
      <c r="AN1128" s="310"/>
      <c r="AO1128" s="310"/>
      <c r="AP1128" s="310"/>
      <c r="AQ1128" s="698" t="s">
        <v>1847</v>
      </c>
      <c r="AR1128" s="310"/>
      <c r="AS1128" s="310"/>
    </row>
    <row r="1129" spans="13:45" customFormat="1" ht="11.25" customHeight="1">
      <c r="M1129" s="696" t="s">
        <v>2967</v>
      </c>
      <c r="N1129" s="706" t="s">
        <v>1315</v>
      </c>
      <c r="O1129" s="189" t="s">
        <v>195</v>
      </c>
      <c r="AB1129" s="248"/>
      <c r="AC1129" s="248"/>
      <c r="AD1129" s="248"/>
      <c r="AE1129" s="266"/>
      <c r="AF1129" s="266"/>
      <c r="AG1129" s="266"/>
      <c r="AH1129" s="248"/>
      <c r="AI1129" s="248"/>
      <c r="AJ1129" s="248"/>
      <c r="AK1129" s="183">
        <f t="shared" si="78"/>
        <v>0</v>
      </c>
      <c r="AL1129" s="729">
        <f>IF(OR(AL55=0,AL1107=0,AL1106=0),0,AL55*AL1107/AL1106)</f>
        <v>0</v>
      </c>
      <c r="AM1129" s="729">
        <f>IF(OR(AM55=0,AM1107=0,AM1106=0),0,AM55*AM1107/AM1106)</f>
        <v>0</v>
      </c>
      <c r="AN1129" s="310"/>
      <c r="AO1129" s="310"/>
      <c r="AP1129" s="310"/>
      <c r="AQ1129" s="698" t="s">
        <v>1827</v>
      </c>
      <c r="AR1129" s="310"/>
      <c r="AS1129" s="310"/>
    </row>
    <row r="1130" spans="13:45" customFormat="1" ht="11.25" customHeight="1">
      <c r="M1130" s="696" t="s">
        <v>2968</v>
      </c>
      <c r="N1130" s="706" t="s">
        <v>1316</v>
      </c>
      <c r="O1130" s="189" t="s">
        <v>195</v>
      </c>
      <c r="AB1130" s="248"/>
      <c r="AC1130" s="248"/>
      <c r="AD1130" s="248"/>
      <c r="AE1130" s="266"/>
      <c r="AF1130" s="266"/>
      <c r="AG1130" s="266"/>
      <c r="AH1130" s="248"/>
      <c r="AI1130" s="248"/>
      <c r="AJ1130" s="248"/>
      <c r="AK1130" s="183">
        <f t="shared" si="78"/>
        <v>0</v>
      </c>
      <c r="AL1130" s="729">
        <f>IF(OR(AL56=0,AL1107=0,AL1106=0),0,AL56*AL1107/AL1106)</f>
        <v>0</v>
      </c>
      <c r="AM1130" s="729">
        <f>IF(OR(AM56=0,AM1107=0,AM1106=0),0,AM56*AM1107/AM1106)</f>
        <v>0</v>
      </c>
      <c r="AN1130" s="310"/>
      <c r="AO1130" s="310"/>
      <c r="AP1130" s="310"/>
      <c r="AQ1130" s="698" t="s">
        <v>1344</v>
      </c>
      <c r="AR1130" s="310"/>
      <c r="AS1130" s="310"/>
    </row>
    <row r="1131" spans="13:45" customFormat="1" ht="11.25" customHeight="1">
      <c r="M1131" s="696" t="s">
        <v>2969</v>
      </c>
      <c r="N1131" s="706" t="s">
        <v>1317</v>
      </c>
      <c r="O1131" s="189" t="s">
        <v>195</v>
      </c>
      <c r="AB1131" s="248"/>
      <c r="AC1131" s="248"/>
      <c r="AD1131" s="248"/>
      <c r="AE1131" s="266"/>
      <c r="AF1131" s="266"/>
      <c r="AG1131" s="266"/>
      <c r="AH1131" s="248"/>
      <c r="AI1131" s="248"/>
      <c r="AJ1131" s="248"/>
      <c r="AK1131" s="183">
        <f t="shared" si="78"/>
        <v>0</v>
      </c>
      <c r="AL1131" s="729">
        <f>IF(OR(AL57=0,AL1107=0,AL1106=0),0,AL57*AL1107/AL1106)</f>
        <v>0</v>
      </c>
      <c r="AM1131" s="729">
        <f>IF(OR(AM57=0,AM1107=0,AM1106=0),0,AM57*AM1107/AM1106)</f>
        <v>0</v>
      </c>
      <c r="AN1131" s="310"/>
      <c r="AO1131" s="310"/>
      <c r="AP1131" s="310"/>
      <c r="AQ1131" s="698" t="s">
        <v>1345</v>
      </c>
      <c r="AR1131" s="310"/>
      <c r="AS1131" s="310"/>
    </row>
    <row r="1132" spans="13:45" customFormat="1" ht="11.25" customHeight="1">
      <c r="M1132" s="696" t="s">
        <v>2970</v>
      </c>
      <c r="N1132" s="706" t="s">
        <v>1318</v>
      </c>
      <c r="O1132" s="189" t="s">
        <v>195</v>
      </c>
      <c r="AB1132" s="248"/>
      <c r="AC1132" s="248"/>
      <c r="AD1132" s="248"/>
      <c r="AE1132" s="266"/>
      <c r="AF1132" s="266"/>
      <c r="AG1132" s="266"/>
      <c r="AH1132" s="248"/>
      <c r="AI1132" s="248"/>
      <c r="AJ1132" s="248"/>
      <c r="AK1132" s="183">
        <f t="shared" si="78"/>
        <v>0</v>
      </c>
      <c r="AL1132" s="729">
        <f>IF(OR(AL58=0,AL1107=0,AL1106=0),0,AL58*AL1107/AL1106)</f>
        <v>0</v>
      </c>
      <c r="AM1132" s="729">
        <f>IF(OR(AM58=0,AM1107=0,AM1106=0),0,AM58*AM1107/AM1106)</f>
        <v>0</v>
      </c>
      <c r="AN1132" s="310"/>
      <c r="AO1132" s="310"/>
      <c r="AP1132" s="310"/>
      <c r="AQ1132" s="698" t="s">
        <v>1346</v>
      </c>
      <c r="AR1132" s="310"/>
      <c r="AS1132" s="310"/>
    </row>
    <row r="1133" spans="13:45" customFormat="1" ht="11.25" customHeight="1">
      <c r="M1133" s="696" t="s">
        <v>2971</v>
      </c>
      <c r="N1133" s="707" t="s">
        <v>721</v>
      </c>
      <c r="O1133" s="189" t="s">
        <v>195</v>
      </c>
      <c r="AB1133" s="248"/>
      <c r="AC1133" s="248"/>
      <c r="AD1133" s="248"/>
      <c r="AE1133" s="266"/>
      <c r="AF1133" s="266"/>
      <c r="AG1133" s="266"/>
      <c r="AH1133" s="248"/>
      <c r="AI1133" s="248"/>
      <c r="AJ1133" s="248"/>
      <c r="AK1133" s="183">
        <f t="shared" si="78"/>
        <v>0</v>
      </c>
      <c r="AL1133" s="729">
        <f>IF(OR(AL59=0,AL1107=0,AL1106=0),0,AL59*AL1107/AL1106)</f>
        <v>0</v>
      </c>
      <c r="AM1133" s="729">
        <f>IF(OR(AM59=0,AM1107=0,AM1106=0),0,AM59*AM1107/AM1106)</f>
        <v>0</v>
      </c>
      <c r="AN1133" s="310"/>
      <c r="AO1133" s="310"/>
      <c r="AP1133" s="310"/>
      <c r="AQ1133" s="698" t="s">
        <v>1347</v>
      </c>
      <c r="AR1133" s="310"/>
      <c r="AS1133" s="310"/>
    </row>
    <row r="1134" spans="13:45" customFormat="1" ht="11.25" customHeight="1">
      <c r="M1134" s="696" t="s">
        <v>2972</v>
      </c>
      <c r="N1134" s="708" t="s">
        <v>712</v>
      </c>
      <c r="O1134" s="189" t="s">
        <v>195</v>
      </c>
      <c r="AB1134" s="248"/>
      <c r="AC1134" s="248"/>
      <c r="AD1134" s="248"/>
      <c r="AE1134" s="266"/>
      <c r="AF1134" s="266"/>
      <c r="AG1134" s="266"/>
      <c r="AH1134" s="248"/>
      <c r="AI1134" s="248"/>
      <c r="AJ1134" s="248"/>
      <c r="AK1134" s="183">
        <f t="shared" si="78"/>
        <v>0</v>
      </c>
      <c r="AL1134" s="183">
        <f>SUM(AL1135:AL1151)</f>
        <v>0</v>
      </c>
      <c r="AM1134" s="183">
        <f>SUM(AM1135:AM1151)</f>
        <v>0</v>
      </c>
      <c r="AN1134" s="310"/>
      <c r="AO1134" s="310"/>
      <c r="AP1134" s="310"/>
      <c r="AQ1134" s="698" t="s">
        <v>1348</v>
      </c>
      <c r="AR1134" s="310"/>
      <c r="AS1134" s="310"/>
    </row>
    <row r="1135" spans="13:45" customFormat="1" ht="11.25" customHeight="1">
      <c r="M1135" s="696" t="s">
        <v>2973</v>
      </c>
      <c r="N1135" s="709" t="s">
        <v>1319</v>
      </c>
      <c r="O1135" s="189" t="s">
        <v>195</v>
      </c>
      <c r="AB1135" s="248"/>
      <c r="AC1135" s="248"/>
      <c r="AD1135" s="248"/>
      <c r="AE1135" s="266"/>
      <c r="AF1135" s="266"/>
      <c r="AG1135" s="266"/>
      <c r="AH1135" s="248"/>
      <c r="AI1135" s="248"/>
      <c r="AJ1135" s="248"/>
      <c r="AK1135" s="183">
        <f t="shared" si="78"/>
        <v>0</v>
      </c>
      <c r="AL1135" s="729">
        <f>IF(OR(AL61=0,AL1107=0,AL1106=0),0,AL61*AL1107/AL1106)</f>
        <v>0</v>
      </c>
      <c r="AM1135" s="729">
        <f>IF(OR(AM61=0,AM1107=0,AM1106=0),0,AM61*AM1107/AM1106)</f>
        <v>0</v>
      </c>
      <c r="AN1135" s="310"/>
      <c r="AO1135" s="310"/>
      <c r="AP1135" s="310"/>
      <c r="AQ1135" s="698" t="s">
        <v>2612</v>
      </c>
      <c r="AR1135" s="310"/>
      <c r="AS1135" s="310"/>
    </row>
    <row r="1136" spans="13:45" customFormat="1" ht="11.25" customHeight="1">
      <c r="M1136" s="696" t="s">
        <v>2974</v>
      </c>
      <c r="N1136" s="709" t="s">
        <v>1320</v>
      </c>
      <c r="O1136" s="189" t="s">
        <v>195</v>
      </c>
      <c r="AB1136" s="248"/>
      <c r="AC1136" s="248"/>
      <c r="AD1136" s="248"/>
      <c r="AE1136" s="266"/>
      <c r="AF1136" s="266"/>
      <c r="AG1136" s="266"/>
      <c r="AH1136" s="248"/>
      <c r="AI1136" s="248"/>
      <c r="AJ1136" s="248"/>
      <c r="AK1136" s="183">
        <f t="shared" si="78"/>
        <v>0</v>
      </c>
      <c r="AL1136" s="729">
        <f>IF(OR(AL62=0,AL1107=0,AL1106=0),0,AL62*AL1107/AL1106)</f>
        <v>0</v>
      </c>
      <c r="AM1136" s="729">
        <f>IF(OR(AM62=0,AM1107=0,AM1106=0),0,AM62*AM1107/AM1106)</f>
        <v>0</v>
      </c>
      <c r="AN1136" s="310"/>
      <c r="AO1136" s="310"/>
      <c r="AP1136" s="310"/>
      <c r="AQ1136" s="698" t="s">
        <v>2614</v>
      </c>
      <c r="AR1136" s="310"/>
      <c r="AS1136" s="310"/>
    </row>
    <row r="1137" spans="13:45" customFormat="1" ht="11.25" customHeight="1">
      <c r="M1137" s="696" t="s">
        <v>2975</v>
      </c>
      <c r="N1137" s="709" t="s">
        <v>1321</v>
      </c>
      <c r="O1137" s="189" t="s">
        <v>195</v>
      </c>
      <c r="AB1137" s="248"/>
      <c r="AC1137" s="248"/>
      <c r="AD1137" s="248"/>
      <c r="AE1137" s="266"/>
      <c r="AF1137" s="266"/>
      <c r="AG1137" s="266"/>
      <c r="AH1137" s="248"/>
      <c r="AI1137" s="248"/>
      <c r="AJ1137" s="248"/>
      <c r="AK1137" s="183">
        <f t="shared" si="78"/>
        <v>0</v>
      </c>
      <c r="AL1137" s="729">
        <f>IF(OR(AL63=0,AL1107=0,AL1106=0),0,AL63*AL1107/AL1106)</f>
        <v>0</v>
      </c>
      <c r="AM1137" s="729">
        <f>IF(OR(AM63=0,AM1107=0,AM1106=0),0,AM63*AM1107/AM1106)</f>
        <v>0</v>
      </c>
      <c r="AN1137" s="310"/>
      <c r="AO1137" s="310"/>
      <c r="AP1137" s="310"/>
      <c r="AQ1137" s="698" t="s">
        <v>2616</v>
      </c>
      <c r="AR1137" s="310"/>
      <c r="AS1137" s="310"/>
    </row>
    <row r="1138" spans="13:45" customFormat="1" ht="11.25" customHeight="1">
      <c r="M1138" s="696" t="s">
        <v>2976</v>
      </c>
      <c r="N1138" s="709" t="s">
        <v>2618</v>
      </c>
      <c r="O1138" s="189" t="s">
        <v>195</v>
      </c>
      <c r="AB1138" s="248"/>
      <c r="AC1138" s="248"/>
      <c r="AD1138" s="248"/>
      <c r="AE1138" s="266"/>
      <c r="AF1138" s="266"/>
      <c r="AG1138" s="266"/>
      <c r="AH1138" s="248"/>
      <c r="AI1138" s="248"/>
      <c r="AJ1138" s="248"/>
      <c r="AK1138" s="183">
        <f t="shared" si="78"/>
        <v>0</v>
      </c>
      <c r="AL1138" s="729">
        <f>IF(OR(AL64=0,AL1107=0,AL1106=0),0,AL64*AL1107/AL1106)</f>
        <v>0</v>
      </c>
      <c r="AM1138" s="729">
        <f>IF(OR(AM64=0,AM1107=0,AM1106=0),0,AM64*AM1107/AM1106)</f>
        <v>0</v>
      </c>
      <c r="AN1138" s="310"/>
      <c r="AO1138" s="310"/>
      <c r="AP1138" s="310"/>
      <c r="AQ1138" s="698" t="s">
        <v>2619</v>
      </c>
      <c r="AR1138" s="310"/>
      <c r="AS1138" s="310"/>
    </row>
    <row r="1139" spans="13:45" customFormat="1" ht="11.25" customHeight="1">
      <c r="M1139" s="696" t="s">
        <v>2977</v>
      </c>
      <c r="N1139" s="709" t="s">
        <v>2621</v>
      </c>
      <c r="O1139" s="189" t="s">
        <v>195</v>
      </c>
      <c r="AB1139" s="248"/>
      <c r="AC1139" s="248"/>
      <c r="AD1139" s="248"/>
      <c r="AE1139" s="266"/>
      <c r="AF1139" s="266"/>
      <c r="AG1139" s="266"/>
      <c r="AH1139" s="248"/>
      <c r="AI1139" s="248"/>
      <c r="AJ1139" s="248"/>
      <c r="AK1139" s="183">
        <f t="shared" si="78"/>
        <v>0</v>
      </c>
      <c r="AL1139" s="729">
        <f>IF(OR(AL65=0,AL1107=0,AL1106=0),0,AL65*AL1107/AL1106)</f>
        <v>0</v>
      </c>
      <c r="AM1139" s="729">
        <f>IF(OR(AM65=0,AM1107=0,AM1106=0),0,AM65*AM1107/AM1106)</f>
        <v>0</v>
      </c>
      <c r="AN1139" s="310"/>
      <c r="AO1139" s="310"/>
      <c r="AP1139" s="310"/>
      <c r="AQ1139" s="698" t="s">
        <v>2622</v>
      </c>
      <c r="AR1139" s="310"/>
      <c r="AS1139" s="310"/>
    </row>
    <row r="1140" spans="13:45" customFormat="1" ht="11.25" customHeight="1">
      <c r="M1140" s="696" t="s">
        <v>2978</v>
      </c>
      <c r="N1140" s="709" t="s">
        <v>1322</v>
      </c>
      <c r="O1140" s="189" t="s">
        <v>195</v>
      </c>
      <c r="AB1140" s="248"/>
      <c r="AC1140" s="248"/>
      <c r="AD1140" s="248"/>
      <c r="AE1140" s="266"/>
      <c r="AF1140" s="266"/>
      <c r="AG1140" s="266"/>
      <c r="AH1140" s="248"/>
      <c r="AI1140" s="248"/>
      <c r="AJ1140" s="248"/>
      <c r="AK1140" s="183">
        <f t="shared" si="78"/>
        <v>0</v>
      </c>
      <c r="AL1140" s="729">
        <f>IF(OR(AL66=0,AL1107=0,AL1106=0),0,AL66*AL1107/AL1106)</f>
        <v>0</v>
      </c>
      <c r="AM1140" s="729">
        <f>IF(OR(AM66=0,AM1107=0,AM1106=0),0,AM66*AM1107/AM1106)</f>
        <v>0</v>
      </c>
      <c r="AN1140" s="310"/>
      <c r="AO1140" s="310"/>
      <c r="AP1140" s="310"/>
      <c r="AQ1140" s="698" t="s">
        <v>2624</v>
      </c>
      <c r="AR1140" s="310"/>
      <c r="AS1140" s="310"/>
    </row>
    <row r="1141" spans="13:45" customFormat="1" ht="11.25" customHeight="1">
      <c r="M1141" s="696" t="s">
        <v>2979</v>
      </c>
      <c r="N1141" s="709" t="s">
        <v>2626</v>
      </c>
      <c r="O1141" s="189" t="s">
        <v>195</v>
      </c>
      <c r="AB1141" s="248"/>
      <c r="AC1141" s="248"/>
      <c r="AD1141" s="248"/>
      <c r="AE1141" s="266"/>
      <c r="AF1141" s="266"/>
      <c r="AG1141" s="266"/>
      <c r="AH1141" s="248"/>
      <c r="AI1141" s="248"/>
      <c r="AJ1141" s="248"/>
      <c r="AK1141" s="183">
        <f t="shared" si="78"/>
        <v>0</v>
      </c>
      <c r="AL1141" s="729">
        <f>IF(OR(AL67=0,AL1107=0,AL1106=0),0,AL67*AL1107/AL1106)</f>
        <v>0</v>
      </c>
      <c r="AM1141" s="729">
        <f>IF(OR(AM67=0,AM1107=0,AM1106=0),0,AM67*AM1107/AM1106)</f>
        <v>0</v>
      </c>
      <c r="AN1141" s="310"/>
      <c r="AO1141" s="310"/>
      <c r="AP1141" s="310"/>
      <c r="AQ1141" s="698" t="s">
        <v>2627</v>
      </c>
      <c r="AR1141" s="310"/>
      <c r="AS1141" s="310"/>
    </row>
    <row r="1142" spans="13:45" customFormat="1" ht="11.25" customHeight="1">
      <c r="M1142" s="696" t="s">
        <v>2980</v>
      </c>
      <c r="N1142" s="709" t="s">
        <v>1323</v>
      </c>
      <c r="O1142" s="189" t="s">
        <v>195</v>
      </c>
      <c r="AB1142" s="248"/>
      <c r="AC1142" s="248"/>
      <c r="AD1142" s="248"/>
      <c r="AE1142" s="266"/>
      <c r="AF1142" s="266"/>
      <c r="AG1142" s="266"/>
      <c r="AH1142" s="248"/>
      <c r="AI1142" s="248"/>
      <c r="AJ1142" s="248"/>
      <c r="AK1142" s="183">
        <f t="shared" si="78"/>
        <v>0</v>
      </c>
      <c r="AL1142" s="729">
        <f>IF(OR(AL68=0,AL1107=0,AL1106=0),0,AL68*AL1107/AL1106)</f>
        <v>0</v>
      </c>
      <c r="AM1142" s="729">
        <f>IF(OR(AM68=0,AM1107=0,AM1106=0),0,AM68*AM1107/AM1106)</f>
        <v>0</v>
      </c>
      <c r="AN1142" s="310"/>
      <c r="AO1142" s="310"/>
      <c r="AP1142" s="310"/>
      <c r="AQ1142" s="698" t="s">
        <v>2629</v>
      </c>
      <c r="AR1142" s="310"/>
      <c r="AS1142" s="310"/>
    </row>
    <row r="1143" spans="13:45" customFormat="1" ht="11.25" customHeight="1">
      <c r="M1143" s="696" t="s">
        <v>2981</v>
      </c>
      <c r="N1143" s="709" t="s">
        <v>1324</v>
      </c>
      <c r="O1143" s="189" t="s">
        <v>195</v>
      </c>
      <c r="AB1143" s="248"/>
      <c r="AC1143" s="248"/>
      <c r="AD1143" s="248"/>
      <c r="AE1143" s="266"/>
      <c r="AF1143" s="266"/>
      <c r="AG1143" s="266"/>
      <c r="AH1143" s="248"/>
      <c r="AI1143" s="248"/>
      <c r="AJ1143" s="248"/>
      <c r="AK1143" s="183">
        <f t="shared" si="78"/>
        <v>0</v>
      </c>
      <c r="AL1143" s="729">
        <f>IF(OR(AL69=0,AL1107=0,AL1106=0),0,AL69*AL1107/AL1106)</f>
        <v>0</v>
      </c>
      <c r="AM1143" s="729">
        <f>IF(OR(AM69=0,AM1107=0,AM1106=0),0,AM69*AM1107/AM1106)</f>
        <v>0</v>
      </c>
      <c r="AN1143" s="310"/>
      <c r="AO1143" s="310"/>
      <c r="AP1143" s="310"/>
      <c r="AQ1143" s="698" t="s">
        <v>2631</v>
      </c>
      <c r="AR1143" s="310"/>
      <c r="AS1143" s="310"/>
    </row>
    <row r="1144" spans="13:45" customFormat="1" ht="11.25" customHeight="1">
      <c r="M1144" s="696" t="s">
        <v>2982</v>
      </c>
      <c r="N1144" s="709" t="s">
        <v>2633</v>
      </c>
      <c r="O1144" s="189" t="s">
        <v>195</v>
      </c>
      <c r="AB1144" s="248"/>
      <c r="AC1144" s="248"/>
      <c r="AD1144" s="248"/>
      <c r="AE1144" s="266"/>
      <c r="AF1144" s="266"/>
      <c r="AG1144" s="266"/>
      <c r="AH1144" s="248"/>
      <c r="AI1144" s="248"/>
      <c r="AJ1144" s="248"/>
      <c r="AK1144" s="183">
        <f t="shared" ref="AK1144:AK1161" si="79">AL1144+AM1144</f>
        <v>0</v>
      </c>
      <c r="AL1144" s="729">
        <f>IF(OR(AL70=0,AL1107=0,AL1106=0),0,AL70*AL1107/AL1106)</f>
        <v>0</v>
      </c>
      <c r="AM1144" s="729">
        <f>IF(OR(AM70=0,AM1107=0,AM1106=0),0,AM70*AM1107/AM1106)</f>
        <v>0</v>
      </c>
      <c r="AN1144" s="310"/>
      <c r="AO1144" s="310"/>
      <c r="AP1144" s="310"/>
      <c r="AQ1144" s="698" t="s">
        <v>2634</v>
      </c>
      <c r="AR1144" s="310"/>
      <c r="AS1144" s="310"/>
    </row>
    <row r="1145" spans="13:45" customFormat="1" ht="11.25" customHeight="1">
      <c r="M1145" s="696" t="s">
        <v>2983</v>
      </c>
      <c r="N1145" s="709" t="s">
        <v>2636</v>
      </c>
      <c r="O1145" s="189" t="s">
        <v>195</v>
      </c>
      <c r="AB1145" s="248"/>
      <c r="AC1145" s="248"/>
      <c r="AD1145" s="248"/>
      <c r="AE1145" s="266"/>
      <c r="AF1145" s="266"/>
      <c r="AG1145" s="266"/>
      <c r="AH1145" s="248"/>
      <c r="AI1145" s="248"/>
      <c r="AJ1145" s="248"/>
      <c r="AK1145" s="183">
        <f t="shared" si="79"/>
        <v>0</v>
      </c>
      <c r="AL1145" s="729">
        <f>IF(OR(AL71=0,AL1107=0,AL1106=0),0,AL71*AL1107/AL1106)</f>
        <v>0</v>
      </c>
      <c r="AM1145" s="729">
        <f>IF(OR(AM71=0,AM1107=0,AM1106=0),0,AM71*AM1107/AM1106)</f>
        <v>0</v>
      </c>
      <c r="AN1145" s="310"/>
      <c r="AO1145" s="310"/>
      <c r="AP1145" s="310"/>
      <c r="AQ1145" s="698" t="s">
        <v>2637</v>
      </c>
      <c r="AR1145" s="310"/>
      <c r="AS1145" s="310"/>
    </row>
    <row r="1146" spans="13:45" customFormat="1" ht="11.25" customHeight="1">
      <c r="M1146" s="696" t="s">
        <v>2984</v>
      </c>
      <c r="N1146" s="709" t="s">
        <v>2639</v>
      </c>
      <c r="O1146" s="189" t="s">
        <v>195</v>
      </c>
      <c r="AB1146" s="248"/>
      <c r="AC1146" s="248"/>
      <c r="AD1146" s="248"/>
      <c r="AE1146" s="266"/>
      <c r="AF1146" s="266"/>
      <c r="AG1146" s="266"/>
      <c r="AH1146" s="248"/>
      <c r="AI1146" s="248"/>
      <c r="AJ1146" s="248"/>
      <c r="AK1146" s="183">
        <f t="shared" si="79"/>
        <v>0</v>
      </c>
      <c r="AL1146" s="729">
        <f>IF(OR(AL72=0,AL1107=0,AL1106=0),0,AL72*AL1107/AL1106)</f>
        <v>0</v>
      </c>
      <c r="AM1146" s="729">
        <f>IF(OR(AM72=0,AM1107=0,AM1106=0),0,AM72*AM1107/AM1106)</f>
        <v>0</v>
      </c>
      <c r="AN1146" s="310"/>
      <c r="AO1146" s="310"/>
      <c r="AP1146" s="310"/>
      <c r="AQ1146" s="698" t="s">
        <v>2640</v>
      </c>
      <c r="AR1146" s="310"/>
      <c r="AS1146" s="310"/>
    </row>
    <row r="1147" spans="13:45" customFormat="1" ht="11.25" customHeight="1">
      <c r="M1147" s="696" t="s">
        <v>2985</v>
      </c>
      <c r="N1147" s="709" t="s">
        <v>2642</v>
      </c>
      <c r="O1147" s="189" t="s">
        <v>195</v>
      </c>
      <c r="AB1147" s="248"/>
      <c r="AC1147" s="248"/>
      <c r="AD1147" s="248"/>
      <c r="AE1147" s="266"/>
      <c r="AF1147" s="266"/>
      <c r="AG1147" s="266"/>
      <c r="AH1147" s="248"/>
      <c r="AI1147" s="248"/>
      <c r="AJ1147" s="248"/>
      <c r="AK1147" s="183">
        <f t="shared" si="79"/>
        <v>0</v>
      </c>
      <c r="AL1147" s="729">
        <f>IF(OR(AL73=0,AL1107=0,AL1106=0),0,AL73*AL1107/AL1106)</f>
        <v>0</v>
      </c>
      <c r="AM1147" s="729">
        <f>IF(OR(AM73=0,AM1107=0,AM1106=0),0,AM73*AM1107/AM1106)</f>
        <v>0</v>
      </c>
      <c r="AN1147" s="310"/>
      <c r="AO1147" s="310"/>
      <c r="AP1147" s="310"/>
      <c r="AQ1147" s="698" t="s">
        <v>2643</v>
      </c>
      <c r="AR1147" s="310"/>
      <c r="AS1147" s="310"/>
    </row>
    <row r="1148" spans="13:45" customFormat="1" ht="11.25" customHeight="1">
      <c r="M1148" s="696" t="s">
        <v>2986</v>
      </c>
      <c r="N1148" s="709" t="s">
        <v>2645</v>
      </c>
      <c r="O1148" s="189" t="s">
        <v>195</v>
      </c>
      <c r="AB1148" s="248"/>
      <c r="AC1148" s="248"/>
      <c r="AD1148" s="248"/>
      <c r="AE1148" s="266"/>
      <c r="AF1148" s="266"/>
      <c r="AG1148" s="266"/>
      <c r="AH1148" s="248"/>
      <c r="AI1148" s="248"/>
      <c r="AJ1148" s="248"/>
      <c r="AK1148" s="183">
        <f t="shared" si="79"/>
        <v>0</v>
      </c>
      <c r="AL1148" s="729">
        <f>IF(OR(AL74=0,AL1107=0,AL1106=0),0,AL74*AL1107/AL1106)</f>
        <v>0</v>
      </c>
      <c r="AM1148" s="729">
        <f>IF(OR(AM74=0,AM1107=0,AM1106=0),0,AM74*AM1107/AM1106)</f>
        <v>0</v>
      </c>
      <c r="AN1148" s="310"/>
      <c r="AO1148" s="310"/>
      <c r="AP1148" s="310"/>
      <c r="AQ1148" s="698" t="s">
        <v>2646</v>
      </c>
      <c r="AR1148" s="310"/>
      <c r="AS1148" s="310"/>
    </row>
    <row r="1149" spans="13:45" customFormat="1" ht="11.25" customHeight="1">
      <c r="M1149" s="696" t="s">
        <v>2987</v>
      </c>
      <c r="N1149" s="709" t="s">
        <v>1325</v>
      </c>
      <c r="O1149" s="189" t="s">
        <v>195</v>
      </c>
      <c r="AB1149" s="248"/>
      <c r="AC1149" s="248"/>
      <c r="AD1149" s="248"/>
      <c r="AE1149" s="266"/>
      <c r="AF1149" s="266"/>
      <c r="AG1149" s="266"/>
      <c r="AH1149" s="248"/>
      <c r="AI1149" s="248"/>
      <c r="AJ1149" s="248"/>
      <c r="AK1149" s="183">
        <f t="shared" si="79"/>
        <v>0</v>
      </c>
      <c r="AL1149" s="729">
        <f>IF(OR(AL75=0,AL1107=0,AL1106=0),0,AL75*AL1107/AL1106)</f>
        <v>0</v>
      </c>
      <c r="AM1149" s="729">
        <f>IF(OR(AM75=0,AM1107=0,AM1106=0),0,AM75*AM1107/AM1106)</f>
        <v>0</v>
      </c>
      <c r="AN1149" s="310"/>
      <c r="AO1149" s="310"/>
      <c r="AP1149" s="310"/>
      <c r="AQ1149" s="698" t="s">
        <v>2648</v>
      </c>
      <c r="AR1149" s="310"/>
      <c r="AS1149" s="310"/>
    </row>
    <row r="1150" spans="13:45" customFormat="1" ht="11.25" customHeight="1">
      <c r="M1150" s="696" t="s">
        <v>2988</v>
      </c>
      <c r="N1150" s="709" t="s">
        <v>1326</v>
      </c>
      <c r="O1150" s="189" t="s">
        <v>195</v>
      </c>
      <c r="AB1150" s="248"/>
      <c r="AC1150" s="248"/>
      <c r="AD1150" s="248"/>
      <c r="AE1150" s="266"/>
      <c r="AF1150" s="266"/>
      <c r="AG1150" s="266"/>
      <c r="AH1150" s="248"/>
      <c r="AI1150" s="248"/>
      <c r="AJ1150" s="248"/>
      <c r="AK1150" s="183">
        <f t="shared" si="79"/>
        <v>0</v>
      </c>
      <c r="AL1150" s="729">
        <f>IF(OR(AL76=0,AL1107=0,AL1106=0),0,AL76*AL1107/AL1106)</f>
        <v>0</v>
      </c>
      <c r="AM1150" s="729">
        <f>IF(OR(AM76=0,AM1107=0,AM1106=0),0,AM76*AM1107/AM1106)</f>
        <v>0</v>
      </c>
      <c r="AN1150" s="310"/>
      <c r="AO1150" s="310"/>
      <c r="AP1150" s="310"/>
      <c r="AQ1150" s="698" t="s">
        <v>2650</v>
      </c>
      <c r="AR1150" s="310"/>
      <c r="AS1150" s="310"/>
    </row>
    <row r="1151" spans="13:45" customFormat="1" ht="11.25" customHeight="1">
      <c r="M1151" s="696" t="s">
        <v>2989</v>
      </c>
      <c r="N1151" s="709" t="s">
        <v>2652</v>
      </c>
      <c r="O1151" s="189" t="s">
        <v>195</v>
      </c>
      <c r="AB1151" s="248"/>
      <c r="AC1151" s="248"/>
      <c r="AD1151" s="248"/>
      <c r="AE1151" s="266"/>
      <c r="AF1151" s="266"/>
      <c r="AG1151" s="266"/>
      <c r="AH1151" s="248"/>
      <c r="AI1151" s="248"/>
      <c r="AJ1151" s="248"/>
      <c r="AK1151" s="183">
        <f t="shared" si="79"/>
        <v>0</v>
      </c>
      <c r="AL1151" s="729">
        <f>IF(OR(AL77=0,AL1107=0,AL1106=0),0,AL77*AL1107/AL1106)</f>
        <v>0</v>
      </c>
      <c r="AM1151" s="729">
        <f>IF(OR(AM77=0,AM1107=0,AM1106=0),0,AM77*AM1107/AM1106)</f>
        <v>0</v>
      </c>
      <c r="AN1151" s="310"/>
      <c r="AO1151" s="310"/>
      <c r="AP1151" s="310"/>
      <c r="AQ1151" s="698" t="s">
        <v>2653</v>
      </c>
      <c r="AR1151" s="310"/>
      <c r="AS1151" s="310"/>
    </row>
    <row r="1152" spans="13:45" customFormat="1" ht="11.25" customHeight="1">
      <c r="M1152" s="696" t="s">
        <v>2990</v>
      </c>
      <c r="N1152" s="710" t="s">
        <v>1364</v>
      </c>
      <c r="O1152" s="189" t="s">
        <v>195</v>
      </c>
      <c r="AB1152" s="248"/>
      <c r="AC1152" s="248"/>
      <c r="AD1152" s="248"/>
      <c r="AE1152" s="266"/>
      <c r="AF1152" s="266"/>
      <c r="AG1152" s="266"/>
      <c r="AH1152" s="248"/>
      <c r="AI1152" s="248"/>
      <c r="AJ1152" s="248"/>
      <c r="AK1152" s="183">
        <f t="shared" si="79"/>
        <v>0</v>
      </c>
      <c r="AL1152" s="729">
        <f>IF(OR(AL78=0,AL1107=0,AL1106=0),0,AL78*AL1107/AL1106)</f>
        <v>0</v>
      </c>
      <c r="AM1152" s="729">
        <f>IF(OR(AM78=0,AM1107=0,AM1106=0),0,AM78*AM1107/AM1106)</f>
        <v>0</v>
      </c>
      <c r="AN1152" s="310"/>
      <c r="AO1152" s="310"/>
      <c r="AP1152" s="310"/>
      <c r="AQ1152" s="698" t="s">
        <v>1366</v>
      </c>
      <c r="AR1152" s="310"/>
      <c r="AS1152" s="310"/>
    </row>
    <row r="1153" spans="13:45" customFormat="1" ht="11.25" customHeight="1">
      <c r="M1153" s="696" t="s">
        <v>2991</v>
      </c>
      <c r="N1153" s="710" t="s">
        <v>1365</v>
      </c>
      <c r="O1153" s="189" t="s">
        <v>195</v>
      </c>
      <c r="AB1153" s="248"/>
      <c r="AC1153" s="248"/>
      <c r="AD1153" s="248"/>
      <c r="AE1153" s="266"/>
      <c r="AF1153" s="266"/>
      <c r="AG1153" s="266"/>
      <c r="AH1153" s="248"/>
      <c r="AI1153" s="248"/>
      <c r="AJ1153" s="248"/>
      <c r="AK1153" s="183">
        <f t="shared" si="79"/>
        <v>0</v>
      </c>
      <c r="AL1153" s="729">
        <f>IF(OR(AL79=0,AL1107=0,AL1106=0),0,AL79*AL1107/AL1106)</f>
        <v>0</v>
      </c>
      <c r="AM1153" s="729">
        <f>IF(OR(AM79=0,AM1107=0,AM1106=0),0,AM79*AM1107/AM1106)</f>
        <v>0</v>
      </c>
      <c r="AN1153" s="310"/>
      <c r="AO1153" s="310"/>
      <c r="AP1153" s="310"/>
      <c r="AQ1153" s="698" t="s">
        <v>1367</v>
      </c>
      <c r="AR1153" s="310"/>
      <c r="AS1153" s="310"/>
    </row>
    <row r="1154" spans="13:45" customFormat="1" ht="11.25" customHeight="1">
      <c r="M1154" s="696" t="s">
        <v>2992</v>
      </c>
      <c r="N1154" s="711" t="s">
        <v>1327</v>
      </c>
      <c r="O1154" s="189" t="s">
        <v>195</v>
      </c>
      <c r="AB1154" s="248"/>
      <c r="AC1154" s="248"/>
      <c r="AD1154" s="248"/>
      <c r="AE1154" s="266"/>
      <c r="AF1154" s="266"/>
      <c r="AG1154" s="266"/>
      <c r="AH1154" s="248"/>
      <c r="AI1154" s="248"/>
      <c r="AJ1154" s="248"/>
      <c r="AK1154" s="183">
        <f t="shared" si="79"/>
        <v>0</v>
      </c>
      <c r="AL1154" s="729">
        <f>IF(OR(AL80=0,AL1107=0,AL1106=0),0,AL80*AL1107/AL1106)</f>
        <v>0</v>
      </c>
      <c r="AM1154" s="729">
        <f>IF(OR(AM80=0,AM1107=0,AM1106=0),0,AM80*AM1107/AM1106)</f>
        <v>0</v>
      </c>
      <c r="AN1154" s="310"/>
      <c r="AO1154" s="310"/>
      <c r="AP1154" s="310"/>
      <c r="AQ1154" s="698" t="s">
        <v>1357</v>
      </c>
      <c r="AR1154" s="310"/>
      <c r="AS1154" s="310"/>
    </row>
    <row r="1155" spans="13:45" customFormat="1" ht="11.25" customHeight="1">
      <c r="M1155" s="696" t="s">
        <v>2993</v>
      </c>
      <c r="N1155" s="712" t="s">
        <v>723</v>
      </c>
      <c r="O1155" s="189" t="s">
        <v>195</v>
      </c>
      <c r="AB1155" s="248"/>
      <c r="AC1155" s="248"/>
      <c r="AD1155" s="248"/>
      <c r="AE1155" s="266"/>
      <c r="AF1155" s="266"/>
      <c r="AG1155" s="266"/>
      <c r="AH1155" s="248"/>
      <c r="AI1155" s="248"/>
      <c r="AJ1155" s="248"/>
      <c r="AK1155" s="183">
        <f t="shared" si="79"/>
        <v>0</v>
      </c>
      <c r="AL1155" s="729">
        <f>IF(OR(AL81=0,AL1107=0,AL1106=0),0,AL81*AL1107/AL1106)</f>
        <v>0</v>
      </c>
      <c r="AM1155" s="729">
        <f>IF(OR(AM81=0,AM1107=0,AM1106=0),0,AM81*AM1107/AM1106)</f>
        <v>0</v>
      </c>
      <c r="AN1155" s="310"/>
      <c r="AO1155" s="310"/>
      <c r="AP1155" s="310"/>
      <c r="AQ1155" s="698" t="s">
        <v>1350</v>
      </c>
      <c r="AR1155" s="310"/>
      <c r="AS1155" s="310"/>
    </row>
    <row r="1156" spans="13:45" customFormat="1" ht="11.25" customHeight="1">
      <c r="M1156" s="696" t="s">
        <v>2994</v>
      </c>
      <c r="N1156" s="713" t="s">
        <v>748</v>
      </c>
      <c r="O1156" s="189" t="s">
        <v>195</v>
      </c>
      <c r="AB1156" s="248"/>
      <c r="AC1156" s="248"/>
      <c r="AD1156" s="248"/>
      <c r="AE1156" s="266"/>
      <c r="AF1156" s="266"/>
      <c r="AG1156" s="266"/>
      <c r="AH1156" s="248"/>
      <c r="AI1156" s="248"/>
      <c r="AJ1156" s="248"/>
      <c r="AK1156" s="183">
        <f t="shared" si="79"/>
        <v>0</v>
      </c>
      <c r="AL1156" s="729">
        <f>IF(OR(AL82=0,AL1107=0,AL1106=0),0,AL82*AL1107/AL1106)</f>
        <v>0</v>
      </c>
      <c r="AM1156" s="729">
        <f>IF(OR(AM82=0,AM1107=0,AM1106=0),0,AM82*AM1107/AM1106)</f>
        <v>0</v>
      </c>
      <c r="AN1156" s="310"/>
      <c r="AO1156" s="310"/>
      <c r="AP1156" s="310"/>
      <c r="AQ1156" s="698" t="s">
        <v>1351</v>
      </c>
      <c r="AR1156" s="310"/>
      <c r="AS1156" s="310"/>
    </row>
    <row r="1157" spans="13:45" customFormat="1" ht="11.25" customHeight="1">
      <c r="M1157" s="696" t="s">
        <v>2995</v>
      </c>
      <c r="N1157" s="714" t="s">
        <v>315</v>
      </c>
      <c r="O1157" s="189" t="s">
        <v>195</v>
      </c>
      <c r="AB1157" s="248"/>
      <c r="AC1157" s="248"/>
      <c r="AD1157" s="248"/>
      <c r="AE1157" s="266"/>
      <c r="AF1157" s="266"/>
      <c r="AG1157" s="266"/>
      <c r="AH1157" s="248"/>
      <c r="AI1157" s="248"/>
      <c r="AJ1157" s="248"/>
      <c r="AK1157" s="183">
        <f t="shared" si="79"/>
        <v>0</v>
      </c>
      <c r="AL1157" s="729">
        <f>IF(OR(AL83=0,AL1107=0,AL1106=0),0,AL83*AL1107/AL1106)</f>
        <v>0</v>
      </c>
      <c r="AM1157" s="729">
        <f>IF(OR(AM83=0,AM1107=0,AM1106=0),0,AM83*AM1107/AM1106)</f>
        <v>0</v>
      </c>
      <c r="AN1157" s="310"/>
      <c r="AO1157" s="310"/>
      <c r="AP1157" s="310"/>
      <c r="AQ1157" s="698" t="s">
        <v>1352</v>
      </c>
      <c r="AR1157" s="310"/>
      <c r="AS1157" s="310"/>
    </row>
    <row r="1158" spans="13:45" customFormat="1" ht="11.25" customHeight="1">
      <c r="M1158" s="696" t="s">
        <v>2996</v>
      </c>
      <c r="N1158" s="715" t="s">
        <v>316</v>
      </c>
      <c r="O1158" s="189" t="s">
        <v>195</v>
      </c>
      <c r="AB1158" s="248"/>
      <c r="AC1158" s="248"/>
      <c r="AD1158" s="248"/>
      <c r="AE1158" s="266"/>
      <c r="AF1158" s="266"/>
      <c r="AG1158" s="266"/>
      <c r="AH1158" s="248"/>
      <c r="AI1158" s="248"/>
      <c r="AJ1158" s="248"/>
      <c r="AK1158" s="183">
        <f t="shared" si="79"/>
        <v>0</v>
      </c>
      <c r="AL1158" s="729">
        <f>IF(OR(AL84=0,AL1107=0,AL1106=0),0,AL84*AL1107/AL1106)</f>
        <v>0</v>
      </c>
      <c r="AM1158" s="729">
        <f>IF(OR(AM84=0,AM1107=0,AM1106=0),0,AM84*AM1107/AM1106)</f>
        <v>0</v>
      </c>
      <c r="AN1158" s="310"/>
      <c r="AO1158" s="310"/>
      <c r="AP1158" s="310"/>
      <c r="AQ1158" s="698" t="s">
        <v>1354</v>
      </c>
      <c r="AR1158" s="310"/>
      <c r="AS1158" s="310"/>
    </row>
    <row r="1159" spans="13:45" customFormat="1" ht="11.25" customHeight="1">
      <c r="M1159" s="696" t="s">
        <v>2997</v>
      </c>
      <c r="N1159" s="716" t="s">
        <v>317</v>
      </c>
      <c r="O1159" s="189" t="s">
        <v>195</v>
      </c>
      <c r="AB1159" s="248"/>
      <c r="AC1159" s="248"/>
      <c r="AD1159" s="248"/>
      <c r="AE1159" s="266"/>
      <c r="AF1159" s="266"/>
      <c r="AG1159" s="266"/>
      <c r="AH1159" s="248"/>
      <c r="AI1159" s="248"/>
      <c r="AJ1159" s="248"/>
      <c r="AK1159" s="183">
        <f t="shared" si="79"/>
        <v>0</v>
      </c>
      <c r="AL1159" s="729">
        <f>IF(OR(AL85=0,AL1107=0,AL1106=0),0,AL85*AL1107/AL1106)</f>
        <v>0</v>
      </c>
      <c r="AM1159" s="729">
        <f>IF(OR(AM85=0,AM1107=0,AM1106=0),0,AM85*AM1107/AM1106)</f>
        <v>0</v>
      </c>
      <c r="AN1159" s="310"/>
      <c r="AO1159" s="310"/>
      <c r="AP1159" s="310"/>
      <c r="AQ1159" s="698" t="s">
        <v>1353</v>
      </c>
      <c r="AR1159" s="310"/>
      <c r="AS1159" s="310"/>
    </row>
    <row r="1160" spans="13:45" customFormat="1" ht="11.25" customHeight="1">
      <c r="M1160" s="696" t="s">
        <v>2998</v>
      </c>
      <c r="N1160" s="701" t="s">
        <v>318</v>
      </c>
      <c r="O1160" s="189" t="s">
        <v>195</v>
      </c>
      <c r="AB1160" s="248"/>
      <c r="AC1160" s="248"/>
      <c r="AD1160" s="248"/>
      <c r="AE1160" s="266"/>
      <c r="AF1160" s="266"/>
      <c r="AG1160" s="266"/>
      <c r="AH1160" s="248"/>
      <c r="AI1160" s="248"/>
      <c r="AJ1160" s="248"/>
      <c r="AK1160" s="183">
        <f t="shared" si="79"/>
        <v>0</v>
      </c>
      <c r="AL1160" s="729">
        <f>IF(OR(AL86=0,AL1107=0,AL1106=0),0,AL86*AL1107/AL1106)</f>
        <v>0</v>
      </c>
      <c r="AM1160" s="729">
        <f>IF(OR(AM86=0,AM1107=0,AM1106=0),0,AM86*AM1107/AM1106)</f>
        <v>0</v>
      </c>
      <c r="AN1160" s="310"/>
      <c r="AO1160" s="310"/>
      <c r="AP1160" s="310"/>
      <c r="AQ1160" s="698" t="s">
        <v>1355</v>
      </c>
      <c r="AR1160" s="310"/>
      <c r="AS1160" s="310"/>
    </row>
    <row r="1161" spans="13:45" customFormat="1" ht="11.25" customHeight="1">
      <c r="M1161" s="696" t="s">
        <v>2999</v>
      </c>
      <c r="N1161" s="717" t="s">
        <v>321</v>
      </c>
      <c r="O1161" s="189" t="s">
        <v>195</v>
      </c>
      <c r="AB1161" s="248"/>
      <c r="AC1161" s="248"/>
      <c r="AD1161" s="248"/>
      <c r="AE1161" s="266"/>
      <c r="AF1161" s="266"/>
      <c r="AG1161" s="266"/>
      <c r="AH1161" s="248"/>
      <c r="AI1161" s="248"/>
      <c r="AJ1161" s="248"/>
      <c r="AK1161" s="183">
        <f t="shared" si="79"/>
        <v>0</v>
      </c>
      <c r="AL1161" s="729">
        <f>IF(OR(AL87=0,AL1107=0,AL1106=0),0,AL87*AL1107/AL1106)</f>
        <v>0</v>
      </c>
      <c r="AM1161" s="729">
        <f>IF(OR(AM87=0,AM1107=0,AM1106=0),0,AM87*AM1107/AM1106)</f>
        <v>0</v>
      </c>
      <c r="AN1161" s="310"/>
      <c r="AO1161" s="310"/>
      <c r="AP1161" s="310"/>
      <c r="AQ1161" s="698" t="s">
        <v>1356</v>
      </c>
      <c r="AR1161" s="310"/>
      <c r="AS1161" s="310"/>
    </row>
    <row r="1162" spans="13:45" customFormat="1" ht="11.25" customHeight="1">
      <c r="M1162" s="491"/>
      <c r="N1162" s="460"/>
      <c r="O1162" s="461"/>
      <c r="AB1162" s="248"/>
      <c r="AC1162" s="248"/>
      <c r="AD1162" s="248"/>
      <c r="AE1162" s="266"/>
      <c r="AF1162" s="266"/>
      <c r="AG1162" s="266"/>
      <c r="AH1162" s="248"/>
      <c r="AI1162" s="248"/>
      <c r="AJ1162" s="248"/>
      <c r="AK1162" s="462"/>
      <c r="AL1162" s="462"/>
      <c r="AM1162" s="462"/>
      <c r="AN1162" s="310"/>
      <c r="AO1162" s="310"/>
      <c r="AP1162" s="310"/>
      <c r="AQ1162" s="36"/>
      <c r="AR1162" s="310"/>
      <c r="AS1162" s="310"/>
    </row>
    <row r="1163" spans="13:45" customFormat="1" ht="11.25" hidden="1" customHeight="1">
      <c r="M1163" s="491"/>
      <c r="N1163" s="460"/>
      <c r="O1163" s="461"/>
      <c r="AB1163" s="248"/>
      <c r="AC1163" s="248"/>
      <c r="AD1163" s="248"/>
      <c r="AE1163" s="266"/>
      <c r="AF1163" s="266"/>
      <c r="AG1163" s="266"/>
      <c r="AH1163" s="248"/>
      <c r="AI1163" s="248"/>
      <c r="AJ1163" s="248"/>
      <c r="AK1163" s="462"/>
      <c r="AL1163" s="462"/>
      <c r="AM1163" s="462"/>
      <c r="AN1163" s="310"/>
      <c r="AO1163" s="310"/>
      <c r="AP1163" s="310"/>
      <c r="AQ1163" s="36"/>
      <c r="AR1163" s="310"/>
      <c r="AS1163" s="310"/>
    </row>
    <row r="1164" spans="13:45" customFormat="1" ht="11.25" hidden="1" customHeight="1">
      <c r="M1164" s="491"/>
      <c r="N1164" s="460"/>
      <c r="O1164" s="461"/>
      <c r="AB1164" s="248"/>
      <c r="AC1164" s="248"/>
      <c r="AD1164" s="248"/>
      <c r="AE1164" s="266"/>
      <c r="AF1164" s="266"/>
      <c r="AG1164" s="266"/>
      <c r="AH1164" s="248"/>
      <c r="AI1164" s="248"/>
      <c r="AJ1164" s="248"/>
      <c r="AK1164" s="462"/>
      <c r="AL1164" s="462"/>
      <c r="AM1164" s="462"/>
      <c r="AN1164" s="310"/>
      <c r="AO1164" s="310"/>
      <c r="AP1164" s="310"/>
      <c r="AQ1164" s="36"/>
      <c r="AR1164" s="310"/>
      <c r="AS1164" s="310"/>
    </row>
    <row r="1165" spans="13:45" customFormat="1" ht="11.25" hidden="1" customHeight="1">
      <c r="M1165" s="491"/>
      <c r="N1165" s="460"/>
      <c r="O1165" s="461"/>
      <c r="AB1165" s="248"/>
      <c r="AC1165" s="248"/>
      <c r="AD1165" s="248"/>
      <c r="AE1165" s="266"/>
      <c r="AF1165" s="266"/>
      <c r="AG1165" s="266"/>
      <c r="AH1165" s="248"/>
      <c r="AI1165" s="248"/>
      <c r="AJ1165" s="248"/>
      <c r="AK1165" s="462"/>
      <c r="AL1165" s="462"/>
      <c r="AM1165" s="462"/>
      <c r="AN1165" s="310"/>
      <c r="AO1165" s="310"/>
      <c r="AP1165" s="310"/>
      <c r="AQ1165" s="36"/>
      <c r="AR1165" s="310"/>
      <c r="AS1165" s="310"/>
    </row>
    <row r="1166" spans="13:45" customFormat="1" ht="11.25" hidden="1" customHeight="1">
      <c r="M1166" s="491"/>
      <c r="N1166" s="460"/>
      <c r="O1166" s="461"/>
      <c r="AB1166" s="248"/>
      <c r="AC1166" s="248"/>
      <c r="AD1166" s="248"/>
      <c r="AE1166" s="266"/>
      <c r="AF1166" s="266"/>
      <c r="AG1166" s="266"/>
      <c r="AH1166" s="248"/>
      <c r="AI1166" s="248"/>
      <c r="AJ1166" s="248"/>
      <c r="AK1166" s="462"/>
      <c r="AL1166" s="462"/>
      <c r="AM1166" s="462"/>
      <c r="AN1166" s="310"/>
      <c r="AO1166" s="310"/>
      <c r="AP1166" s="310"/>
      <c r="AQ1166" s="36"/>
      <c r="AR1166" s="310"/>
      <c r="AS1166" s="310"/>
    </row>
    <row r="1167" spans="13:45" customFormat="1" ht="11.25" hidden="1" customHeight="1">
      <c r="M1167" s="491"/>
      <c r="N1167" s="460"/>
      <c r="O1167" s="461"/>
      <c r="AB1167" s="248"/>
      <c r="AC1167" s="248"/>
      <c r="AD1167" s="248"/>
      <c r="AE1167" s="266"/>
      <c r="AF1167" s="266"/>
      <c r="AG1167" s="266"/>
      <c r="AH1167" s="248"/>
      <c r="AI1167" s="248"/>
      <c r="AJ1167" s="248"/>
      <c r="AK1167" s="462"/>
      <c r="AL1167" s="462"/>
      <c r="AM1167" s="462"/>
      <c r="AN1167" s="310"/>
      <c r="AO1167" s="310"/>
      <c r="AP1167" s="310"/>
      <c r="AQ1167" s="36"/>
      <c r="AR1167" s="310"/>
      <c r="AS1167" s="310"/>
    </row>
    <row r="1168" spans="13:45" customFormat="1" ht="11.25" hidden="1" customHeight="1">
      <c r="M1168" s="491"/>
      <c r="N1168" s="460"/>
      <c r="O1168" s="461"/>
      <c r="AB1168" s="248"/>
      <c r="AC1168" s="248"/>
      <c r="AD1168" s="248"/>
      <c r="AE1168" s="266"/>
      <c r="AF1168" s="266"/>
      <c r="AG1168" s="266"/>
      <c r="AH1168" s="248"/>
      <c r="AI1168" s="248"/>
      <c r="AJ1168" s="248"/>
      <c r="AK1168" s="462"/>
      <c r="AL1168" s="462"/>
      <c r="AM1168" s="462"/>
      <c r="AN1168" s="310"/>
      <c r="AO1168" s="310"/>
      <c r="AP1168" s="310"/>
      <c r="AQ1168" s="36"/>
      <c r="AR1168" s="310"/>
      <c r="AS1168" s="310"/>
    </row>
    <row r="1169" spans="13:45" customFormat="1" ht="11.25" hidden="1" customHeight="1">
      <c r="M1169" s="491"/>
      <c r="N1169" s="460"/>
      <c r="O1169" s="461"/>
      <c r="AB1169" s="248"/>
      <c r="AC1169" s="248"/>
      <c r="AD1169" s="248"/>
      <c r="AE1169" s="266"/>
      <c r="AF1169" s="266"/>
      <c r="AG1169" s="266"/>
      <c r="AH1169" s="248"/>
      <c r="AI1169" s="248"/>
      <c r="AJ1169" s="248"/>
      <c r="AK1169" s="462"/>
      <c r="AL1169" s="462"/>
      <c r="AM1169" s="462"/>
      <c r="AN1169" s="310"/>
      <c r="AO1169" s="310"/>
      <c r="AP1169" s="310"/>
      <c r="AQ1169" s="36"/>
      <c r="AR1169" s="310"/>
      <c r="AS1169" s="310"/>
    </row>
    <row r="1170" spans="13:45" customFormat="1" ht="11.25" hidden="1" customHeight="1">
      <c r="M1170" s="491"/>
      <c r="N1170" s="460"/>
      <c r="O1170" s="461"/>
      <c r="AB1170" s="248"/>
      <c r="AC1170" s="248"/>
      <c r="AD1170" s="248"/>
      <c r="AE1170" s="266"/>
      <c r="AF1170" s="266"/>
      <c r="AG1170" s="266"/>
      <c r="AH1170" s="248"/>
      <c r="AI1170" s="248"/>
      <c r="AJ1170" s="248"/>
      <c r="AK1170" s="462"/>
      <c r="AL1170" s="462"/>
      <c r="AM1170" s="462"/>
      <c r="AN1170" s="310"/>
      <c r="AO1170" s="310"/>
      <c r="AP1170" s="310"/>
      <c r="AQ1170" s="36"/>
      <c r="AR1170" s="310"/>
      <c r="AS1170" s="310"/>
    </row>
    <row r="1171" spans="13:45" customFormat="1" ht="11.25" hidden="1" customHeight="1">
      <c r="M1171" s="491"/>
      <c r="N1171" s="460"/>
      <c r="O1171" s="461"/>
      <c r="AB1171" s="248"/>
      <c r="AC1171" s="248"/>
      <c r="AD1171" s="248"/>
      <c r="AE1171" s="266"/>
      <c r="AF1171" s="266"/>
      <c r="AG1171" s="266"/>
      <c r="AH1171" s="248"/>
      <c r="AI1171" s="248"/>
      <c r="AJ1171" s="248"/>
      <c r="AK1171" s="462"/>
      <c r="AL1171" s="462"/>
      <c r="AM1171" s="462"/>
      <c r="AN1171" s="310"/>
      <c r="AO1171" s="310"/>
      <c r="AP1171" s="310"/>
      <c r="AQ1171" s="36"/>
      <c r="AR1171" s="310"/>
      <c r="AS1171" s="310"/>
    </row>
    <row r="1172" spans="13:45" customFormat="1" ht="11.25" hidden="1" customHeight="1">
      <c r="M1172" s="491"/>
      <c r="N1172" s="460"/>
      <c r="O1172" s="461"/>
      <c r="AB1172" s="248"/>
      <c r="AC1172" s="248"/>
      <c r="AD1172" s="248"/>
      <c r="AE1172" s="266"/>
      <c r="AF1172" s="266"/>
      <c r="AG1172" s="266"/>
      <c r="AH1172" s="248"/>
      <c r="AI1172" s="248"/>
      <c r="AJ1172" s="248"/>
      <c r="AK1172" s="462"/>
      <c r="AL1172" s="462"/>
      <c r="AM1172" s="462"/>
      <c r="AN1172" s="310"/>
      <c r="AO1172" s="310"/>
      <c r="AP1172" s="310"/>
      <c r="AQ1172" s="36"/>
      <c r="AR1172" s="310"/>
      <c r="AS1172" s="310"/>
    </row>
    <row r="1173" spans="13:45" customFormat="1" ht="11.25" hidden="1" customHeight="1">
      <c r="M1173" s="491"/>
      <c r="N1173" s="460"/>
      <c r="O1173" s="461"/>
      <c r="AB1173" s="248"/>
      <c r="AC1173" s="248"/>
      <c r="AD1173" s="248"/>
      <c r="AE1173" s="266"/>
      <c r="AF1173" s="266"/>
      <c r="AG1173" s="266"/>
      <c r="AH1173" s="248"/>
      <c r="AI1173" s="248"/>
      <c r="AJ1173" s="248"/>
      <c r="AK1173" s="462"/>
      <c r="AL1173" s="462"/>
      <c r="AM1173" s="462"/>
      <c r="AN1173" s="310"/>
      <c r="AO1173" s="310"/>
      <c r="AP1173" s="310"/>
      <c r="AQ1173" s="36"/>
      <c r="AR1173" s="310"/>
      <c r="AS1173" s="310"/>
    </row>
    <row r="1174" spans="13:45" customFormat="1" ht="11.25" hidden="1" customHeight="1">
      <c r="M1174" s="491"/>
      <c r="N1174" s="460"/>
      <c r="O1174" s="461"/>
      <c r="AB1174" s="248"/>
      <c r="AC1174" s="248"/>
      <c r="AD1174" s="248"/>
      <c r="AE1174" s="266"/>
      <c r="AF1174" s="266"/>
      <c r="AG1174" s="266"/>
      <c r="AH1174" s="248"/>
      <c r="AI1174" s="248"/>
      <c r="AJ1174" s="248"/>
      <c r="AK1174" s="462"/>
      <c r="AL1174" s="462"/>
      <c r="AM1174" s="462"/>
      <c r="AN1174" s="310"/>
      <c r="AO1174" s="310"/>
      <c r="AP1174" s="310"/>
      <c r="AQ1174" s="36"/>
      <c r="AR1174" s="310"/>
      <c r="AS1174" s="310"/>
    </row>
    <row r="1175" spans="13:45" customFormat="1" ht="11.25" hidden="1" customHeight="1">
      <c r="M1175" s="491"/>
      <c r="N1175" s="460"/>
      <c r="O1175" s="461"/>
      <c r="AB1175" s="248"/>
      <c r="AC1175" s="248"/>
      <c r="AD1175" s="248"/>
      <c r="AE1175" s="266"/>
      <c r="AF1175" s="266"/>
      <c r="AG1175" s="266"/>
      <c r="AH1175" s="248"/>
      <c r="AI1175" s="248"/>
      <c r="AJ1175" s="248"/>
      <c r="AK1175" s="462"/>
      <c r="AL1175" s="462"/>
      <c r="AM1175" s="462"/>
      <c r="AN1175" s="310"/>
      <c r="AO1175" s="310"/>
      <c r="AP1175" s="310"/>
      <c r="AQ1175" s="36"/>
      <c r="AR1175" s="310"/>
      <c r="AS1175" s="310"/>
    </row>
    <row r="1176" spans="13:45" customFormat="1" ht="11.25" hidden="1" customHeight="1">
      <c r="M1176" s="491"/>
      <c r="N1176" s="460"/>
      <c r="O1176" s="461"/>
      <c r="AB1176" s="248"/>
      <c r="AC1176" s="248"/>
      <c r="AD1176" s="248"/>
      <c r="AE1176" s="266"/>
      <c r="AF1176" s="266"/>
      <c r="AG1176" s="266"/>
      <c r="AH1176" s="248"/>
      <c r="AI1176" s="248"/>
      <c r="AJ1176" s="248"/>
      <c r="AK1176" s="462"/>
      <c r="AL1176" s="462"/>
      <c r="AM1176" s="462"/>
      <c r="AN1176" s="310"/>
      <c r="AO1176" s="310"/>
      <c r="AP1176" s="310"/>
      <c r="AQ1176" s="36"/>
      <c r="AR1176" s="310"/>
      <c r="AS1176" s="310"/>
    </row>
    <row r="1177" spans="13:45" customFormat="1" ht="11.25" hidden="1" customHeight="1">
      <c r="M1177" s="491"/>
      <c r="N1177" s="460"/>
      <c r="O1177" s="461"/>
      <c r="AB1177" s="248"/>
      <c r="AC1177" s="248"/>
      <c r="AD1177" s="248"/>
      <c r="AE1177" s="266"/>
      <c r="AF1177" s="266"/>
      <c r="AG1177" s="266"/>
      <c r="AH1177" s="248"/>
      <c r="AI1177" s="248"/>
      <c r="AJ1177" s="248"/>
      <c r="AK1177" s="462"/>
      <c r="AL1177" s="462"/>
      <c r="AM1177" s="462"/>
      <c r="AN1177" s="310"/>
      <c r="AO1177" s="310"/>
      <c r="AP1177" s="310"/>
      <c r="AQ1177" s="36"/>
      <c r="AR1177" s="310"/>
      <c r="AS1177" s="310"/>
    </row>
    <row r="1178" spans="13:45" customFormat="1" ht="11.25" hidden="1" customHeight="1">
      <c r="M1178" s="491"/>
      <c r="N1178" s="460"/>
      <c r="O1178" s="461"/>
      <c r="AB1178" s="248"/>
      <c r="AC1178" s="248"/>
      <c r="AD1178" s="248"/>
      <c r="AE1178" s="266"/>
      <c r="AF1178" s="266"/>
      <c r="AG1178" s="266"/>
      <c r="AH1178" s="248"/>
      <c r="AI1178" s="248"/>
      <c r="AJ1178" s="248"/>
      <c r="AK1178" s="462"/>
      <c r="AL1178" s="462"/>
      <c r="AM1178" s="462"/>
      <c r="AN1178" s="310"/>
      <c r="AO1178" s="310"/>
      <c r="AP1178" s="310"/>
      <c r="AQ1178" s="36"/>
      <c r="AR1178" s="310"/>
      <c r="AS1178" s="310"/>
    </row>
    <row r="1179" spans="13:45" customFormat="1" ht="11.25" hidden="1" customHeight="1">
      <c r="M1179" s="491"/>
      <c r="N1179" s="460"/>
      <c r="O1179" s="461"/>
      <c r="AB1179" s="248"/>
      <c r="AC1179" s="248"/>
      <c r="AD1179" s="248"/>
      <c r="AE1179" s="266"/>
      <c r="AF1179" s="266"/>
      <c r="AG1179" s="266"/>
      <c r="AH1179" s="248"/>
      <c r="AI1179" s="248"/>
      <c r="AJ1179" s="248"/>
      <c r="AK1179" s="462"/>
      <c r="AL1179" s="462"/>
      <c r="AM1179" s="462"/>
      <c r="AN1179" s="310"/>
      <c r="AO1179" s="310"/>
      <c r="AP1179" s="310"/>
      <c r="AQ1179" s="36"/>
      <c r="AR1179" s="310"/>
      <c r="AS1179" s="310"/>
    </row>
    <row r="1180" spans="13:45" customFormat="1" ht="11.25" hidden="1" customHeight="1">
      <c r="M1180" s="491"/>
      <c r="N1180" s="460"/>
      <c r="O1180" s="461"/>
      <c r="AB1180" s="248"/>
      <c r="AC1180" s="248"/>
      <c r="AD1180" s="248"/>
      <c r="AE1180" s="266"/>
      <c r="AF1180" s="266"/>
      <c r="AG1180" s="266"/>
      <c r="AH1180" s="248"/>
      <c r="AI1180" s="248"/>
      <c r="AJ1180" s="248"/>
      <c r="AK1180" s="462"/>
      <c r="AL1180" s="462"/>
      <c r="AM1180" s="462"/>
      <c r="AN1180" s="310"/>
      <c r="AO1180" s="310"/>
      <c r="AP1180" s="310"/>
      <c r="AQ1180" s="36"/>
      <c r="AR1180" s="310"/>
      <c r="AS1180" s="310"/>
    </row>
    <row r="1181" spans="13:45" customFormat="1" ht="11.25" hidden="1" customHeight="1">
      <c r="M1181" s="491"/>
      <c r="N1181" s="460"/>
      <c r="O1181" s="461"/>
      <c r="AB1181" s="248"/>
      <c r="AC1181" s="248"/>
      <c r="AD1181" s="248"/>
      <c r="AE1181" s="266"/>
      <c r="AF1181" s="266"/>
      <c r="AG1181" s="266"/>
      <c r="AH1181" s="248"/>
      <c r="AI1181" s="248"/>
      <c r="AJ1181" s="248"/>
      <c r="AK1181" s="462"/>
      <c r="AL1181" s="462"/>
      <c r="AM1181" s="462"/>
      <c r="AN1181" s="310"/>
      <c r="AO1181" s="310"/>
      <c r="AP1181" s="310"/>
      <c r="AQ1181" s="36"/>
      <c r="AR1181" s="310"/>
      <c r="AS1181" s="310"/>
    </row>
    <row r="1182" spans="13:45" customFormat="1" ht="11.25" hidden="1" customHeight="1">
      <c r="M1182" s="491"/>
      <c r="N1182" s="460"/>
      <c r="O1182" s="461"/>
      <c r="AB1182" s="248"/>
      <c r="AC1182" s="248"/>
      <c r="AD1182" s="248"/>
      <c r="AE1182" s="266"/>
      <c r="AF1182" s="266"/>
      <c r="AG1182" s="266"/>
      <c r="AH1182" s="248"/>
      <c r="AI1182" s="248"/>
      <c r="AJ1182" s="248"/>
      <c r="AK1182" s="462"/>
      <c r="AL1182" s="462"/>
      <c r="AM1182" s="462"/>
      <c r="AN1182" s="310"/>
      <c r="AO1182" s="310"/>
      <c r="AP1182" s="310"/>
      <c r="AQ1182" s="36"/>
      <c r="AR1182" s="310"/>
      <c r="AS1182" s="310"/>
    </row>
    <row r="1183" spans="13:45" customFormat="1" ht="11.25" hidden="1" customHeight="1">
      <c r="M1183" s="491"/>
      <c r="N1183" s="460"/>
      <c r="O1183" s="461"/>
      <c r="AB1183" s="248"/>
      <c r="AC1183" s="248"/>
      <c r="AD1183" s="248"/>
      <c r="AE1183" s="266"/>
      <c r="AF1183" s="266"/>
      <c r="AG1183" s="266"/>
      <c r="AH1183" s="248"/>
      <c r="AI1183" s="248"/>
      <c r="AJ1183" s="248"/>
      <c r="AK1183" s="462"/>
      <c r="AL1183" s="462"/>
      <c r="AM1183" s="462"/>
      <c r="AN1183" s="310"/>
      <c r="AO1183" s="310"/>
      <c r="AP1183" s="310"/>
      <c r="AQ1183" s="36"/>
      <c r="AR1183" s="310"/>
      <c r="AS1183" s="310"/>
    </row>
    <row r="1184" spans="13:45" customFormat="1" ht="11.25" hidden="1" customHeight="1">
      <c r="M1184" s="491"/>
      <c r="N1184" s="460"/>
      <c r="O1184" s="461"/>
      <c r="AB1184" s="248"/>
      <c r="AC1184" s="248"/>
      <c r="AD1184" s="248"/>
      <c r="AE1184" s="266"/>
      <c r="AF1184" s="266"/>
      <c r="AG1184" s="266"/>
      <c r="AH1184" s="248"/>
      <c r="AI1184" s="248"/>
      <c r="AJ1184" s="248"/>
      <c r="AK1184" s="462"/>
      <c r="AL1184" s="462"/>
      <c r="AM1184" s="462"/>
      <c r="AN1184" s="310"/>
      <c r="AO1184" s="310"/>
      <c r="AP1184" s="310"/>
      <c r="AQ1184" s="36"/>
      <c r="AR1184" s="310"/>
      <c r="AS1184" s="310"/>
    </row>
    <row r="1185" spans="13:45" customFormat="1" ht="11.25" hidden="1" customHeight="1">
      <c r="M1185" s="491"/>
      <c r="N1185" s="460"/>
      <c r="O1185" s="461"/>
      <c r="AB1185" s="248"/>
      <c r="AC1185" s="248"/>
      <c r="AD1185" s="248"/>
      <c r="AE1185" s="266"/>
      <c r="AF1185" s="266"/>
      <c r="AG1185" s="266"/>
      <c r="AH1185" s="248"/>
      <c r="AI1185" s="248"/>
      <c r="AJ1185" s="248"/>
      <c r="AK1185" s="462"/>
      <c r="AL1185" s="462"/>
      <c r="AM1185" s="462"/>
      <c r="AN1185" s="310"/>
      <c r="AO1185" s="310"/>
      <c r="AP1185" s="310"/>
      <c r="AQ1185" s="36"/>
      <c r="AR1185" s="310"/>
      <c r="AS1185" s="310"/>
    </row>
    <row r="1186" spans="13:45" customFormat="1" ht="11.25" hidden="1" customHeight="1">
      <c r="M1186" s="491"/>
      <c r="N1186" s="460"/>
      <c r="O1186" s="461"/>
      <c r="AB1186" s="248"/>
      <c r="AC1186" s="248"/>
      <c r="AD1186" s="248"/>
      <c r="AE1186" s="266"/>
      <c r="AF1186" s="266"/>
      <c r="AG1186" s="266"/>
      <c r="AH1186" s="248"/>
      <c r="AI1186" s="248"/>
      <c r="AJ1186" s="248"/>
      <c r="AK1186" s="462"/>
      <c r="AL1186" s="462"/>
      <c r="AM1186" s="462"/>
      <c r="AN1186" s="310"/>
      <c r="AO1186" s="310"/>
      <c r="AP1186" s="310"/>
      <c r="AQ1186" s="36"/>
      <c r="AR1186" s="310"/>
      <c r="AS1186" s="310"/>
    </row>
    <row r="1187" spans="13:45" customFormat="1" ht="11.25" hidden="1" customHeight="1">
      <c r="M1187" s="491"/>
      <c r="N1187" s="460"/>
      <c r="O1187" s="461"/>
      <c r="AB1187" s="248"/>
      <c r="AC1187" s="248"/>
      <c r="AD1187" s="248"/>
      <c r="AE1187" s="266"/>
      <c r="AF1187" s="266"/>
      <c r="AG1187" s="266"/>
      <c r="AH1187" s="248"/>
      <c r="AI1187" s="248"/>
      <c r="AJ1187" s="248"/>
      <c r="AK1187" s="462"/>
      <c r="AL1187" s="462"/>
      <c r="AM1187" s="462"/>
      <c r="AN1187" s="310"/>
      <c r="AO1187" s="310"/>
      <c r="AP1187" s="310"/>
      <c r="AQ1187" s="36"/>
      <c r="AR1187" s="310"/>
      <c r="AS1187" s="310"/>
    </row>
    <row r="1188" spans="13:45" customFormat="1" ht="11.25" hidden="1" customHeight="1">
      <c r="M1188" s="491"/>
      <c r="N1188" s="460"/>
      <c r="O1188" s="461"/>
      <c r="AB1188" s="248"/>
      <c r="AC1188" s="248"/>
      <c r="AD1188" s="248"/>
      <c r="AE1188" s="266"/>
      <c r="AF1188" s="266"/>
      <c r="AG1188" s="266"/>
      <c r="AH1188" s="248"/>
      <c r="AI1188" s="248"/>
      <c r="AJ1188" s="248"/>
      <c r="AK1188" s="462"/>
      <c r="AL1188" s="462"/>
      <c r="AM1188" s="462"/>
      <c r="AN1188" s="310"/>
      <c r="AO1188" s="310"/>
      <c r="AP1188" s="310"/>
      <c r="AQ1188" s="36"/>
      <c r="AR1188" s="310"/>
      <c r="AS1188" s="310"/>
    </row>
    <row r="1189" spans="13:45" customFormat="1" ht="11.25" hidden="1" customHeight="1">
      <c r="M1189" s="491"/>
      <c r="N1189" s="460"/>
      <c r="O1189" s="461"/>
      <c r="AB1189" s="248"/>
      <c r="AC1189" s="248"/>
      <c r="AD1189" s="248"/>
      <c r="AE1189" s="266"/>
      <c r="AF1189" s="266"/>
      <c r="AG1189" s="266"/>
      <c r="AH1189" s="248"/>
      <c r="AI1189" s="248"/>
      <c r="AJ1189" s="248"/>
      <c r="AK1189" s="462"/>
      <c r="AL1189" s="462"/>
      <c r="AM1189" s="462"/>
      <c r="AN1189" s="310"/>
      <c r="AO1189" s="310"/>
      <c r="AP1189" s="310"/>
      <c r="AQ1189" s="36"/>
      <c r="AR1189" s="310"/>
      <c r="AS1189" s="310"/>
    </row>
    <row r="1190" spans="13:45" customFormat="1" ht="11.25" hidden="1" customHeight="1">
      <c r="M1190" s="491"/>
      <c r="N1190" s="460"/>
      <c r="O1190" s="461"/>
      <c r="AB1190" s="248"/>
      <c r="AC1190" s="248"/>
      <c r="AD1190" s="248"/>
      <c r="AE1190" s="266"/>
      <c r="AF1190" s="266"/>
      <c r="AG1190" s="266"/>
      <c r="AH1190" s="248"/>
      <c r="AI1190" s="248"/>
      <c r="AJ1190" s="248"/>
      <c r="AK1190" s="462"/>
      <c r="AL1190" s="462"/>
      <c r="AM1190" s="462"/>
      <c r="AN1190" s="310"/>
      <c r="AO1190" s="310"/>
      <c r="AP1190" s="310"/>
      <c r="AQ1190" s="36"/>
      <c r="AR1190" s="310"/>
      <c r="AS1190" s="310"/>
    </row>
    <row r="1191" spans="13:45" customFormat="1" ht="11.25" hidden="1" customHeight="1">
      <c r="M1191" s="491"/>
      <c r="N1191" s="460"/>
      <c r="O1191" s="461"/>
      <c r="AB1191" s="248"/>
      <c r="AC1191" s="248"/>
      <c r="AD1191" s="248"/>
      <c r="AE1191" s="266"/>
      <c r="AF1191" s="266"/>
      <c r="AG1191" s="266"/>
      <c r="AH1191" s="248"/>
      <c r="AI1191" s="248"/>
      <c r="AJ1191" s="248"/>
      <c r="AK1191" s="462"/>
      <c r="AL1191" s="462"/>
      <c r="AM1191" s="462"/>
      <c r="AN1191" s="310"/>
      <c r="AO1191" s="310"/>
      <c r="AP1191" s="310"/>
      <c r="AQ1191" s="36"/>
      <c r="AR1191" s="310"/>
      <c r="AS1191" s="310"/>
    </row>
    <row r="1192" spans="13:45" customFormat="1" ht="11.25" hidden="1" customHeight="1">
      <c r="M1192" s="491"/>
      <c r="N1192" s="460"/>
      <c r="O1192" s="461"/>
      <c r="AB1192" s="248"/>
      <c r="AC1192" s="248"/>
      <c r="AD1192" s="248"/>
      <c r="AE1192" s="266"/>
      <c r="AF1192" s="266"/>
      <c r="AG1192" s="266"/>
      <c r="AH1192" s="248"/>
      <c r="AI1192" s="248"/>
      <c r="AJ1192" s="248"/>
      <c r="AK1192" s="462"/>
      <c r="AL1192" s="462"/>
      <c r="AM1192" s="462"/>
      <c r="AN1192" s="310"/>
      <c r="AO1192" s="310"/>
      <c r="AP1192" s="310"/>
      <c r="AQ1192" s="36"/>
      <c r="AR1192" s="310"/>
      <c r="AS1192" s="310"/>
    </row>
    <row r="1193" spans="13:45" customFormat="1" ht="11.25" hidden="1" customHeight="1">
      <c r="M1193" s="491"/>
      <c r="N1193" s="460"/>
      <c r="O1193" s="461"/>
      <c r="AB1193" s="248"/>
      <c r="AC1193" s="248"/>
      <c r="AD1193" s="248"/>
      <c r="AE1193" s="266"/>
      <c r="AF1193" s="266"/>
      <c r="AG1193" s="266"/>
      <c r="AH1193" s="248"/>
      <c r="AI1193" s="248"/>
      <c r="AJ1193" s="248"/>
      <c r="AK1193" s="462"/>
      <c r="AL1193" s="462"/>
      <c r="AM1193" s="462"/>
      <c r="AN1193" s="310"/>
      <c r="AO1193" s="310"/>
      <c r="AP1193" s="310"/>
      <c r="AQ1193" s="36"/>
      <c r="AR1193" s="310"/>
      <c r="AS1193" s="310"/>
    </row>
    <row r="1194" spans="13:45" customFormat="1" ht="11.25" hidden="1" customHeight="1">
      <c r="M1194" s="491"/>
      <c r="N1194" s="460"/>
      <c r="O1194" s="461"/>
      <c r="AB1194" s="248"/>
      <c r="AC1194" s="248"/>
      <c r="AD1194" s="248"/>
      <c r="AE1194" s="266"/>
      <c r="AF1194" s="266"/>
      <c r="AG1194" s="266"/>
      <c r="AH1194" s="248"/>
      <c r="AI1194" s="248"/>
      <c r="AJ1194" s="248"/>
      <c r="AK1194" s="462"/>
      <c r="AL1194" s="462"/>
      <c r="AM1194" s="462"/>
      <c r="AN1194" s="310"/>
      <c r="AO1194" s="310"/>
      <c r="AP1194" s="310"/>
      <c r="AQ1194" s="36"/>
      <c r="AR1194" s="310"/>
      <c r="AS1194" s="310"/>
    </row>
    <row r="1195" spans="13:45" customFormat="1" ht="11.25" hidden="1" customHeight="1">
      <c r="M1195" s="491"/>
      <c r="N1195" s="460"/>
      <c r="O1195" s="461"/>
      <c r="AB1195" s="248"/>
      <c r="AC1195" s="248"/>
      <c r="AD1195" s="248"/>
      <c r="AE1195" s="266"/>
      <c r="AF1195" s="266"/>
      <c r="AG1195" s="266"/>
      <c r="AH1195" s="248"/>
      <c r="AI1195" s="248"/>
      <c r="AJ1195" s="248"/>
      <c r="AK1195" s="462"/>
      <c r="AL1195" s="462"/>
      <c r="AM1195" s="462"/>
      <c r="AN1195" s="310"/>
      <c r="AO1195" s="310"/>
      <c r="AP1195" s="310"/>
      <c r="AQ1195" s="36"/>
      <c r="AR1195" s="310"/>
      <c r="AS1195" s="310"/>
    </row>
    <row r="1196" spans="13:45" customFormat="1" ht="11.25" hidden="1" customHeight="1">
      <c r="M1196" s="491"/>
      <c r="N1196" s="460"/>
      <c r="O1196" s="461"/>
      <c r="AB1196" s="248"/>
      <c r="AC1196" s="248"/>
      <c r="AD1196" s="248"/>
      <c r="AE1196" s="266"/>
      <c r="AF1196" s="266"/>
      <c r="AG1196" s="266"/>
      <c r="AH1196" s="248"/>
      <c r="AI1196" s="248"/>
      <c r="AJ1196" s="248"/>
      <c r="AK1196" s="462"/>
      <c r="AL1196" s="462"/>
      <c r="AM1196" s="462"/>
      <c r="AN1196" s="310"/>
      <c r="AO1196" s="310"/>
      <c r="AP1196" s="310"/>
      <c r="AQ1196" s="36"/>
      <c r="AR1196" s="310"/>
      <c r="AS1196" s="310"/>
    </row>
    <row r="1197" spans="13:45" customFormat="1" ht="11.25" hidden="1" customHeight="1">
      <c r="M1197" s="491"/>
      <c r="N1197" s="460"/>
      <c r="O1197" s="461"/>
      <c r="AB1197" s="248"/>
      <c r="AC1197" s="248"/>
      <c r="AD1197" s="248"/>
      <c r="AE1197" s="266"/>
      <c r="AF1197" s="266"/>
      <c r="AG1197" s="266"/>
      <c r="AH1197" s="248"/>
      <c r="AI1197" s="248"/>
      <c r="AJ1197" s="248"/>
      <c r="AK1197" s="462"/>
      <c r="AL1197" s="462"/>
      <c r="AM1197" s="462"/>
      <c r="AN1197" s="310"/>
      <c r="AO1197" s="310"/>
      <c r="AP1197" s="310"/>
      <c r="AQ1197" s="36"/>
      <c r="AR1197" s="310"/>
      <c r="AS1197" s="310"/>
    </row>
    <row r="1198" spans="13:45" customFormat="1" ht="11.25" hidden="1" customHeight="1">
      <c r="M1198" s="491"/>
      <c r="N1198" s="460"/>
      <c r="O1198" s="461"/>
      <c r="AB1198" s="248"/>
      <c r="AC1198" s="248"/>
      <c r="AD1198" s="248"/>
      <c r="AE1198" s="266"/>
      <c r="AF1198" s="266"/>
      <c r="AG1198" s="266"/>
      <c r="AH1198" s="248"/>
      <c r="AI1198" s="248"/>
      <c r="AJ1198" s="248"/>
      <c r="AK1198" s="462"/>
      <c r="AL1198" s="462"/>
      <c r="AM1198" s="462"/>
      <c r="AN1198" s="310"/>
      <c r="AO1198" s="310"/>
      <c r="AP1198" s="310"/>
      <c r="AQ1198" s="36"/>
      <c r="AR1198" s="310"/>
      <c r="AS1198" s="310"/>
    </row>
    <row r="1199" spans="13:45" customFormat="1" ht="11.25" hidden="1" customHeight="1">
      <c r="M1199" s="491"/>
      <c r="N1199" s="460"/>
      <c r="O1199" s="461"/>
      <c r="AB1199" s="248"/>
      <c r="AC1199" s="248"/>
      <c r="AD1199" s="248"/>
      <c r="AE1199" s="266"/>
      <c r="AF1199" s="266"/>
      <c r="AG1199" s="266"/>
      <c r="AH1199" s="248"/>
      <c r="AI1199" s="248"/>
      <c r="AJ1199" s="248"/>
      <c r="AK1199" s="462"/>
      <c r="AL1199" s="462"/>
      <c r="AM1199" s="462"/>
      <c r="AN1199" s="310"/>
      <c r="AO1199" s="310"/>
      <c r="AP1199" s="310"/>
      <c r="AQ1199" s="36"/>
      <c r="AR1199" s="310"/>
      <c r="AS1199" s="310"/>
    </row>
    <row r="1200" spans="13:45" customFormat="1" ht="11.25" hidden="1" customHeight="1">
      <c r="M1200" s="491"/>
      <c r="N1200" s="460"/>
      <c r="O1200" s="461"/>
      <c r="AB1200" s="248"/>
      <c r="AC1200" s="248"/>
      <c r="AD1200" s="248"/>
      <c r="AE1200" s="266"/>
      <c r="AF1200" s="266"/>
      <c r="AG1200" s="266"/>
      <c r="AH1200" s="248"/>
      <c r="AI1200" s="248"/>
      <c r="AJ1200" s="248"/>
      <c r="AK1200" s="462"/>
      <c r="AL1200" s="462"/>
      <c r="AM1200" s="462"/>
      <c r="AN1200" s="310"/>
      <c r="AO1200" s="310"/>
      <c r="AP1200" s="310"/>
      <c r="AQ1200" s="36"/>
      <c r="AR1200" s="310"/>
      <c r="AS1200" s="310"/>
    </row>
    <row r="1201" spans="13:45" customFormat="1" ht="11.25" hidden="1" customHeight="1">
      <c r="M1201" s="491"/>
      <c r="N1201" s="460"/>
      <c r="O1201" s="461"/>
      <c r="AB1201" s="248"/>
      <c r="AC1201" s="248"/>
      <c r="AD1201" s="248"/>
      <c r="AE1201" s="266"/>
      <c r="AF1201" s="266"/>
      <c r="AG1201" s="266"/>
      <c r="AH1201" s="248"/>
      <c r="AI1201" s="248"/>
      <c r="AJ1201" s="248"/>
      <c r="AK1201" s="462"/>
      <c r="AL1201" s="462"/>
      <c r="AM1201" s="462"/>
      <c r="AN1201" s="310"/>
      <c r="AO1201" s="310"/>
      <c r="AP1201" s="310"/>
      <c r="AQ1201" s="36"/>
      <c r="AR1201" s="310"/>
      <c r="AS1201" s="310"/>
    </row>
    <row r="1202" spans="13:45" customFormat="1" ht="11.25" hidden="1" customHeight="1">
      <c r="M1202" s="491"/>
      <c r="N1202" s="460"/>
      <c r="O1202" s="461"/>
      <c r="AB1202" s="248"/>
      <c r="AC1202" s="248"/>
      <c r="AD1202" s="248"/>
      <c r="AE1202" s="266"/>
      <c r="AF1202" s="266"/>
      <c r="AG1202" s="266"/>
      <c r="AH1202" s="248"/>
      <c r="AI1202" s="248"/>
      <c r="AJ1202" s="248"/>
      <c r="AK1202" s="462"/>
      <c r="AL1202" s="462"/>
      <c r="AM1202" s="462"/>
      <c r="AN1202" s="310"/>
      <c r="AO1202" s="310"/>
      <c r="AP1202" s="310"/>
      <c r="AQ1202" s="36"/>
      <c r="AR1202" s="310"/>
      <c r="AS1202" s="310"/>
    </row>
    <row r="1203" spans="13:45" customFormat="1" ht="11.25" hidden="1" customHeight="1">
      <c r="M1203" s="491"/>
      <c r="N1203" s="460"/>
      <c r="O1203" s="461"/>
      <c r="AB1203" s="248"/>
      <c r="AC1203" s="248"/>
      <c r="AD1203" s="248"/>
      <c r="AE1203" s="266"/>
      <c r="AF1203" s="266"/>
      <c r="AG1203" s="266"/>
      <c r="AH1203" s="248"/>
      <c r="AI1203" s="248"/>
      <c r="AJ1203" s="248"/>
      <c r="AK1203" s="462"/>
      <c r="AL1203" s="462"/>
      <c r="AM1203" s="462"/>
      <c r="AN1203" s="310"/>
      <c r="AO1203" s="310"/>
      <c r="AP1203" s="310"/>
      <c r="AQ1203" s="36"/>
      <c r="AR1203" s="310"/>
      <c r="AS1203" s="310"/>
    </row>
    <row r="1204" spans="13:45" customFormat="1" ht="11.25" hidden="1" customHeight="1">
      <c r="M1204" s="491"/>
      <c r="N1204" s="460"/>
      <c r="O1204" s="461"/>
      <c r="AB1204" s="248"/>
      <c r="AC1204" s="248"/>
      <c r="AD1204" s="248"/>
      <c r="AE1204" s="266"/>
      <c r="AF1204" s="266"/>
      <c r="AG1204" s="266"/>
      <c r="AH1204" s="248"/>
      <c r="AI1204" s="248"/>
      <c r="AJ1204" s="248"/>
      <c r="AK1204" s="462"/>
      <c r="AL1204" s="462"/>
      <c r="AM1204" s="462"/>
      <c r="AN1204" s="310"/>
      <c r="AO1204" s="310"/>
      <c r="AP1204" s="310"/>
      <c r="AQ1204" s="36"/>
      <c r="AR1204" s="310"/>
      <c r="AS1204" s="310"/>
    </row>
    <row r="1205" spans="13:45" customFormat="1" ht="11.25" hidden="1" customHeight="1">
      <c r="M1205" s="491"/>
      <c r="N1205" s="460"/>
      <c r="O1205" s="461"/>
      <c r="AB1205" s="248"/>
      <c r="AC1205" s="248"/>
      <c r="AD1205" s="248"/>
      <c r="AE1205" s="266"/>
      <c r="AF1205" s="266"/>
      <c r="AG1205" s="266"/>
      <c r="AH1205" s="248"/>
      <c r="AI1205" s="248"/>
      <c r="AJ1205" s="248"/>
      <c r="AK1205" s="462"/>
      <c r="AL1205" s="462"/>
      <c r="AM1205" s="462"/>
      <c r="AN1205" s="310"/>
      <c r="AO1205" s="310"/>
      <c r="AP1205" s="310"/>
      <c r="AQ1205" s="36"/>
      <c r="AR1205" s="310"/>
      <c r="AS1205" s="310"/>
    </row>
    <row r="1206" spans="13:45" customFormat="1" ht="11.25" hidden="1" customHeight="1">
      <c r="M1206" s="491"/>
      <c r="N1206" s="460"/>
      <c r="O1206" s="461"/>
      <c r="AB1206" s="248"/>
      <c r="AC1206" s="248"/>
      <c r="AD1206" s="248"/>
      <c r="AE1206" s="266"/>
      <c r="AF1206" s="266"/>
      <c r="AG1206" s="266"/>
      <c r="AH1206" s="248"/>
      <c r="AI1206" s="248"/>
      <c r="AJ1206" s="248"/>
      <c r="AK1206" s="462"/>
      <c r="AL1206" s="462"/>
      <c r="AM1206" s="462"/>
      <c r="AN1206" s="310"/>
      <c r="AO1206" s="310"/>
      <c r="AP1206" s="310"/>
      <c r="AQ1206" s="36"/>
      <c r="AR1206" s="310"/>
      <c r="AS1206" s="310"/>
    </row>
    <row r="1207" spans="13:45" customFormat="1" ht="11.25" hidden="1" customHeight="1">
      <c r="M1207" s="491"/>
      <c r="N1207" s="460"/>
      <c r="O1207" s="461"/>
      <c r="AB1207" s="248"/>
      <c r="AC1207" s="248"/>
      <c r="AD1207" s="248"/>
      <c r="AE1207" s="266"/>
      <c r="AF1207" s="266"/>
      <c r="AG1207" s="266"/>
      <c r="AH1207" s="248"/>
      <c r="AI1207" s="248"/>
      <c r="AJ1207" s="248"/>
      <c r="AK1207" s="462"/>
      <c r="AL1207" s="462"/>
      <c r="AM1207" s="462"/>
      <c r="AN1207" s="310"/>
      <c r="AO1207" s="310"/>
      <c r="AP1207" s="310"/>
      <c r="AQ1207" s="36"/>
      <c r="AR1207" s="310"/>
      <c r="AS1207" s="310"/>
    </row>
    <row r="1208" spans="13:45" customFormat="1" ht="11.25" hidden="1" customHeight="1">
      <c r="M1208" s="491"/>
      <c r="N1208" s="460"/>
      <c r="O1208" s="461"/>
      <c r="AB1208" s="248"/>
      <c r="AC1208" s="248"/>
      <c r="AD1208" s="248"/>
      <c r="AE1208" s="266"/>
      <c r="AF1208" s="266"/>
      <c r="AG1208" s="266"/>
      <c r="AH1208" s="248"/>
      <c r="AI1208" s="248"/>
      <c r="AJ1208" s="248"/>
      <c r="AK1208" s="462"/>
      <c r="AL1208" s="462"/>
      <c r="AM1208" s="462"/>
      <c r="AN1208" s="310"/>
      <c r="AO1208" s="310"/>
      <c r="AP1208" s="310"/>
      <c r="AQ1208" s="36"/>
      <c r="AR1208" s="310"/>
      <c r="AS1208" s="310"/>
    </row>
    <row r="1209" spans="13:45" customFormat="1" ht="11.25" hidden="1" customHeight="1">
      <c r="M1209" s="491"/>
      <c r="N1209" s="460"/>
      <c r="O1209" s="461"/>
      <c r="AB1209" s="248"/>
      <c r="AC1209" s="248"/>
      <c r="AD1209" s="248"/>
      <c r="AE1209" s="266"/>
      <c r="AF1209" s="266"/>
      <c r="AG1209" s="266"/>
      <c r="AH1209" s="248"/>
      <c r="AI1209" s="248"/>
      <c r="AJ1209" s="248"/>
      <c r="AK1209" s="462"/>
      <c r="AL1209" s="462"/>
      <c r="AM1209" s="462"/>
      <c r="AN1209" s="310"/>
      <c r="AO1209" s="310"/>
      <c r="AP1209" s="310"/>
      <c r="AQ1209" s="36"/>
      <c r="AR1209" s="310"/>
      <c r="AS1209" s="310"/>
    </row>
    <row r="1210" spans="13:45" customFormat="1" ht="11.25" hidden="1" customHeight="1">
      <c r="M1210" s="491"/>
      <c r="N1210" s="460"/>
      <c r="O1210" s="461"/>
      <c r="AB1210" s="248"/>
      <c r="AC1210" s="248"/>
      <c r="AD1210" s="248"/>
      <c r="AE1210" s="266"/>
      <c r="AF1210" s="266"/>
      <c r="AG1210" s="266"/>
      <c r="AH1210" s="248"/>
      <c r="AI1210" s="248"/>
      <c r="AJ1210" s="248"/>
      <c r="AK1210" s="462"/>
      <c r="AL1210" s="462"/>
      <c r="AM1210" s="462"/>
      <c r="AN1210" s="310"/>
      <c r="AO1210" s="310"/>
      <c r="AP1210" s="310"/>
      <c r="AQ1210" s="36"/>
      <c r="AR1210" s="310"/>
      <c r="AS1210" s="310"/>
    </row>
    <row r="1211" spans="13:45" customFormat="1" ht="11.25" hidden="1" customHeight="1">
      <c r="M1211" s="491"/>
      <c r="N1211" s="460"/>
      <c r="O1211" s="461"/>
      <c r="AB1211" s="248"/>
      <c r="AC1211" s="248"/>
      <c r="AD1211" s="248"/>
      <c r="AE1211" s="266"/>
      <c r="AF1211" s="266"/>
      <c r="AG1211" s="266"/>
      <c r="AH1211" s="248"/>
      <c r="AI1211" s="248"/>
      <c r="AJ1211" s="248"/>
      <c r="AK1211" s="462"/>
      <c r="AL1211" s="462"/>
      <c r="AM1211" s="462"/>
      <c r="AN1211" s="310"/>
      <c r="AO1211" s="310"/>
      <c r="AP1211" s="310"/>
      <c r="AQ1211" s="36"/>
      <c r="AR1211" s="310"/>
      <c r="AS1211" s="310"/>
    </row>
    <row r="1212" spans="13:45" customFormat="1" ht="11.25" hidden="1" customHeight="1">
      <c r="M1212" s="491"/>
      <c r="N1212" s="460"/>
      <c r="O1212" s="461"/>
      <c r="AB1212" s="248"/>
      <c r="AC1212" s="248"/>
      <c r="AD1212" s="248"/>
      <c r="AE1212" s="266"/>
      <c r="AF1212" s="266"/>
      <c r="AG1212" s="266"/>
      <c r="AH1212" s="248"/>
      <c r="AI1212" s="248"/>
      <c r="AJ1212" s="248"/>
      <c r="AK1212" s="462"/>
      <c r="AL1212" s="462"/>
      <c r="AM1212" s="462"/>
      <c r="AN1212" s="310"/>
      <c r="AO1212" s="310"/>
      <c r="AP1212" s="310"/>
      <c r="AQ1212" s="36"/>
      <c r="AR1212" s="310"/>
      <c r="AS1212" s="310"/>
    </row>
    <row r="1213" spans="13:45" customFormat="1" ht="11.25" hidden="1" customHeight="1">
      <c r="M1213" s="491"/>
      <c r="N1213" s="460"/>
      <c r="O1213" s="461"/>
      <c r="AB1213" s="248"/>
      <c r="AC1213" s="248"/>
      <c r="AD1213" s="248"/>
      <c r="AE1213" s="266"/>
      <c r="AF1213" s="266"/>
      <c r="AG1213" s="266"/>
      <c r="AH1213" s="248"/>
      <c r="AI1213" s="248"/>
      <c r="AJ1213" s="248"/>
      <c r="AK1213" s="462"/>
      <c r="AL1213" s="462"/>
      <c r="AM1213" s="462"/>
      <c r="AN1213" s="310"/>
      <c r="AO1213" s="310"/>
      <c r="AP1213" s="310"/>
      <c r="AQ1213" s="36"/>
      <c r="AR1213" s="310"/>
      <c r="AS1213" s="310"/>
    </row>
    <row r="1214" spans="13:45" customFormat="1" ht="11.25" customHeight="1">
      <c r="M1214" s="491"/>
      <c r="N1214" s="460"/>
      <c r="O1214" s="461"/>
      <c r="AB1214" s="268"/>
      <c r="AC1214" s="268"/>
      <c r="AD1214" s="268"/>
      <c r="AE1214" s="266"/>
      <c r="AF1214" s="266"/>
      <c r="AG1214" s="266"/>
      <c r="AH1214" s="248"/>
      <c r="AI1214" s="248"/>
      <c r="AJ1214" s="248"/>
      <c r="AK1214" s="266"/>
      <c r="AL1214" s="266"/>
      <c r="AM1214" s="266"/>
      <c r="AN1214" s="310"/>
      <c r="AO1214" s="310"/>
      <c r="AP1214" s="310"/>
      <c r="AQ1214" s="310"/>
      <c r="AR1214" s="310"/>
      <c r="AS1214" s="310"/>
    </row>
    <row r="1215" spans="13:45" customFormat="1" ht="11.25" customHeight="1">
      <c r="M1215" s="127"/>
      <c r="N1215" s="127"/>
      <c r="O1215" s="188"/>
      <c r="AB1215" s="36"/>
      <c r="AC1215" s="36"/>
      <c r="AD1215" s="36"/>
    </row>
    <row r="1216" spans="13:45" customFormat="1" ht="11.25" customHeight="1">
      <c r="O1216" s="186"/>
    </row>
    <row r="1217" spans="15:15" customFormat="1" ht="11.25" customHeight="1">
      <c r="O1217" s="186"/>
    </row>
    <row r="1218" spans="15:15" customFormat="1" ht="11.25" customHeight="1">
      <c r="O1218" s="186"/>
    </row>
    <row r="1219" spans="15:15" customFormat="1" ht="11.25" customHeight="1">
      <c r="O1219" s="186"/>
    </row>
    <row r="1220" spans="15:15" customFormat="1" ht="11.25" customHeight="1">
      <c r="O1220" s="186"/>
    </row>
    <row r="1221" spans="15:15" customFormat="1" ht="11.25" customHeight="1">
      <c r="O1221" s="186"/>
    </row>
    <row r="1222" spans="15:15" customFormat="1" ht="11.25" customHeight="1">
      <c r="O1222" s="186"/>
    </row>
    <row r="1223" spans="15:15" customFormat="1" ht="11.25" customHeight="1">
      <c r="O1223" s="186"/>
    </row>
    <row r="1224" spans="15:15" customFormat="1" ht="11.25" customHeight="1">
      <c r="O1224" s="186"/>
    </row>
    <row r="1225" spans="15:15" customFormat="1" ht="11.25" customHeight="1">
      <c r="O1225" s="186"/>
    </row>
    <row r="1226" spans="15:15" customFormat="1" ht="11.25" customHeight="1">
      <c r="O1226" s="186"/>
    </row>
    <row r="1227" spans="15:15" customFormat="1" ht="11.25" customHeight="1">
      <c r="O1227" s="186"/>
    </row>
    <row r="1228" spans="15:15" customFormat="1" ht="11.25" customHeight="1"/>
    <row r="1229" spans="15:15" customFormat="1" ht="11.25" customHeight="1"/>
    <row r="1230" spans="15:15" customFormat="1" ht="11.25" customHeight="1"/>
    <row r="1231" spans="15:15" customFormat="1" ht="11.25" customHeight="1"/>
    <row r="1232" spans="15:15" customFormat="1" ht="11.25" customHeight="1"/>
    <row r="1233" customFormat="1" ht="11.25" customHeight="1"/>
    <row r="1234" customFormat="1" ht="11.25" customHeight="1"/>
    <row r="1235" customFormat="1" ht="11.25" customHeight="1"/>
    <row r="1236" customFormat="1" ht="11.25" customHeight="1"/>
    <row r="1237" customFormat="1" ht="11.25" customHeight="1"/>
    <row r="1238" customFormat="1" ht="11.25" customHeight="1"/>
    <row r="1239" customFormat="1" ht="11.25" customHeight="1"/>
    <row r="1240" customFormat="1" ht="11.25" customHeight="1"/>
    <row r="1241" customFormat="1" ht="11.25" customHeight="1"/>
    <row r="1242" customFormat="1" ht="11.25" customHeight="1"/>
    <row r="1243" customFormat="1" ht="11.25" customHeight="1"/>
    <row r="1244" customFormat="1" ht="11.25" customHeight="1"/>
    <row r="1245" customFormat="1" ht="11.25" customHeight="1"/>
    <row r="1246" customFormat="1" ht="11.25" customHeight="1"/>
    <row r="1247" customFormat="1" ht="11.25" customHeight="1"/>
    <row r="1248" customFormat="1" ht="11.25" customHeight="1"/>
    <row r="1249" customFormat="1" ht="11.25" customHeight="1"/>
    <row r="1250" customFormat="1" ht="11.25" customHeight="1"/>
    <row r="1251" customFormat="1" ht="11.25" customHeight="1"/>
    <row r="1252" customFormat="1" ht="11.25" customHeight="1"/>
    <row r="1253" customFormat="1" ht="11.25" customHeight="1"/>
    <row r="1254" customFormat="1" ht="11.25" customHeight="1"/>
    <row r="1255" customFormat="1" ht="11.25" customHeight="1"/>
    <row r="1256" customFormat="1" ht="11.25" customHeight="1"/>
    <row r="1257" customFormat="1" ht="11.25" customHeight="1"/>
    <row r="1258" customFormat="1" ht="11.25" customHeight="1"/>
    <row r="1259" customFormat="1" ht="11.25" customHeight="1"/>
    <row r="1260" customFormat="1" ht="11.25" customHeight="1"/>
    <row r="1261" customFormat="1" ht="11.25" customHeight="1"/>
    <row r="1262" customFormat="1" ht="11.25" customHeight="1"/>
    <row r="1263" customFormat="1" ht="11.25" customHeight="1"/>
    <row r="1264" customFormat="1" ht="11.25" customHeight="1"/>
    <row r="1265" customFormat="1" ht="11.25" customHeight="1"/>
    <row r="1266" customFormat="1" ht="11.25" customHeight="1"/>
    <row r="1267" customFormat="1" ht="11.25" customHeight="1"/>
    <row r="1268" customFormat="1" ht="11.25" customHeight="1"/>
    <row r="1269" customFormat="1" ht="11.25" customHeight="1"/>
    <row r="1270" customFormat="1" ht="11.25" customHeight="1"/>
    <row r="1271" customFormat="1" ht="11.25" customHeight="1"/>
    <row r="1272" customFormat="1" ht="11.25" customHeight="1"/>
    <row r="1273" customFormat="1" ht="11.25" customHeight="1"/>
    <row r="1274" customFormat="1" ht="11.25" customHeight="1"/>
    <row r="1275" customFormat="1" ht="11.25" customHeight="1"/>
    <row r="1276" customFormat="1" ht="11.25" customHeight="1"/>
    <row r="1277" customFormat="1" ht="11.25" customHeight="1"/>
    <row r="1278" customFormat="1" ht="11.25" customHeight="1"/>
    <row r="1279" customFormat="1" ht="11.25" customHeight="1"/>
    <row r="1280" customFormat="1" ht="11.25" customHeight="1"/>
    <row r="1281" customFormat="1" ht="11.25" customHeight="1"/>
    <row r="1282" customFormat="1" ht="11.25" customHeight="1"/>
    <row r="1283" customFormat="1" ht="11.25" customHeight="1"/>
    <row r="1284" customFormat="1" ht="11.25" customHeight="1"/>
    <row r="1285" customFormat="1" ht="11.25" customHeight="1"/>
    <row r="1286" customFormat="1" ht="11.25" customHeight="1"/>
    <row r="1287" customFormat="1" ht="11.25" customHeight="1"/>
    <row r="1288" customFormat="1" ht="11.25" customHeight="1"/>
    <row r="1289" customFormat="1" ht="11.25" customHeight="1"/>
    <row r="1290" customFormat="1" ht="11.25" customHeight="1"/>
    <row r="1291" customFormat="1" ht="11.25" customHeight="1"/>
    <row r="1292" customFormat="1" ht="11.25" customHeight="1"/>
    <row r="1293" customFormat="1" ht="11.25" customHeight="1"/>
    <row r="1294" customFormat="1" ht="11.25" customHeight="1"/>
    <row r="1295" customFormat="1" ht="11.25" customHeight="1"/>
  </sheetData>
  <sheetProtection formatColumns="0" formatRows="0"/>
  <mergeCells count="13">
    <mergeCell ref="AB2:AD2"/>
    <mergeCell ref="AB14:AD14"/>
    <mergeCell ref="AB18:AD18"/>
    <mergeCell ref="M19:M20"/>
    <mergeCell ref="N19:N20"/>
    <mergeCell ref="O19:O20"/>
    <mergeCell ref="AB19:AD19"/>
    <mergeCell ref="AB20:AD20"/>
    <mergeCell ref="AK18:AM18"/>
    <mergeCell ref="AK19:AM19"/>
    <mergeCell ref="AK20:AM20"/>
    <mergeCell ref="AB21:AD21"/>
    <mergeCell ref="AB22:AD22"/>
  </mergeCells>
  <dataValidations count="2">
    <dataValidation type="decimal" allowBlank="1" showInputMessage="1" showErrorMessage="1" error="Ввведеное значение неверно" sqref="AL445:AM461 AL953:AM959 AL528:AM534 AL641:AM647 AL666:AM672 AL410:AM416 AL849:AM855 AK245:AM285 AL437:AM443 AL765:AM768 AL693:AM699 AL921:AM924 AL926:AM932 AL986:AM1002 AL970:AM971 AL978:AM984 AL1005:AM1011 AL770:AM776 AL830:AM846 AL778:AM794 AL814:AM815 AL596:AM596 AL606:AM607 AL536:AM542 AL973:AM976 AL609:AM612 AL614:AM620 AL817:AM820 AL563:AM569 AL934:AM950 AL559:AM559 AL571:AM577 AK288:AM294 AL392:AM398 AL561:AM561 AL661:AM664 AL658:AM659 AL422:AM430 AL822:AM828 AL797:AM803 AL432:AM435 AL674:AM690 AL464:AM470 AL360:AM363 AL918:AM919 AL352:AM358 AL373:AM389 AL762:AM763 AL622:AM638 AL594:AM594 AL365:AM371 AL402:AM408">
      <formula1>-1000000000000000</formula1>
      <formula2>1000000000000000</formula2>
    </dataValidation>
    <dataValidation type="decimal" allowBlank="1" showErrorMessage="1" errorTitle="Ошибка" error="Допускается ввод только действительных чисел!" sqref="AK308:AK311 AK340:AK346 AK321:AK337 AK313:AK319 AK298:AK306">
      <formula1>-9.99999999999999E+23</formula1>
      <formula2>9.99999999999999E+23</formula2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2">
    <tabColor indexed="47"/>
  </sheetPr>
  <dimension ref="A1:CL364"/>
  <sheetViews>
    <sheetView showGridLines="0" zoomScale="85" zoomScaleNormal="85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33" width="8.75" style="2" customWidth="1"/>
    <col min="34" max="90" width="2.75" style="2" customWidth="1"/>
    <col min="91" max="91" width="3.625" style="2" customWidth="1"/>
    <col min="92" max="92" width="5.75" style="2" customWidth="1"/>
    <col min="93" max="93" width="17.75" style="2" customWidth="1"/>
    <col min="94" max="95" width="5.75" style="2" customWidth="1"/>
    <col min="96" max="96" width="17.75" style="2" customWidth="1"/>
    <col min="97" max="98" width="9.125" style="2"/>
    <col min="99" max="99" width="17.75" style="2" customWidth="1"/>
    <col min="100" max="101" width="9.125" style="2"/>
    <col min="102" max="102" width="17.75" style="2" customWidth="1"/>
    <col min="103" max="16384" width="9.125" style="2"/>
  </cols>
  <sheetData>
    <row r="1" spans="1:90" s="6" customFormat="1" ht="11.25" customHeight="1">
      <c r="A1"/>
      <c r="B1"/>
      <c r="C1"/>
      <c r="D1"/>
      <c r="E1"/>
      <c r="F1"/>
      <c r="G1"/>
      <c r="H1"/>
      <c r="I1"/>
      <c r="J1"/>
      <c r="K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</row>
    <row r="2" spans="1:90" ht="11.25" customHeight="1">
      <c r="AB2" s="916" t="s">
        <v>2192</v>
      </c>
      <c r="AC2" s="916"/>
      <c r="AD2" s="916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2"/>
    </row>
    <row r="3" spans="1:90" customFormat="1" ht="11.25" customHeight="1"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2"/>
      <c r="AS3" s="2"/>
    </row>
    <row r="4" spans="1:90" customFormat="1" ht="11.25" customHeight="1"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2"/>
      <c r="AS4" s="2"/>
    </row>
    <row r="5" spans="1:90" ht="11.25" customHeight="1">
      <c r="AB5" s="157"/>
      <c r="AC5" s="157"/>
      <c r="AD5" s="157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2"/>
    </row>
    <row r="6" spans="1:90" ht="11.25" customHeight="1">
      <c r="AB6" s="157">
        <v>12</v>
      </c>
      <c r="AC6" s="157">
        <v>6</v>
      </c>
      <c r="AD6" s="157">
        <v>6</v>
      </c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2"/>
    </row>
    <row r="7" spans="1:90" ht="11.25" customHeight="1">
      <c r="AB7" s="147"/>
      <c r="AC7" s="147"/>
      <c r="AD7" s="147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2"/>
    </row>
    <row r="8" spans="1:90" customFormat="1" ht="11.25" customHeight="1">
      <c r="AB8" s="172"/>
      <c r="AC8" s="172"/>
      <c r="AD8" s="172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2"/>
      <c r="AS8" s="2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</row>
    <row r="9" spans="1:90" customFormat="1" ht="11.25" customHeight="1">
      <c r="AB9" s="143" t="s">
        <v>275</v>
      </c>
      <c r="AC9" s="143" t="s">
        <v>194</v>
      </c>
      <c r="AD9" s="143" t="s">
        <v>609</v>
      </c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2"/>
      <c r="AS9" s="2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</row>
    <row r="10" spans="1:90" customFormat="1" ht="11.25" customHeight="1">
      <c r="AB10" s="215"/>
      <c r="AC10" s="215"/>
      <c r="AD10" s="215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2"/>
      <c r="AS10" s="2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</row>
    <row r="11" spans="1:90" customFormat="1" ht="11.25" customHeight="1">
      <c r="AB11" s="143"/>
      <c r="AC11" s="143"/>
      <c r="AD11" s="143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2"/>
      <c r="AS11" s="2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</row>
    <row r="12" spans="1:90" customFormat="1" ht="11.25" customHeight="1">
      <c r="AB12" s="147"/>
      <c r="AC12" s="147"/>
      <c r="AD12" s="147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2"/>
      <c r="AS12" s="2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</row>
    <row r="13" spans="1:90" customFormat="1" ht="11.25" customHeight="1">
      <c r="AB13" s="214" t="s">
        <v>20</v>
      </c>
      <c r="AC13" s="214" t="s">
        <v>273</v>
      </c>
      <c r="AD13" s="214" t="s">
        <v>274</v>
      </c>
      <c r="AE13" s="31"/>
      <c r="AF13" s="31"/>
      <c r="AG13" s="31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</row>
    <row r="14" spans="1:90" ht="11.25" customHeight="1">
      <c r="AB14" s="919"/>
      <c r="AC14" s="920"/>
      <c r="AD14" s="920"/>
      <c r="AE14" s="31"/>
      <c r="AF14" s="31"/>
      <c r="AG14" s="31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</row>
    <row r="15" spans="1:90" ht="11.25" customHeight="1">
      <c r="AB15" s="167" t="str">
        <f>AB17 &amp; "_" &amp; AB9</f>
        <v>0_Y</v>
      </c>
      <c r="AC15" s="167" t="str">
        <f>AC17 &amp; "_" &amp; AC9</f>
        <v>0_I</v>
      </c>
      <c r="AD15" s="167" t="str">
        <f>AD17 &amp; "_" &amp; AD9</f>
        <v>0_II</v>
      </c>
      <c r="AE15" s="31"/>
      <c r="AF15" s="31"/>
      <c r="AG15" s="31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20"/>
    </row>
    <row r="16" spans="1:90" customFormat="1" ht="11.25" customHeight="1">
      <c r="AB16" s="158"/>
      <c r="AC16" s="158"/>
      <c r="AD16" s="158"/>
      <c r="AE16" s="31"/>
      <c r="AF16" s="31"/>
      <c r="AG16" s="31"/>
    </row>
    <row r="17" spans="12:80" customFormat="1" ht="11.25" customHeight="1">
      <c r="AB17" s="167">
        <f>AB19</f>
        <v>0</v>
      </c>
      <c r="AC17" s="167">
        <f>AB19</f>
        <v>0</v>
      </c>
      <c r="AD17" s="167">
        <f>AB19</f>
        <v>0</v>
      </c>
      <c r="AE17" s="31"/>
      <c r="AF17" s="31"/>
      <c r="AG17" s="31"/>
    </row>
    <row r="18" spans="12:80" customFormat="1" ht="11.25" customHeight="1">
      <c r="AB18" s="918" t="s">
        <v>134</v>
      </c>
      <c r="AC18" s="918"/>
      <c r="AD18" s="918"/>
      <c r="AE18" s="31"/>
      <c r="AF18" s="31"/>
      <c r="AG18" s="31"/>
    </row>
    <row r="19" spans="12:80" ht="11.25" customHeight="1">
      <c r="L19" s="118"/>
      <c r="M19" s="925" t="s">
        <v>104</v>
      </c>
      <c r="N19" s="912" t="s">
        <v>196</v>
      </c>
      <c r="O19" s="912" t="s">
        <v>683</v>
      </c>
      <c r="AB19" s="917"/>
      <c r="AC19" s="917"/>
      <c r="AD19" s="917"/>
      <c r="AE19" s="31"/>
      <c r="AF19" s="31"/>
      <c r="AG19" s="31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2:80" ht="11.25" customHeight="1">
      <c r="L20" s="118"/>
      <c r="M20" s="925"/>
      <c r="N20" s="912"/>
      <c r="O20" s="912"/>
      <c r="AB20" s="914"/>
      <c r="AC20" s="915"/>
      <c r="AD20" s="915"/>
      <c r="AE20" s="31"/>
      <c r="AF20" s="31"/>
      <c r="AG20" s="31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2:80" ht="11.25" customHeight="1">
      <c r="L21" s="9"/>
      <c r="M21" s="218"/>
      <c r="N21" s="219" t="s">
        <v>197</v>
      </c>
      <c r="O21" s="219"/>
      <c r="AB21" s="914"/>
      <c r="AC21" s="915"/>
      <c r="AD21" s="915"/>
      <c r="AE21" s="31"/>
      <c r="AF21" s="31"/>
      <c r="AG21" s="31"/>
      <c r="AH21" s="916" t="s">
        <v>2193</v>
      </c>
      <c r="AI21" s="916"/>
      <c r="AJ21" s="916"/>
      <c r="AK21" s="916"/>
      <c r="AL21" s="916"/>
      <c r="AM21" s="916"/>
      <c r="AN21" s="916"/>
      <c r="AO21" s="916"/>
      <c r="AP21" s="916"/>
      <c r="AQ21" s="916"/>
      <c r="AR21" s="916"/>
      <c r="AS21" s="916"/>
      <c r="AT21" s="916"/>
      <c r="AU21" s="916"/>
      <c r="AV21" s="916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2:80" ht="11.25" customHeight="1">
      <c r="L22" s="9"/>
      <c r="M22" s="218"/>
      <c r="N22" s="436" t="str">
        <f>IF(CALC_IDENTIFIER="","",CALC_IDENTIFIER)</f>
        <v/>
      </c>
      <c r="O22" s="436"/>
      <c r="AB22" s="914"/>
      <c r="AC22" s="915"/>
      <c r="AD22" s="915"/>
      <c r="AE22" s="31"/>
      <c r="AF22" s="31"/>
      <c r="AG22" s="31"/>
      <c r="AH22" s="916" t="s">
        <v>2194</v>
      </c>
      <c r="AI22" s="916"/>
      <c r="AJ22" s="916"/>
      <c r="AK22" s="916"/>
      <c r="AL22" s="916"/>
      <c r="AM22" s="916"/>
      <c r="AN22" s="916"/>
      <c r="AO22" s="916"/>
      <c r="AP22" s="916"/>
      <c r="AQ22" s="916"/>
      <c r="AR22" s="916"/>
      <c r="AS22" s="916"/>
      <c r="AT22" s="916"/>
      <c r="AU22" s="916"/>
      <c r="AV22" s="916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2:80" customFormat="1" ht="11.25" customHeight="1">
      <c r="L23" s="20"/>
      <c r="M23" s="490" t="s">
        <v>105</v>
      </c>
      <c r="N23" s="490" t="s">
        <v>839</v>
      </c>
      <c r="O23" s="420" t="s">
        <v>195</v>
      </c>
      <c r="AB23" s="250"/>
      <c r="AC23" s="250"/>
      <c r="AD23" s="250"/>
      <c r="AE23" s="247">
        <f t="shared" ref="AE23:AE29" si="0">AF23+AG23</f>
        <v>0</v>
      </c>
      <c r="AF23" s="244">
        <f>SUM(AF24,AF28,AF106,AF107,AF120,AF121,AF122,AF127)</f>
        <v>0</v>
      </c>
      <c r="AG23" s="244">
        <f>SUM(AG24,AG28,AG106,AG107,AG120,AG121,AG122,AG127)</f>
        <v>0</v>
      </c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</row>
    <row r="24" spans="12:80" ht="11.25" customHeight="1">
      <c r="L24" s="20"/>
      <c r="M24" s="509" t="s">
        <v>198</v>
      </c>
      <c r="N24" s="525" t="s">
        <v>840</v>
      </c>
      <c r="O24" s="420" t="s">
        <v>195</v>
      </c>
      <c r="AB24" s="251"/>
      <c r="AC24" s="251"/>
      <c r="AD24" s="251"/>
      <c r="AE24" s="247">
        <f t="shared" si="0"/>
        <v>0</v>
      </c>
      <c r="AF24" s="244">
        <f>SUM(AF25,AF26,AF27)</f>
        <v>0</v>
      </c>
      <c r="AG24" s="244">
        <f>SUM(AG25,AG26,AG27)</f>
        <v>0</v>
      </c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</row>
    <row r="25" spans="12:80" ht="11.25" customHeight="1">
      <c r="L25" s="20"/>
      <c r="M25" s="509" t="s">
        <v>610</v>
      </c>
      <c r="N25" s="526" t="s">
        <v>841</v>
      </c>
      <c r="O25" s="420" t="s">
        <v>195</v>
      </c>
      <c r="AB25" s="251"/>
      <c r="AC25" s="251"/>
      <c r="AD25" s="251"/>
      <c r="AE25" s="247">
        <f t="shared" si="0"/>
        <v>0</v>
      </c>
      <c r="AF25" s="524">
        <f>ХВС.Р!AF$25</f>
        <v>0</v>
      </c>
      <c r="AG25" s="524">
        <f>ХВС.Р!AG$25</f>
        <v>0</v>
      </c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</row>
    <row r="26" spans="12:80" customFormat="1" ht="11.25" customHeight="1">
      <c r="L26" s="20"/>
      <c r="M26" s="509" t="s">
        <v>611</v>
      </c>
      <c r="N26" s="526" t="s">
        <v>843</v>
      </c>
      <c r="O26" s="420" t="s">
        <v>195</v>
      </c>
      <c r="AB26" s="251"/>
      <c r="AC26" s="251"/>
      <c r="AD26" s="251"/>
      <c r="AE26" s="247">
        <f t="shared" si="0"/>
        <v>0</v>
      </c>
      <c r="AF26" s="221"/>
      <c r="AG26" s="221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69"/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69"/>
      <c r="BT26" s="169"/>
      <c r="BU26" s="169"/>
      <c r="BV26" s="169"/>
      <c r="BW26" s="169"/>
      <c r="BX26" s="169"/>
      <c r="BY26" s="169"/>
      <c r="BZ26" s="169"/>
    </row>
    <row r="27" spans="12:80" customFormat="1" ht="11.25" customHeight="1">
      <c r="L27" s="20"/>
      <c r="M27" s="509" t="s">
        <v>633</v>
      </c>
      <c r="N27" s="526" t="s">
        <v>844</v>
      </c>
      <c r="O27" s="420" t="s">
        <v>195</v>
      </c>
      <c r="AB27" s="251"/>
      <c r="AC27" s="251"/>
      <c r="AD27" s="251"/>
      <c r="AE27" s="247">
        <f t="shared" si="0"/>
        <v>0</v>
      </c>
      <c r="AF27" s="221"/>
      <c r="AG27" s="221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/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</row>
    <row r="28" spans="12:80" customFormat="1" ht="11.25" customHeight="1">
      <c r="L28" s="20"/>
      <c r="M28" s="509" t="s">
        <v>199</v>
      </c>
      <c r="N28" s="525" t="s">
        <v>845</v>
      </c>
      <c r="O28" s="420" t="s">
        <v>195</v>
      </c>
      <c r="AB28" s="251"/>
      <c r="AC28" s="251"/>
      <c r="AD28" s="251"/>
      <c r="AE28" s="247">
        <f t="shared" si="0"/>
        <v>0</v>
      </c>
      <c r="AF28" s="244">
        <f>SUM(AF29,AF89,AF90,AF91,AF96)</f>
        <v>0</v>
      </c>
      <c r="AG28" s="244">
        <f>SUM(AG29,AG89,AG90,AG91,AG96)</f>
        <v>0</v>
      </c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</row>
    <row r="29" spans="12:80" customFormat="1" ht="11.25" customHeight="1">
      <c r="L29" s="20"/>
      <c r="M29" s="509" t="s">
        <v>200</v>
      </c>
      <c r="N29" s="526" t="s">
        <v>846</v>
      </c>
      <c r="O29" s="420" t="s">
        <v>195</v>
      </c>
      <c r="AB29" s="251"/>
      <c r="AC29" s="251"/>
      <c r="AD29" s="251"/>
      <c r="AE29" s="247">
        <f t="shared" si="0"/>
        <v>0</v>
      </c>
      <c r="AF29" s="244">
        <f>SUM(AF71,AF83,AF77)</f>
        <v>0</v>
      </c>
      <c r="AG29" s="244">
        <f>SUM(AG71,AG83,AG77)</f>
        <v>0</v>
      </c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</row>
    <row r="30" spans="12:80" customFormat="1" ht="11.25" customHeight="1">
      <c r="L30" s="20"/>
      <c r="M30" s="510" t="s">
        <v>847</v>
      </c>
      <c r="N30" s="527" t="s">
        <v>848</v>
      </c>
      <c r="O30" s="420"/>
      <c r="AB30" s="251"/>
      <c r="AC30" s="251"/>
      <c r="AD30" s="251"/>
      <c r="AE30" s="261"/>
      <c r="AF30" s="261"/>
      <c r="AG30" s="261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69"/>
    </row>
    <row r="31" spans="12:80" customFormat="1" ht="11.25" customHeight="1">
      <c r="L31" s="20"/>
      <c r="M31" s="510" t="s">
        <v>849</v>
      </c>
      <c r="N31" s="528" t="s">
        <v>850</v>
      </c>
      <c r="O31" s="420" t="s">
        <v>284</v>
      </c>
      <c r="AB31" s="251"/>
      <c r="AC31" s="251"/>
      <c r="AD31" s="251"/>
      <c r="AE31" s="244">
        <f>SUM(AE32:AE36)</f>
        <v>0</v>
      </c>
      <c r="AF31" s="244">
        <f>SUM(AF32:AF36)</f>
        <v>0</v>
      </c>
      <c r="AG31" s="244">
        <f>SUM(AG32:AG36)</f>
        <v>0</v>
      </c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169"/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69"/>
      <c r="BP31" s="169"/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</row>
    <row r="32" spans="12:80" customFormat="1" ht="11.25" customHeight="1">
      <c r="L32" s="20"/>
      <c r="M32" s="510" t="s">
        <v>851</v>
      </c>
      <c r="N32" s="529" t="s">
        <v>852</v>
      </c>
      <c r="O32" s="420" t="s">
        <v>284</v>
      </c>
      <c r="AB32" s="251"/>
      <c r="AC32" s="251"/>
      <c r="AD32" s="251"/>
      <c r="AE32" s="247">
        <f>AF32+AG32</f>
        <v>0</v>
      </c>
      <c r="AF32" s="221"/>
      <c r="AG32" s="221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</row>
    <row r="33" spans="12:78" customFormat="1" ht="11.25" customHeight="1">
      <c r="L33" s="20"/>
      <c r="M33" s="510" t="s">
        <v>853</v>
      </c>
      <c r="N33" s="529" t="s">
        <v>854</v>
      </c>
      <c r="O33" s="420" t="s">
        <v>284</v>
      </c>
      <c r="AB33" s="251"/>
      <c r="AC33" s="251"/>
      <c r="AD33" s="251"/>
      <c r="AE33" s="247">
        <f>AF33+AG33</f>
        <v>0</v>
      </c>
      <c r="AF33" s="221"/>
      <c r="AG33" s="221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</row>
    <row r="34" spans="12:78" customFormat="1" ht="11.25" customHeight="1">
      <c r="L34" s="20"/>
      <c r="M34" s="510" t="s">
        <v>855</v>
      </c>
      <c r="N34" s="529" t="s">
        <v>856</v>
      </c>
      <c r="O34" s="420" t="s">
        <v>284</v>
      </c>
      <c r="AB34" s="251"/>
      <c r="AC34" s="251"/>
      <c r="AD34" s="251"/>
      <c r="AE34" s="247">
        <f>AF34+AG34</f>
        <v>0</v>
      </c>
      <c r="AF34" s="221"/>
      <c r="AG34" s="221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</row>
    <row r="35" spans="12:78" customFormat="1" ht="11.25" customHeight="1">
      <c r="L35" s="20"/>
      <c r="M35" s="510" t="s">
        <v>857</v>
      </c>
      <c r="N35" s="529" t="s">
        <v>858</v>
      </c>
      <c r="O35" s="420" t="s">
        <v>284</v>
      </c>
      <c r="AB35" s="251"/>
      <c r="AC35" s="251"/>
      <c r="AD35" s="251"/>
      <c r="AE35" s="247">
        <f>AF35+AG35</f>
        <v>0</v>
      </c>
      <c r="AF35" s="221"/>
      <c r="AG35" s="221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</row>
    <row r="36" spans="12:78" customFormat="1" ht="11.25" customHeight="1">
      <c r="L36" s="20"/>
      <c r="M36" s="510" t="s">
        <v>859</v>
      </c>
      <c r="N36" s="529" t="s">
        <v>860</v>
      </c>
      <c r="O36" s="420" t="s">
        <v>284</v>
      </c>
      <c r="AB36" s="251"/>
      <c r="AC36" s="251"/>
      <c r="AD36" s="251"/>
      <c r="AE36" s="247">
        <f>AF36+AG36</f>
        <v>0</v>
      </c>
      <c r="AF36" s="221"/>
      <c r="AG36" s="221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69"/>
      <c r="BL36" s="169"/>
      <c r="BM36" s="169"/>
      <c r="BN36" s="169"/>
      <c r="BO36" s="169"/>
      <c r="BP36" s="169"/>
      <c r="BQ36" s="169"/>
      <c r="BR36" s="169"/>
      <c r="BS36" s="169"/>
      <c r="BT36" s="169"/>
      <c r="BU36" s="169"/>
      <c r="BV36" s="169"/>
      <c r="BW36" s="169"/>
      <c r="BX36" s="169"/>
      <c r="BY36" s="169"/>
      <c r="BZ36" s="169"/>
    </row>
    <row r="37" spans="12:78" customFormat="1" ht="11.25" customHeight="1">
      <c r="L37" s="20"/>
      <c r="M37" s="510" t="s">
        <v>861</v>
      </c>
      <c r="N37" s="528" t="s">
        <v>862</v>
      </c>
      <c r="O37" s="420"/>
      <c r="AB37" s="251"/>
      <c r="AC37" s="251"/>
      <c r="AD37" s="251"/>
      <c r="AE37" s="261"/>
      <c r="AF37" s="261"/>
      <c r="AG37" s="261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</row>
    <row r="38" spans="12:78" customFormat="1" ht="11.25" customHeight="1">
      <c r="L38" s="20"/>
      <c r="M38" s="510" t="s">
        <v>863</v>
      </c>
      <c r="N38" s="529" t="s">
        <v>864</v>
      </c>
      <c r="O38" s="420" t="s">
        <v>865</v>
      </c>
      <c r="AB38" s="251"/>
      <c r="AC38" s="251"/>
      <c r="AD38" s="251"/>
      <c r="AE38" s="244">
        <f>SUM(AE39:AE43)</f>
        <v>0</v>
      </c>
      <c r="AF38" s="244">
        <f>SUM(AF39:AF43)</f>
        <v>0</v>
      </c>
      <c r="AG38" s="244">
        <f>SUM(AG39:AG43)</f>
        <v>0</v>
      </c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  <c r="BB38" s="169"/>
      <c r="BC38" s="169"/>
      <c r="BD38" s="169"/>
      <c r="BE38" s="169"/>
      <c r="BF38" s="169"/>
      <c r="BG38" s="169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69"/>
      <c r="BT38" s="169"/>
      <c r="BU38" s="169"/>
      <c r="BV38" s="169"/>
      <c r="BW38" s="169"/>
      <c r="BX38" s="169"/>
      <c r="BY38" s="169"/>
      <c r="BZ38" s="169"/>
    </row>
    <row r="39" spans="12:78" customFormat="1" ht="11.25" customHeight="1">
      <c r="L39" s="20"/>
      <c r="M39" s="510" t="s">
        <v>866</v>
      </c>
      <c r="N39" s="530" t="s">
        <v>852</v>
      </c>
      <c r="O39" s="420" t="s">
        <v>865</v>
      </c>
      <c r="AB39" s="251"/>
      <c r="AC39" s="251"/>
      <c r="AD39" s="251"/>
      <c r="AE39" s="247">
        <f>AF39+AG39</f>
        <v>0</v>
      </c>
      <c r="AF39" s="221"/>
      <c r="AG39" s="221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169"/>
      <c r="BB39" s="169"/>
      <c r="BC39" s="169"/>
      <c r="BD39" s="169"/>
      <c r="BE39" s="169"/>
      <c r="BF39" s="169"/>
      <c r="BG39" s="169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69"/>
      <c r="BY39" s="169"/>
      <c r="BZ39" s="169"/>
    </row>
    <row r="40" spans="12:78" customFormat="1" ht="11.25" customHeight="1">
      <c r="L40" s="20"/>
      <c r="M40" s="510" t="s">
        <v>867</v>
      </c>
      <c r="N40" s="530" t="s">
        <v>854</v>
      </c>
      <c r="O40" s="420" t="s">
        <v>865</v>
      </c>
      <c r="AB40" s="251"/>
      <c r="AC40" s="251"/>
      <c r="AD40" s="251"/>
      <c r="AE40" s="247">
        <f>AF40+AG40</f>
        <v>0</v>
      </c>
      <c r="AF40" s="221"/>
      <c r="AG40" s="221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69"/>
      <c r="BY40" s="169"/>
      <c r="BZ40" s="169"/>
    </row>
    <row r="41" spans="12:78" customFormat="1" ht="11.25" customHeight="1">
      <c r="L41" s="20"/>
      <c r="M41" s="510" t="s">
        <v>868</v>
      </c>
      <c r="N41" s="530" t="s">
        <v>856</v>
      </c>
      <c r="O41" s="420" t="s">
        <v>865</v>
      </c>
      <c r="AB41" s="251"/>
      <c r="AC41" s="251"/>
      <c r="AD41" s="251"/>
      <c r="AE41" s="247">
        <f>AF41+AG41</f>
        <v>0</v>
      </c>
      <c r="AF41" s="221"/>
      <c r="AG41" s="221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</row>
    <row r="42" spans="12:78" customFormat="1" ht="11.25" customHeight="1">
      <c r="L42" s="20"/>
      <c r="M42" s="510" t="s">
        <v>1128</v>
      </c>
      <c r="N42" s="530" t="s">
        <v>858</v>
      </c>
      <c r="O42" s="420" t="s">
        <v>865</v>
      </c>
      <c r="AB42" s="251"/>
      <c r="AC42" s="251"/>
      <c r="AD42" s="251"/>
      <c r="AE42" s="247">
        <f>AF42+AG42</f>
        <v>0</v>
      </c>
      <c r="AF42" s="221"/>
      <c r="AG42" s="221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169"/>
      <c r="BZ42" s="169"/>
    </row>
    <row r="43" spans="12:78" customFormat="1" ht="11.25" customHeight="1">
      <c r="L43" s="20"/>
      <c r="M43" s="510" t="s">
        <v>1129</v>
      </c>
      <c r="N43" s="530" t="s">
        <v>1040</v>
      </c>
      <c r="O43" s="420" t="s">
        <v>865</v>
      </c>
      <c r="AB43" s="251"/>
      <c r="AC43" s="251"/>
      <c r="AD43" s="251"/>
      <c r="AE43" s="247">
        <f>AF43+AG43</f>
        <v>0</v>
      </c>
      <c r="AF43" s="221"/>
      <c r="AG43" s="221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169"/>
      <c r="BZ43" s="169"/>
    </row>
    <row r="44" spans="12:78" customFormat="1" ht="11.25" customHeight="1">
      <c r="L44" s="20"/>
      <c r="M44" s="510" t="s">
        <v>869</v>
      </c>
      <c r="N44" s="529" t="s">
        <v>870</v>
      </c>
      <c r="O44" s="420" t="s">
        <v>284</v>
      </c>
      <c r="AB44" s="251"/>
      <c r="AC44" s="251"/>
      <c r="AD44" s="251"/>
      <c r="AE44" s="244">
        <f>SUM(AE45:AE49)</f>
        <v>0</v>
      </c>
      <c r="AF44" s="244">
        <f>SUM(AF45:AF49)</f>
        <v>0</v>
      </c>
      <c r="AG44" s="244">
        <f>SUM(AG45:AG49)</f>
        <v>0</v>
      </c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BZ44" s="169"/>
    </row>
    <row r="45" spans="12:78" customFormat="1" ht="11.25" customHeight="1">
      <c r="L45" s="20"/>
      <c r="M45" s="510" t="s">
        <v>871</v>
      </c>
      <c r="N45" s="530" t="s">
        <v>852</v>
      </c>
      <c r="O45" s="420" t="s">
        <v>284</v>
      </c>
      <c r="AB45" s="251"/>
      <c r="AC45" s="251"/>
      <c r="AD45" s="251"/>
      <c r="AE45" s="247">
        <f>AF45+AG45</f>
        <v>0</v>
      </c>
      <c r="AF45" s="221"/>
      <c r="AG45" s="221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  <c r="BB45" s="169"/>
      <c r="BC45" s="169"/>
      <c r="BD45" s="169"/>
      <c r="BE45" s="169"/>
      <c r="BF45" s="169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169"/>
      <c r="BX45" s="169"/>
      <c r="BY45" s="169"/>
      <c r="BZ45" s="169"/>
    </row>
    <row r="46" spans="12:78" customFormat="1" ht="11.25" customHeight="1">
      <c r="L46" s="20"/>
      <c r="M46" s="510" t="s">
        <v>872</v>
      </c>
      <c r="N46" s="530" t="s">
        <v>854</v>
      </c>
      <c r="O46" s="420" t="s">
        <v>284</v>
      </c>
      <c r="AB46" s="251"/>
      <c r="AC46" s="251"/>
      <c r="AD46" s="251"/>
      <c r="AE46" s="247">
        <f>AF46+AG46</f>
        <v>0</v>
      </c>
      <c r="AF46" s="221"/>
      <c r="AG46" s="221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169"/>
      <c r="BX46" s="169"/>
      <c r="BY46" s="169"/>
      <c r="BZ46" s="169"/>
    </row>
    <row r="47" spans="12:78" customFormat="1" ht="11.25" customHeight="1">
      <c r="L47" s="20"/>
      <c r="M47" s="510" t="s">
        <v>873</v>
      </c>
      <c r="N47" s="530" t="s">
        <v>856</v>
      </c>
      <c r="O47" s="420" t="s">
        <v>284</v>
      </c>
      <c r="AB47" s="251"/>
      <c r="AC47" s="251"/>
      <c r="AD47" s="251"/>
      <c r="AE47" s="247">
        <f>AF47+AG47</f>
        <v>0</v>
      </c>
      <c r="AF47" s="221"/>
      <c r="AG47" s="221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9"/>
      <c r="BW47" s="169"/>
      <c r="BX47" s="169"/>
      <c r="BY47" s="169"/>
      <c r="BZ47" s="169"/>
    </row>
    <row r="48" spans="12:78" customFormat="1" ht="11.25" customHeight="1">
      <c r="L48" s="20"/>
      <c r="M48" s="510" t="s">
        <v>874</v>
      </c>
      <c r="N48" s="530" t="s">
        <v>858</v>
      </c>
      <c r="O48" s="420" t="s">
        <v>284</v>
      </c>
      <c r="AB48" s="251"/>
      <c r="AC48" s="251"/>
      <c r="AD48" s="251"/>
      <c r="AE48" s="247">
        <f>AF48+AG48</f>
        <v>0</v>
      </c>
      <c r="AF48" s="221"/>
      <c r="AG48" s="221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169"/>
      <c r="BY48" s="169"/>
      <c r="BZ48" s="169"/>
    </row>
    <row r="49" spans="12:78" customFormat="1" ht="11.25" customHeight="1">
      <c r="L49" s="20"/>
      <c r="M49" s="510" t="s">
        <v>875</v>
      </c>
      <c r="N49" s="530" t="s">
        <v>1040</v>
      </c>
      <c r="O49" s="420" t="s">
        <v>284</v>
      </c>
      <c r="AB49" s="251"/>
      <c r="AC49" s="251"/>
      <c r="AD49" s="251"/>
      <c r="AE49" s="247">
        <f>AF49+AG49</f>
        <v>0</v>
      </c>
      <c r="AF49" s="221"/>
      <c r="AG49" s="221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69"/>
      <c r="BT49" s="169"/>
      <c r="BU49" s="169"/>
      <c r="BV49" s="169"/>
      <c r="BW49" s="169"/>
      <c r="BX49" s="169"/>
      <c r="BY49" s="169"/>
      <c r="BZ49" s="169"/>
    </row>
    <row r="50" spans="12:78" customFormat="1" ht="11.25" customHeight="1">
      <c r="L50" s="20"/>
      <c r="M50" s="510" t="s">
        <v>876</v>
      </c>
      <c r="N50" s="527" t="s">
        <v>877</v>
      </c>
      <c r="O50" s="420"/>
      <c r="AB50" s="251"/>
      <c r="AC50" s="251"/>
      <c r="AD50" s="251"/>
      <c r="AE50" s="261"/>
      <c r="AF50" s="261"/>
      <c r="AG50" s="261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</row>
    <row r="51" spans="12:78" customFormat="1" ht="11.25" customHeight="1">
      <c r="L51" s="20"/>
      <c r="M51" s="510" t="s">
        <v>878</v>
      </c>
      <c r="N51" s="528" t="s">
        <v>879</v>
      </c>
      <c r="O51" s="420"/>
      <c r="AB51" s="251"/>
      <c r="AC51" s="251"/>
      <c r="AD51" s="251"/>
      <c r="AE51" s="261"/>
      <c r="AF51" s="261"/>
      <c r="AG51" s="261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</row>
    <row r="52" spans="12:78" customFormat="1" ht="11.25" customHeight="1">
      <c r="L52" s="20"/>
      <c r="M52" s="510" t="s">
        <v>880</v>
      </c>
      <c r="N52" s="529" t="s">
        <v>852</v>
      </c>
      <c r="O52" s="420" t="s">
        <v>313</v>
      </c>
      <c r="AB52" s="251"/>
      <c r="AC52" s="251"/>
      <c r="AD52" s="251"/>
      <c r="AE52" s="244">
        <f>IF(AE32=0,0,AE72/AE32)</f>
        <v>0</v>
      </c>
      <c r="AF52" s="221"/>
      <c r="AG52" s="221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69"/>
      <c r="BP52" s="169"/>
      <c r="BQ52" s="169"/>
      <c r="BR52" s="169"/>
      <c r="BS52" s="169"/>
      <c r="BT52" s="169"/>
      <c r="BU52" s="169"/>
      <c r="BV52" s="169"/>
      <c r="BW52" s="169"/>
      <c r="BX52" s="169"/>
      <c r="BY52" s="169"/>
      <c r="BZ52" s="169"/>
    </row>
    <row r="53" spans="12:78" customFormat="1" ht="11.25" customHeight="1">
      <c r="L53" s="20"/>
      <c r="M53" s="510" t="s">
        <v>881</v>
      </c>
      <c r="N53" s="529" t="s">
        <v>854</v>
      </c>
      <c r="O53" s="420" t="s">
        <v>313</v>
      </c>
      <c r="AB53" s="251"/>
      <c r="AC53" s="251"/>
      <c r="AD53" s="251"/>
      <c r="AE53" s="244">
        <f>IF(AE33=0,0,AE73/AE33)</f>
        <v>0</v>
      </c>
      <c r="AF53" s="221"/>
      <c r="AG53" s="221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</row>
    <row r="54" spans="12:78" customFormat="1" ht="11.25" customHeight="1">
      <c r="L54" s="20"/>
      <c r="M54" s="510" t="s">
        <v>882</v>
      </c>
      <c r="N54" s="529" t="s">
        <v>856</v>
      </c>
      <c r="O54" s="420" t="s">
        <v>313</v>
      </c>
      <c r="AB54" s="251"/>
      <c r="AC54" s="251"/>
      <c r="AD54" s="251"/>
      <c r="AE54" s="244">
        <f>IF(AE34=0,0,AE74/AE34)</f>
        <v>0</v>
      </c>
      <c r="AF54" s="221"/>
      <c r="AG54" s="221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</row>
    <row r="55" spans="12:78" customFormat="1" ht="11.25" customHeight="1">
      <c r="L55" s="20"/>
      <c r="M55" s="510" t="s">
        <v>883</v>
      </c>
      <c r="N55" s="529" t="s">
        <v>858</v>
      </c>
      <c r="O55" s="420" t="s">
        <v>313</v>
      </c>
      <c r="AB55" s="251"/>
      <c r="AC55" s="251"/>
      <c r="AD55" s="251"/>
      <c r="AE55" s="244">
        <f>IF(AE35=0,0,AE75/AE35)</f>
        <v>0</v>
      </c>
      <c r="AF55" s="221"/>
      <c r="AG55" s="221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69"/>
      <c r="BY55" s="169"/>
      <c r="BZ55" s="169"/>
    </row>
    <row r="56" spans="12:78" customFormat="1" ht="11.25" customHeight="1">
      <c r="L56" s="20"/>
      <c r="M56" s="510" t="s">
        <v>884</v>
      </c>
      <c r="N56" s="529" t="s">
        <v>860</v>
      </c>
      <c r="O56" s="420" t="s">
        <v>313</v>
      </c>
      <c r="AB56" s="251"/>
      <c r="AC56" s="251"/>
      <c r="AD56" s="251"/>
      <c r="AE56" s="244">
        <f>IF(AE36=0,0,AE76/AE36)</f>
        <v>0</v>
      </c>
      <c r="AF56" s="221"/>
      <c r="AG56" s="221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</row>
    <row r="57" spans="12:78" customFormat="1" ht="11.25" customHeight="1">
      <c r="L57" s="20"/>
      <c r="M57" s="510" t="s">
        <v>885</v>
      </c>
      <c r="N57" s="529" t="s">
        <v>886</v>
      </c>
      <c r="O57" s="420" t="s">
        <v>313</v>
      </c>
      <c r="AB57" s="251"/>
      <c r="AC57" s="251"/>
      <c r="AD57" s="251"/>
      <c r="AE57" s="244">
        <f>IF(AE31=0,0,AE71/AE31)</f>
        <v>0</v>
      </c>
      <c r="AF57" s="244">
        <f>IF(AF31=0,0,AF71/AF31)</f>
        <v>0</v>
      </c>
      <c r="AG57" s="244">
        <f>IF(AG31=0,0,AG71/AG31)</f>
        <v>0</v>
      </c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</row>
    <row r="58" spans="12:78" customFormat="1" ht="11.25" customHeight="1">
      <c r="L58" s="20"/>
      <c r="M58" s="510" t="s">
        <v>887</v>
      </c>
      <c r="N58" s="528" t="s">
        <v>888</v>
      </c>
      <c r="O58" s="420"/>
      <c r="AB58" s="251"/>
      <c r="AC58" s="251"/>
      <c r="AD58" s="251"/>
      <c r="AE58" s="261"/>
      <c r="AF58" s="261"/>
      <c r="AG58" s="261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</row>
    <row r="59" spans="12:78" customFormat="1" ht="11.25" customHeight="1">
      <c r="L59" s="20"/>
      <c r="M59" s="510" t="s">
        <v>889</v>
      </c>
      <c r="N59" s="529" t="s">
        <v>890</v>
      </c>
      <c r="O59" s="420" t="s">
        <v>1038</v>
      </c>
      <c r="AB59" s="251"/>
      <c r="AC59" s="251"/>
      <c r="AD59" s="251"/>
      <c r="AE59" s="244">
        <f>IF(AE38=0,0,(AE60*AE39+AE61*AE40+AE62*AE41+AE63*AE42+AE64*AE43)/AE38)</f>
        <v>0</v>
      </c>
      <c r="AF59" s="244">
        <f>IF(AF38=0,0,(AF60*AF39+AF61*AF40+AF62*AF41+AF63*AF42+AF64*AF43)/AF38)</f>
        <v>0</v>
      </c>
      <c r="AG59" s="244">
        <f>IF(AG38=0,0,(AG60*AG39+AG61*AG40+AG62*AG41+AG63*AG42+AG64*AG43)/AG38)</f>
        <v>0</v>
      </c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  <c r="BE59" s="169"/>
      <c r="BF59" s="169"/>
      <c r="BG59" s="169"/>
      <c r="BH59" s="169"/>
      <c r="BI59" s="169"/>
      <c r="BJ59" s="169"/>
      <c r="BK59" s="169"/>
      <c r="BL59" s="169"/>
      <c r="BM59" s="169"/>
      <c r="BN59" s="169"/>
      <c r="BO59" s="169"/>
      <c r="BP59" s="169"/>
      <c r="BQ59" s="169"/>
      <c r="BR59" s="169"/>
      <c r="BS59" s="169"/>
      <c r="BT59" s="169"/>
      <c r="BU59" s="169"/>
      <c r="BV59" s="169"/>
      <c r="BW59" s="169"/>
      <c r="BX59" s="169"/>
      <c r="BY59" s="169"/>
      <c r="BZ59" s="169"/>
    </row>
    <row r="60" spans="12:78" customFormat="1" ht="11.25" customHeight="1">
      <c r="L60" s="20"/>
      <c r="M60" s="510" t="s">
        <v>891</v>
      </c>
      <c r="N60" s="530" t="s">
        <v>852</v>
      </c>
      <c r="O60" s="420" t="s">
        <v>1038</v>
      </c>
      <c r="AB60" s="251"/>
      <c r="AC60" s="251"/>
      <c r="AD60" s="251"/>
      <c r="AE60" s="244">
        <f>IF(AE39=0,0,AE78*1000/AE39)</f>
        <v>0</v>
      </c>
      <c r="AF60" s="221"/>
      <c r="AG60" s="221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</row>
    <row r="61" spans="12:78" customFormat="1" ht="11.25" customHeight="1">
      <c r="L61" s="20"/>
      <c r="M61" s="510" t="s">
        <v>892</v>
      </c>
      <c r="N61" s="530" t="s">
        <v>854</v>
      </c>
      <c r="O61" s="420" t="s">
        <v>1038</v>
      </c>
      <c r="AB61" s="251"/>
      <c r="AC61" s="251"/>
      <c r="AD61" s="251"/>
      <c r="AE61" s="244">
        <f>IF(AE40=0,0,AE79*1000/AE40)</f>
        <v>0</v>
      </c>
      <c r="AF61" s="221"/>
      <c r="AG61" s="221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</row>
    <row r="62" spans="12:78" customFormat="1" ht="11.25" customHeight="1">
      <c r="L62" s="20"/>
      <c r="M62" s="510" t="s">
        <v>893</v>
      </c>
      <c r="N62" s="530" t="s">
        <v>856</v>
      </c>
      <c r="O62" s="420" t="s">
        <v>1038</v>
      </c>
      <c r="AB62" s="251"/>
      <c r="AC62" s="251"/>
      <c r="AD62" s="251"/>
      <c r="AE62" s="244">
        <f>IF(AE41=0,0,AE80*1000/AE41)</f>
        <v>0</v>
      </c>
      <c r="AF62" s="221"/>
      <c r="AG62" s="221"/>
      <c r="AH62" s="169"/>
      <c r="AI62" s="169"/>
      <c r="AJ62" s="169"/>
      <c r="AK62" s="169"/>
      <c r="AL62" s="169"/>
      <c r="AM62" s="169"/>
      <c r="AN62" s="169"/>
      <c r="AO62" s="169"/>
      <c r="AP62" s="169"/>
      <c r="AQ62" s="169"/>
      <c r="AR62" s="169"/>
      <c r="AS62" s="169"/>
      <c r="AT62" s="169"/>
      <c r="AU62" s="169"/>
      <c r="AV62" s="169"/>
      <c r="AW62" s="169"/>
      <c r="AX62" s="169"/>
      <c r="AY62" s="169"/>
      <c r="AZ62" s="169"/>
      <c r="BA62" s="169"/>
      <c r="BB62" s="169"/>
      <c r="BC62" s="169"/>
      <c r="BD62" s="169"/>
      <c r="BE62" s="169"/>
      <c r="BF62" s="169"/>
      <c r="BG62" s="169"/>
      <c r="BH62" s="169"/>
      <c r="BI62" s="169"/>
      <c r="BJ62" s="169"/>
      <c r="BK62" s="169"/>
      <c r="BL62" s="169"/>
      <c r="BM62" s="169"/>
      <c r="BN62" s="169"/>
      <c r="BO62" s="169"/>
      <c r="BP62" s="169"/>
      <c r="BQ62" s="169"/>
      <c r="BR62" s="169"/>
      <c r="BS62" s="169"/>
      <c r="BT62" s="169"/>
      <c r="BU62" s="169"/>
      <c r="BV62" s="169"/>
      <c r="BW62" s="169"/>
      <c r="BX62" s="169"/>
      <c r="BY62" s="169"/>
      <c r="BZ62" s="169"/>
    </row>
    <row r="63" spans="12:78" customFormat="1" ht="11.25" customHeight="1">
      <c r="L63" s="20"/>
      <c r="M63" s="510" t="s">
        <v>894</v>
      </c>
      <c r="N63" s="530" t="s">
        <v>858</v>
      </c>
      <c r="O63" s="420" t="s">
        <v>1038</v>
      </c>
      <c r="AB63" s="251"/>
      <c r="AC63" s="251"/>
      <c r="AD63" s="251"/>
      <c r="AE63" s="244">
        <f>IF(AE42=0,0,AE81*1000/AE42)</f>
        <v>0</v>
      </c>
      <c r="AF63" s="221"/>
      <c r="AG63" s="221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69"/>
      <c r="BR63" s="169"/>
      <c r="BS63" s="169"/>
      <c r="BT63" s="169"/>
      <c r="BU63" s="169"/>
      <c r="BV63" s="169"/>
      <c r="BW63" s="169"/>
      <c r="BX63" s="169"/>
      <c r="BY63" s="169"/>
      <c r="BZ63" s="169"/>
    </row>
    <row r="64" spans="12:78" customFormat="1" ht="11.25" customHeight="1">
      <c r="L64" s="20"/>
      <c r="M64" s="510" t="s">
        <v>895</v>
      </c>
      <c r="N64" s="530" t="s">
        <v>1040</v>
      </c>
      <c r="O64" s="420" t="s">
        <v>1038</v>
      </c>
      <c r="AB64" s="251"/>
      <c r="AC64" s="251"/>
      <c r="AD64" s="251"/>
      <c r="AE64" s="244">
        <f>IF(AE43=0,0,AE82*1000/AE43)</f>
        <v>0</v>
      </c>
      <c r="AF64" s="221"/>
      <c r="AG64" s="221"/>
      <c r="AH64" s="169"/>
      <c r="AI64" s="169"/>
      <c r="AJ64" s="169"/>
      <c r="AK64" s="169"/>
      <c r="AL64" s="169"/>
      <c r="AM64" s="169"/>
      <c r="AN64" s="169"/>
      <c r="AO64" s="169"/>
      <c r="AP64" s="169"/>
      <c r="AQ64" s="169"/>
      <c r="AR64" s="169"/>
      <c r="AS64" s="169"/>
      <c r="AT64" s="169"/>
      <c r="AU64" s="169"/>
      <c r="AV64" s="169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69"/>
      <c r="BP64" s="169"/>
      <c r="BQ64" s="169"/>
      <c r="BR64" s="169"/>
      <c r="BS64" s="169"/>
      <c r="BT64" s="169"/>
      <c r="BU64" s="169"/>
      <c r="BV64" s="169"/>
      <c r="BW64" s="169"/>
      <c r="BX64" s="169"/>
      <c r="BY64" s="169"/>
      <c r="BZ64" s="169"/>
    </row>
    <row r="65" spans="12:78" customFormat="1" ht="11.25" customHeight="1">
      <c r="L65" s="20"/>
      <c r="M65" s="510" t="s">
        <v>896</v>
      </c>
      <c r="N65" s="529" t="s">
        <v>897</v>
      </c>
      <c r="O65" s="420" t="s">
        <v>313</v>
      </c>
      <c r="AB65" s="251"/>
      <c r="AC65" s="251"/>
      <c r="AD65" s="251"/>
      <c r="AE65" s="244">
        <f>IF(AE44=0,0,(AE66*AE45+AE67*AE46+AE68*AE47+AE69*AE48+AE70*AE49)/AE44)</f>
        <v>0</v>
      </c>
      <c r="AF65" s="244">
        <f>IF(AF44=0,0,(AF66*AF45+AF67*AF46+AF68*AF47+AF69*AF48+AF70*AF49)/AF44)</f>
        <v>0</v>
      </c>
      <c r="AG65" s="244">
        <f>IF(AG44=0,0,(AG66*AG45+AG67*AG46+AG68*AG47+AG69*AG48+AG70*AG49)/AG44)</f>
        <v>0</v>
      </c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</row>
    <row r="66" spans="12:78" customFormat="1" ht="11.25" customHeight="1">
      <c r="L66" s="20"/>
      <c r="M66" s="510" t="s">
        <v>898</v>
      </c>
      <c r="N66" s="530" t="s">
        <v>852</v>
      </c>
      <c r="O66" s="420" t="s">
        <v>313</v>
      </c>
      <c r="AB66" s="251"/>
      <c r="AC66" s="251"/>
      <c r="AD66" s="251"/>
      <c r="AE66" s="244">
        <f>IF(AE45=0,0,AE84/AE45)</f>
        <v>0</v>
      </c>
      <c r="AF66" s="221"/>
      <c r="AG66" s="221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</row>
    <row r="67" spans="12:78" customFormat="1" ht="11.25" customHeight="1">
      <c r="L67" s="20"/>
      <c r="M67" s="510" t="s">
        <v>899</v>
      </c>
      <c r="N67" s="530" t="s">
        <v>854</v>
      </c>
      <c r="O67" s="420" t="s">
        <v>313</v>
      </c>
      <c r="AB67" s="251"/>
      <c r="AC67" s="251"/>
      <c r="AD67" s="251"/>
      <c r="AE67" s="244">
        <f>IF(AE46=0,0,AE85/AE46)</f>
        <v>0</v>
      </c>
      <c r="AF67" s="221"/>
      <c r="AG67" s="221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</row>
    <row r="68" spans="12:78" customFormat="1" ht="11.25" customHeight="1">
      <c r="L68" s="20"/>
      <c r="M68" s="510" t="s">
        <v>900</v>
      </c>
      <c r="N68" s="530" t="s">
        <v>856</v>
      </c>
      <c r="O68" s="420" t="s">
        <v>313</v>
      </c>
      <c r="AB68" s="251"/>
      <c r="AC68" s="251"/>
      <c r="AD68" s="251"/>
      <c r="AE68" s="244">
        <f>IF(AE47=0,0,AE86/AE47)</f>
        <v>0</v>
      </c>
      <c r="AF68" s="221"/>
      <c r="AG68" s="221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</row>
    <row r="69" spans="12:78" customFormat="1" ht="11.25" customHeight="1">
      <c r="L69" s="20"/>
      <c r="M69" s="510" t="s">
        <v>901</v>
      </c>
      <c r="N69" s="530" t="s">
        <v>858</v>
      </c>
      <c r="O69" s="420" t="s">
        <v>313</v>
      </c>
      <c r="AB69" s="251"/>
      <c r="AC69" s="251"/>
      <c r="AD69" s="251"/>
      <c r="AE69" s="244">
        <f>IF(AE48=0,0,AE87/AE48)</f>
        <v>0</v>
      </c>
      <c r="AF69" s="221"/>
      <c r="AG69" s="221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</row>
    <row r="70" spans="12:78" customFormat="1" ht="11.25" customHeight="1">
      <c r="L70" s="20"/>
      <c r="M70" s="510" t="s">
        <v>902</v>
      </c>
      <c r="N70" s="530" t="s">
        <v>1040</v>
      </c>
      <c r="O70" s="420" t="s">
        <v>313</v>
      </c>
      <c r="AB70" s="251"/>
      <c r="AC70" s="251"/>
      <c r="AD70" s="251"/>
      <c r="AE70" s="244">
        <f>IF(AE49=0,0,AE88/AE49)</f>
        <v>0</v>
      </c>
      <c r="AF70" s="221"/>
      <c r="AG70" s="221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</row>
    <row r="71" spans="12:78" customFormat="1" ht="11.25" customHeight="1">
      <c r="L71" s="20"/>
      <c r="M71" s="510" t="s">
        <v>903</v>
      </c>
      <c r="N71" s="527" t="s">
        <v>904</v>
      </c>
      <c r="O71" s="420" t="s">
        <v>195</v>
      </c>
      <c r="AB71" s="251"/>
      <c r="AC71" s="251"/>
      <c r="AD71" s="251"/>
      <c r="AE71" s="247">
        <f t="shared" ref="AE71:AE91" si="1">AF71+AG71</f>
        <v>0</v>
      </c>
      <c r="AF71" s="244">
        <f>SUM(AF72:AF76)</f>
        <v>0</v>
      </c>
      <c r="AG71" s="244">
        <f>SUM(AG72:AG76)</f>
        <v>0</v>
      </c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</row>
    <row r="72" spans="12:78" customFormat="1" ht="11.25" customHeight="1">
      <c r="L72" s="20"/>
      <c r="M72" s="510" t="s">
        <v>1041</v>
      </c>
      <c r="N72" s="528" t="s">
        <v>852</v>
      </c>
      <c r="O72" s="420" t="s">
        <v>195</v>
      </c>
      <c r="AB72" s="251"/>
      <c r="AC72" s="251"/>
      <c r="AD72" s="251"/>
      <c r="AE72" s="247">
        <f t="shared" si="1"/>
        <v>0</v>
      </c>
      <c r="AF72" s="244">
        <f>AF32*AF52</f>
        <v>0</v>
      </c>
      <c r="AG72" s="244">
        <f>AG32*AG52</f>
        <v>0</v>
      </c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</row>
    <row r="73" spans="12:78" customFormat="1" ht="11.25" customHeight="1">
      <c r="L73" s="20"/>
      <c r="M73" s="510" t="s">
        <v>1042</v>
      </c>
      <c r="N73" s="528" t="s">
        <v>854</v>
      </c>
      <c r="O73" s="420" t="s">
        <v>195</v>
      </c>
      <c r="AB73" s="251"/>
      <c r="AC73" s="251"/>
      <c r="AD73" s="251"/>
      <c r="AE73" s="247">
        <f t="shared" si="1"/>
        <v>0</v>
      </c>
      <c r="AF73" s="244">
        <f t="shared" ref="AF73:AG76" si="2">AF33*AF53</f>
        <v>0</v>
      </c>
      <c r="AG73" s="244">
        <f t="shared" si="2"/>
        <v>0</v>
      </c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</row>
    <row r="74" spans="12:78" customFormat="1" ht="11.25" customHeight="1">
      <c r="L74" s="20"/>
      <c r="M74" s="510" t="s">
        <v>1043</v>
      </c>
      <c r="N74" s="528" t="s">
        <v>856</v>
      </c>
      <c r="O74" s="420" t="s">
        <v>195</v>
      </c>
      <c r="AB74" s="251"/>
      <c r="AC74" s="251"/>
      <c r="AD74" s="251"/>
      <c r="AE74" s="247">
        <f t="shared" si="1"/>
        <v>0</v>
      </c>
      <c r="AF74" s="244">
        <f t="shared" si="2"/>
        <v>0</v>
      </c>
      <c r="AG74" s="244">
        <f t="shared" si="2"/>
        <v>0</v>
      </c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</row>
    <row r="75" spans="12:78" customFormat="1" ht="11.25" customHeight="1">
      <c r="L75" s="20"/>
      <c r="M75" s="510" t="s">
        <v>1044</v>
      </c>
      <c r="N75" s="528" t="s">
        <v>858</v>
      </c>
      <c r="O75" s="420" t="s">
        <v>195</v>
      </c>
      <c r="AB75" s="251"/>
      <c r="AC75" s="251"/>
      <c r="AD75" s="251"/>
      <c r="AE75" s="247">
        <f t="shared" si="1"/>
        <v>0</v>
      </c>
      <c r="AF75" s="244">
        <f t="shared" si="2"/>
        <v>0</v>
      </c>
      <c r="AG75" s="244">
        <f t="shared" si="2"/>
        <v>0</v>
      </c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69"/>
      <c r="BU75" s="169"/>
      <c r="BV75" s="169"/>
      <c r="BW75" s="169"/>
      <c r="BX75" s="169"/>
      <c r="BY75" s="169"/>
      <c r="BZ75" s="169"/>
    </row>
    <row r="76" spans="12:78" customFormat="1" ht="11.25" customHeight="1">
      <c r="L76" s="20"/>
      <c r="M76" s="510" t="s">
        <v>1045</v>
      </c>
      <c r="N76" s="528" t="s">
        <v>860</v>
      </c>
      <c r="O76" s="420" t="s">
        <v>195</v>
      </c>
      <c r="AB76" s="251"/>
      <c r="AC76" s="251"/>
      <c r="AD76" s="251"/>
      <c r="AE76" s="247">
        <f t="shared" si="1"/>
        <v>0</v>
      </c>
      <c r="AF76" s="244">
        <f t="shared" si="2"/>
        <v>0</v>
      </c>
      <c r="AG76" s="244">
        <f t="shared" si="2"/>
        <v>0</v>
      </c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</row>
    <row r="77" spans="12:78" customFormat="1" ht="11.25" customHeight="1">
      <c r="L77" s="20"/>
      <c r="M77" s="510" t="s">
        <v>905</v>
      </c>
      <c r="N77" s="527" t="s">
        <v>1039</v>
      </c>
      <c r="O77" s="420" t="s">
        <v>195</v>
      </c>
      <c r="AB77" s="251"/>
      <c r="AC77" s="251"/>
      <c r="AD77" s="251"/>
      <c r="AE77" s="247">
        <f t="shared" si="1"/>
        <v>0</v>
      </c>
      <c r="AF77" s="244">
        <f>SUM(AF78:AF82)</f>
        <v>0</v>
      </c>
      <c r="AG77" s="244">
        <f>SUM(AG78:AG82)</f>
        <v>0</v>
      </c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69"/>
      <c r="BC77" s="169"/>
      <c r="BD77" s="169"/>
      <c r="BE77" s="169"/>
      <c r="BF77" s="169"/>
      <c r="BG77" s="169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69"/>
      <c r="BU77" s="169"/>
      <c r="BV77" s="169"/>
      <c r="BW77" s="169"/>
      <c r="BX77" s="169"/>
      <c r="BY77" s="169"/>
      <c r="BZ77" s="169"/>
    </row>
    <row r="78" spans="12:78" customFormat="1" ht="11.25" customHeight="1">
      <c r="L78" s="20"/>
      <c r="M78" s="510" t="s">
        <v>1046</v>
      </c>
      <c r="N78" s="528" t="s">
        <v>852</v>
      </c>
      <c r="O78" s="420" t="s">
        <v>195</v>
      </c>
      <c r="AB78" s="251"/>
      <c r="AC78" s="251"/>
      <c r="AD78" s="251"/>
      <c r="AE78" s="247">
        <f t="shared" si="1"/>
        <v>0</v>
      </c>
      <c r="AF78" s="244">
        <f>AF39*AF60/1000</f>
        <v>0</v>
      </c>
      <c r="AG78" s="244">
        <f>AG39*AG60/1000</f>
        <v>0</v>
      </c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</row>
    <row r="79" spans="12:78" customFormat="1" ht="11.25" customHeight="1">
      <c r="L79" s="20"/>
      <c r="M79" s="510" t="s">
        <v>1047</v>
      </c>
      <c r="N79" s="528" t="s">
        <v>854</v>
      </c>
      <c r="O79" s="420" t="s">
        <v>195</v>
      </c>
      <c r="AB79" s="251"/>
      <c r="AC79" s="251"/>
      <c r="AD79" s="251"/>
      <c r="AE79" s="247">
        <f t="shared" si="1"/>
        <v>0</v>
      </c>
      <c r="AF79" s="244">
        <f t="shared" ref="AF79:AG82" si="3">AF40*AF61/1000</f>
        <v>0</v>
      </c>
      <c r="AG79" s="244">
        <f t="shared" si="3"/>
        <v>0</v>
      </c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</row>
    <row r="80" spans="12:78" customFormat="1" ht="11.25" customHeight="1">
      <c r="L80" s="20"/>
      <c r="M80" s="510" t="s">
        <v>1048</v>
      </c>
      <c r="N80" s="528" t="s">
        <v>856</v>
      </c>
      <c r="O80" s="420" t="s">
        <v>195</v>
      </c>
      <c r="AB80" s="251"/>
      <c r="AC80" s="251"/>
      <c r="AD80" s="251"/>
      <c r="AE80" s="247">
        <f t="shared" si="1"/>
        <v>0</v>
      </c>
      <c r="AF80" s="244">
        <f t="shared" si="3"/>
        <v>0</v>
      </c>
      <c r="AG80" s="244">
        <f t="shared" si="3"/>
        <v>0</v>
      </c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69"/>
      <c r="BC80" s="169"/>
      <c r="BD80" s="169"/>
      <c r="BE80" s="169"/>
      <c r="BF80" s="169"/>
      <c r="BG80" s="169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69"/>
      <c r="BU80" s="169"/>
      <c r="BV80" s="169"/>
      <c r="BW80" s="169"/>
      <c r="BX80" s="169"/>
      <c r="BY80" s="169"/>
      <c r="BZ80" s="169"/>
    </row>
    <row r="81" spans="12:78" customFormat="1" ht="11.25" customHeight="1">
      <c r="L81" s="20"/>
      <c r="M81" s="510" t="s">
        <v>1049</v>
      </c>
      <c r="N81" s="528" t="s">
        <v>858</v>
      </c>
      <c r="O81" s="420" t="s">
        <v>195</v>
      </c>
      <c r="AB81" s="251"/>
      <c r="AC81" s="251"/>
      <c r="AD81" s="251"/>
      <c r="AE81" s="247">
        <f t="shared" si="1"/>
        <v>0</v>
      </c>
      <c r="AF81" s="244">
        <f t="shared" si="3"/>
        <v>0</v>
      </c>
      <c r="AG81" s="244">
        <f t="shared" si="3"/>
        <v>0</v>
      </c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</row>
    <row r="82" spans="12:78" customFormat="1" ht="11.25" customHeight="1">
      <c r="L82" s="20"/>
      <c r="M82" s="510" t="s">
        <v>1050</v>
      </c>
      <c r="N82" s="528" t="s">
        <v>1040</v>
      </c>
      <c r="O82" s="420" t="s">
        <v>195</v>
      </c>
      <c r="AB82" s="251"/>
      <c r="AC82" s="251"/>
      <c r="AD82" s="251"/>
      <c r="AE82" s="247">
        <f t="shared" si="1"/>
        <v>0</v>
      </c>
      <c r="AF82" s="244">
        <f t="shared" si="3"/>
        <v>0</v>
      </c>
      <c r="AG82" s="244">
        <f t="shared" si="3"/>
        <v>0</v>
      </c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</row>
    <row r="83" spans="12:78" customFormat="1" ht="11.25" customHeight="1">
      <c r="L83" s="20"/>
      <c r="M83" s="510" t="s">
        <v>907</v>
      </c>
      <c r="N83" s="527" t="s">
        <v>906</v>
      </c>
      <c r="O83" s="420" t="s">
        <v>195</v>
      </c>
      <c r="AB83" s="251"/>
      <c r="AC83" s="251"/>
      <c r="AD83" s="251"/>
      <c r="AE83" s="247">
        <f t="shared" si="1"/>
        <v>0</v>
      </c>
      <c r="AF83" s="244">
        <f>SUM(AF84:AF88)</f>
        <v>0</v>
      </c>
      <c r="AG83" s="244">
        <f>SUM(AG84:AG88)</f>
        <v>0</v>
      </c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/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/>
      <c r="BU83" s="169"/>
      <c r="BV83" s="169"/>
      <c r="BW83" s="169"/>
      <c r="BX83" s="169"/>
      <c r="BY83" s="169"/>
      <c r="BZ83" s="169"/>
    </row>
    <row r="84" spans="12:78" customFormat="1" ht="11.25" customHeight="1">
      <c r="L84" s="20"/>
      <c r="M84" s="510" t="s">
        <v>1051</v>
      </c>
      <c r="N84" s="528" t="s">
        <v>852</v>
      </c>
      <c r="O84" s="420" t="s">
        <v>195</v>
      </c>
      <c r="AB84" s="251"/>
      <c r="AC84" s="251"/>
      <c r="AD84" s="251"/>
      <c r="AE84" s="247">
        <f t="shared" si="1"/>
        <v>0</v>
      </c>
      <c r="AF84" s="244">
        <f t="shared" ref="AF84:AG88" si="4">AF45*AF66</f>
        <v>0</v>
      </c>
      <c r="AG84" s="244">
        <f t="shared" si="4"/>
        <v>0</v>
      </c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69"/>
      <c r="BC84" s="169"/>
      <c r="BD84" s="169"/>
      <c r="BE84" s="169"/>
      <c r="BF84" s="169"/>
      <c r="BG84" s="169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69"/>
      <c r="BU84" s="169"/>
      <c r="BV84" s="169"/>
      <c r="BW84" s="169"/>
      <c r="BX84" s="169"/>
      <c r="BY84" s="169"/>
      <c r="BZ84" s="169"/>
    </row>
    <row r="85" spans="12:78" customFormat="1" ht="11.25" customHeight="1">
      <c r="L85" s="20"/>
      <c r="M85" s="510" t="s">
        <v>1052</v>
      </c>
      <c r="N85" s="528" t="s">
        <v>854</v>
      </c>
      <c r="O85" s="420" t="s">
        <v>195</v>
      </c>
      <c r="AB85" s="251"/>
      <c r="AC85" s="251"/>
      <c r="AD85" s="251"/>
      <c r="AE85" s="247">
        <f t="shared" si="1"/>
        <v>0</v>
      </c>
      <c r="AF85" s="244">
        <f t="shared" si="4"/>
        <v>0</v>
      </c>
      <c r="AG85" s="244">
        <f t="shared" si="4"/>
        <v>0</v>
      </c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/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/>
      <c r="BU85" s="169"/>
      <c r="BV85" s="169"/>
      <c r="BW85" s="169"/>
      <c r="BX85" s="169"/>
      <c r="BY85" s="169"/>
      <c r="BZ85" s="169"/>
    </row>
    <row r="86" spans="12:78" customFormat="1" ht="11.25" customHeight="1">
      <c r="L86" s="20"/>
      <c r="M86" s="510" t="s">
        <v>1053</v>
      </c>
      <c r="N86" s="528" t="s">
        <v>856</v>
      </c>
      <c r="O86" s="420" t="s">
        <v>195</v>
      </c>
      <c r="AB86" s="251"/>
      <c r="AC86" s="251"/>
      <c r="AD86" s="251"/>
      <c r="AE86" s="247">
        <f t="shared" si="1"/>
        <v>0</v>
      </c>
      <c r="AF86" s="244">
        <f t="shared" si="4"/>
        <v>0</v>
      </c>
      <c r="AG86" s="244">
        <f t="shared" si="4"/>
        <v>0</v>
      </c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</row>
    <row r="87" spans="12:78" customFormat="1" ht="11.25" customHeight="1">
      <c r="L87" s="20"/>
      <c r="M87" s="510" t="s">
        <v>1054</v>
      </c>
      <c r="N87" s="528" t="s">
        <v>858</v>
      </c>
      <c r="O87" s="420" t="s">
        <v>195</v>
      </c>
      <c r="AB87" s="251"/>
      <c r="AC87" s="251"/>
      <c r="AD87" s="251"/>
      <c r="AE87" s="247">
        <f t="shared" si="1"/>
        <v>0</v>
      </c>
      <c r="AF87" s="244">
        <f t="shared" si="4"/>
        <v>0</v>
      </c>
      <c r="AG87" s="244">
        <f t="shared" si="4"/>
        <v>0</v>
      </c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</row>
    <row r="88" spans="12:78" customFormat="1" ht="11.25" customHeight="1">
      <c r="L88" s="20"/>
      <c r="M88" s="510" t="s">
        <v>1055</v>
      </c>
      <c r="N88" s="528" t="s">
        <v>1040</v>
      </c>
      <c r="O88" s="420" t="s">
        <v>195</v>
      </c>
      <c r="AB88" s="251"/>
      <c r="AC88" s="251"/>
      <c r="AD88" s="251"/>
      <c r="AE88" s="247">
        <f t="shared" si="1"/>
        <v>0</v>
      </c>
      <c r="AF88" s="244">
        <f t="shared" si="4"/>
        <v>0</v>
      </c>
      <c r="AG88" s="244">
        <f t="shared" si="4"/>
        <v>0</v>
      </c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  <c r="AU88" s="169"/>
      <c r="AV88" s="169"/>
      <c r="AW88" s="169"/>
      <c r="AX88" s="169"/>
      <c r="AY88" s="169"/>
      <c r="AZ88" s="169"/>
      <c r="BA88" s="169"/>
      <c r="BB88" s="169"/>
      <c r="BC88" s="169"/>
      <c r="BD88" s="169"/>
      <c r="BE88" s="169"/>
      <c r="BF88" s="169"/>
      <c r="BG88" s="169"/>
      <c r="BH88" s="169"/>
      <c r="BI88" s="169"/>
      <c r="BJ88" s="169"/>
      <c r="BK88" s="169"/>
      <c r="BL88" s="169"/>
      <c r="BM88" s="169"/>
      <c r="BN88" s="169"/>
      <c r="BO88" s="169"/>
      <c r="BP88" s="169"/>
      <c r="BQ88" s="169"/>
      <c r="BR88" s="169"/>
      <c r="BS88" s="169"/>
      <c r="BT88" s="169"/>
      <c r="BU88" s="169"/>
      <c r="BV88" s="169"/>
      <c r="BW88" s="169"/>
      <c r="BX88" s="169"/>
      <c r="BY88" s="169"/>
      <c r="BZ88" s="169"/>
    </row>
    <row r="89" spans="12:78" customFormat="1" ht="11.25" customHeight="1">
      <c r="L89" s="20"/>
      <c r="M89" s="509" t="s">
        <v>703</v>
      </c>
      <c r="N89" s="526" t="s">
        <v>908</v>
      </c>
      <c r="O89" s="420" t="s">
        <v>195</v>
      </c>
      <c r="AB89" s="251"/>
      <c r="AC89" s="251"/>
      <c r="AD89" s="251"/>
      <c r="AE89" s="247">
        <f t="shared" si="1"/>
        <v>0</v>
      </c>
      <c r="AF89" s="221"/>
      <c r="AG89" s="221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69"/>
      <c r="BU89" s="169"/>
      <c r="BV89" s="169"/>
      <c r="BW89" s="169"/>
      <c r="BX89" s="169"/>
      <c r="BY89" s="169"/>
      <c r="BZ89" s="169"/>
    </row>
    <row r="90" spans="12:78" customFormat="1" ht="11.25" customHeight="1">
      <c r="L90" s="20"/>
      <c r="M90" s="509" t="s">
        <v>695</v>
      </c>
      <c r="N90" s="526" t="s">
        <v>909</v>
      </c>
      <c r="O90" s="420" t="s">
        <v>195</v>
      </c>
      <c r="AB90" s="251"/>
      <c r="AC90" s="251"/>
      <c r="AD90" s="251"/>
      <c r="AE90" s="247">
        <f t="shared" si="1"/>
        <v>0</v>
      </c>
      <c r="AF90" s="221"/>
      <c r="AG90" s="221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69"/>
      <c r="BS90" s="169"/>
      <c r="BT90" s="169"/>
      <c r="BU90" s="169"/>
      <c r="BV90" s="169"/>
      <c r="BW90" s="169"/>
      <c r="BX90" s="169"/>
      <c r="BY90" s="169"/>
      <c r="BZ90" s="169"/>
    </row>
    <row r="91" spans="12:78" customFormat="1" ht="11.25" customHeight="1">
      <c r="L91" s="20"/>
      <c r="M91" s="509" t="s">
        <v>696</v>
      </c>
      <c r="N91" s="526" t="s">
        <v>910</v>
      </c>
      <c r="O91" s="420" t="s">
        <v>195</v>
      </c>
      <c r="AB91" s="251"/>
      <c r="AC91" s="251"/>
      <c r="AD91" s="251"/>
      <c r="AE91" s="247">
        <f t="shared" si="1"/>
        <v>0</v>
      </c>
      <c r="AF91" s="221"/>
      <c r="AG91" s="221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</row>
    <row r="92" spans="12:78" customFormat="1" ht="11.25" customHeight="1">
      <c r="L92" s="20"/>
      <c r="M92" s="532"/>
      <c r="N92" s="533"/>
      <c r="O92" s="422"/>
      <c r="AB92" s="251"/>
      <c r="AC92" s="251"/>
      <c r="AD92" s="251"/>
      <c r="AE92" s="261"/>
      <c r="AF92" s="261"/>
      <c r="AG92" s="261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69"/>
      <c r="BU92" s="169"/>
      <c r="BV92" s="169"/>
      <c r="BW92" s="169"/>
      <c r="BX92" s="169"/>
      <c r="BY92" s="169"/>
      <c r="BZ92" s="169"/>
    </row>
    <row r="93" spans="12:78" customFormat="1" ht="11.25" customHeight="1">
      <c r="L93" s="20"/>
      <c r="M93" s="532"/>
      <c r="N93" s="533"/>
      <c r="O93" s="422"/>
      <c r="AB93" s="251"/>
      <c r="AC93" s="251"/>
      <c r="AD93" s="251"/>
      <c r="AE93" s="261"/>
      <c r="AF93" s="261"/>
      <c r="AG93" s="261"/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169"/>
      <c r="BB93" s="169"/>
      <c r="BC93" s="169"/>
      <c r="BD93" s="169"/>
      <c r="BE93" s="169"/>
      <c r="BF93" s="169"/>
      <c r="BG93" s="169"/>
      <c r="BH93" s="169"/>
      <c r="BI93" s="169"/>
      <c r="BJ93" s="169"/>
      <c r="BK93" s="169"/>
      <c r="BL93" s="169"/>
      <c r="BM93" s="169"/>
      <c r="BN93" s="169"/>
      <c r="BO93" s="169"/>
      <c r="BP93" s="169"/>
      <c r="BQ93" s="169"/>
      <c r="BR93" s="169"/>
      <c r="BS93" s="169"/>
      <c r="BT93" s="169"/>
      <c r="BU93" s="169"/>
      <c r="BV93" s="169"/>
      <c r="BW93" s="169"/>
      <c r="BX93" s="169"/>
      <c r="BY93" s="169"/>
      <c r="BZ93" s="169"/>
    </row>
    <row r="94" spans="12:78" customFormat="1" ht="11.25" customHeight="1">
      <c r="L94" s="20"/>
      <c r="M94" s="532"/>
      <c r="N94" s="533"/>
      <c r="O94" s="422"/>
      <c r="AB94" s="251"/>
      <c r="AC94" s="251"/>
      <c r="AD94" s="251"/>
      <c r="AE94" s="261"/>
      <c r="AF94" s="261"/>
      <c r="AG94" s="261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</row>
    <row r="95" spans="12:78" customFormat="1" ht="11.25" customHeight="1">
      <c r="L95" s="20"/>
      <c r="M95" s="532"/>
      <c r="N95" s="533"/>
      <c r="O95" s="422"/>
      <c r="AB95" s="251"/>
      <c r="AC95" s="251"/>
      <c r="AD95" s="251"/>
      <c r="AE95" s="261"/>
      <c r="AF95" s="261"/>
      <c r="AG95" s="261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69"/>
      <c r="BU95" s="169"/>
      <c r="BV95" s="169"/>
      <c r="BW95" s="169"/>
      <c r="BX95" s="169"/>
      <c r="BY95" s="169"/>
      <c r="BZ95" s="169"/>
    </row>
    <row r="96" spans="12:78" customFormat="1" ht="11.25" customHeight="1">
      <c r="L96" s="20"/>
      <c r="M96" s="509" t="s">
        <v>911</v>
      </c>
      <c r="N96" s="526" t="s">
        <v>912</v>
      </c>
      <c r="O96" s="420" t="s">
        <v>195</v>
      </c>
      <c r="AB96" s="251"/>
      <c r="AC96" s="251"/>
      <c r="AD96" s="251"/>
      <c r="AE96" s="247">
        <f>AF96+AG96</f>
        <v>0</v>
      </c>
      <c r="AF96" s="244">
        <f>AF97*AF98</f>
        <v>0</v>
      </c>
      <c r="AG96" s="244">
        <f>AG97*AG98</f>
        <v>0</v>
      </c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</row>
    <row r="97" spans="12:78" customFormat="1" ht="11.25" customHeight="1">
      <c r="L97" s="20"/>
      <c r="M97" s="509" t="s">
        <v>913</v>
      </c>
      <c r="N97" s="531" t="s">
        <v>914</v>
      </c>
      <c r="O97" s="420" t="s">
        <v>397</v>
      </c>
      <c r="AB97" s="251"/>
      <c r="AC97" s="251"/>
      <c r="AD97" s="251"/>
      <c r="AE97" s="244">
        <f>IF(AE98=0,0,AE96/AE98)</f>
        <v>0</v>
      </c>
      <c r="AF97" s="221"/>
      <c r="AG97" s="221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169"/>
      <c r="AX97" s="169"/>
      <c r="AY97" s="169"/>
      <c r="AZ97" s="169"/>
      <c r="BA97" s="169"/>
      <c r="BB97" s="169"/>
      <c r="BC97" s="169"/>
      <c r="BD97" s="169"/>
      <c r="BE97" s="169"/>
      <c r="BF97" s="169"/>
      <c r="BG97" s="169"/>
      <c r="BH97" s="169"/>
      <c r="BI97" s="169"/>
      <c r="BJ97" s="169"/>
      <c r="BK97" s="169"/>
      <c r="BL97" s="169"/>
      <c r="BM97" s="169"/>
      <c r="BN97" s="169"/>
      <c r="BO97" s="169"/>
      <c r="BP97" s="169"/>
      <c r="BQ97" s="169"/>
      <c r="BR97" s="169"/>
      <c r="BS97" s="169"/>
      <c r="BT97" s="169"/>
      <c r="BU97" s="169"/>
      <c r="BV97" s="169"/>
      <c r="BW97" s="169"/>
      <c r="BX97" s="169"/>
      <c r="BY97" s="169"/>
      <c r="BZ97" s="169"/>
    </row>
    <row r="98" spans="12:78" customFormat="1" ht="11.25" customHeight="1">
      <c r="L98" s="20"/>
      <c r="M98" s="509" t="s">
        <v>915</v>
      </c>
      <c r="N98" s="531" t="s">
        <v>283</v>
      </c>
      <c r="O98" s="417" t="s">
        <v>1026</v>
      </c>
      <c r="AB98" s="251"/>
      <c r="AC98" s="251"/>
      <c r="AD98" s="251"/>
      <c r="AE98" s="247">
        <f>AF98+AG98</f>
        <v>0</v>
      </c>
      <c r="AF98" s="221"/>
      <c r="AG98" s="221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</row>
    <row r="99" spans="12:78" customFormat="1" ht="11.25" customHeight="1">
      <c r="L99" s="20"/>
      <c r="M99" s="532"/>
      <c r="N99" s="533"/>
      <c r="O99" s="422"/>
      <c r="AB99" s="251"/>
      <c r="AC99" s="251"/>
      <c r="AD99" s="251"/>
      <c r="AE99" s="261"/>
      <c r="AF99" s="261"/>
      <c r="AG99" s="261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</row>
    <row r="100" spans="12:78" customFormat="1" ht="11.25" customHeight="1">
      <c r="L100" s="20"/>
      <c r="M100" s="532"/>
      <c r="N100" s="533"/>
      <c r="O100" s="422"/>
      <c r="AB100" s="251"/>
      <c r="AC100" s="251"/>
      <c r="AD100" s="251"/>
      <c r="AE100" s="261"/>
      <c r="AF100" s="261"/>
      <c r="AG100" s="261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169"/>
      <c r="BU100" s="169"/>
      <c r="BV100" s="169"/>
      <c r="BW100" s="169"/>
      <c r="BX100" s="169"/>
      <c r="BY100" s="169"/>
      <c r="BZ100" s="169"/>
    </row>
    <row r="101" spans="12:78" customFormat="1" ht="11.25" customHeight="1">
      <c r="L101" s="20"/>
      <c r="M101" s="532"/>
      <c r="N101" s="533"/>
      <c r="O101" s="422"/>
      <c r="AB101" s="251"/>
      <c r="AC101" s="251"/>
      <c r="AD101" s="251"/>
      <c r="AE101" s="261"/>
      <c r="AF101" s="261"/>
      <c r="AG101" s="261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</row>
    <row r="102" spans="12:78" customFormat="1" ht="11.25" customHeight="1">
      <c r="L102" s="20"/>
      <c r="M102" s="532"/>
      <c r="N102" s="533"/>
      <c r="O102" s="422"/>
      <c r="AB102" s="251"/>
      <c r="AC102" s="251"/>
      <c r="AD102" s="251"/>
      <c r="AE102" s="261"/>
      <c r="AF102" s="261"/>
      <c r="AG102" s="261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69"/>
      <c r="BC102" s="169"/>
      <c r="BD102" s="169"/>
      <c r="BE102" s="169"/>
      <c r="BF102" s="169"/>
      <c r="BG102" s="169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169"/>
      <c r="BU102" s="169"/>
      <c r="BV102" s="169"/>
      <c r="BW102" s="169"/>
      <c r="BX102" s="169"/>
      <c r="BY102" s="169"/>
      <c r="BZ102" s="169"/>
    </row>
    <row r="103" spans="12:78" customFormat="1" ht="11.25" customHeight="1">
      <c r="L103" s="20"/>
      <c r="M103" s="532"/>
      <c r="N103" s="533"/>
      <c r="O103" s="422"/>
      <c r="AB103" s="251"/>
      <c r="AC103" s="251"/>
      <c r="AD103" s="251"/>
      <c r="AE103" s="261"/>
      <c r="AF103" s="261"/>
      <c r="AG103" s="261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69"/>
      <c r="BG103" s="169"/>
      <c r="BH103" s="169"/>
      <c r="BI103" s="169"/>
      <c r="BJ103" s="169"/>
      <c r="BK103" s="169"/>
      <c r="BL103" s="169"/>
      <c r="BM103" s="169"/>
      <c r="BN103" s="169"/>
      <c r="BO103" s="169"/>
      <c r="BP103" s="169"/>
      <c r="BQ103" s="169"/>
      <c r="BR103" s="169"/>
      <c r="BS103" s="169"/>
      <c r="BT103" s="169"/>
      <c r="BU103" s="169"/>
      <c r="BV103" s="169"/>
      <c r="BW103" s="169"/>
      <c r="BX103" s="169"/>
      <c r="BY103" s="169"/>
      <c r="BZ103" s="169"/>
    </row>
    <row r="104" spans="12:78" customFormat="1" ht="11.25" customHeight="1">
      <c r="L104" s="20"/>
      <c r="M104" s="532"/>
      <c r="N104" s="533"/>
      <c r="O104" s="422"/>
      <c r="AB104" s="251"/>
      <c r="AC104" s="251"/>
      <c r="AD104" s="251"/>
      <c r="AE104" s="261"/>
      <c r="AF104" s="261"/>
      <c r="AG104" s="261"/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169"/>
      <c r="BB104" s="169"/>
      <c r="BC104" s="169"/>
      <c r="BD104" s="169"/>
      <c r="BE104" s="169"/>
      <c r="BF104" s="169"/>
      <c r="BG104" s="169"/>
      <c r="BH104" s="169"/>
      <c r="BI104" s="169"/>
      <c r="BJ104" s="169"/>
      <c r="BK104" s="169"/>
      <c r="BL104" s="169"/>
      <c r="BM104" s="169"/>
      <c r="BN104" s="169"/>
      <c r="BO104" s="169"/>
      <c r="BP104" s="169"/>
      <c r="BQ104" s="169"/>
      <c r="BR104" s="169"/>
      <c r="BS104" s="169"/>
      <c r="BT104" s="169"/>
      <c r="BU104" s="169"/>
      <c r="BV104" s="169"/>
      <c r="BW104" s="169"/>
      <c r="BX104" s="169"/>
      <c r="BY104" s="169"/>
      <c r="BZ104" s="169"/>
    </row>
    <row r="105" spans="12:78" customFormat="1" ht="11.25" customHeight="1">
      <c r="L105" s="20"/>
      <c r="M105" s="532"/>
      <c r="N105" s="533"/>
      <c r="O105" s="422"/>
      <c r="AB105" s="251"/>
      <c r="AC105" s="251"/>
      <c r="AD105" s="251"/>
      <c r="AE105" s="261"/>
      <c r="AF105" s="261"/>
      <c r="AG105" s="261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69"/>
      <c r="BC105" s="169"/>
      <c r="BD105" s="169"/>
      <c r="BE105" s="169"/>
      <c r="BF105" s="169"/>
      <c r="BG105" s="169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69"/>
      <c r="BU105" s="169"/>
      <c r="BV105" s="169"/>
      <c r="BW105" s="169"/>
      <c r="BX105" s="169"/>
      <c r="BY105" s="169"/>
      <c r="BZ105" s="169"/>
    </row>
    <row r="106" spans="12:78" customFormat="1" ht="11.25" customHeight="1">
      <c r="L106" s="20"/>
      <c r="M106" s="509" t="s">
        <v>705</v>
      </c>
      <c r="N106" s="525" t="s">
        <v>916</v>
      </c>
      <c r="O106" s="420" t="s">
        <v>195</v>
      </c>
      <c r="AB106" s="251"/>
      <c r="AC106" s="251"/>
      <c r="AD106" s="251"/>
      <c r="AE106" s="247">
        <f>AF106+AG106</f>
        <v>0</v>
      </c>
      <c r="AF106" s="221"/>
      <c r="AG106" s="221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69"/>
      <c r="BS106" s="169"/>
      <c r="BT106" s="169"/>
      <c r="BU106" s="169"/>
      <c r="BV106" s="169"/>
      <c r="BW106" s="169"/>
      <c r="BX106" s="169"/>
      <c r="BY106" s="169"/>
      <c r="BZ106" s="169"/>
    </row>
    <row r="107" spans="12:78" customFormat="1" ht="11.25" customHeight="1">
      <c r="L107" s="20"/>
      <c r="M107" s="509" t="s">
        <v>917</v>
      </c>
      <c r="N107" s="525" t="s">
        <v>918</v>
      </c>
      <c r="O107" s="420" t="s">
        <v>195</v>
      </c>
      <c r="AB107" s="251"/>
      <c r="AC107" s="251"/>
      <c r="AD107" s="251"/>
      <c r="AE107" s="247">
        <f>AF107+AG107</f>
        <v>0</v>
      </c>
      <c r="AF107" s="244">
        <f>SUM(AF108,AF119)</f>
        <v>0</v>
      </c>
      <c r="AG107" s="244">
        <f>SUM(AG108,AG119)</f>
        <v>0</v>
      </c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</row>
    <row r="108" spans="12:78" customFormat="1" ht="11.25" customHeight="1">
      <c r="L108" s="20"/>
      <c r="M108" s="509" t="s">
        <v>521</v>
      </c>
      <c r="N108" s="526" t="s">
        <v>919</v>
      </c>
      <c r="O108" s="420" t="s">
        <v>195</v>
      </c>
      <c r="AB108" s="251"/>
      <c r="AC108" s="251"/>
      <c r="AD108" s="251"/>
      <c r="AE108" s="247">
        <f>AF108+AG108</f>
        <v>0</v>
      </c>
      <c r="AF108" s="221"/>
      <c r="AG108" s="221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69"/>
      <c r="BC108" s="169"/>
      <c r="BD108" s="169"/>
      <c r="BE108" s="169"/>
      <c r="BF108" s="169"/>
      <c r="BG108" s="169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69"/>
      <c r="BU108" s="169"/>
      <c r="BV108" s="169"/>
      <c r="BW108" s="169"/>
      <c r="BX108" s="169"/>
      <c r="BY108" s="169"/>
      <c r="BZ108" s="169"/>
    </row>
    <row r="109" spans="12:78" customFormat="1" ht="11.25" customHeight="1">
      <c r="L109" s="20"/>
      <c r="M109" s="510" t="s">
        <v>920</v>
      </c>
      <c r="N109" s="534" t="s">
        <v>921</v>
      </c>
      <c r="O109" s="420" t="s">
        <v>289</v>
      </c>
      <c r="AB109" s="251"/>
      <c r="AC109" s="251"/>
      <c r="AD109" s="251"/>
      <c r="AE109" s="221"/>
      <c r="AF109" s="221"/>
      <c r="AG109" s="221"/>
      <c r="AH109" s="169"/>
      <c r="AI109" s="169"/>
      <c r="AJ109" s="169"/>
      <c r="AK109" s="169"/>
      <c r="AL109" s="169"/>
      <c r="AM109" s="169"/>
      <c r="AN109" s="169"/>
      <c r="AO109" s="169"/>
      <c r="AP109" s="169"/>
      <c r="AQ109" s="169"/>
      <c r="AR109" s="169"/>
      <c r="AS109" s="169"/>
      <c r="AT109" s="169"/>
      <c r="AU109" s="169"/>
      <c r="AV109" s="169"/>
      <c r="AW109" s="169"/>
      <c r="AX109" s="169"/>
      <c r="AY109" s="169"/>
      <c r="AZ109" s="169"/>
      <c r="BA109" s="169"/>
      <c r="BB109" s="169"/>
      <c r="BC109" s="169"/>
      <c r="BD109" s="169"/>
      <c r="BE109" s="169"/>
      <c r="BF109" s="169"/>
      <c r="BG109" s="169"/>
      <c r="BH109" s="169"/>
      <c r="BI109" s="169"/>
      <c r="BJ109" s="169"/>
      <c r="BK109" s="169"/>
      <c r="BL109" s="169"/>
      <c r="BM109" s="169"/>
      <c r="BN109" s="169"/>
      <c r="BO109" s="169"/>
      <c r="BP109" s="169"/>
      <c r="BQ109" s="169"/>
      <c r="BR109" s="169"/>
      <c r="BS109" s="169"/>
      <c r="BT109" s="169"/>
      <c r="BU109" s="169"/>
      <c r="BV109" s="169"/>
      <c r="BW109" s="169"/>
      <c r="BX109" s="169"/>
      <c r="BY109" s="169"/>
      <c r="BZ109" s="169"/>
    </row>
    <row r="110" spans="12:78" customFormat="1" ht="11.25" customHeight="1">
      <c r="L110" s="20"/>
      <c r="M110" s="510" t="s">
        <v>922</v>
      </c>
      <c r="N110" s="535" t="s">
        <v>1031</v>
      </c>
      <c r="O110" s="420" t="s">
        <v>29</v>
      </c>
      <c r="AB110" s="251"/>
      <c r="AC110" s="251"/>
      <c r="AD110" s="251"/>
      <c r="AE110" s="244">
        <f>IF(AE109=0,0,AE108/AE109*1000/AE$6)</f>
        <v>0</v>
      </c>
      <c r="AF110" s="244">
        <f>IF(AF109=0,0,AF108/AF109*1000/AF$6)</f>
        <v>0</v>
      </c>
      <c r="AG110" s="244">
        <f>IF(AG109=0,0,AG108/AG109*1000/AG$6)</f>
        <v>0</v>
      </c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</row>
    <row r="111" spans="12:78" customFormat="1" ht="11.25" customHeight="1">
      <c r="L111" s="20"/>
      <c r="M111" s="510" t="s">
        <v>923</v>
      </c>
      <c r="N111" s="536" t="s">
        <v>1033</v>
      </c>
      <c r="O111" s="420" t="s">
        <v>289</v>
      </c>
      <c r="AB111" s="251"/>
      <c r="AC111" s="251"/>
      <c r="AD111" s="251"/>
      <c r="AE111" s="221"/>
      <c r="AF111" s="221"/>
      <c r="AG111" s="221"/>
      <c r="AH111" s="169"/>
      <c r="AI111" s="169"/>
      <c r="AJ111" s="169"/>
      <c r="AK111" s="169"/>
      <c r="AL111" s="169"/>
      <c r="AM111" s="169"/>
      <c r="AN111" s="169"/>
      <c r="AO111" s="169"/>
      <c r="AP111" s="169"/>
      <c r="AQ111" s="169"/>
      <c r="AR111" s="169"/>
      <c r="AS111" s="169"/>
      <c r="AT111" s="169"/>
      <c r="AU111" s="169"/>
      <c r="AV111" s="169"/>
      <c r="AW111" s="169"/>
      <c r="AX111" s="169"/>
      <c r="AY111" s="169"/>
      <c r="AZ111" s="169"/>
      <c r="BA111" s="169"/>
      <c r="BB111" s="169"/>
      <c r="BC111" s="169"/>
      <c r="BD111" s="169"/>
      <c r="BE111" s="169"/>
      <c r="BF111" s="169"/>
      <c r="BG111" s="169"/>
      <c r="BH111" s="169"/>
      <c r="BI111" s="169"/>
      <c r="BJ111" s="169"/>
      <c r="BK111" s="169"/>
      <c r="BL111" s="169"/>
      <c r="BM111" s="169"/>
      <c r="BN111" s="169"/>
      <c r="BO111" s="169"/>
      <c r="BP111" s="169"/>
      <c r="BQ111" s="169"/>
      <c r="BR111" s="169"/>
      <c r="BS111" s="169"/>
      <c r="BT111" s="169"/>
      <c r="BU111" s="169"/>
      <c r="BV111" s="169"/>
      <c r="BW111" s="169"/>
      <c r="BX111" s="169"/>
      <c r="BY111" s="169"/>
      <c r="BZ111" s="169"/>
    </row>
    <row r="112" spans="12:78" customFormat="1" ht="11.25" customHeight="1">
      <c r="L112" s="20"/>
      <c r="M112" s="510" t="s">
        <v>924</v>
      </c>
      <c r="N112" s="537" t="s">
        <v>1032</v>
      </c>
      <c r="O112" s="420" t="s">
        <v>289</v>
      </c>
      <c r="AB112" s="251"/>
      <c r="AC112" s="251"/>
      <c r="AD112" s="251"/>
      <c r="AE112" s="221"/>
      <c r="AF112" s="221"/>
      <c r="AG112" s="221"/>
      <c r="AH112" s="169"/>
      <c r="AI112" s="169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  <c r="AU112" s="169"/>
      <c r="AV112" s="169"/>
      <c r="AW112" s="169"/>
      <c r="AX112" s="169"/>
      <c r="AY112" s="169"/>
      <c r="AZ112" s="169"/>
      <c r="BA112" s="169"/>
      <c r="BB112" s="169"/>
      <c r="BC112" s="169"/>
      <c r="BD112" s="169"/>
      <c r="BE112" s="169"/>
      <c r="BF112" s="169"/>
      <c r="BG112" s="169"/>
      <c r="BH112" s="169"/>
      <c r="BI112" s="169"/>
      <c r="BJ112" s="169"/>
      <c r="BK112" s="169"/>
      <c r="BL112" s="169"/>
      <c r="BM112" s="169"/>
      <c r="BN112" s="169"/>
      <c r="BO112" s="169"/>
      <c r="BP112" s="169"/>
      <c r="BQ112" s="169"/>
      <c r="BR112" s="169"/>
      <c r="BS112" s="169"/>
      <c r="BT112" s="169"/>
      <c r="BU112" s="169"/>
      <c r="BV112" s="169"/>
      <c r="BW112" s="169"/>
      <c r="BX112" s="169"/>
      <c r="BY112" s="169"/>
      <c r="BZ112" s="169"/>
    </row>
    <row r="113" spans="12:78" customFormat="1" ht="11.25" customHeight="1">
      <c r="L113" s="20"/>
      <c r="M113" s="510" t="s">
        <v>925</v>
      </c>
      <c r="N113" s="527" t="s">
        <v>33</v>
      </c>
      <c r="O113" s="420" t="s">
        <v>29</v>
      </c>
      <c r="AB113" s="251"/>
      <c r="AC113" s="251"/>
      <c r="AD113" s="251"/>
      <c r="AE113" s="142"/>
      <c r="AF113" s="221"/>
      <c r="AG113" s="221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169"/>
    </row>
    <row r="114" spans="12:78" customFormat="1" ht="11.25" customHeight="1">
      <c r="L114" s="20"/>
      <c r="M114" s="510" t="s">
        <v>926</v>
      </c>
      <c r="N114" s="538" t="s">
        <v>927</v>
      </c>
      <c r="O114" s="420"/>
      <c r="AB114" s="251"/>
      <c r="AC114" s="251"/>
      <c r="AD114" s="251"/>
      <c r="AE114" s="142"/>
      <c r="AF114" s="221"/>
      <c r="AG114" s="221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69"/>
      <c r="BU114" s="169"/>
      <c r="BV114" s="169"/>
      <c r="BW114" s="169"/>
      <c r="BX114" s="169"/>
      <c r="BY114" s="169"/>
      <c r="BZ114" s="169"/>
    </row>
    <row r="115" spans="12:78" customFormat="1" ht="11.25" customHeight="1">
      <c r="L115" s="20"/>
      <c r="M115" s="510" t="s">
        <v>928</v>
      </c>
      <c r="N115" s="527" t="s">
        <v>929</v>
      </c>
      <c r="O115" s="420" t="s">
        <v>29</v>
      </c>
      <c r="AB115" s="251"/>
      <c r="AC115" s="251"/>
      <c r="AD115" s="251"/>
      <c r="AE115" s="142"/>
      <c r="AF115" s="221"/>
      <c r="AG115" s="221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  <c r="AU115" s="169"/>
      <c r="AV115" s="169"/>
      <c r="AW115" s="169"/>
      <c r="AX115" s="169"/>
      <c r="AY115" s="169"/>
      <c r="AZ115" s="169"/>
      <c r="BA115" s="169"/>
      <c r="BB115" s="169"/>
      <c r="BC115" s="169"/>
      <c r="BD115" s="169"/>
      <c r="BE115" s="169"/>
      <c r="BF115" s="169"/>
      <c r="BG115" s="169"/>
      <c r="BH115" s="169"/>
      <c r="BI115" s="169"/>
      <c r="BJ115" s="169"/>
      <c r="BK115" s="169"/>
      <c r="BL115" s="169"/>
      <c r="BM115" s="169"/>
      <c r="BN115" s="169"/>
      <c r="BO115" s="169"/>
      <c r="BP115" s="169"/>
      <c r="BQ115" s="169"/>
      <c r="BR115" s="169"/>
      <c r="BS115" s="169"/>
      <c r="BT115" s="169"/>
      <c r="BU115" s="169"/>
      <c r="BV115" s="169"/>
      <c r="BW115" s="169"/>
      <c r="BX115" s="169"/>
      <c r="BY115" s="169"/>
      <c r="BZ115" s="169"/>
    </row>
    <row r="116" spans="12:78" customFormat="1" ht="11.25" customHeight="1">
      <c r="L116" s="20"/>
      <c r="M116" s="510" t="s">
        <v>930</v>
      </c>
      <c r="N116" s="539" t="s">
        <v>931</v>
      </c>
      <c r="O116" s="420"/>
      <c r="AB116" s="251"/>
      <c r="AC116" s="251"/>
      <c r="AD116" s="251"/>
      <c r="AE116" s="142"/>
      <c r="AF116" s="221"/>
      <c r="AG116" s="221"/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69"/>
      <c r="BC116" s="169"/>
      <c r="BD116" s="169"/>
      <c r="BE116" s="169"/>
      <c r="BF116" s="169"/>
      <c r="BG116" s="169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69"/>
      <c r="BU116" s="169"/>
      <c r="BV116" s="169"/>
      <c r="BW116" s="169"/>
      <c r="BX116" s="169"/>
      <c r="BY116" s="169"/>
      <c r="BZ116" s="169"/>
    </row>
    <row r="117" spans="12:78" customFormat="1" ht="11.25" customHeight="1">
      <c r="L117" s="20"/>
      <c r="M117" s="510" t="s">
        <v>932</v>
      </c>
      <c r="N117" s="540" t="s">
        <v>933</v>
      </c>
      <c r="O117" s="420" t="s">
        <v>29</v>
      </c>
      <c r="AB117" s="251"/>
      <c r="AC117" s="251"/>
      <c r="AD117" s="251"/>
      <c r="AE117" s="142"/>
      <c r="AF117" s="221"/>
      <c r="AG117" s="221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69"/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</row>
    <row r="118" spans="12:78" customFormat="1" ht="11.25" customHeight="1">
      <c r="L118" s="20"/>
      <c r="M118" s="510" t="s">
        <v>934</v>
      </c>
      <c r="N118" s="541" t="s">
        <v>935</v>
      </c>
      <c r="O118" s="420" t="s">
        <v>29</v>
      </c>
      <c r="AB118" s="251"/>
      <c r="AC118" s="251"/>
      <c r="AD118" s="251"/>
      <c r="AE118" s="142"/>
      <c r="AF118" s="221"/>
      <c r="AG118" s="221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69"/>
      <c r="BD118" s="169"/>
      <c r="BE118" s="169"/>
      <c r="BF118" s="169"/>
      <c r="BG118" s="169"/>
      <c r="BH118" s="169"/>
      <c r="BI118" s="169"/>
      <c r="BJ118" s="169"/>
      <c r="BK118" s="169"/>
      <c r="BL118" s="169"/>
      <c r="BM118" s="169"/>
      <c r="BN118" s="169"/>
      <c r="BO118" s="169"/>
      <c r="BP118" s="169"/>
      <c r="BQ118" s="169"/>
      <c r="BR118" s="169"/>
      <c r="BS118" s="169"/>
      <c r="BT118" s="169"/>
      <c r="BU118" s="169"/>
      <c r="BV118" s="169"/>
      <c r="BW118" s="169"/>
      <c r="BX118" s="169"/>
      <c r="BY118" s="169"/>
      <c r="BZ118" s="169"/>
    </row>
    <row r="119" spans="12:78" customFormat="1" ht="11.25" customHeight="1">
      <c r="L119" s="20"/>
      <c r="M119" s="509" t="s">
        <v>522</v>
      </c>
      <c r="N119" s="542" t="s">
        <v>936</v>
      </c>
      <c r="O119" s="420" t="s">
        <v>195</v>
      </c>
      <c r="AB119" s="251"/>
      <c r="AC119" s="251"/>
      <c r="AD119" s="251"/>
      <c r="AE119" s="247">
        <f t="shared" ref="AE119:AE125" si="5">AF119+AG119</f>
        <v>0</v>
      </c>
      <c r="AF119" s="221"/>
      <c r="AG119" s="221"/>
      <c r="AH119" s="169"/>
      <c r="AI119" s="169"/>
      <c r="AJ119" s="169"/>
      <c r="AK119" s="169"/>
      <c r="AL119" s="169"/>
      <c r="AM119" s="169"/>
      <c r="AN119" s="169"/>
      <c r="AO119" s="169"/>
      <c r="AP119" s="169"/>
      <c r="AQ119" s="169"/>
      <c r="AR119" s="169"/>
      <c r="AS119" s="169"/>
      <c r="AT119" s="169"/>
      <c r="AU119" s="169"/>
      <c r="AV119" s="169"/>
      <c r="AW119" s="169"/>
      <c r="AX119" s="169"/>
      <c r="AY119" s="169"/>
      <c r="AZ119" s="169"/>
      <c r="BA119" s="169"/>
      <c r="BB119" s="169"/>
      <c r="BC119" s="169"/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</row>
    <row r="120" spans="12:78" customFormat="1" ht="11.25" customHeight="1">
      <c r="L120" s="20"/>
      <c r="M120" s="509" t="s">
        <v>937</v>
      </c>
      <c r="N120" s="543" t="s">
        <v>1901</v>
      </c>
      <c r="O120" s="420" t="s">
        <v>195</v>
      </c>
      <c r="AB120" s="251"/>
      <c r="AC120" s="251"/>
      <c r="AD120" s="251"/>
      <c r="AE120" s="247">
        <f t="shared" si="5"/>
        <v>0</v>
      </c>
      <c r="AF120" s="221"/>
      <c r="AG120" s="221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169"/>
      <c r="BO120" s="169"/>
      <c r="BP120" s="169"/>
      <c r="BQ120" s="169"/>
      <c r="BR120" s="169"/>
      <c r="BS120" s="169"/>
      <c r="BT120" s="169"/>
      <c r="BU120" s="169"/>
      <c r="BV120" s="169"/>
      <c r="BW120" s="169"/>
      <c r="BX120" s="169"/>
      <c r="BY120" s="169"/>
      <c r="BZ120" s="169"/>
    </row>
    <row r="121" spans="12:78" customFormat="1" ht="11.25" customHeight="1">
      <c r="L121" s="20"/>
      <c r="M121" s="509" t="s">
        <v>938</v>
      </c>
      <c r="N121" s="523" t="s">
        <v>939</v>
      </c>
      <c r="O121" s="420" t="s">
        <v>195</v>
      </c>
      <c r="AB121" s="251"/>
      <c r="AC121" s="251"/>
      <c r="AD121" s="251"/>
      <c r="AE121" s="247">
        <f t="shared" si="5"/>
        <v>0</v>
      </c>
      <c r="AF121" s="221"/>
      <c r="AG121" s="221"/>
      <c r="AH121" s="169"/>
      <c r="AI121" s="169"/>
      <c r="AJ121" s="169"/>
      <c r="AK121" s="169"/>
      <c r="AL121" s="169"/>
      <c r="AM121" s="169"/>
      <c r="AN121" s="169"/>
      <c r="AO121" s="169"/>
      <c r="AP121" s="169"/>
      <c r="AQ121" s="169"/>
      <c r="AR121" s="169"/>
      <c r="AS121" s="169"/>
      <c r="AT121" s="169"/>
      <c r="AU121" s="169"/>
      <c r="AV121" s="169"/>
      <c r="AW121" s="169"/>
      <c r="AX121" s="169"/>
      <c r="AY121" s="169"/>
      <c r="AZ121" s="169"/>
      <c r="BA121" s="169"/>
      <c r="BB121" s="169"/>
      <c r="BC121" s="169"/>
      <c r="BD121" s="169"/>
      <c r="BE121" s="169"/>
      <c r="BF121" s="169"/>
      <c r="BG121" s="169"/>
      <c r="BH121" s="169"/>
      <c r="BI121" s="169"/>
      <c r="BJ121" s="169"/>
      <c r="BK121" s="169"/>
      <c r="BL121" s="169"/>
      <c r="BM121" s="169"/>
      <c r="BN121" s="169"/>
      <c r="BO121" s="169"/>
      <c r="BP121" s="169"/>
      <c r="BQ121" s="169"/>
      <c r="BR121" s="169"/>
      <c r="BS121" s="169"/>
      <c r="BT121" s="169"/>
      <c r="BU121" s="169"/>
      <c r="BV121" s="169"/>
      <c r="BW121" s="169"/>
      <c r="BX121" s="169"/>
      <c r="BY121" s="169"/>
      <c r="BZ121" s="169"/>
    </row>
    <row r="122" spans="12:78" customFormat="1" ht="11.25" customHeight="1">
      <c r="L122" s="20"/>
      <c r="M122" s="509" t="s">
        <v>940</v>
      </c>
      <c r="N122" s="523" t="s">
        <v>941</v>
      </c>
      <c r="O122" s="420" t="s">
        <v>195</v>
      </c>
      <c r="AB122" s="251"/>
      <c r="AC122" s="251"/>
      <c r="AD122" s="251"/>
      <c r="AE122" s="247">
        <f t="shared" si="5"/>
        <v>0</v>
      </c>
      <c r="AF122" s="244">
        <f>SUM(AF123:AF126)</f>
        <v>0</v>
      </c>
      <c r="AG122" s="244">
        <f>SUM(AG123:AG126)</f>
        <v>0</v>
      </c>
      <c r="AH122" s="169"/>
      <c r="AI122" s="169"/>
      <c r="AJ122" s="169"/>
      <c r="AK122" s="169"/>
      <c r="AL122" s="169"/>
      <c r="AM122" s="169"/>
      <c r="AN122" s="169"/>
      <c r="AO122" s="169"/>
      <c r="AP122" s="169"/>
      <c r="AQ122" s="169"/>
      <c r="AR122" s="169"/>
      <c r="AS122" s="169"/>
      <c r="AT122" s="169"/>
      <c r="AU122" s="169"/>
      <c r="AV122" s="169"/>
      <c r="AW122" s="169"/>
      <c r="AX122" s="169"/>
      <c r="AY122" s="169"/>
      <c r="AZ122" s="169"/>
      <c r="BA122" s="169"/>
      <c r="BB122" s="169"/>
      <c r="BC122" s="169"/>
      <c r="BD122" s="169"/>
      <c r="BE122" s="169"/>
      <c r="BF122" s="169"/>
      <c r="BG122" s="169"/>
      <c r="BH122" s="169"/>
      <c r="BI122" s="169"/>
      <c r="BJ122" s="169"/>
      <c r="BK122" s="169"/>
      <c r="BL122" s="169"/>
      <c r="BM122" s="169"/>
      <c r="BN122" s="169"/>
      <c r="BO122" s="169"/>
      <c r="BP122" s="169"/>
      <c r="BQ122" s="169"/>
      <c r="BR122" s="169"/>
      <c r="BS122" s="169"/>
      <c r="BT122" s="169"/>
      <c r="BU122" s="169"/>
      <c r="BV122" s="169"/>
      <c r="BW122" s="169"/>
      <c r="BX122" s="169"/>
      <c r="BY122" s="169"/>
      <c r="BZ122" s="169"/>
    </row>
    <row r="123" spans="12:78" customFormat="1" ht="11.25" customHeight="1">
      <c r="L123" s="20"/>
      <c r="M123" s="509" t="s">
        <v>942</v>
      </c>
      <c r="N123" s="544" t="s">
        <v>943</v>
      </c>
      <c r="O123" s="420" t="s">
        <v>195</v>
      </c>
      <c r="AB123" s="251"/>
      <c r="AC123" s="251"/>
      <c r="AD123" s="251"/>
      <c r="AE123" s="247">
        <f t="shared" si="5"/>
        <v>0</v>
      </c>
      <c r="AF123" s="221"/>
      <c r="AG123" s="221"/>
      <c r="AH123" s="169"/>
      <c r="AI123" s="169"/>
      <c r="AJ123" s="169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69"/>
      <c r="AV123" s="169"/>
      <c r="AW123" s="169"/>
      <c r="AX123" s="169"/>
      <c r="AY123" s="169"/>
      <c r="AZ123" s="169"/>
      <c r="BA123" s="169"/>
      <c r="BB123" s="169"/>
      <c r="BC123" s="169"/>
      <c r="BD123" s="169"/>
      <c r="BE123" s="169"/>
      <c r="BF123" s="169"/>
      <c r="BG123" s="169"/>
      <c r="BH123" s="169"/>
      <c r="BI123" s="169"/>
      <c r="BJ123" s="169"/>
      <c r="BK123" s="169"/>
      <c r="BL123" s="169"/>
      <c r="BM123" s="169"/>
      <c r="BN123" s="169"/>
      <c r="BO123" s="169"/>
      <c r="BP123" s="169"/>
      <c r="BQ123" s="169"/>
      <c r="BR123" s="169"/>
      <c r="BS123" s="169"/>
      <c r="BT123" s="169"/>
      <c r="BU123" s="169"/>
      <c r="BV123" s="169"/>
      <c r="BW123" s="169"/>
      <c r="BX123" s="169"/>
      <c r="BY123" s="169"/>
      <c r="BZ123" s="169"/>
    </row>
    <row r="124" spans="12:78" customFormat="1" ht="11.25" customHeight="1">
      <c r="L124" s="20"/>
      <c r="M124" s="510" t="str">
        <f>IF(TEMPLATE_SPHERE_CODE="COLDVSNA","1.7.2",IF(TEMPLATE_SPHERE_CODE="VOTV","1.7.2",""))</f>
        <v/>
      </c>
      <c r="N124" s="545" t="str">
        <f>IF(TEMPLATE_SPHERE_CODE="COLDVSNA","Контроль качества воды",IF(TEMPLATE_SPHERE_CODE="VOTV","Контроль сточных вод",""))</f>
        <v/>
      </c>
      <c r="O124" s="420" t="s">
        <v>195</v>
      </c>
      <c r="AB124" s="251"/>
      <c r="AC124" s="251"/>
      <c r="AD124" s="251"/>
      <c r="AE124" s="247">
        <f t="shared" si="5"/>
        <v>0</v>
      </c>
      <c r="AF124" s="221"/>
      <c r="AG124" s="221"/>
      <c r="AH124" s="169"/>
      <c r="AI124" s="169"/>
      <c r="AJ124" s="169"/>
      <c r="AK124" s="169"/>
      <c r="AL124" s="169"/>
      <c r="AM124" s="169"/>
      <c r="AN124" s="169"/>
      <c r="AO124" s="169"/>
      <c r="AP124" s="169"/>
      <c r="AQ124" s="169"/>
      <c r="AR124" s="169"/>
      <c r="AS124" s="169"/>
      <c r="AT124" s="169"/>
      <c r="AU124" s="169"/>
      <c r="AV124" s="169"/>
      <c r="AW124" s="169"/>
      <c r="AX124" s="169"/>
      <c r="AY124" s="169"/>
      <c r="AZ124" s="169"/>
      <c r="BA124" s="169"/>
      <c r="BB124" s="169"/>
      <c r="BC124" s="169"/>
      <c r="BD124" s="169"/>
      <c r="BE124" s="169"/>
      <c r="BF124" s="169"/>
      <c r="BG124" s="169"/>
      <c r="BH124" s="169"/>
      <c r="BI124" s="169"/>
      <c r="BJ124" s="169"/>
      <c r="BK124" s="169"/>
      <c r="BL124" s="169"/>
      <c r="BM124" s="169"/>
      <c r="BN124" s="169"/>
      <c r="BO124" s="169"/>
      <c r="BP124" s="169"/>
      <c r="BQ124" s="169"/>
      <c r="BR124" s="169"/>
      <c r="BS124" s="169"/>
      <c r="BT124" s="169"/>
      <c r="BU124" s="169"/>
      <c r="BV124" s="169"/>
      <c r="BW124" s="169"/>
      <c r="BX124" s="169"/>
      <c r="BY124" s="169"/>
      <c r="BZ124" s="169"/>
    </row>
    <row r="125" spans="12:78" customFormat="1" ht="11.25" customHeight="1">
      <c r="L125" s="20"/>
      <c r="M125" s="509" t="s">
        <v>944</v>
      </c>
      <c r="N125" s="544" t="s">
        <v>945</v>
      </c>
      <c r="O125" s="420" t="s">
        <v>195</v>
      </c>
      <c r="AB125" s="251"/>
      <c r="AC125" s="251"/>
      <c r="AD125" s="251"/>
      <c r="AE125" s="247">
        <f t="shared" si="5"/>
        <v>0</v>
      </c>
      <c r="AF125" s="221"/>
      <c r="AG125" s="221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69"/>
      <c r="BA125" s="169"/>
      <c r="BB125" s="169"/>
      <c r="BC125" s="169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169"/>
      <c r="BP125" s="169"/>
      <c r="BQ125" s="169"/>
      <c r="BR125" s="169"/>
      <c r="BS125" s="169"/>
      <c r="BT125" s="169"/>
      <c r="BU125" s="169"/>
      <c r="BV125" s="169"/>
      <c r="BW125" s="169"/>
      <c r="BX125" s="169"/>
      <c r="BY125" s="169"/>
      <c r="BZ125" s="169"/>
    </row>
    <row r="126" spans="12:78" customFormat="1" ht="11.25" customHeight="1">
      <c r="L126" s="20"/>
      <c r="M126" s="510" t="str">
        <f>IF(TEMPLATE_SPHERE_CODE="COLDVSNA","",IF(TEMPLATE_SPHERE_CODE="VOTV","1.7.4",""))</f>
        <v/>
      </c>
      <c r="N126" s="545" t="str">
        <f>IF(TEMPLATE_SPHERE_CODE="COLDVSNA","",IF(TEMPLATE_SPHERE_CODE="VOTV","Услуги по обращению с осадком сточных вод",""))</f>
        <v/>
      </c>
      <c r="O126" s="162" t="str">
        <f>IF(TEMPLATE_SPHERE_CODE="COLDVSNA","",IF(TEMPLATE_SPHERE_CODE="VOTV","тыс.руб.",""))</f>
        <v/>
      </c>
      <c r="AB126" s="251"/>
      <c r="AC126" s="251"/>
      <c r="AD126" s="251"/>
      <c r="AE126" s="261"/>
      <c r="AF126" s="261"/>
      <c r="AG126" s="261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  <c r="AV126" s="169"/>
      <c r="AW126" s="169"/>
      <c r="AX126" s="169"/>
      <c r="AY126" s="169"/>
      <c r="AZ126" s="169"/>
      <c r="BA126" s="169"/>
      <c r="BB126" s="169"/>
      <c r="BC126" s="169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169"/>
      <c r="BQ126" s="169"/>
      <c r="BR126" s="169"/>
      <c r="BS126" s="169"/>
      <c r="BT126" s="169"/>
      <c r="BU126" s="169"/>
      <c r="BV126" s="169"/>
      <c r="BW126" s="169"/>
      <c r="BX126" s="169"/>
      <c r="BY126" s="169"/>
      <c r="BZ126" s="169"/>
    </row>
    <row r="127" spans="12:78" customFormat="1" ht="11.25" customHeight="1">
      <c r="L127" s="20"/>
      <c r="M127" s="509" t="s">
        <v>946</v>
      </c>
      <c r="N127" s="546" t="s">
        <v>947</v>
      </c>
      <c r="O127" s="420" t="s">
        <v>195</v>
      </c>
      <c r="AB127" s="251"/>
      <c r="AC127" s="251"/>
      <c r="AD127" s="251"/>
      <c r="AE127" s="247">
        <f t="shared" ref="AE127:AE138" si="6">AF127+AG127</f>
        <v>0</v>
      </c>
      <c r="AF127" s="244">
        <f>SUM(AF128:AF131)</f>
        <v>0</v>
      </c>
      <c r="AG127" s="244">
        <f>SUM(AG128:AG131)</f>
        <v>0</v>
      </c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69"/>
      <c r="BA127" s="169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169"/>
      <c r="BR127" s="169"/>
      <c r="BS127" s="169"/>
      <c r="BT127" s="169"/>
      <c r="BU127" s="169"/>
      <c r="BV127" s="169"/>
      <c r="BW127" s="169"/>
      <c r="BX127" s="169"/>
      <c r="BY127" s="169"/>
      <c r="BZ127" s="169"/>
    </row>
    <row r="128" spans="12:78" customFormat="1" ht="11.25" customHeight="1">
      <c r="L128" s="20"/>
      <c r="M128" s="509" t="s">
        <v>948</v>
      </c>
      <c r="N128" s="526" t="s">
        <v>949</v>
      </c>
      <c r="O128" s="420" t="s">
        <v>195</v>
      </c>
      <c r="AB128" s="251"/>
      <c r="AC128" s="251"/>
      <c r="AD128" s="251"/>
      <c r="AE128" s="247">
        <f t="shared" si="6"/>
        <v>0</v>
      </c>
      <c r="AF128" s="221"/>
      <c r="AG128" s="221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  <c r="AV128" s="169"/>
      <c r="AW128" s="169"/>
      <c r="AX128" s="169"/>
      <c r="AY128" s="169"/>
      <c r="AZ128" s="169"/>
      <c r="BA128" s="169"/>
      <c r="BB128" s="169"/>
      <c r="BC128" s="169"/>
      <c r="BD128" s="169"/>
      <c r="BE128" s="169"/>
      <c r="BF128" s="169"/>
      <c r="BG128" s="169"/>
      <c r="BH128" s="169"/>
      <c r="BI128" s="169"/>
      <c r="BJ128" s="169"/>
      <c r="BK128" s="169"/>
      <c r="BL128" s="169"/>
      <c r="BM128" s="169"/>
      <c r="BN128" s="169"/>
      <c r="BO128" s="169"/>
      <c r="BP128" s="169"/>
      <c r="BQ128" s="169"/>
      <c r="BR128" s="169"/>
      <c r="BS128" s="169"/>
      <c r="BT128" s="169"/>
      <c r="BU128" s="169"/>
      <c r="BV128" s="169"/>
      <c r="BW128" s="169"/>
      <c r="BX128" s="169"/>
      <c r="BY128" s="169"/>
      <c r="BZ128" s="169"/>
    </row>
    <row r="129" spans="12:78" customFormat="1" ht="11.25" customHeight="1">
      <c r="L129" s="20"/>
      <c r="M129" s="509" t="s">
        <v>950</v>
      </c>
      <c r="N129" s="542" t="s">
        <v>951</v>
      </c>
      <c r="O129" s="420" t="s">
        <v>195</v>
      </c>
      <c r="AB129" s="251"/>
      <c r="AC129" s="251"/>
      <c r="AD129" s="251"/>
      <c r="AE129" s="247">
        <f t="shared" si="6"/>
        <v>0</v>
      </c>
      <c r="AF129" s="221"/>
      <c r="AG129" s="221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169"/>
      <c r="BQ129" s="169"/>
      <c r="BR129" s="169"/>
      <c r="BS129" s="169"/>
      <c r="BT129" s="169"/>
      <c r="BU129" s="169"/>
      <c r="BV129" s="169"/>
      <c r="BW129" s="169"/>
      <c r="BX129" s="169"/>
      <c r="BY129" s="169"/>
      <c r="BZ129" s="169"/>
    </row>
    <row r="130" spans="12:78" customFormat="1" ht="11.25" customHeight="1">
      <c r="L130" s="20"/>
      <c r="M130" s="509" t="s">
        <v>952</v>
      </c>
      <c r="N130" s="544" t="s">
        <v>953</v>
      </c>
      <c r="O130" s="420" t="s">
        <v>195</v>
      </c>
      <c r="AB130" s="251"/>
      <c r="AC130" s="251"/>
      <c r="AD130" s="251"/>
      <c r="AE130" s="247">
        <f t="shared" si="6"/>
        <v>0</v>
      </c>
      <c r="AF130" s="221"/>
      <c r="AG130" s="221"/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169"/>
      <c r="AX130" s="169"/>
      <c r="AY130" s="169"/>
      <c r="AZ130" s="169"/>
      <c r="BA130" s="169"/>
      <c r="BB130" s="169"/>
      <c r="BC130" s="169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169"/>
      <c r="BQ130" s="169"/>
      <c r="BR130" s="169"/>
      <c r="BS130" s="169"/>
      <c r="BT130" s="169"/>
      <c r="BU130" s="169"/>
      <c r="BV130" s="169"/>
      <c r="BW130" s="169"/>
      <c r="BX130" s="169"/>
      <c r="BY130" s="169"/>
      <c r="BZ130" s="169"/>
    </row>
    <row r="131" spans="12:78" customFormat="1" ht="11.25" customHeight="1">
      <c r="L131" s="20"/>
      <c r="M131" s="509" t="s">
        <v>954</v>
      </c>
      <c r="N131" s="544" t="s">
        <v>169</v>
      </c>
      <c r="O131" s="420" t="s">
        <v>195</v>
      </c>
      <c r="AB131" s="251"/>
      <c r="AC131" s="251"/>
      <c r="AD131" s="251"/>
      <c r="AE131" s="247">
        <f t="shared" si="6"/>
        <v>0</v>
      </c>
      <c r="AF131" s="221"/>
      <c r="AG131" s="221"/>
      <c r="AH131" s="169"/>
      <c r="AI131" s="169"/>
      <c r="AJ131" s="169"/>
      <c r="AK131" s="169"/>
      <c r="AL131" s="169"/>
      <c r="AM131" s="169"/>
      <c r="AN131" s="169"/>
      <c r="AO131" s="169"/>
      <c r="AP131" s="169"/>
      <c r="AQ131" s="169"/>
      <c r="AR131" s="169"/>
      <c r="AS131" s="169"/>
      <c r="AT131" s="169"/>
      <c r="AU131" s="169"/>
      <c r="AV131" s="169"/>
      <c r="AW131" s="169"/>
      <c r="AX131" s="169"/>
      <c r="AY131" s="169"/>
      <c r="AZ131" s="169"/>
      <c r="BA131" s="169"/>
      <c r="BB131" s="169"/>
      <c r="BC131" s="169"/>
      <c r="BD131" s="169"/>
      <c r="BE131" s="169"/>
      <c r="BF131" s="169"/>
      <c r="BG131" s="169"/>
      <c r="BH131" s="169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69"/>
      <c r="BT131" s="169"/>
      <c r="BU131" s="169"/>
      <c r="BV131" s="169"/>
      <c r="BW131" s="169"/>
      <c r="BX131" s="169"/>
      <c r="BY131" s="169"/>
      <c r="BZ131" s="169"/>
    </row>
    <row r="132" spans="12:78" customFormat="1" ht="11.25" customHeight="1">
      <c r="L132" s="20"/>
      <c r="M132" s="490" t="s">
        <v>164</v>
      </c>
      <c r="N132" s="490" t="s">
        <v>955</v>
      </c>
      <c r="O132" s="420" t="s">
        <v>195</v>
      </c>
      <c r="AB132" s="251"/>
      <c r="AC132" s="251"/>
      <c r="AD132" s="251"/>
      <c r="AE132" s="247">
        <f t="shared" si="6"/>
        <v>0</v>
      </c>
      <c r="AF132" s="244">
        <f>SUM(AF133,AF135,AF137)</f>
        <v>0</v>
      </c>
      <c r="AG132" s="244">
        <f>SUM(AG133,AG135,AG137)</f>
        <v>0</v>
      </c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69"/>
      <c r="AV132" s="169"/>
      <c r="AW132" s="169"/>
      <c r="AX132" s="169"/>
      <c r="AY132" s="169"/>
      <c r="AZ132" s="169"/>
      <c r="BA132" s="169"/>
      <c r="BB132" s="169"/>
      <c r="BC132" s="169"/>
      <c r="BD132" s="169"/>
      <c r="BE132" s="169"/>
      <c r="BF132" s="169"/>
      <c r="BG132" s="169"/>
      <c r="BH132" s="169"/>
      <c r="BI132" s="169"/>
      <c r="BJ132" s="169"/>
      <c r="BK132" s="169"/>
      <c r="BL132" s="169"/>
      <c r="BM132" s="169"/>
      <c r="BN132" s="169"/>
      <c r="BO132" s="169"/>
      <c r="BP132" s="169"/>
      <c r="BQ132" s="169"/>
      <c r="BR132" s="169"/>
      <c r="BS132" s="169"/>
      <c r="BT132" s="169"/>
      <c r="BU132" s="169"/>
      <c r="BV132" s="169"/>
      <c r="BW132" s="169"/>
      <c r="BX132" s="169"/>
      <c r="BY132" s="169"/>
      <c r="BZ132" s="169"/>
    </row>
    <row r="133" spans="12:78" customFormat="1" ht="11.25" customHeight="1">
      <c r="L133" s="20"/>
      <c r="M133" s="509" t="s">
        <v>706</v>
      </c>
      <c r="N133" s="546" t="s">
        <v>956</v>
      </c>
      <c r="O133" s="420" t="s">
        <v>195</v>
      </c>
      <c r="AB133" s="251"/>
      <c r="AC133" s="251"/>
      <c r="AD133" s="251"/>
      <c r="AE133" s="247">
        <f t="shared" si="6"/>
        <v>0</v>
      </c>
      <c r="AF133" s="221"/>
      <c r="AG133" s="221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69"/>
      <c r="AV133" s="169"/>
      <c r="AW133" s="169"/>
      <c r="AX133" s="169"/>
      <c r="AY133" s="169"/>
      <c r="AZ133" s="169"/>
      <c r="BA133" s="169"/>
      <c r="BB133" s="169"/>
      <c r="BC133" s="169"/>
      <c r="BD133" s="169"/>
      <c r="BE133" s="169"/>
      <c r="BF133" s="169"/>
      <c r="BG133" s="169"/>
      <c r="BH133" s="169"/>
      <c r="BI133" s="169"/>
      <c r="BJ133" s="169"/>
      <c r="BK133" s="169"/>
      <c r="BL133" s="169"/>
      <c r="BM133" s="169"/>
      <c r="BN133" s="169"/>
      <c r="BO133" s="169"/>
      <c r="BP133" s="169"/>
      <c r="BQ133" s="169"/>
      <c r="BR133" s="169"/>
      <c r="BS133" s="169"/>
      <c r="BT133" s="169"/>
      <c r="BU133" s="169"/>
      <c r="BV133" s="169"/>
      <c r="BW133" s="169"/>
      <c r="BX133" s="169"/>
      <c r="BY133" s="169"/>
      <c r="BZ133" s="169"/>
    </row>
    <row r="134" spans="12:78" customFormat="1" ht="11.25" customHeight="1">
      <c r="L134" s="20"/>
      <c r="M134" s="509" t="s">
        <v>102</v>
      </c>
      <c r="N134" s="547" t="s">
        <v>1904</v>
      </c>
      <c r="O134" s="420" t="s">
        <v>195</v>
      </c>
      <c r="AB134" s="251"/>
      <c r="AC134" s="251"/>
      <c r="AD134" s="251"/>
      <c r="AE134" s="247">
        <f t="shared" si="6"/>
        <v>0</v>
      </c>
      <c r="AF134" s="221"/>
      <c r="AG134" s="221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69"/>
      <c r="AV134" s="169"/>
      <c r="AW134" s="169"/>
      <c r="AX134" s="169"/>
      <c r="AY134" s="169"/>
      <c r="AZ134" s="169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169"/>
      <c r="BU134" s="169"/>
      <c r="BV134" s="169"/>
      <c r="BW134" s="169"/>
      <c r="BX134" s="169"/>
      <c r="BY134" s="169"/>
      <c r="BZ134" s="169"/>
    </row>
    <row r="135" spans="12:78" customFormat="1" ht="11.25" customHeight="1">
      <c r="L135" s="20"/>
      <c r="M135" s="509" t="s">
        <v>708</v>
      </c>
      <c r="N135" s="546" t="s">
        <v>957</v>
      </c>
      <c r="O135" s="420" t="s">
        <v>195</v>
      </c>
      <c r="AB135" s="251"/>
      <c r="AC135" s="251"/>
      <c r="AD135" s="251"/>
      <c r="AE135" s="247">
        <f t="shared" si="6"/>
        <v>0</v>
      </c>
      <c r="AF135" s="221"/>
      <c r="AG135" s="221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69"/>
      <c r="AV135" s="169"/>
      <c r="AW135" s="169"/>
      <c r="AX135" s="169"/>
      <c r="AY135" s="169"/>
      <c r="AZ135" s="169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169"/>
      <c r="BU135" s="169"/>
      <c r="BV135" s="169"/>
      <c r="BW135" s="169"/>
      <c r="BX135" s="169"/>
      <c r="BY135" s="169"/>
      <c r="BZ135" s="169"/>
    </row>
    <row r="136" spans="12:78" customFormat="1" ht="11.25" customHeight="1">
      <c r="L136" s="20"/>
      <c r="M136" s="509" t="s">
        <v>103</v>
      </c>
      <c r="N136" s="547" t="s">
        <v>1905</v>
      </c>
      <c r="O136" s="420" t="s">
        <v>195</v>
      </c>
      <c r="AB136" s="251"/>
      <c r="AC136" s="251"/>
      <c r="AD136" s="251"/>
      <c r="AE136" s="247">
        <f t="shared" si="6"/>
        <v>0</v>
      </c>
      <c r="AF136" s="221"/>
      <c r="AG136" s="221"/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69"/>
      <c r="AV136" s="169"/>
      <c r="AW136" s="169"/>
      <c r="AX136" s="169"/>
      <c r="AY136" s="169"/>
      <c r="AZ136" s="169"/>
      <c r="BA136" s="169"/>
      <c r="BB136" s="169"/>
      <c r="BC136" s="169"/>
      <c r="BD136" s="169"/>
      <c r="BE136" s="169"/>
      <c r="BF136" s="169"/>
      <c r="BG136" s="169"/>
      <c r="BH136" s="169"/>
      <c r="BI136" s="169"/>
      <c r="BJ136" s="169"/>
      <c r="BK136" s="169"/>
      <c r="BL136" s="169"/>
      <c r="BM136" s="169"/>
      <c r="BN136" s="169"/>
      <c r="BO136" s="169"/>
      <c r="BP136" s="169"/>
      <c r="BQ136" s="169"/>
      <c r="BR136" s="169"/>
      <c r="BS136" s="169"/>
      <c r="BT136" s="169"/>
      <c r="BU136" s="169"/>
      <c r="BV136" s="169"/>
      <c r="BW136" s="169"/>
      <c r="BX136" s="169"/>
      <c r="BY136" s="169"/>
      <c r="BZ136" s="169"/>
    </row>
    <row r="137" spans="12:78" customFormat="1" ht="11.25" customHeight="1">
      <c r="L137" s="20"/>
      <c r="M137" s="509" t="s">
        <v>710</v>
      </c>
      <c r="N137" s="546" t="s">
        <v>958</v>
      </c>
      <c r="O137" s="420" t="s">
        <v>195</v>
      </c>
      <c r="AB137" s="251"/>
      <c r="AC137" s="251"/>
      <c r="AD137" s="251"/>
      <c r="AE137" s="247">
        <f t="shared" si="6"/>
        <v>0</v>
      </c>
      <c r="AF137" s="244">
        <f>SUM(AF138,AF149)</f>
        <v>0</v>
      </c>
      <c r="AG137" s="244">
        <f>SUM(AG138,AG149)</f>
        <v>0</v>
      </c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169"/>
      <c r="BU137" s="169"/>
      <c r="BV137" s="169"/>
      <c r="BW137" s="169"/>
      <c r="BX137" s="169"/>
      <c r="BY137" s="169"/>
      <c r="BZ137" s="169"/>
    </row>
    <row r="138" spans="12:78" customFormat="1" ht="11.25" customHeight="1">
      <c r="L138" s="20"/>
      <c r="M138" s="509" t="s">
        <v>554</v>
      </c>
      <c r="N138" s="544" t="s">
        <v>959</v>
      </c>
      <c r="O138" s="420" t="s">
        <v>195</v>
      </c>
      <c r="AB138" s="251"/>
      <c r="AC138" s="251"/>
      <c r="AD138" s="251"/>
      <c r="AE138" s="247">
        <f t="shared" si="6"/>
        <v>0</v>
      </c>
      <c r="AF138" s="221"/>
      <c r="AG138" s="221"/>
      <c r="AH138" s="169"/>
      <c r="AI138" s="169"/>
      <c r="AJ138" s="169"/>
      <c r="AK138" s="169"/>
      <c r="AL138" s="169"/>
      <c r="AM138" s="169"/>
      <c r="AN138" s="169"/>
      <c r="AO138" s="169"/>
      <c r="AP138" s="169"/>
      <c r="AQ138" s="169"/>
      <c r="AR138" s="169"/>
      <c r="AS138" s="169"/>
      <c r="AT138" s="169"/>
      <c r="AU138" s="169"/>
      <c r="AV138" s="169"/>
      <c r="AW138" s="169"/>
      <c r="AX138" s="169"/>
      <c r="AY138" s="169"/>
      <c r="AZ138" s="169"/>
      <c r="BA138" s="169"/>
      <c r="BB138" s="169"/>
      <c r="BC138" s="169"/>
      <c r="BD138" s="169"/>
      <c r="BE138" s="169"/>
      <c r="BF138" s="169"/>
      <c r="BG138" s="169"/>
      <c r="BH138" s="169"/>
      <c r="BI138" s="169"/>
      <c r="BJ138" s="169"/>
      <c r="BK138" s="169"/>
      <c r="BL138" s="169"/>
      <c r="BM138" s="169"/>
      <c r="BN138" s="169"/>
      <c r="BO138" s="169"/>
      <c r="BP138" s="169"/>
      <c r="BQ138" s="169"/>
      <c r="BR138" s="169"/>
      <c r="BS138" s="169"/>
      <c r="BT138" s="169"/>
      <c r="BU138" s="169"/>
      <c r="BV138" s="169"/>
      <c r="BW138" s="169"/>
      <c r="BX138" s="169"/>
      <c r="BY138" s="169"/>
      <c r="BZ138" s="169"/>
    </row>
    <row r="139" spans="12:78" customFormat="1" ht="11.25" customHeight="1">
      <c r="L139" s="20"/>
      <c r="M139" s="510" t="s">
        <v>960</v>
      </c>
      <c r="N139" s="534" t="s">
        <v>921</v>
      </c>
      <c r="O139" s="420" t="s">
        <v>289</v>
      </c>
      <c r="AB139" s="251"/>
      <c r="AC139" s="251"/>
      <c r="AD139" s="251"/>
      <c r="AE139" s="221"/>
      <c r="AF139" s="221"/>
      <c r="AG139" s="221"/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169"/>
      <c r="BU139" s="169"/>
      <c r="BV139" s="169"/>
      <c r="BW139" s="169"/>
      <c r="BX139" s="169"/>
      <c r="BY139" s="169"/>
      <c r="BZ139" s="169"/>
    </row>
    <row r="140" spans="12:78" customFormat="1" ht="11.25" customHeight="1">
      <c r="L140" s="20"/>
      <c r="M140" s="510" t="s">
        <v>961</v>
      </c>
      <c r="N140" s="548" t="s">
        <v>1035</v>
      </c>
      <c r="O140" s="420" t="s">
        <v>29</v>
      </c>
      <c r="AB140" s="251"/>
      <c r="AC140" s="251"/>
      <c r="AD140" s="251"/>
      <c r="AE140" s="244">
        <f>IF(AE139=0,0,AE138/AE139*1000/AE$6)</f>
        <v>0</v>
      </c>
      <c r="AF140" s="244">
        <f>IF(AF139=0,0,AF138/AF139*1000/AF$6)</f>
        <v>0</v>
      </c>
      <c r="AG140" s="244">
        <f>IF(AG139=0,0,AG138/AG139*1000/AG$6)</f>
        <v>0</v>
      </c>
      <c r="AH140" s="169"/>
      <c r="AI140" s="169"/>
      <c r="AJ140" s="169"/>
      <c r="AK140" s="169"/>
      <c r="AL140" s="169"/>
      <c r="AM140" s="169"/>
      <c r="AN140" s="169"/>
      <c r="AO140" s="169"/>
      <c r="AP140" s="169"/>
      <c r="AQ140" s="169"/>
      <c r="AR140" s="169"/>
      <c r="AS140" s="169"/>
      <c r="AT140" s="169"/>
      <c r="AU140" s="169"/>
      <c r="AV140" s="169"/>
      <c r="AW140" s="169"/>
      <c r="AX140" s="169"/>
      <c r="AY140" s="169"/>
      <c r="AZ140" s="169"/>
      <c r="BA140" s="169"/>
      <c r="BB140" s="169"/>
      <c r="BC140" s="169"/>
      <c r="BD140" s="169"/>
      <c r="BE140" s="169"/>
      <c r="BF140" s="169"/>
      <c r="BG140" s="169"/>
      <c r="BH140" s="169"/>
      <c r="BI140" s="169"/>
      <c r="BJ140" s="169"/>
      <c r="BK140" s="169"/>
      <c r="BL140" s="169"/>
      <c r="BM140" s="169"/>
      <c r="BN140" s="169"/>
      <c r="BO140" s="169"/>
      <c r="BP140" s="169"/>
      <c r="BQ140" s="169"/>
      <c r="BR140" s="169"/>
      <c r="BS140" s="169"/>
      <c r="BT140" s="169"/>
      <c r="BU140" s="169"/>
      <c r="BV140" s="169"/>
      <c r="BW140" s="169"/>
      <c r="BX140" s="169"/>
      <c r="BY140" s="169"/>
      <c r="BZ140" s="169"/>
    </row>
    <row r="141" spans="12:78" customFormat="1" ht="11.25" customHeight="1">
      <c r="L141" s="20"/>
      <c r="M141" s="510" t="s">
        <v>962</v>
      </c>
      <c r="N141" s="549" t="s">
        <v>1034</v>
      </c>
      <c r="O141" s="420" t="s">
        <v>289</v>
      </c>
      <c r="AB141" s="251"/>
      <c r="AC141" s="251"/>
      <c r="AD141" s="251"/>
      <c r="AE141" s="221"/>
      <c r="AF141" s="221"/>
      <c r="AG141" s="221"/>
      <c r="AH141" s="169"/>
      <c r="AI141" s="169"/>
      <c r="AJ141" s="169"/>
      <c r="AK141" s="169"/>
      <c r="AL141" s="169"/>
      <c r="AM141" s="169"/>
      <c r="AN141" s="169"/>
      <c r="AO141" s="169"/>
      <c r="AP141" s="169"/>
      <c r="AQ141" s="169"/>
      <c r="AR141" s="169"/>
      <c r="AS141" s="169"/>
      <c r="AT141" s="169"/>
      <c r="AU141" s="169"/>
      <c r="AV141" s="169"/>
      <c r="AW141" s="169"/>
      <c r="AX141" s="169"/>
      <c r="AY141" s="169"/>
      <c r="AZ141" s="169"/>
      <c r="BA141" s="169"/>
      <c r="BB141" s="169"/>
      <c r="BC141" s="169"/>
      <c r="BD141" s="169"/>
      <c r="BE141" s="169"/>
      <c r="BF141" s="169"/>
      <c r="BG141" s="169"/>
      <c r="BH141" s="169"/>
      <c r="BI141" s="169"/>
      <c r="BJ141" s="169"/>
      <c r="BK141" s="169"/>
      <c r="BL141" s="169"/>
      <c r="BM141" s="169"/>
      <c r="BN141" s="169"/>
      <c r="BO141" s="169"/>
      <c r="BP141" s="169"/>
      <c r="BQ141" s="169"/>
      <c r="BR141" s="169"/>
      <c r="BS141" s="169"/>
      <c r="BT141" s="169"/>
      <c r="BU141" s="169"/>
      <c r="BV141" s="169"/>
      <c r="BW141" s="169"/>
      <c r="BX141" s="169"/>
      <c r="BY141" s="169"/>
      <c r="BZ141" s="169"/>
    </row>
    <row r="142" spans="12:78" customFormat="1" ht="11.25" customHeight="1">
      <c r="L142" s="20"/>
      <c r="M142" s="510" t="s">
        <v>963</v>
      </c>
      <c r="N142" s="537" t="s">
        <v>1036</v>
      </c>
      <c r="O142" s="420" t="s">
        <v>289</v>
      </c>
      <c r="AB142" s="251"/>
      <c r="AC142" s="251"/>
      <c r="AD142" s="251"/>
      <c r="AE142" s="221"/>
      <c r="AF142" s="221"/>
      <c r="AG142" s="221"/>
      <c r="AH142" s="169"/>
      <c r="AI142" s="169"/>
      <c r="AJ142" s="169"/>
      <c r="AK142" s="169"/>
      <c r="AL142" s="169"/>
      <c r="AM142" s="169"/>
      <c r="AN142" s="169"/>
      <c r="AO142" s="169"/>
      <c r="AP142" s="169"/>
      <c r="AQ142" s="169"/>
      <c r="AR142" s="169"/>
      <c r="AS142" s="169"/>
      <c r="AT142" s="169"/>
      <c r="AU142" s="169"/>
      <c r="AV142" s="169"/>
      <c r="AW142" s="169"/>
      <c r="AX142" s="169"/>
      <c r="AY142" s="169"/>
      <c r="AZ142" s="169"/>
      <c r="BA142" s="169"/>
      <c r="BB142" s="169"/>
      <c r="BC142" s="169"/>
      <c r="BD142" s="169"/>
      <c r="BE142" s="169"/>
      <c r="BF142" s="169"/>
      <c r="BG142" s="169"/>
      <c r="BH142" s="169"/>
      <c r="BI142" s="169"/>
      <c r="BJ142" s="169"/>
      <c r="BK142" s="169"/>
      <c r="BL142" s="169"/>
      <c r="BM142" s="169"/>
      <c r="BN142" s="169"/>
      <c r="BO142" s="169"/>
      <c r="BP142" s="169"/>
      <c r="BQ142" s="169"/>
      <c r="BR142" s="169"/>
      <c r="BS142" s="169"/>
      <c r="BT142" s="169"/>
      <c r="BU142" s="169"/>
      <c r="BV142" s="169"/>
      <c r="BW142" s="169"/>
      <c r="BX142" s="169"/>
      <c r="BY142" s="169"/>
      <c r="BZ142" s="169"/>
    </row>
    <row r="143" spans="12:78" customFormat="1" ht="11.25" customHeight="1">
      <c r="L143" s="20"/>
      <c r="M143" s="510" t="s">
        <v>964</v>
      </c>
      <c r="N143" s="527" t="s">
        <v>33</v>
      </c>
      <c r="O143" s="420" t="s">
        <v>29</v>
      </c>
      <c r="AB143" s="251"/>
      <c r="AC143" s="251"/>
      <c r="AD143" s="251"/>
      <c r="AE143" s="142"/>
      <c r="AF143" s="221"/>
      <c r="AG143" s="221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9"/>
      <c r="AX143" s="169"/>
      <c r="AY143" s="169"/>
      <c r="AZ143" s="169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169"/>
      <c r="BU143" s="169"/>
      <c r="BV143" s="169"/>
      <c r="BW143" s="169"/>
      <c r="BX143" s="169"/>
      <c r="BY143" s="169"/>
      <c r="BZ143" s="169"/>
    </row>
    <row r="144" spans="12:78" customFormat="1" ht="11.25" customHeight="1">
      <c r="L144" s="20"/>
      <c r="M144" s="510" t="s">
        <v>965</v>
      </c>
      <c r="N144" s="550" t="s">
        <v>927</v>
      </c>
      <c r="O144" s="420"/>
      <c r="AB144" s="251"/>
      <c r="AC144" s="251"/>
      <c r="AD144" s="251"/>
      <c r="AE144" s="142"/>
      <c r="AF144" s="221"/>
      <c r="AG144" s="221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69"/>
      <c r="BO144" s="169"/>
      <c r="BP144" s="169"/>
      <c r="BQ144" s="169"/>
      <c r="BR144" s="169"/>
      <c r="BS144" s="169"/>
      <c r="BT144" s="169"/>
      <c r="BU144" s="169"/>
      <c r="BV144" s="169"/>
      <c r="BW144" s="169"/>
      <c r="BX144" s="169"/>
      <c r="BY144" s="169"/>
      <c r="BZ144" s="169"/>
    </row>
    <row r="145" spans="12:78" customFormat="1" ht="11.25" customHeight="1">
      <c r="L145" s="20"/>
      <c r="M145" s="510" t="s">
        <v>966</v>
      </c>
      <c r="N145" s="527" t="s">
        <v>929</v>
      </c>
      <c r="O145" s="420" t="s">
        <v>29</v>
      </c>
      <c r="AB145" s="251"/>
      <c r="AC145" s="251"/>
      <c r="AD145" s="251"/>
      <c r="AE145" s="142"/>
      <c r="AF145" s="221"/>
      <c r="AG145" s="221"/>
      <c r="AH145" s="169"/>
      <c r="AI145" s="169"/>
      <c r="AJ145" s="169"/>
      <c r="AK145" s="169"/>
      <c r="AL145" s="169"/>
      <c r="AM145" s="169"/>
      <c r="AN145" s="169"/>
      <c r="AO145" s="169"/>
      <c r="AP145" s="169"/>
      <c r="AQ145" s="169"/>
      <c r="AR145" s="169"/>
      <c r="AS145" s="169"/>
      <c r="AT145" s="169"/>
      <c r="AU145" s="169"/>
      <c r="AV145" s="169"/>
      <c r="AW145" s="169"/>
      <c r="AX145" s="169"/>
      <c r="AY145" s="169"/>
      <c r="AZ145" s="169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169"/>
      <c r="BU145" s="169"/>
      <c r="BV145" s="169"/>
      <c r="BW145" s="169"/>
      <c r="BX145" s="169"/>
      <c r="BY145" s="169"/>
      <c r="BZ145" s="169"/>
    </row>
    <row r="146" spans="12:78" customFormat="1" ht="11.25" customHeight="1">
      <c r="L146" s="20"/>
      <c r="M146" s="510" t="s">
        <v>967</v>
      </c>
      <c r="N146" s="551" t="s">
        <v>931</v>
      </c>
      <c r="O146" s="420"/>
      <c r="AB146" s="251"/>
      <c r="AC146" s="251"/>
      <c r="AD146" s="251"/>
      <c r="AE146" s="142"/>
      <c r="AF146" s="221"/>
      <c r="AG146" s="221"/>
      <c r="AH146" s="169"/>
      <c r="AI146" s="169"/>
      <c r="AJ146" s="169"/>
      <c r="AK146" s="169"/>
      <c r="AL146" s="169"/>
      <c r="AM146" s="169"/>
      <c r="AN146" s="169"/>
      <c r="AO146" s="169"/>
      <c r="AP146" s="169"/>
      <c r="AQ146" s="169"/>
      <c r="AR146" s="169"/>
      <c r="AS146" s="169"/>
      <c r="AT146" s="169"/>
      <c r="AU146" s="169"/>
      <c r="AV146" s="169"/>
      <c r="AW146" s="169"/>
      <c r="AX146" s="169"/>
      <c r="AY146" s="169"/>
      <c r="AZ146" s="169"/>
      <c r="BA146" s="169"/>
      <c r="BB146" s="169"/>
      <c r="BC146" s="169"/>
      <c r="BD146" s="169"/>
      <c r="BE146" s="169"/>
      <c r="BF146" s="169"/>
      <c r="BG146" s="169"/>
      <c r="BH146" s="169"/>
      <c r="BI146" s="169"/>
      <c r="BJ146" s="169"/>
      <c r="BK146" s="169"/>
      <c r="BL146" s="169"/>
      <c r="BM146" s="169"/>
      <c r="BN146" s="169"/>
      <c r="BO146" s="169"/>
      <c r="BP146" s="169"/>
      <c r="BQ146" s="169"/>
      <c r="BR146" s="169"/>
      <c r="BS146" s="169"/>
      <c r="BT146" s="169"/>
      <c r="BU146" s="169"/>
      <c r="BV146" s="169"/>
      <c r="BW146" s="169"/>
      <c r="BX146" s="169"/>
      <c r="BY146" s="169"/>
      <c r="BZ146" s="169"/>
    </row>
    <row r="147" spans="12:78" customFormat="1" ht="11.25" customHeight="1">
      <c r="L147" s="20"/>
      <c r="M147" s="510" t="s">
        <v>968</v>
      </c>
      <c r="N147" s="552" t="s">
        <v>933</v>
      </c>
      <c r="O147" s="420" t="s">
        <v>29</v>
      </c>
      <c r="AB147" s="251"/>
      <c r="AC147" s="251"/>
      <c r="AD147" s="251"/>
      <c r="AE147" s="142"/>
      <c r="AF147" s="221"/>
      <c r="AG147" s="221"/>
      <c r="AH147" s="169"/>
      <c r="AI147" s="169"/>
      <c r="AJ147" s="169"/>
      <c r="AK147" s="169"/>
      <c r="AL147" s="169"/>
      <c r="AM147" s="169"/>
      <c r="AN147" s="169"/>
      <c r="AO147" s="169"/>
      <c r="AP147" s="169"/>
      <c r="AQ147" s="169"/>
      <c r="AR147" s="169"/>
      <c r="AS147" s="169"/>
      <c r="AT147" s="169"/>
      <c r="AU147" s="169"/>
      <c r="AV147" s="169"/>
      <c r="AW147" s="169"/>
      <c r="AX147" s="169"/>
      <c r="AY147" s="169"/>
      <c r="AZ147" s="169"/>
      <c r="BA147" s="169"/>
      <c r="BB147" s="169"/>
      <c r="BC147" s="169"/>
      <c r="BD147" s="169"/>
      <c r="BE147" s="169"/>
      <c r="BF147" s="169"/>
      <c r="BG147" s="169"/>
      <c r="BH147" s="169"/>
      <c r="BI147" s="169"/>
      <c r="BJ147" s="169"/>
      <c r="BK147" s="169"/>
      <c r="BL147" s="169"/>
      <c r="BM147" s="169"/>
      <c r="BN147" s="169"/>
      <c r="BO147" s="169"/>
      <c r="BP147" s="169"/>
      <c r="BQ147" s="169"/>
      <c r="BR147" s="169"/>
      <c r="BS147" s="169"/>
      <c r="BT147" s="169"/>
      <c r="BU147" s="169"/>
      <c r="BV147" s="169"/>
      <c r="BW147" s="169"/>
      <c r="BX147" s="169"/>
      <c r="BY147" s="169"/>
      <c r="BZ147" s="169"/>
    </row>
    <row r="148" spans="12:78" customFormat="1" ht="11.25" customHeight="1">
      <c r="L148" s="20"/>
      <c r="M148" s="510" t="s">
        <v>969</v>
      </c>
      <c r="N148" s="553" t="s">
        <v>935</v>
      </c>
      <c r="O148" s="420" t="s">
        <v>29</v>
      </c>
      <c r="AB148" s="251"/>
      <c r="AC148" s="251"/>
      <c r="AD148" s="251"/>
      <c r="AE148" s="142"/>
      <c r="AF148" s="221"/>
      <c r="AG148" s="221"/>
      <c r="AH148" s="169"/>
      <c r="AI148" s="169"/>
      <c r="AJ148" s="169"/>
      <c r="AK148" s="169"/>
      <c r="AL148" s="169"/>
      <c r="AM148" s="169"/>
      <c r="AN148" s="169"/>
      <c r="AO148" s="169"/>
      <c r="AP148" s="169"/>
      <c r="AQ148" s="169"/>
      <c r="AR148" s="169"/>
      <c r="AS148" s="169"/>
      <c r="AT148" s="169"/>
      <c r="AU148" s="169"/>
      <c r="AV148" s="169"/>
      <c r="AW148" s="169"/>
      <c r="AX148" s="169"/>
      <c r="AY148" s="169"/>
      <c r="AZ148" s="169"/>
      <c r="BA148" s="169"/>
      <c r="BB148" s="169"/>
      <c r="BC148" s="169"/>
      <c r="BD148" s="169"/>
      <c r="BE148" s="169"/>
      <c r="BF148" s="169"/>
      <c r="BG148" s="169"/>
      <c r="BH148" s="169"/>
      <c r="BI148" s="169"/>
      <c r="BJ148" s="169"/>
      <c r="BK148" s="169"/>
      <c r="BL148" s="169"/>
      <c r="BM148" s="169"/>
      <c r="BN148" s="169"/>
      <c r="BO148" s="169"/>
      <c r="BP148" s="169"/>
      <c r="BQ148" s="169"/>
      <c r="BR148" s="169"/>
      <c r="BS148" s="169"/>
      <c r="BT148" s="169"/>
      <c r="BU148" s="169"/>
      <c r="BV148" s="169"/>
      <c r="BW148" s="169"/>
      <c r="BX148" s="169"/>
      <c r="BY148" s="169"/>
      <c r="BZ148" s="169"/>
    </row>
    <row r="149" spans="12:78" customFormat="1" ht="11.25" customHeight="1">
      <c r="L149" s="20"/>
      <c r="M149" s="509" t="s">
        <v>555</v>
      </c>
      <c r="N149" s="542" t="s">
        <v>970</v>
      </c>
      <c r="O149" s="420" t="s">
        <v>195</v>
      </c>
      <c r="AB149" s="251"/>
      <c r="AC149" s="251"/>
      <c r="AD149" s="251"/>
      <c r="AE149" s="247">
        <f t="shared" ref="AE149:AE159" si="7">AF149+AG149</f>
        <v>0</v>
      </c>
      <c r="AF149" s="221"/>
      <c r="AG149" s="221"/>
      <c r="AH149" s="169"/>
      <c r="AI149" s="169"/>
      <c r="AJ149" s="169"/>
      <c r="AK149" s="169"/>
      <c r="AL149" s="169"/>
      <c r="AM149" s="169"/>
      <c r="AN149" s="169"/>
      <c r="AO149" s="169"/>
      <c r="AP149" s="169"/>
      <c r="AQ149" s="169"/>
      <c r="AR149" s="169"/>
      <c r="AS149" s="169"/>
      <c r="AT149" s="169"/>
      <c r="AU149" s="169"/>
      <c r="AV149" s="169"/>
      <c r="AW149" s="169"/>
      <c r="AX149" s="169"/>
      <c r="AY149" s="169"/>
      <c r="AZ149" s="169"/>
      <c r="BA149" s="169"/>
      <c r="BB149" s="169"/>
      <c r="BC149" s="169"/>
      <c r="BD149" s="169"/>
      <c r="BE149" s="169"/>
      <c r="BF149" s="169"/>
      <c r="BG149" s="169"/>
      <c r="BH149" s="169"/>
      <c r="BI149" s="169"/>
      <c r="BJ149" s="169"/>
      <c r="BK149" s="169"/>
      <c r="BL149" s="169"/>
      <c r="BM149" s="169"/>
      <c r="BN149" s="169"/>
      <c r="BO149" s="169"/>
      <c r="BP149" s="169"/>
      <c r="BQ149" s="169"/>
      <c r="BR149" s="169"/>
      <c r="BS149" s="169"/>
      <c r="BT149" s="169"/>
      <c r="BU149" s="169"/>
      <c r="BV149" s="169"/>
      <c r="BW149" s="169"/>
      <c r="BX149" s="169"/>
      <c r="BY149" s="169"/>
      <c r="BZ149" s="169"/>
    </row>
    <row r="150" spans="12:78" customFormat="1" ht="11.25" customHeight="1">
      <c r="L150" s="20"/>
      <c r="M150" s="490">
        <v>3</v>
      </c>
      <c r="N150" s="490" t="s">
        <v>971</v>
      </c>
      <c r="O150" s="420" t="s">
        <v>195</v>
      </c>
      <c r="AB150" s="251"/>
      <c r="AC150" s="251"/>
      <c r="AD150" s="251"/>
      <c r="AE150" s="247">
        <f t="shared" si="7"/>
        <v>0</v>
      </c>
      <c r="AF150" s="244">
        <f>SUM(AF151,AF158,AF171,AF172,AF173,AF174,AF175)</f>
        <v>0</v>
      </c>
      <c r="AG150" s="244">
        <f>SUM(AG151,AG158,AG171,AG172,AG173,AG174,AG175)</f>
        <v>0</v>
      </c>
      <c r="AH150" s="169"/>
      <c r="AI150" s="169"/>
      <c r="AJ150" s="169"/>
      <c r="AK150" s="169"/>
      <c r="AL150" s="169"/>
      <c r="AM150" s="169"/>
      <c r="AN150" s="169"/>
      <c r="AO150" s="169"/>
      <c r="AP150" s="169"/>
      <c r="AQ150" s="169"/>
      <c r="AR150" s="169"/>
      <c r="AS150" s="169"/>
      <c r="AT150" s="169"/>
      <c r="AU150" s="169"/>
      <c r="AV150" s="169"/>
      <c r="AW150" s="169"/>
      <c r="AX150" s="169"/>
      <c r="AY150" s="169"/>
      <c r="AZ150" s="169"/>
      <c r="BA150" s="169"/>
      <c r="BB150" s="169"/>
      <c r="BC150" s="169"/>
      <c r="BD150" s="169"/>
      <c r="BE150" s="169"/>
      <c r="BF150" s="169"/>
      <c r="BG150" s="169"/>
      <c r="BH150" s="169"/>
      <c r="BI150" s="169"/>
      <c r="BJ150" s="169"/>
      <c r="BK150" s="169"/>
      <c r="BL150" s="169"/>
      <c r="BM150" s="169"/>
      <c r="BN150" s="169"/>
      <c r="BO150" s="169"/>
      <c r="BP150" s="169"/>
      <c r="BQ150" s="169"/>
      <c r="BR150" s="169"/>
      <c r="BS150" s="169"/>
      <c r="BT150" s="169"/>
      <c r="BU150" s="169"/>
      <c r="BV150" s="169"/>
      <c r="BW150" s="169"/>
      <c r="BX150" s="169"/>
      <c r="BY150" s="169"/>
      <c r="BZ150" s="169"/>
    </row>
    <row r="151" spans="12:78" customFormat="1" ht="11.25" customHeight="1">
      <c r="L151" s="20"/>
      <c r="M151" s="509" t="s">
        <v>171</v>
      </c>
      <c r="N151" s="546" t="s">
        <v>972</v>
      </c>
      <c r="O151" s="420" t="s">
        <v>195</v>
      </c>
      <c r="AB151" s="251"/>
      <c r="AC151" s="251"/>
      <c r="AD151" s="251"/>
      <c r="AE151" s="247">
        <f t="shared" si="7"/>
        <v>0</v>
      </c>
      <c r="AF151" s="244">
        <f>SUM(AF152:AF157)</f>
        <v>0</v>
      </c>
      <c r="AG151" s="244">
        <f>SUM(AG152:AG157)</f>
        <v>0</v>
      </c>
      <c r="AH151" s="169"/>
      <c r="AI151" s="169"/>
      <c r="AJ151" s="169"/>
      <c r="AK151" s="169"/>
      <c r="AL151" s="169"/>
      <c r="AM151" s="169"/>
      <c r="AN151" s="169"/>
      <c r="AO151" s="169"/>
      <c r="AP151" s="169"/>
      <c r="AQ151" s="169"/>
      <c r="AR151" s="169"/>
      <c r="AS151" s="169"/>
      <c r="AT151" s="169"/>
      <c r="AU151" s="169"/>
      <c r="AV151" s="169"/>
      <c r="AW151" s="169"/>
      <c r="AX151" s="169"/>
      <c r="AY151" s="169"/>
      <c r="AZ151" s="169"/>
      <c r="BA151" s="169"/>
      <c r="BB151" s="169"/>
      <c r="BC151" s="169"/>
      <c r="BD151" s="169"/>
      <c r="BE151" s="169"/>
      <c r="BF151" s="169"/>
      <c r="BG151" s="169"/>
      <c r="BH151" s="169"/>
      <c r="BI151" s="169"/>
      <c r="BJ151" s="169"/>
      <c r="BK151" s="169"/>
      <c r="BL151" s="169"/>
      <c r="BM151" s="169"/>
      <c r="BN151" s="169"/>
      <c r="BO151" s="169"/>
      <c r="BP151" s="169"/>
      <c r="BQ151" s="169"/>
      <c r="BR151" s="169"/>
      <c r="BS151" s="169"/>
      <c r="BT151" s="169"/>
      <c r="BU151" s="169"/>
      <c r="BV151" s="169"/>
      <c r="BW151" s="169"/>
      <c r="BX151" s="169"/>
      <c r="BY151" s="169"/>
      <c r="BZ151" s="169"/>
    </row>
    <row r="152" spans="12:78" customFormat="1" ht="11.25" customHeight="1">
      <c r="L152" s="20"/>
      <c r="M152" s="509" t="s">
        <v>556</v>
      </c>
      <c r="N152" s="544" t="s">
        <v>973</v>
      </c>
      <c r="O152" s="420" t="s">
        <v>195</v>
      </c>
      <c r="AB152" s="251"/>
      <c r="AC152" s="251"/>
      <c r="AD152" s="251"/>
      <c r="AE152" s="247">
        <f t="shared" si="7"/>
        <v>0</v>
      </c>
      <c r="AF152" s="221"/>
      <c r="AG152" s="221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69"/>
      <c r="AT152" s="169"/>
      <c r="AU152" s="169"/>
      <c r="AV152" s="169"/>
      <c r="AW152" s="169"/>
      <c r="AX152" s="169"/>
      <c r="AY152" s="169"/>
      <c r="AZ152" s="169"/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169"/>
      <c r="BK152" s="169"/>
      <c r="BL152" s="169"/>
      <c r="BM152" s="169"/>
      <c r="BN152" s="169"/>
      <c r="BO152" s="169"/>
      <c r="BP152" s="169"/>
      <c r="BQ152" s="169"/>
      <c r="BR152" s="169"/>
      <c r="BS152" s="169"/>
      <c r="BT152" s="169"/>
      <c r="BU152" s="169"/>
      <c r="BV152" s="169"/>
      <c r="BW152" s="169"/>
      <c r="BX152" s="169"/>
      <c r="BY152" s="169"/>
      <c r="BZ152" s="169"/>
    </row>
    <row r="153" spans="12:78" customFormat="1" ht="11.25" customHeight="1">
      <c r="L153" s="20"/>
      <c r="M153" s="509" t="s">
        <v>566</v>
      </c>
      <c r="N153" s="544" t="s">
        <v>974</v>
      </c>
      <c r="O153" s="420" t="s">
        <v>195</v>
      </c>
      <c r="AB153" s="251"/>
      <c r="AC153" s="251"/>
      <c r="AD153" s="251"/>
      <c r="AE153" s="247">
        <f t="shared" si="7"/>
        <v>0</v>
      </c>
      <c r="AF153" s="221"/>
      <c r="AG153" s="221"/>
      <c r="AH153" s="169"/>
      <c r="AI153" s="169"/>
      <c r="AJ153" s="169"/>
      <c r="AK153" s="169"/>
      <c r="AL153" s="169"/>
      <c r="AM153" s="169"/>
      <c r="AN153" s="169"/>
      <c r="AO153" s="169"/>
      <c r="AP153" s="169"/>
      <c r="AQ153" s="169"/>
      <c r="AR153" s="169"/>
      <c r="AS153" s="169"/>
      <c r="AT153" s="169"/>
      <c r="AU153" s="169"/>
      <c r="AV153" s="169"/>
      <c r="AW153" s="169"/>
      <c r="AX153" s="169"/>
      <c r="AY153" s="169"/>
      <c r="AZ153" s="169"/>
      <c r="BA153" s="169"/>
      <c r="BB153" s="169"/>
      <c r="BC153" s="169"/>
      <c r="BD153" s="169"/>
      <c r="BE153" s="169"/>
      <c r="BF153" s="169"/>
      <c r="BG153" s="169"/>
      <c r="BH153" s="169"/>
      <c r="BI153" s="169"/>
      <c r="BJ153" s="169"/>
      <c r="BK153" s="169"/>
      <c r="BL153" s="169"/>
      <c r="BM153" s="169"/>
      <c r="BN153" s="169"/>
      <c r="BO153" s="169"/>
      <c r="BP153" s="169"/>
      <c r="BQ153" s="169"/>
      <c r="BR153" s="169"/>
      <c r="BS153" s="169"/>
      <c r="BT153" s="169"/>
      <c r="BU153" s="169"/>
      <c r="BV153" s="169"/>
      <c r="BW153" s="169"/>
      <c r="BX153" s="169"/>
      <c r="BY153" s="169"/>
      <c r="BZ153" s="169"/>
    </row>
    <row r="154" spans="12:78" customFormat="1" ht="11.25" customHeight="1">
      <c r="L154" s="20"/>
      <c r="M154" s="509" t="s">
        <v>975</v>
      </c>
      <c r="N154" s="544" t="s">
        <v>976</v>
      </c>
      <c r="O154" s="420" t="s">
        <v>195</v>
      </c>
      <c r="AB154" s="251"/>
      <c r="AC154" s="251"/>
      <c r="AD154" s="251"/>
      <c r="AE154" s="247">
        <f t="shared" si="7"/>
        <v>0</v>
      </c>
      <c r="AF154" s="221"/>
      <c r="AG154" s="221"/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69"/>
      <c r="AT154" s="169"/>
      <c r="AU154" s="169"/>
      <c r="AV154" s="169"/>
      <c r="AW154" s="169"/>
      <c r="AX154" s="169"/>
      <c r="AY154" s="169"/>
      <c r="AZ154" s="169"/>
      <c r="BA154" s="169"/>
      <c r="BB154" s="169"/>
      <c r="BC154" s="169"/>
      <c r="BD154" s="169"/>
      <c r="BE154" s="169"/>
      <c r="BF154" s="169"/>
      <c r="BG154" s="169"/>
      <c r="BH154" s="169"/>
      <c r="BI154" s="169"/>
      <c r="BJ154" s="169"/>
      <c r="BK154" s="169"/>
      <c r="BL154" s="169"/>
      <c r="BM154" s="169"/>
      <c r="BN154" s="169"/>
      <c r="BO154" s="169"/>
      <c r="BP154" s="169"/>
      <c r="BQ154" s="169"/>
      <c r="BR154" s="169"/>
      <c r="BS154" s="169"/>
      <c r="BT154" s="169"/>
      <c r="BU154" s="169"/>
      <c r="BV154" s="169"/>
      <c r="BW154" s="169"/>
      <c r="BX154" s="169"/>
      <c r="BY154" s="169"/>
      <c r="BZ154" s="169"/>
    </row>
    <row r="155" spans="12:78" customFormat="1" ht="11.25" customHeight="1">
      <c r="L155" s="20"/>
      <c r="M155" s="509" t="s">
        <v>977</v>
      </c>
      <c r="N155" s="544" t="s">
        <v>978</v>
      </c>
      <c r="O155" s="420" t="s">
        <v>195</v>
      </c>
      <c r="AB155" s="251"/>
      <c r="AC155" s="251"/>
      <c r="AD155" s="251"/>
      <c r="AE155" s="247">
        <f t="shared" si="7"/>
        <v>0</v>
      </c>
      <c r="AF155" s="221"/>
      <c r="AG155" s="221"/>
      <c r="AH155" s="169"/>
      <c r="AI155" s="169"/>
      <c r="AJ155" s="169"/>
      <c r="AK155" s="169"/>
      <c r="AL155" s="169"/>
      <c r="AM155" s="169"/>
      <c r="AN155" s="169"/>
      <c r="AO155" s="169"/>
      <c r="AP155" s="169"/>
      <c r="AQ155" s="169"/>
      <c r="AR155" s="169"/>
      <c r="AS155" s="169"/>
      <c r="AT155" s="169"/>
      <c r="AU155" s="169"/>
      <c r="AV155" s="169"/>
      <c r="AW155" s="169"/>
      <c r="AX155" s="169"/>
      <c r="AY155" s="169"/>
      <c r="AZ155" s="169"/>
      <c r="BA155" s="169"/>
      <c r="BB155" s="169"/>
      <c r="BC155" s="169"/>
      <c r="BD155" s="169"/>
      <c r="BE155" s="169"/>
      <c r="BF155" s="169"/>
      <c r="BG155" s="169"/>
      <c r="BH155" s="169"/>
      <c r="BI155" s="169"/>
      <c r="BJ155" s="169"/>
      <c r="BK155" s="169"/>
      <c r="BL155" s="169"/>
      <c r="BM155" s="169"/>
      <c r="BN155" s="169"/>
      <c r="BO155" s="169"/>
      <c r="BP155" s="169"/>
      <c r="BQ155" s="169"/>
      <c r="BR155" s="169"/>
      <c r="BS155" s="169"/>
      <c r="BT155" s="169"/>
      <c r="BU155" s="169"/>
      <c r="BV155" s="169"/>
      <c r="BW155" s="169"/>
      <c r="BX155" s="169"/>
      <c r="BY155" s="169"/>
      <c r="BZ155" s="169"/>
    </row>
    <row r="156" spans="12:78" customFormat="1" ht="11.25" customHeight="1">
      <c r="L156" s="20"/>
      <c r="M156" s="509" t="s">
        <v>979</v>
      </c>
      <c r="N156" s="544" t="s">
        <v>980</v>
      </c>
      <c r="O156" s="420" t="s">
        <v>195</v>
      </c>
      <c r="AB156" s="251"/>
      <c r="AC156" s="251"/>
      <c r="AD156" s="251"/>
      <c r="AE156" s="247">
        <f t="shared" si="7"/>
        <v>0</v>
      </c>
      <c r="AF156" s="221"/>
      <c r="AG156" s="221"/>
      <c r="AH156" s="169"/>
      <c r="AI156" s="169"/>
      <c r="AJ156" s="169"/>
      <c r="AK156" s="169"/>
      <c r="AL156" s="169"/>
      <c r="AM156" s="169"/>
      <c r="AN156" s="169"/>
      <c r="AO156" s="169"/>
      <c r="AP156" s="169"/>
      <c r="AQ156" s="169"/>
      <c r="AR156" s="169"/>
      <c r="AS156" s="169"/>
      <c r="AT156" s="169"/>
      <c r="AU156" s="169"/>
      <c r="AV156" s="169"/>
      <c r="AW156" s="169"/>
      <c r="AX156" s="169"/>
      <c r="AY156" s="169"/>
      <c r="AZ156" s="169"/>
      <c r="BA156" s="169"/>
      <c r="BB156" s="169"/>
      <c r="BC156" s="169"/>
      <c r="BD156" s="169"/>
      <c r="BE156" s="169"/>
      <c r="BF156" s="169"/>
      <c r="BG156" s="169"/>
      <c r="BH156" s="169"/>
      <c r="BI156" s="169"/>
      <c r="BJ156" s="169"/>
      <c r="BK156" s="169"/>
      <c r="BL156" s="169"/>
      <c r="BM156" s="169"/>
      <c r="BN156" s="169"/>
      <c r="BO156" s="169"/>
      <c r="BP156" s="169"/>
      <c r="BQ156" s="169"/>
      <c r="BR156" s="169"/>
      <c r="BS156" s="169"/>
      <c r="BT156" s="169"/>
      <c r="BU156" s="169"/>
      <c r="BV156" s="169"/>
      <c r="BW156" s="169"/>
      <c r="BX156" s="169"/>
      <c r="BY156" s="169"/>
      <c r="BZ156" s="169"/>
    </row>
    <row r="157" spans="12:78" customFormat="1" ht="11.25" customHeight="1">
      <c r="L157" s="20"/>
      <c r="M157" s="509" t="s">
        <v>981</v>
      </c>
      <c r="N157" s="544" t="s">
        <v>982</v>
      </c>
      <c r="O157" s="420" t="s">
        <v>195</v>
      </c>
      <c r="AB157" s="251"/>
      <c r="AC157" s="251"/>
      <c r="AD157" s="251"/>
      <c r="AE157" s="247">
        <f t="shared" si="7"/>
        <v>0</v>
      </c>
      <c r="AF157" s="221"/>
      <c r="AG157" s="221"/>
      <c r="AH157" s="169"/>
      <c r="AI157" s="169"/>
      <c r="AJ157" s="169"/>
      <c r="AK157" s="169"/>
      <c r="AL157" s="169"/>
      <c r="AM157" s="169"/>
      <c r="AN157" s="169"/>
      <c r="AO157" s="169"/>
      <c r="AP157" s="169"/>
      <c r="AQ157" s="169"/>
      <c r="AR157" s="169"/>
      <c r="AS157" s="169"/>
      <c r="AT157" s="169"/>
      <c r="AU157" s="169"/>
      <c r="AV157" s="169"/>
      <c r="AW157" s="169"/>
      <c r="AX157" s="169"/>
      <c r="AY157" s="169"/>
      <c r="AZ157" s="169"/>
      <c r="BA157" s="169"/>
      <c r="BB157" s="169"/>
      <c r="BC157" s="169"/>
      <c r="BD157" s="169"/>
      <c r="BE157" s="169"/>
      <c r="BF157" s="169"/>
      <c r="BG157" s="169"/>
      <c r="BH157" s="169"/>
      <c r="BI157" s="169"/>
      <c r="BJ157" s="169"/>
      <c r="BK157" s="169"/>
      <c r="BL157" s="169"/>
      <c r="BM157" s="169"/>
      <c r="BN157" s="169"/>
      <c r="BO157" s="169"/>
      <c r="BP157" s="169"/>
      <c r="BQ157" s="169"/>
      <c r="BR157" s="169"/>
      <c r="BS157" s="169"/>
      <c r="BT157" s="169"/>
      <c r="BU157" s="169"/>
      <c r="BV157" s="169"/>
      <c r="BW157" s="169"/>
      <c r="BX157" s="169"/>
      <c r="BY157" s="169"/>
      <c r="BZ157" s="169"/>
    </row>
    <row r="158" spans="12:78" customFormat="1" ht="11.25" customHeight="1">
      <c r="L158" s="20"/>
      <c r="M158" s="509" t="s">
        <v>172</v>
      </c>
      <c r="N158" s="546" t="s">
        <v>983</v>
      </c>
      <c r="O158" s="420" t="s">
        <v>195</v>
      </c>
      <c r="AB158" s="251"/>
      <c r="AC158" s="251"/>
      <c r="AD158" s="251"/>
      <c r="AE158" s="247">
        <f t="shared" si="7"/>
        <v>0</v>
      </c>
      <c r="AF158" s="244">
        <f>SUM(AF159,AF170)</f>
        <v>0</v>
      </c>
      <c r="AG158" s="244">
        <f>SUM(AG159,AG170)</f>
        <v>0</v>
      </c>
      <c r="AH158" s="169"/>
      <c r="AI158" s="169"/>
      <c r="AJ158" s="169"/>
      <c r="AK158" s="169"/>
      <c r="AL158" s="169"/>
      <c r="AM158" s="169"/>
      <c r="AN158" s="169"/>
      <c r="AO158" s="169"/>
      <c r="AP158" s="169"/>
      <c r="AQ158" s="169"/>
      <c r="AR158" s="169"/>
      <c r="AS158" s="169"/>
      <c r="AT158" s="169"/>
      <c r="AU158" s="169"/>
      <c r="AV158" s="169"/>
      <c r="AW158" s="169"/>
      <c r="AX158" s="169"/>
      <c r="AY158" s="169"/>
      <c r="AZ158" s="169"/>
      <c r="BA158" s="169"/>
      <c r="BB158" s="169"/>
      <c r="BC158" s="169"/>
      <c r="BD158" s="169"/>
      <c r="BE158" s="169"/>
      <c r="BF158" s="169"/>
      <c r="BG158" s="169"/>
      <c r="BH158" s="169"/>
      <c r="BI158" s="169"/>
      <c r="BJ158" s="169"/>
      <c r="BK158" s="169"/>
      <c r="BL158" s="169"/>
      <c r="BM158" s="169"/>
      <c r="BN158" s="169"/>
      <c r="BO158" s="169"/>
      <c r="BP158" s="169"/>
      <c r="BQ158" s="169"/>
      <c r="BR158" s="169"/>
      <c r="BS158" s="169"/>
      <c r="BT158" s="169"/>
      <c r="BU158" s="169"/>
      <c r="BV158" s="169"/>
      <c r="BW158" s="169"/>
      <c r="BX158" s="169"/>
      <c r="BY158" s="169"/>
      <c r="BZ158" s="169"/>
    </row>
    <row r="159" spans="12:78" customFormat="1" ht="11.25" customHeight="1">
      <c r="L159" s="20"/>
      <c r="M159" s="509" t="s">
        <v>514</v>
      </c>
      <c r="N159" s="544" t="s">
        <v>984</v>
      </c>
      <c r="O159" s="420" t="s">
        <v>195</v>
      </c>
      <c r="AB159" s="251"/>
      <c r="AC159" s="251"/>
      <c r="AD159" s="251"/>
      <c r="AE159" s="247">
        <f t="shared" si="7"/>
        <v>0</v>
      </c>
      <c r="AF159" s="221"/>
      <c r="AG159" s="221"/>
      <c r="AH159" s="169"/>
      <c r="AI159" s="169"/>
      <c r="AJ159" s="169"/>
      <c r="AK159" s="169"/>
      <c r="AL159" s="169"/>
      <c r="AM159" s="169"/>
      <c r="AN159" s="169"/>
      <c r="AO159" s="169"/>
      <c r="AP159" s="169"/>
      <c r="AQ159" s="169"/>
      <c r="AR159" s="169"/>
      <c r="AS159" s="169"/>
      <c r="AT159" s="169"/>
      <c r="AU159" s="169"/>
      <c r="AV159" s="169"/>
      <c r="AW159" s="169"/>
      <c r="AX159" s="169"/>
      <c r="AY159" s="169"/>
      <c r="AZ159" s="169"/>
      <c r="BA159" s="169"/>
      <c r="BB159" s="169"/>
      <c r="BC159" s="169"/>
      <c r="BD159" s="169"/>
      <c r="BE159" s="169"/>
      <c r="BF159" s="169"/>
      <c r="BG159" s="169"/>
      <c r="BH159" s="169"/>
      <c r="BI159" s="169"/>
      <c r="BJ159" s="169"/>
      <c r="BK159" s="169"/>
      <c r="BL159" s="169"/>
      <c r="BM159" s="169"/>
      <c r="BN159" s="169"/>
      <c r="BO159" s="169"/>
      <c r="BP159" s="169"/>
      <c r="BQ159" s="169"/>
      <c r="BR159" s="169"/>
      <c r="BS159" s="169"/>
      <c r="BT159" s="169"/>
      <c r="BU159" s="169"/>
      <c r="BV159" s="169"/>
      <c r="BW159" s="169"/>
      <c r="BX159" s="169"/>
      <c r="BY159" s="169"/>
      <c r="BZ159" s="169"/>
    </row>
    <row r="160" spans="12:78" customFormat="1" ht="11.25" customHeight="1">
      <c r="L160" s="20"/>
      <c r="M160" s="510" t="s">
        <v>985</v>
      </c>
      <c r="N160" s="534" t="s">
        <v>921</v>
      </c>
      <c r="O160" s="420" t="s">
        <v>289</v>
      </c>
      <c r="AB160" s="251"/>
      <c r="AC160" s="251"/>
      <c r="AD160" s="251"/>
      <c r="AE160" s="221"/>
      <c r="AF160" s="221"/>
      <c r="AG160" s="221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69"/>
      <c r="AT160" s="169"/>
      <c r="AU160" s="169"/>
      <c r="AV160" s="169"/>
      <c r="AW160" s="169"/>
      <c r="AX160" s="169"/>
      <c r="AY160" s="169"/>
      <c r="AZ160" s="169"/>
      <c r="BA160" s="169"/>
      <c r="BB160" s="169"/>
      <c r="BC160" s="169"/>
      <c r="BD160" s="169"/>
      <c r="BE160" s="169"/>
      <c r="BF160" s="169"/>
      <c r="BG160" s="169"/>
      <c r="BH160" s="169"/>
      <c r="BI160" s="169"/>
      <c r="BJ160" s="169"/>
      <c r="BK160" s="169"/>
      <c r="BL160" s="169"/>
      <c r="BM160" s="169"/>
      <c r="BN160" s="169"/>
      <c r="BO160" s="169"/>
      <c r="BP160" s="169"/>
      <c r="BQ160" s="169"/>
      <c r="BR160" s="169"/>
      <c r="BS160" s="169"/>
      <c r="BT160" s="169"/>
      <c r="BU160" s="169"/>
      <c r="BV160" s="169"/>
      <c r="BW160" s="169"/>
      <c r="BX160" s="169"/>
      <c r="BY160" s="169"/>
      <c r="BZ160" s="169"/>
    </row>
    <row r="161" spans="12:78" customFormat="1" ht="11.25" customHeight="1">
      <c r="L161" s="20"/>
      <c r="M161" s="510" t="s">
        <v>986</v>
      </c>
      <c r="N161" s="548" t="s">
        <v>1037</v>
      </c>
      <c r="O161" s="420" t="s">
        <v>29</v>
      </c>
      <c r="AB161" s="251"/>
      <c r="AC161" s="251"/>
      <c r="AD161" s="251"/>
      <c r="AE161" s="244">
        <f>IF(AE160=0,0,AE159/AE160*1000/AE$6)</f>
        <v>0</v>
      </c>
      <c r="AF161" s="244">
        <f>IF(AF160=0,0,AF159/AF160*1000/AF$6)</f>
        <v>0</v>
      </c>
      <c r="AG161" s="244">
        <f>IF(AG160=0,0,AG159/AG160*1000/AG$6)</f>
        <v>0</v>
      </c>
      <c r="AH161" s="169"/>
      <c r="AI161" s="169"/>
      <c r="AJ161" s="169"/>
      <c r="AK161" s="169"/>
      <c r="AL161" s="169"/>
      <c r="AM161" s="169"/>
      <c r="AN161" s="169"/>
      <c r="AO161" s="169"/>
      <c r="AP161" s="169"/>
      <c r="AQ161" s="169"/>
      <c r="AR161" s="169"/>
      <c r="AS161" s="169"/>
      <c r="AT161" s="169"/>
      <c r="AU161" s="169"/>
      <c r="AV161" s="169"/>
      <c r="AW161" s="169"/>
      <c r="AX161" s="169"/>
      <c r="AY161" s="169"/>
      <c r="AZ161" s="169"/>
      <c r="BA161" s="169"/>
      <c r="BB161" s="169"/>
      <c r="BC161" s="169"/>
      <c r="BD161" s="169"/>
      <c r="BE161" s="169"/>
      <c r="BF161" s="169"/>
      <c r="BG161" s="169"/>
      <c r="BH161" s="169"/>
      <c r="BI161" s="169"/>
      <c r="BJ161" s="169"/>
      <c r="BK161" s="169"/>
      <c r="BL161" s="169"/>
      <c r="BM161" s="169"/>
      <c r="BN161" s="169"/>
      <c r="BO161" s="169"/>
      <c r="BP161" s="169"/>
      <c r="BQ161" s="169"/>
      <c r="BR161" s="169"/>
      <c r="BS161" s="169"/>
      <c r="BT161" s="169"/>
      <c r="BU161" s="169"/>
      <c r="BV161" s="169"/>
      <c r="BW161" s="169"/>
      <c r="BX161" s="169"/>
      <c r="BY161" s="169"/>
      <c r="BZ161" s="169"/>
    </row>
    <row r="162" spans="12:78" customFormat="1" ht="11.25" customHeight="1">
      <c r="L162" s="20"/>
      <c r="M162" s="510" t="s">
        <v>987</v>
      </c>
      <c r="N162" s="549" t="s">
        <v>1198</v>
      </c>
      <c r="O162" s="420" t="s">
        <v>289</v>
      </c>
      <c r="AB162" s="251"/>
      <c r="AC162" s="251"/>
      <c r="AD162" s="251"/>
      <c r="AE162" s="221"/>
      <c r="AF162" s="221"/>
      <c r="AG162" s="221"/>
      <c r="AH162" s="169"/>
      <c r="AI162" s="169"/>
      <c r="AJ162" s="169"/>
      <c r="AK162" s="169"/>
      <c r="AL162" s="169"/>
      <c r="AM162" s="169"/>
      <c r="AN162" s="169"/>
      <c r="AO162" s="169"/>
      <c r="AP162" s="169"/>
      <c r="AQ162" s="169"/>
      <c r="AR162" s="169"/>
      <c r="AS162" s="169"/>
      <c r="AT162" s="169"/>
      <c r="AU162" s="169"/>
      <c r="AV162" s="169"/>
      <c r="AW162" s="169"/>
      <c r="AX162" s="169"/>
      <c r="AY162" s="169"/>
      <c r="AZ162" s="169"/>
      <c r="BA162" s="169"/>
      <c r="BB162" s="169"/>
      <c r="BC162" s="169"/>
      <c r="BD162" s="169"/>
      <c r="BE162" s="169"/>
      <c r="BF162" s="169"/>
      <c r="BG162" s="169"/>
      <c r="BH162" s="169"/>
      <c r="BI162" s="169"/>
      <c r="BJ162" s="169"/>
      <c r="BK162" s="169"/>
      <c r="BL162" s="169"/>
      <c r="BM162" s="169"/>
      <c r="BN162" s="169"/>
      <c r="BO162" s="169"/>
      <c r="BP162" s="169"/>
      <c r="BQ162" s="169"/>
      <c r="BR162" s="169"/>
      <c r="BS162" s="169"/>
      <c r="BT162" s="169"/>
      <c r="BU162" s="169"/>
      <c r="BV162" s="169"/>
      <c r="BW162" s="169"/>
      <c r="BX162" s="169"/>
      <c r="BY162" s="169"/>
      <c r="BZ162" s="169"/>
    </row>
    <row r="163" spans="12:78" customFormat="1" ht="11.25" customHeight="1">
      <c r="L163" s="20"/>
      <c r="M163" s="510" t="s">
        <v>988</v>
      </c>
      <c r="N163" s="537" t="s">
        <v>1199</v>
      </c>
      <c r="O163" s="420" t="s">
        <v>289</v>
      </c>
      <c r="AB163" s="251"/>
      <c r="AC163" s="251"/>
      <c r="AD163" s="251"/>
      <c r="AE163" s="221"/>
      <c r="AF163" s="221"/>
      <c r="AG163" s="221"/>
      <c r="AH163" s="169"/>
      <c r="AI163" s="169"/>
      <c r="AJ163" s="169"/>
      <c r="AK163" s="169"/>
      <c r="AL163" s="169"/>
      <c r="AM163" s="169"/>
      <c r="AN163" s="169"/>
      <c r="AO163" s="169"/>
      <c r="AP163" s="169"/>
      <c r="AQ163" s="169"/>
      <c r="AR163" s="169"/>
      <c r="AS163" s="169"/>
      <c r="AT163" s="169"/>
      <c r="AU163" s="169"/>
      <c r="AV163" s="169"/>
      <c r="AW163" s="169"/>
      <c r="AX163" s="169"/>
      <c r="AY163" s="169"/>
      <c r="AZ163" s="169"/>
      <c r="BA163" s="169"/>
      <c r="BB163" s="169"/>
      <c r="BC163" s="169"/>
      <c r="BD163" s="169"/>
      <c r="BE163" s="169"/>
      <c r="BF163" s="169"/>
      <c r="BG163" s="169"/>
      <c r="BH163" s="169"/>
      <c r="BI163" s="169"/>
      <c r="BJ163" s="169"/>
      <c r="BK163" s="169"/>
      <c r="BL163" s="169"/>
      <c r="BM163" s="169"/>
      <c r="BN163" s="169"/>
      <c r="BO163" s="169"/>
      <c r="BP163" s="169"/>
      <c r="BQ163" s="169"/>
      <c r="BR163" s="169"/>
      <c r="BS163" s="169"/>
      <c r="BT163" s="169"/>
      <c r="BU163" s="169"/>
      <c r="BV163" s="169"/>
      <c r="BW163" s="169"/>
      <c r="BX163" s="169"/>
      <c r="BY163" s="169"/>
      <c r="BZ163" s="169"/>
    </row>
    <row r="164" spans="12:78" customFormat="1" ht="11.25" customHeight="1">
      <c r="L164" s="20"/>
      <c r="M164" s="510" t="s">
        <v>989</v>
      </c>
      <c r="N164" s="527" t="s">
        <v>33</v>
      </c>
      <c r="O164" s="420" t="s">
        <v>29</v>
      </c>
      <c r="AB164" s="251"/>
      <c r="AC164" s="251"/>
      <c r="AD164" s="251"/>
      <c r="AE164" s="142"/>
      <c r="AF164" s="221"/>
      <c r="AG164" s="221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69"/>
      <c r="AU164" s="169"/>
      <c r="AV164" s="169"/>
      <c r="AW164" s="169"/>
      <c r="AX164" s="169"/>
      <c r="AY164" s="169"/>
      <c r="AZ164" s="169"/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169"/>
    </row>
    <row r="165" spans="12:78" customFormat="1" ht="11.25" customHeight="1">
      <c r="L165" s="20"/>
      <c r="M165" s="510" t="s">
        <v>990</v>
      </c>
      <c r="N165" s="550" t="s">
        <v>927</v>
      </c>
      <c r="O165" s="420"/>
      <c r="AB165" s="251"/>
      <c r="AC165" s="251"/>
      <c r="AD165" s="251"/>
      <c r="AE165" s="142"/>
      <c r="AF165" s="221"/>
      <c r="AG165" s="221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69"/>
      <c r="AU165" s="169"/>
      <c r="AV165" s="169"/>
      <c r="AW165" s="169"/>
      <c r="AX165" s="169"/>
      <c r="AY165" s="169"/>
      <c r="AZ165" s="169"/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169"/>
    </row>
    <row r="166" spans="12:78" customFormat="1" ht="11.25" customHeight="1">
      <c r="L166" s="20"/>
      <c r="M166" s="510" t="s">
        <v>991</v>
      </c>
      <c r="N166" s="527" t="s">
        <v>929</v>
      </c>
      <c r="O166" s="420" t="s">
        <v>29</v>
      </c>
      <c r="AB166" s="251"/>
      <c r="AC166" s="251"/>
      <c r="AD166" s="251"/>
      <c r="AE166" s="142"/>
      <c r="AF166" s="221"/>
      <c r="AG166" s="221"/>
      <c r="AH166" s="169"/>
      <c r="AI166" s="169"/>
      <c r="AJ166" s="169"/>
      <c r="AK166" s="169"/>
      <c r="AL166" s="169"/>
      <c r="AM166" s="169"/>
      <c r="AN166" s="169"/>
      <c r="AO166" s="169"/>
      <c r="AP166" s="169"/>
      <c r="AQ166" s="169"/>
      <c r="AR166" s="169"/>
      <c r="AS166" s="169"/>
      <c r="AT166" s="169"/>
      <c r="AU166" s="169"/>
      <c r="AV166" s="169"/>
      <c r="AW166" s="169"/>
      <c r="AX166" s="169"/>
      <c r="AY166" s="169"/>
      <c r="AZ166" s="169"/>
      <c r="BA166" s="169"/>
      <c r="BB166" s="169"/>
      <c r="BC166" s="169"/>
      <c r="BD166" s="169"/>
      <c r="BE166" s="169"/>
      <c r="BF166" s="169"/>
      <c r="BG166" s="169"/>
      <c r="BH166" s="169"/>
      <c r="BI166" s="169"/>
      <c r="BJ166" s="169"/>
      <c r="BK166" s="169"/>
      <c r="BL166" s="169"/>
      <c r="BM166" s="169"/>
      <c r="BN166" s="169"/>
      <c r="BO166" s="169"/>
      <c r="BP166" s="169"/>
      <c r="BQ166" s="169"/>
      <c r="BR166" s="169"/>
      <c r="BS166" s="169"/>
      <c r="BT166" s="169"/>
      <c r="BU166" s="169"/>
      <c r="BV166" s="169"/>
      <c r="BW166" s="169"/>
      <c r="BX166" s="169"/>
      <c r="BY166" s="169"/>
      <c r="BZ166" s="169"/>
    </row>
    <row r="167" spans="12:78" customFormat="1" ht="11.25" customHeight="1">
      <c r="L167" s="20"/>
      <c r="M167" s="510" t="s">
        <v>992</v>
      </c>
      <c r="N167" s="551" t="s">
        <v>931</v>
      </c>
      <c r="O167" s="420"/>
      <c r="AB167" s="251"/>
      <c r="AC167" s="251"/>
      <c r="AD167" s="251"/>
      <c r="AE167" s="142"/>
      <c r="AF167" s="221"/>
      <c r="AG167" s="221"/>
      <c r="AH167" s="169"/>
      <c r="AI167" s="169"/>
      <c r="AJ167" s="169"/>
      <c r="AK167" s="169"/>
      <c r="AL167" s="169"/>
      <c r="AM167" s="169"/>
      <c r="AN167" s="169"/>
      <c r="AO167" s="169"/>
      <c r="AP167" s="169"/>
      <c r="AQ167" s="169"/>
      <c r="AR167" s="169"/>
      <c r="AS167" s="169"/>
      <c r="AT167" s="169"/>
      <c r="AU167" s="169"/>
      <c r="AV167" s="169"/>
      <c r="AW167" s="169"/>
      <c r="AX167" s="169"/>
      <c r="AY167" s="169"/>
      <c r="AZ167" s="169"/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169"/>
    </row>
    <row r="168" spans="12:78" customFormat="1" ht="11.25" customHeight="1">
      <c r="L168" s="20"/>
      <c r="M168" s="510" t="s">
        <v>993</v>
      </c>
      <c r="N168" s="552" t="s">
        <v>933</v>
      </c>
      <c r="O168" s="420" t="s">
        <v>29</v>
      </c>
      <c r="AB168" s="251"/>
      <c r="AC168" s="251"/>
      <c r="AD168" s="251"/>
      <c r="AE168" s="142"/>
      <c r="AF168" s="221"/>
      <c r="AG168" s="221"/>
      <c r="AH168" s="169"/>
      <c r="AI168" s="169"/>
      <c r="AJ168" s="169"/>
      <c r="AK168" s="169"/>
      <c r="AL168" s="169"/>
      <c r="AM168" s="169"/>
      <c r="AN168" s="169"/>
      <c r="AO168" s="169"/>
      <c r="AP168" s="169"/>
      <c r="AQ168" s="169"/>
      <c r="AR168" s="169"/>
      <c r="AS168" s="169"/>
      <c r="AT168" s="169"/>
      <c r="AU168" s="169"/>
      <c r="AV168" s="169"/>
      <c r="AW168" s="169"/>
      <c r="AX168" s="169"/>
      <c r="AY168" s="169"/>
      <c r="AZ168" s="169"/>
      <c r="BA168" s="169"/>
      <c r="BB168" s="169"/>
      <c r="BC168" s="169"/>
      <c r="BD168" s="169"/>
      <c r="BE168" s="169"/>
      <c r="BF168" s="169"/>
      <c r="BG168" s="169"/>
      <c r="BH168" s="169"/>
      <c r="BI168" s="169"/>
      <c r="BJ168" s="169"/>
      <c r="BK168" s="169"/>
      <c r="BL168" s="169"/>
      <c r="BM168" s="169"/>
      <c r="BN168" s="169"/>
      <c r="BO168" s="169"/>
      <c r="BP168" s="169"/>
      <c r="BQ168" s="169"/>
      <c r="BR168" s="169"/>
      <c r="BS168" s="169"/>
      <c r="BT168" s="169"/>
      <c r="BU168" s="169"/>
      <c r="BV168" s="169"/>
      <c r="BW168" s="169"/>
      <c r="BX168" s="169"/>
      <c r="BY168" s="169"/>
      <c r="BZ168" s="169"/>
    </row>
    <row r="169" spans="12:78" customFormat="1" ht="11.25" customHeight="1">
      <c r="L169" s="20"/>
      <c r="M169" s="510" t="s">
        <v>994</v>
      </c>
      <c r="N169" s="553" t="s">
        <v>935</v>
      </c>
      <c r="O169" s="420" t="s">
        <v>29</v>
      </c>
      <c r="AB169" s="251"/>
      <c r="AC169" s="251"/>
      <c r="AD169" s="251"/>
      <c r="AE169" s="142"/>
      <c r="AF169" s="221"/>
      <c r="AG169" s="221"/>
      <c r="AH169" s="169"/>
      <c r="AI169" s="169"/>
      <c r="AJ169" s="169"/>
      <c r="AK169" s="169"/>
      <c r="AL169" s="169"/>
      <c r="AM169" s="169"/>
      <c r="AN169" s="169"/>
      <c r="AO169" s="169"/>
      <c r="AP169" s="169"/>
      <c r="AQ169" s="169"/>
      <c r="AR169" s="169"/>
      <c r="AS169" s="169"/>
      <c r="AT169" s="169"/>
      <c r="AU169" s="169"/>
      <c r="AV169" s="169"/>
      <c r="AW169" s="169"/>
      <c r="AX169" s="169"/>
      <c r="AY169" s="169"/>
      <c r="AZ169" s="169"/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169"/>
    </row>
    <row r="170" spans="12:78" customFormat="1" ht="11.25" customHeight="1">
      <c r="L170" s="20"/>
      <c r="M170" s="509" t="s">
        <v>995</v>
      </c>
      <c r="N170" s="542" t="s">
        <v>996</v>
      </c>
      <c r="O170" s="420" t="s">
        <v>195</v>
      </c>
      <c r="AB170" s="251"/>
      <c r="AC170" s="251"/>
      <c r="AD170" s="251"/>
      <c r="AE170" s="247">
        <f t="shared" ref="AE170:AE201" si="8">AF170+AG170</f>
        <v>0</v>
      </c>
      <c r="AF170" s="221"/>
      <c r="AG170" s="221"/>
      <c r="AH170" s="169"/>
      <c r="AI170" s="169"/>
      <c r="AJ170" s="169"/>
      <c r="AK170" s="169"/>
      <c r="AL170" s="169"/>
      <c r="AM170" s="169"/>
      <c r="AN170" s="169"/>
      <c r="AO170" s="169"/>
      <c r="AP170" s="169"/>
      <c r="AQ170" s="169"/>
      <c r="AR170" s="169"/>
      <c r="AS170" s="169"/>
      <c r="AT170" s="169"/>
      <c r="AU170" s="169"/>
      <c r="AV170" s="169"/>
      <c r="AW170" s="169"/>
      <c r="AX170" s="169"/>
      <c r="AY170" s="169"/>
      <c r="AZ170" s="169"/>
      <c r="BA170" s="169"/>
      <c r="BB170" s="169"/>
      <c r="BC170" s="169"/>
      <c r="BD170" s="169"/>
      <c r="BE170" s="169"/>
      <c r="BF170" s="169"/>
      <c r="BG170" s="169"/>
      <c r="BH170" s="169"/>
      <c r="BI170" s="169"/>
      <c r="BJ170" s="169"/>
      <c r="BK170" s="169"/>
      <c r="BL170" s="169"/>
      <c r="BM170" s="169"/>
      <c r="BN170" s="169"/>
      <c r="BO170" s="169"/>
      <c r="BP170" s="169"/>
      <c r="BQ170" s="169"/>
      <c r="BR170" s="169"/>
      <c r="BS170" s="169"/>
      <c r="BT170" s="169"/>
      <c r="BU170" s="169"/>
      <c r="BV170" s="169"/>
      <c r="BW170" s="169"/>
      <c r="BX170" s="169"/>
      <c r="BY170" s="169"/>
      <c r="BZ170" s="169"/>
    </row>
    <row r="171" spans="12:78" customFormat="1" ht="11.25" customHeight="1">
      <c r="L171" s="20"/>
      <c r="M171" s="509" t="s">
        <v>173</v>
      </c>
      <c r="N171" s="546" t="s">
        <v>997</v>
      </c>
      <c r="O171" s="420" t="s">
        <v>195</v>
      </c>
      <c r="AB171" s="251"/>
      <c r="AC171" s="251"/>
      <c r="AD171" s="251"/>
      <c r="AE171" s="247">
        <f t="shared" si="8"/>
        <v>0</v>
      </c>
      <c r="AF171" s="221"/>
      <c r="AG171" s="221"/>
      <c r="AH171" s="169"/>
      <c r="AI171" s="169"/>
      <c r="AJ171" s="169"/>
      <c r="AK171" s="169"/>
      <c r="AL171" s="169"/>
      <c r="AM171" s="169"/>
      <c r="AN171" s="169"/>
      <c r="AO171" s="169"/>
      <c r="AP171" s="169"/>
      <c r="AQ171" s="169"/>
      <c r="AR171" s="169"/>
      <c r="AS171" s="169"/>
      <c r="AT171" s="169"/>
      <c r="AU171" s="169"/>
      <c r="AV171" s="169"/>
      <c r="AW171" s="169"/>
      <c r="AX171" s="169"/>
      <c r="AY171" s="169"/>
      <c r="AZ171" s="169"/>
      <c r="BA171" s="169"/>
      <c r="BB171" s="169"/>
      <c r="BC171" s="169"/>
      <c r="BD171" s="169"/>
      <c r="BE171" s="169"/>
      <c r="BF171" s="169"/>
      <c r="BG171" s="169"/>
      <c r="BH171" s="169"/>
      <c r="BI171" s="169"/>
      <c r="BJ171" s="169"/>
      <c r="BK171" s="169"/>
      <c r="BL171" s="169"/>
      <c r="BM171" s="169"/>
      <c r="BN171" s="169"/>
      <c r="BO171" s="169"/>
      <c r="BP171" s="169"/>
      <c r="BQ171" s="169"/>
      <c r="BR171" s="169"/>
      <c r="BS171" s="169"/>
      <c r="BT171" s="169"/>
      <c r="BU171" s="169"/>
      <c r="BV171" s="169"/>
      <c r="BW171" s="169"/>
      <c r="BX171" s="169"/>
      <c r="BY171" s="169"/>
      <c r="BZ171" s="169"/>
    </row>
    <row r="172" spans="12:78" customFormat="1" ht="11.25" customHeight="1">
      <c r="L172" s="20"/>
      <c r="M172" s="509" t="s">
        <v>174</v>
      </c>
      <c r="N172" s="546" t="s">
        <v>998</v>
      </c>
      <c r="O172" s="420" t="s">
        <v>195</v>
      </c>
      <c r="AB172" s="251"/>
      <c r="AC172" s="251"/>
      <c r="AD172" s="251"/>
      <c r="AE172" s="247">
        <f t="shared" si="8"/>
        <v>0</v>
      </c>
      <c r="AF172" s="221"/>
      <c r="AG172" s="221"/>
      <c r="AH172" s="169"/>
      <c r="AI172" s="169"/>
      <c r="AJ172" s="169"/>
      <c r="AK172" s="169"/>
      <c r="AL172" s="169"/>
      <c r="AM172" s="169"/>
      <c r="AN172" s="169"/>
      <c r="AO172" s="169"/>
      <c r="AP172" s="169"/>
      <c r="AQ172" s="169"/>
      <c r="AR172" s="169"/>
      <c r="AS172" s="169"/>
      <c r="AT172" s="169"/>
      <c r="AU172" s="169"/>
      <c r="AV172" s="169"/>
      <c r="AW172" s="169"/>
      <c r="AX172" s="169"/>
      <c r="AY172" s="169"/>
      <c r="AZ172" s="169"/>
      <c r="BA172" s="169"/>
      <c r="BB172" s="169"/>
      <c r="BC172" s="169"/>
      <c r="BD172" s="169"/>
      <c r="BE172" s="169"/>
      <c r="BF172" s="169"/>
      <c r="BG172" s="169"/>
      <c r="BH172" s="169"/>
      <c r="BI172" s="169"/>
      <c r="BJ172" s="169"/>
      <c r="BK172" s="169"/>
      <c r="BL172" s="169"/>
      <c r="BM172" s="169"/>
      <c r="BN172" s="169"/>
      <c r="BO172" s="169"/>
      <c r="BP172" s="169"/>
      <c r="BQ172" s="169"/>
      <c r="BR172" s="169"/>
      <c r="BS172" s="169"/>
      <c r="BT172" s="169"/>
      <c r="BU172" s="169"/>
      <c r="BV172" s="169"/>
      <c r="BW172" s="169"/>
      <c r="BX172" s="169"/>
      <c r="BY172" s="169"/>
      <c r="BZ172" s="169"/>
    </row>
    <row r="173" spans="12:78" customFormat="1" ht="11.25" customHeight="1">
      <c r="L173" s="20"/>
      <c r="M173" s="509" t="s">
        <v>175</v>
      </c>
      <c r="N173" s="546" t="s">
        <v>999</v>
      </c>
      <c r="O173" s="420" t="s">
        <v>195</v>
      </c>
      <c r="AB173" s="251"/>
      <c r="AC173" s="251"/>
      <c r="AD173" s="251"/>
      <c r="AE173" s="247">
        <f t="shared" si="8"/>
        <v>0</v>
      </c>
      <c r="AF173" s="221"/>
      <c r="AG173" s="221"/>
      <c r="AH173" s="169"/>
      <c r="AI173" s="169"/>
      <c r="AJ173" s="169"/>
      <c r="AK173" s="169"/>
      <c r="AL173" s="169"/>
      <c r="AM173" s="169"/>
      <c r="AN173" s="169"/>
      <c r="AO173" s="169"/>
      <c r="AP173" s="169"/>
      <c r="AQ173" s="169"/>
      <c r="AR173" s="169"/>
      <c r="AS173" s="169"/>
      <c r="AT173" s="169"/>
      <c r="AU173" s="169"/>
      <c r="AV173" s="169"/>
      <c r="AW173" s="169"/>
      <c r="AX173" s="169"/>
      <c r="AY173" s="169"/>
      <c r="AZ173" s="169"/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169"/>
    </row>
    <row r="174" spans="12:78" customFormat="1" ht="11.25" customHeight="1">
      <c r="L174" s="20"/>
      <c r="M174" s="509" t="s">
        <v>176</v>
      </c>
      <c r="N174" s="546" t="s">
        <v>1000</v>
      </c>
      <c r="O174" s="420" t="s">
        <v>195</v>
      </c>
      <c r="AB174" s="251"/>
      <c r="AC174" s="251"/>
      <c r="AD174" s="251"/>
      <c r="AE174" s="247">
        <f t="shared" si="8"/>
        <v>0</v>
      </c>
      <c r="AF174" s="221"/>
      <c r="AG174" s="221"/>
      <c r="AH174" s="169"/>
      <c r="AI174" s="169"/>
      <c r="AJ174" s="169"/>
      <c r="AK174" s="169"/>
      <c r="AL174" s="169"/>
      <c r="AM174" s="169"/>
      <c r="AN174" s="169"/>
      <c r="AO174" s="169"/>
      <c r="AP174" s="169"/>
      <c r="AQ174" s="169"/>
      <c r="AR174" s="169"/>
      <c r="AS174" s="169"/>
      <c r="AT174" s="169"/>
      <c r="AU174" s="169"/>
      <c r="AV174" s="169"/>
      <c r="AW174" s="169"/>
      <c r="AX174" s="169"/>
      <c r="AY174" s="169"/>
      <c r="AZ174" s="169"/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169"/>
      <c r="BN174" s="169"/>
      <c r="BO174" s="169"/>
      <c r="BP174" s="169"/>
      <c r="BQ174" s="169"/>
      <c r="BR174" s="169"/>
      <c r="BS174" s="169"/>
      <c r="BT174" s="169"/>
      <c r="BU174" s="169"/>
      <c r="BV174" s="169"/>
      <c r="BW174" s="169"/>
      <c r="BX174" s="169"/>
      <c r="BY174" s="169"/>
      <c r="BZ174" s="169"/>
    </row>
    <row r="175" spans="12:78" customFormat="1" ht="11.25" customHeight="1">
      <c r="L175" s="20"/>
      <c r="M175" s="509" t="s">
        <v>1001</v>
      </c>
      <c r="N175" s="546" t="s">
        <v>1002</v>
      </c>
      <c r="O175" s="420" t="s">
        <v>195</v>
      </c>
      <c r="AB175" s="251"/>
      <c r="AC175" s="251"/>
      <c r="AD175" s="251"/>
      <c r="AE175" s="247">
        <f t="shared" si="8"/>
        <v>0</v>
      </c>
      <c r="AF175" s="221"/>
      <c r="AG175" s="221"/>
      <c r="AH175" s="169"/>
      <c r="AI175" s="169"/>
      <c r="AJ175" s="169"/>
      <c r="AK175" s="169"/>
      <c r="AL175" s="169"/>
      <c r="AM175" s="169"/>
      <c r="AN175" s="169"/>
      <c r="AO175" s="169"/>
      <c r="AP175" s="169"/>
      <c r="AQ175" s="169"/>
      <c r="AR175" s="169"/>
      <c r="AS175" s="169"/>
      <c r="AT175" s="169"/>
      <c r="AU175" s="169"/>
      <c r="AV175" s="169"/>
      <c r="AW175" s="169"/>
      <c r="AX175" s="169"/>
      <c r="AY175" s="169"/>
      <c r="AZ175" s="169"/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169"/>
    </row>
    <row r="176" spans="12:78" customFormat="1" ht="11.25" customHeight="1">
      <c r="L176" s="20"/>
      <c r="M176" s="509" t="s">
        <v>1003</v>
      </c>
      <c r="N176" s="544" t="s">
        <v>1004</v>
      </c>
      <c r="O176" s="420" t="s">
        <v>195</v>
      </c>
      <c r="AB176" s="251"/>
      <c r="AC176" s="251"/>
      <c r="AD176" s="251"/>
      <c r="AE176" s="247">
        <f t="shared" si="8"/>
        <v>0</v>
      </c>
      <c r="AF176" s="221"/>
      <c r="AG176" s="221"/>
      <c r="AH176" s="169"/>
      <c r="AI176" s="169"/>
      <c r="AJ176" s="169"/>
      <c r="AK176" s="169"/>
      <c r="AL176" s="169"/>
      <c r="AM176" s="169"/>
      <c r="AN176" s="169"/>
      <c r="AO176" s="169"/>
      <c r="AP176" s="169"/>
      <c r="AQ176" s="169"/>
      <c r="AR176" s="169"/>
      <c r="AS176" s="169"/>
      <c r="AT176" s="169"/>
      <c r="AU176" s="169"/>
      <c r="AV176" s="169"/>
      <c r="AW176" s="169"/>
      <c r="AX176" s="169"/>
      <c r="AY176" s="169"/>
      <c r="AZ176" s="169"/>
      <c r="BA176" s="169"/>
      <c r="BB176" s="169"/>
      <c r="BC176" s="169"/>
      <c r="BD176" s="169"/>
      <c r="BE176" s="169"/>
      <c r="BF176" s="169"/>
      <c r="BG176" s="169"/>
      <c r="BH176" s="169"/>
      <c r="BI176" s="169"/>
      <c r="BJ176" s="169"/>
      <c r="BK176" s="169"/>
      <c r="BL176" s="169"/>
      <c r="BM176" s="169"/>
      <c r="BN176" s="169"/>
      <c r="BO176" s="169"/>
      <c r="BP176" s="169"/>
      <c r="BQ176" s="169"/>
      <c r="BR176" s="169"/>
      <c r="BS176" s="169"/>
      <c r="BT176" s="169"/>
      <c r="BU176" s="169"/>
      <c r="BV176" s="169"/>
      <c r="BW176" s="169"/>
      <c r="BX176" s="169"/>
      <c r="BY176" s="169"/>
      <c r="BZ176" s="169"/>
    </row>
    <row r="177" spans="12:78" customFormat="1" ht="11.25" customHeight="1">
      <c r="L177" s="20"/>
      <c r="M177" s="509" t="s">
        <v>1005</v>
      </c>
      <c r="N177" s="544" t="s">
        <v>1006</v>
      </c>
      <c r="O177" s="420" t="s">
        <v>195</v>
      </c>
      <c r="AB177" s="251"/>
      <c r="AC177" s="251"/>
      <c r="AD177" s="251"/>
      <c r="AE177" s="247">
        <f t="shared" si="8"/>
        <v>0</v>
      </c>
      <c r="AF177" s="221"/>
      <c r="AG177" s="221"/>
      <c r="AH177" s="169"/>
      <c r="AI177" s="169"/>
      <c r="AJ177" s="169"/>
      <c r="AK177" s="169"/>
      <c r="AL177" s="169"/>
      <c r="AM177" s="169"/>
      <c r="AN177" s="169"/>
      <c r="AO177" s="169"/>
      <c r="AP177" s="169"/>
      <c r="AQ177" s="169"/>
      <c r="AR177" s="169"/>
      <c r="AS177" s="169"/>
      <c r="AT177" s="169"/>
      <c r="AU177" s="169"/>
      <c r="AV177" s="169"/>
      <c r="AW177" s="169"/>
      <c r="AX177" s="169"/>
      <c r="AY177" s="169"/>
      <c r="AZ177" s="169"/>
      <c r="BA177" s="169"/>
      <c r="BB177" s="169"/>
      <c r="BC177" s="169"/>
      <c r="BD177" s="169"/>
      <c r="BE177" s="169"/>
      <c r="BF177" s="169"/>
      <c r="BG177" s="169"/>
      <c r="BH177" s="169"/>
      <c r="BI177" s="169"/>
      <c r="BJ177" s="169"/>
      <c r="BK177" s="169"/>
      <c r="BL177" s="169"/>
      <c r="BM177" s="169"/>
      <c r="BN177" s="169"/>
      <c r="BO177" s="169"/>
      <c r="BP177" s="169"/>
      <c r="BQ177" s="169"/>
      <c r="BR177" s="169"/>
      <c r="BS177" s="169"/>
      <c r="BT177" s="169"/>
      <c r="BU177" s="169"/>
      <c r="BV177" s="169"/>
      <c r="BW177" s="169"/>
      <c r="BX177" s="169"/>
      <c r="BY177" s="169"/>
      <c r="BZ177" s="169"/>
    </row>
    <row r="178" spans="12:78" customFormat="1" ht="11.25" customHeight="1">
      <c r="L178" s="20"/>
      <c r="M178" s="490">
        <v>4</v>
      </c>
      <c r="N178" s="490" t="s">
        <v>1007</v>
      </c>
      <c r="O178" s="420" t="s">
        <v>195</v>
      </c>
      <c r="AB178" s="251"/>
      <c r="AC178" s="251"/>
      <c r="AD178" s="251"/>
      <c r="AE178" s="247">
        <f t="shared" si="8"/>
        <v>0</v>
      </c>
      <c r="AF178" s="221"/>
      <c r="AG178" s="221"/>
      <c r="AH178" s="169"/>
      <c r="AI178" s="169"/>
      <c r="AJ178" s="169"/>
      <c r="AK178" s="169"/>
      <c r="AL178" s="169"/>
      <c r="AM178" s="169"/>
      <c r="AN178" s="169"/>
      <c r="AO178" s="169"/>
      <c r="AP178" s="169"/>
      <c r="AQ178" s="169"/>
      <c r="AR178" s="169"/>
      <c r="AS178" s="169"/>
      <c r="AT178" s="169"/>
      <c r="AU178" s="169"/>
      <c r="AV178" s="169"/>
      <c r="AW178" s="169"/>
      <c r="AX178" s="169"/>
      <c r="AY178" s="169"/>
      <c r="AZ178" s="169"/>
      <c r="BA178" s="169"/>
      <c r="BB178" s="169"/>
      <c r="BC178" s="169"/>
      <c r="BD178" s="169"/>
      <c r="BE178" s="169"/>
      <c r="BF178" s="169"/>
      <c r="BG178" s="169"/>
      <c r="BH178" s="169"/>
      <c r="BI178" s="169"/>
      <c r="BJ178" s="169"/>
      <c r="BK178" s="169"/>
      <c r="BL178" s="169"/>
      <c r="BM178" s="169"/>
      <c r="BN178" s="169"/>
      <c r="BO178" s="169"/>
      <c r="BP178" s="169"/>
      <c r="BQ178" s="169"/>
      <c r="BR178" s="169"/>
      <c r="BS178" s="169"/>
      <c r="BT178" s="169"/>
      <c r="BU178" s="169"/>
      <c r="BV178" s="169"/>
      <c r="BW178" s="169"/>
      <c r="BX178" s="169"/>
      <c r="BY178" s="169"/>
      <c r="BZ178" s="169"/>
    </row>
    <row r="179" spans="12:78" customFormat="1" ht="11.25" customHeight="1">
      <c r="L179" s="20"/>
      <c r="M179" s="509" t="s">
        <v>177</v>
      </c>
      <c r="N179" s="546" t="s">
        <v>1008</v>
      </c>
      <c r="O179" s="420" t="s">
        <v>195</v>
      </c>
      <c r="AB179" s="251"/>
      <c r="AC179" s="251"/>
      <c r="AD179" s="251"/>
      <c r="AE179" s="247">
        <f t="shared" si="8"/>
        <v>0</v>
      </c>
      <c r="AF179" s="221"/>
      <c r="AG179" s="221"/>
      <c r="AH179" s="169"/>
      <c r="AI179" s="169"/>
      <c r="AJ179" s="169"/>
      <c r="AK179" s="169"/>
      <c r="AL179" s="169"/>
      <c r="AM179" s="169"/>
      <c r="AN179" s="169"/>
      <c r="AO179" s="169"/>
      <c r="AP179" s="169"/>
      <c r="AQ179" s="169"/>
      <c r="AR179" s="169"/>
      <c r="AS179" s="169"/>
      <c r="AT179" s="169"/>
      <c r="AU179" s="169"/>
      <c r="AV179" s="169"/>
      <c r="AW179" s="169"/>
      <c r="AX179" s="169"/>
      <c r="AY179" s="169"/>
      <c r="AZ179" s="169"/>
      <c r="BA179" s="169"/>
      <c r="BB179" s="169"/>
      <c r="BC179" s="169"/>
      <c r="BD179" s="169"/>
      <c r="BE179" s="169"/>
      <c r="BF179" s="169"/>
      <c r="BG179" s="169"/>
      <c r="BH179" s="169"/>
      <c r="BI179" s="169"/>
      <c r="BJ179" s="169"/>
      <c r="BK179" s="169"/>
      <c r="BL179" s="169"/>
      <c r="BM179" s="169"/>
      <c r="BN179" s="169"/>
      <c r="BO179" s="169"/>
      <c r="BP179" s="169"/>
      <c r="BQ179" s="169"/>
      <c r="BR179" s="169"/>
      <c r="BS179" s="169"/>
      <c r="BT179" s="169"/>
      <c r="BU179" s="169"/>
      <c r="BV179" s="169"/>
      <c r="BW179" s="169"/>
      <c r="BX179" s="169"/>
      <c r="BY179" s="169"/>
      <c r="BZ179" s="169"/>
    </row>
    <row r="180" spans="12:78" customFormat="1" ht="11.25" customHeight="1">
      <c r="L180" s="20"/>
      <c r="M180" s="490">
        <v>5</v>
      </c>
      <c r="N180" s="490" t="s">
        <v>604</v>
      </c>
      <c r="O180" s="420" t="s">
        <v>195</v>
      </c>
      <c r="AB180" s="251"/>
      <c r="AC180" s="251"/>
      <c r="AD180" s="251"/>
      <c r="AE180" s="247">
        <f t="shared" si="8"/>
        <v>0</v>
      </c>
      <c r="AF180" s="221"/>
      <c r="AG180" s="221"/>
      <c r="AH180" s="169"/>
      <c r="AI180" s="169"/>
      <c r="AJ180" s="169"/>
      <c r="AK180" s="169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69"/>
      <c r="AW180" s="169"/>
      <c r="AX180" s="169"/>
      <c r="AY180" s="169"/>
      <c r="AZ180" s="169"/>
      <c r="BA180" s="169"/>
      <c r="BB180" s="169"/>
      <c r="BC180" s="169"/>
      <c r="BD180" s="169"/>
      <c r="BE180" s="169"/>
      <c r="BF180" s="169"/>
      <c r="BG180" s="169"/>
      <c r="BH180" s="169"/>
      <c r="BI180" s="169"/>
      <c r="BJ180" s="169"/>
      <c r="BK180" s="169"/>
      <c r="BL180" s="169"/>
      <c r="BM180" s="169"/>
      <c r="BN180" s="169"/>
      <c r="BO180" s="169"/>
      <c r="BP180" s="169"/>
      <c r="BQ180" s="169"/>
      <c r="BR180" s="169"/>
      <c r="BS180" s="169"/>
      <c r="BT180" s="169"/>
      <c r="BU180" s="169"/>
      <c r="BV180" s="169"/>
      <c r="BW180" s="169"/>
      <c r="BX180" s="169"/>
      <c r="BY180" s="169"/>
      <c r="BZ180" s="169"/>
    </row>
    <row r="181" spans="12:78" customFormat="1" ht="11.25" customHeight="1">
      <c r="L181" s="20"/>
      <c r="M181" s="509" t="s">
        <v>181</v>
      </c>
      <c r="N181" s="546" t="s">
        <v>1009</v>
      </c>
      <c r="O181" s="420" t="s">
        <v>195</v>
      </c>
      <c r="AB181" s="251"/>
      <c r="AC181" s="251"/>
      <c r="AD181" s="251"/>
      <c r="AE181" s="247">
        <f t="shared" si="8"/>
        <v>0</v>
      </c>
      <c r="AF181" s="221"/>
      <c r="AG181" s="221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169"/>
      <c r="BA181" s="169"/>
      <c r="BB181" s="169"/>
      <c r="BC181" s="169"/>
      <c r="BD181" s="169"/>
      <c r="BE181" s="169"/>
      <c r="BF181" s="169"/>
      <c r="BG181" s="169"/>
      <c r="BH181" s="169"/>
      <c r="BI181" s="169"/>
      <c r="BJ181" s="169"/>
      <c r="BK181" s="169"/>
      <c r="BL181" s="169"/>
      <c r="BM181" s="169"/>
      <c r="BN181" s="169"/>
      <c r="BO181" s="169"/>
      <c r="BP181" s="169"/>
      <c r="BQ181" s="169"/>
      <c r="BR181" s="169"/>
      <c r="BS181" s="169"/>
      <c r="BT181" s="169"/>
      <c r="BU181" s="169"/>
      <c r="BV181" s="169"/>
      <c r="BW181" s="169"/>
      <c r="BX181" s="169"/>
      <c r="BY181" s="169"/>
      <c r="BZ181" s="169"/>
    </row>
    <row r="182" spans="12:78" customFormat="1" ht="11.25" customHeight="1">
      <c r="L182" s="20"/>
      <c r="M182" s="490">
        <v>6</v>
      </c>
      <c r="N182" s="490" t="s">
        <v>1902</v>
      </c>
      <c r="O182" s="420" t="s">
        <v>195</v>
      </c>
      <c r="AB182" s="251"/>
      <c r="AC182" s="251"/>
      <c r="AD182" s="251"/>
      <c r="AE182" s="247">
        <f t="shared" si="8"/>
        <v>0</v>
      </c>
      <c r="AF182" s="244">
        <f>SUM(AF183,AF187:AF190)</f>
        <v>0</v>
      </c>
      <c r="AG182" s="244">
        <f>SUM(AG183,AG187:AG190)</f>
        <v>0</v>
      </c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169"/>
      <c r="BN182" s="169"/>
      <c r="BO182" s="169"/>
      <c r="BP182" s="169"/>
      <c r="BQ182" s="169"/>
      <c r="BR182" s="169"/>
      <c r="BS182" s="169"/>
      <c r="BT182" s="169"/>
      <c r="BU182" s="169"/>
      <c r="BV182" s="169"/>
      <c r="BW182" s="169"/>
      <c r="BX182" s="169"/>
      <c r="BY182" s="169"/>
      <c r="BZ182" s="169"/>
    </row>
    <row r="183" spans="12:78" customFormat="1" ht="11.25" customHeight="1">
      <c r="L183" s="20"/>
      <c r="M183" s="509" t="s">
        <v>711</v>
      </c>
      <c r="N183" s="546" t="s">
        <v>1010</v>
      </c>
      <c r="O183" s="420" t="s">
        <v>195</v>
      </c>
      <c r="AB183" s="251"/>
      <c r="AC183" s="251"/>
      <c r="AD183" s="251"/>
      <c r="AE183" s="247">
        <f t="shared" si="8"/>
        <v>0</v>
      </c>
      <c r="AF183" s="244">
        <f>SUM(AF184:AF186)</f>
        <v>0</v>
      </c>
      <c r="AG183" s="244">
        <f>SUM(AG184:AG186)</f>
        <v>0</v>
      </c>
      <c r="AH183" s="169"/>
      <c r="AI183" s="169"/>
      <c r="AJ183" s="169"/>
      <c r="AK183" s="169"/>
      <c r="AL183" s="169"/>
      <c r="AM183" s="169"/>
      <c r="AN183" s="169"/>
      <c r="AO183" s="169"/>
      <c r="AP183" s="169"/>
      <c r="AQ183" s="169"/>
      <c r="AR183" s="169"/>
      <c r="AS183" s="169"/>
      <c r="AT183" s="169"/>
      <c r="AU183" s="169"/>
      <c r="AV183" s="169"/>
      <c r="AW183" s="169"/>
      <c r="AX183" s="169"/>
      <c r="AY183" s="169"/>
      <c r="AZ183" s="169"/>
      <c r="BA183" s="169"/>
      <c r="BB183" s="169"/>
      <c r="BC183" s="169"/>
      <c r="BD183" s="169"/>
      <c r="BE183" s="169"/>
      <c r="BF183" s="169"/>
      <c r="BG183" s="169"/>
      <c r="BH183" s="169"/>
      <c r="BI183" s="169"/>
      <c r="BJ183" s="169"/>
      <c r="BK183" s="169"/>
      <c r="BL183" s="169"/>
      <c r="BM183" s="169"/>
      <c r="BN183" s="169"/>
      <c r="BO183" s="169"/>
      <c r="BP183" s="169"/>
      <c r="BQ183" s="169"/>
      <c r="BR183" s="169"/>
      <c r="BS183" s="169"/>
      <c r="BT183" s="169"/>
      <c r="BU183" s="169"/>
      <c r="BV183" s="169"/>
      <c r="BW183" s="169"/>
      <c r="BX183" s="169"/>
      <c r="BY183" s="169"/>
      <c r="BZ183" s="169"/>
    </row>
    <row r="184" spans="12:78" customFormat="1" ht="11.25" customHeight="1">
      <c r="L184" s="20"/>
      <c r="M184" s="509" t="s">
        <v>574</v>
      </c>
      <c r="N184" s="544" t="s">
        <v>2100</v>
      </c>
      <c r="O184" s="420" t="s">
        <v>195</v>
      </c>
      <c r="AB184" s="251"/>
      <c r="AC184" s="251"/>
      <c r="AD184" s="251"/>
      <c r="AE184" s="247">
        <f t="shared" si="8"/>
        <v>0</v>
      </c>
      <c r="AF184" s="221"/>
      <c r="AG184" s="221"/>
      <c r="AH184" s="169"/>
      <c r="AI184" s="169"/>
      <c r="AJ184" s="169"/>
      <c r="AK184" s="169"/>
      <c r="AL184" s="169"/>
      <c r="AM184" s="169"/>
      <c r="AN184" s="169"/>
      <c r="AO184" s="169"/>
      <c r="AP184" s="169"/>
      <c r="AQ184" s="169"/>
      <c r="AR184" s="169"/>
      <c r="AS184" s="169"/>
      <c r="AT184" s="169"/>
      <c r="AU184" s="169"/>
      <c r="AV184" s="169"/>
      <c r="AW184" s="169"/>
      <c r="AX184" s="169"/>
      <c r="AY184" s="169"/>
      <c r="AZ184" s="169"/>
      <c r="BA184" s="169"/>
      <c r="BB184" s="169"/>
      <c r="BC184" s="169"/>
      <c r="BD184" s="169"/>
      <c r="BE184" s="169"/>
      <c r="BF184" s="169"/>
      <c r="BG184" s="169"/>
      <c r="BH184" s="169"/>
      <c r="BI184" s="169"/>
      <c r="BJ184" s="169"/>
      <c r="BK184" s="169"/>
      <c r="BL184" s="169"/>
      <c r="BM184" s="169"/>
      <c r="BN184" s="169"/>
      <c r="BO184" s="169"/>
      <c r="BP184" s="169"/>
      <c r="BQ184" s="169"/>
      <c r="BR184" s="169"/>
      <c r="BS184" s="169"/>
      <c r="BT184" s="169"/>
      <c r="BU184" s="169"/>
      <c r="BV184" s="169"/>
      <c r="BW184" s="169"/>
      <c r="BX184" s="169"/>
      <c r="BY184" s="169"/>
      <c r="BZ184" s="169"/>
    </row>
    <row r="185" spans="12:78" customFormat="1" ht="11.25" customHeight="1">
      <c r="L185" s="20"/>
      <c r="M185" s="509" t="s">
        <v>575</v>
      </c>
      <c r="N185" s="544" t="s">
        <v>2101</v>
      </c>
      <c r="O185" s="420" t="s">
        <v>195</v>
      </c>
      <c r="AB185" s="251"/>
      <c r="AC185" s="251"/>
      <c r="AD185" s="251"/>
      <c r="AE185" s="247">
        <f t="shared" si="8"/>
        <v>0</v>
      </c>
      <c r="AF185" s="221"/>
      <c r="AG185" s="221"/>
      <c r="AH185" s="169"/>
      <c r="AI185" s="169"/>
      <c r="AJ185" s="169"/>
      <c r="AK185" s="169"/>
      <c r="AL185" s="169"/>
      <c r="AM185" s="169"/>
      <c r="AN185" s="169"/>
      <c r="AO185" s="169"/>
      <c r="AP185" s="169"/>
      <c r="AQ185" s="169"/>
      <c r="AR185" s="169"/>
      <c r="AS185" s="169"/>
      <c r="AT185" s="169"/>
      <c r="AU185" s="169"/>
      <c r="AV185" s="169"/>
      <c r="AW185" s="169"/>
      <c r="AX185" s="169"/>
      <c r="AY185" s="169"/>
      <c r="AZ185" s="169"/>
      <c r="BA185" s="169"/>
      <c r="BB185" s="169"/>
      <c r="BC185" s="169"/>
      <c r="BD185" s="169"/>
      <c r="BE185" s="169"/>
      <c r="BF185" s="169"/>
      <c r="BG185" s="169"/>
      <c r="BH185" s="169"/>
      <c r="BI185" s="169"/>
      <c r="BJ185" s="169"/>
      <c r="BK185" s="169"/>
      <c r="BL185" s="169"/>
      <c r="BM185" s="169"/>
      <c r="BN185" s="169"/>
      <c r="BO185" s="169"/>
      <c r="BP185" s="169"/>
      <c r="BQ185" s="169"/>
      <c r="BR185" s="169"/>
      <c r="BS185" s="169"/>
      <c r="BT185" s="169"/>
      <c r="BU185" s="169"/>
      <c r="BV185" s="169"/>
      <c r="BW185" s="169"/>
      <c r="BX185" s="169"/>
      <c r="BY185" s="169"/>
      <c r="BZ185" s="169"/>
    </row>
    <row r="186" spans="12:78" customFormat="1" ht="11.25" customHeight="1">
      <c r="L186" s="20"/>
      <c r="M186" s="509" t="s">
        <v>745</v>
      </c>
      <c r="N186" s="544" t="s">
        <v>1025</v>
      </c>
      <c r="O186" s="420" t="s">
        <v>195</v>
      </c>
      <c r="AB186" s="251"/>
      <c r="AC186" s="251"/>
      <c r="AD186" s="251"/>
      <c r="AE186" s="247">
        <f t="shared" si="8"/>
        <v>0</v>
      </c>
      <c r="AF186" s="221"/>
      <c r="AG186" s="221"/>
      <c r="AH186" s="169"/>
      <c r="AI186" s="169"/>
      <c r="AJ186" s="169"/>
      <c r="AK186" s="169"/>
      <c r="AL186" s="169"/>
      <c r="AM186" s="169"/>
      <c r="AN186" s="169"/>
      <c r="AO186" s="169"/>
      <c r="AP186" s="169"/>
      <c r="AQ186" s="169"/>
      <c r="AR186" s="169"/>
      <c r="AS186" s="169"/>
      <c r="AT186" s="169"/>
      <c r="AU186" s="169"/>
      <c r="AV186" s="169"/>
      <c r="AW186" s="169"/>
      <c r="AX186" s="169"/>
      <c r="AY186" s="169"/>
      <c r="AZ186" s="169"/>
      <c r="BA186" s="169"/>
      <c r="BB186" s="169"/>
      <c r="BC186" s="169"/>
      <c r="BD186" s="169"/>
      <c r="BE186" s="169"/>
      <c r="BF186" s="169"/>
      <c r="BG186" s="169"/>
      <c r="BH186" s="169"/>
      <c r="BI186" s="169"/>
      <c r="BJ186" s="169"/>
      <c r="BK186" s="169"/>
      <c r="BL186" s="169"/>
      <c r="BM186" s="169"/>
      <c r="BN186" s="169"/>
      <c r="BO186" s="169"/>
      <c r="BP186" s="169"/>
      <c r="BQ186" s="169"/>
      <c r="BR186" s="169"/>
      <c r="BS186" s="169"/>
      <c r="BT186" s="169"/>
      <c r="BU186" s="169"/>
      <c r="BV186" s="169"/>
      <c r="BW186" s="169"/>
      <c r="BX186" s="169"/>
      <c r="BY186" s="169"/>
      <c r="BZ186" s="169"/>
    </row>
    <row r="187" spans="12:78" customFormat="1" ht="11.25" customHeight="1">
      <c r="L187" s="20"/>
      <c r="M187" s="509" t="s">
        <v>704</v>
      </c>
      <c r="N187" s="546" t="s">
        <v>1011</v>
      </c>
      <c r="O187" s="420" t="s">
        <v>195</v>
      </c>
      <c r="AB187" s="251"/>
      <c r="AC187" s="251"/>
      <c r="AD187" s="251"/>
      <c r="AE187" s="247">
        <f t="shared" si="8"/>
        <v>0</v>
      </c>
      <c r="AF187" s="221"/>
      <c r="AG187" s="221"/>
      <c r="AH187" s="169"/>
      <c r="AI187" s="169"/>
      <c r="AJ187" s="169"/>
      <c r="AK187" s="169"/>
      <c r="AL187" s="169"/>
      <c r="AM187" s="169"/>
      <c r="AN187" s="169"/>
      <c r="AO187" s="169"/>
      <c r="AP187" s="169"/>
      <c r="AQ187" s="169"/>
      <c r="AR187" s="169"/>
      <c r="AS187" s="169"/>
      <c r="AT187" s="169"/>
      <c r="AU187" s="169"/>
      <c r="AV187" s="169"/>
      <c r="AW187" s="169"/>
      <c r="AX187" s="169"/>
      <c r="AY187" s="169"/>
      <c r="AZ187" s="169"/>
      <c r="BA187" s="169"/>
      <c r="BB187" s="169"/>
      <c r="BC187" s="169"/>
      <c r="BD187" s="169"/>
      <c r="BE187" s="169"/>
      <c r="BF187" s="169"/>
      <c r="BG187" s="169"/>
      <c r="BH187" s="169"/>
      <c r="BI187" s="169"/>
      <c r="BJ187" s="169"/>
      <c r="BK187" s="169"/>
      <c r="BL187" s="169"/>
      <c r="BM187" s="169"/>
      <c r="BN187" s="169"/>
      <c r="BO187" s="169"/>
      <c r="BP187" s="169"/>
      <c r="BQ187" s="169"/>
      <c r="BR187" s="169"/>
      <c r="BS187" s="169"/>
      <c r="BT187" s="169"/>
      <c r="BU187" s="169"/>
      <c r="BV187" s="169"/>
      <c r="BW187" s="169"/>
      <c r="BX187" s="169"/>
      <c r="BY187" s="169"/>
      <c r="BZ187" s="169"/>
    </row>
    <row r="188" spans="12:78" customFormat="1" ht="11.25" customHeight="1">
      <c r="L188" s="20"/>
      <c r="M188" s="509" t="s">
        <v>707</v>
      </c>
      <c r="N188" s="546" t="s">
        <v>1012</v>
      </c>
      <c r="O188" s="420" t="s">
        <v>195</v>
      </c>
      <c r="AB188" s="251"/>
      <c r="AC188" s="251"/>
      <c r="AD188" s="251"/>
      <c r="AE188" s="247">
        <f t="shared" si="8"/>
        <v>0</v>
      </c>
      <c r="AF188" s="221"/>
      <c r="AG188" s="221"/>
      <c r="AH188" s="169"/>
      <c r="AI188" s="169"/>
      <c r="AJ188" s="169"/>
      <c r="AK188" s="169"/>
      <c r="AL188" s="169"/>
      <c r="AM188" s="169"/>
      <c r="AN188" s="169"/>
      <c r="AO188" s="169"/>
      <c r="AP188" s="169"/>
      <c r="AQ188" s="169"/>
      <c r="AR188" s="169"/>
      <c r="AS188" s="169"/>
      <c r="AT188" s="169"/>
      <c r="AU188" s="169"/>
      <c r="AV188" s="169"/>
      <c r="AW188" s="169"/>
      <c r="AX188" s="169"/>
      <c r="AY188" s="169"/>
      <c r="AZ188" s="169"/>
      <c r="BA188" s="169"/>
      <c r="BB188" s="169"/>
      <c r="BC188" s="169"/>
      <c r="BD188" s="169"/>
      <c r="BE188" s="169"/>
      <c r="BF188" s="169"/>
      <c r="BG188" s="169"/>
      <c r="BH188" s="169"/>
      <c r="BI188" s="169"/>
      <c r="BJ188" s="169"/>
      <c r="BK188" s="169"/>
      <c r="BL188" s="169"/>
      <c r="BM188" s="169"/>
      <c r="BN188" s="169"/>
      <c r="BO188" s="169"/>
      <c r="BP188" s="169"/>
      <c r="BQ188" s="169"/>
      <c r="BR188" s="169"/>
      <c r="BS188" s="169"/>
      <c r="BT188" s="169"/>
      <c r="BU188" s="169"/>
      <c r="BV188" s="169"/>
      <c r="BW188" s="169"/>
      <c r="BX188" s="169"/>
      <c r="BY188" s="169"/>
      <c r="BZ188" s="169"/>
    </row>
    <row r="189" spans="12:78" customFormat="1" ht="11.25" customHeight="1">
      <c r="L189" s="20"/>
      <c r="M189" s="509" t="s">
        <v>582</v>
      </c>
      <c r="N189" s="546" t="s">
        <v>1013</v>
      </c>
      <c r="O189" s="420" t="s">
        <v>195</v>
      </c>
      <c r="AB189" s="251"/>
      <c r="AC189" s="251"/>
      <c r="AD189" s="251"/>
      <c r="AE189" s="247">
        <f t="shared" si="8"/>
        <v>0</v>
      </c>
      <c r="AF189" s="221"/>
      <c r="AG189" s="221"/>
      <c r="AH189" s="169"/>
      <c r="AI189" s="169"/>
      <c r="AJ189" s="169"/>
      <c r="AK189" s="169"/>
      <c r="AL189" s="169"/>
      <c r="AM189" s="169"/>
      <c r="AN189" s="169"/>
      <c r="AO189" s="169"/>
      <c r="AP189" s="169"/>
      <c r="AQ189" s="169"/>
      <c r="AR189" s="169"/>
      <c r="AS189" s="169"/>
      <c r="AT189" s="169"/>
      <c r="AU189" s="169"/>
      <c r="AV189" s="169"/>
      <c r="AW189" s="169"/>
      <c r="AX189" s="169"/>
      <c r="AY189" s="169"/>
      <c r="AZ189" s="169"/>
      <c r="BA189" s="169"/>
      <c r="BB189" s="169"/>
      <c r="BC189" s="169"/>
      <c r="BD189" s="169"/>
      <c r="BE189" s="169"/>
      <c r="BF189" s="169"/>
      <c r="BG189" s="169"/>
      <c r="BH189" s="169"/>
      <c r="BI189" s="169"/>
      <c r="BJ189" s="169"/>
      <c r="BK189" s="169"/>
      <c r="BL189" s="169"/>
      <c r="BM189" s="169"/>
      <c r="BN189" s="169"/>
      <c r="BO189" s="169"/>
      <c r="BP189" s="169"/>
      <c r="BQ189" s="169"/>
      <c r="BR189" s="169"/>
      <c r="BS189" s="169"/>
      <c r="BT189" s="169"/>
      <c r="BU189" s="169"/>
      <c r="BV189" s="169"/>
      <c r="BW189" s="169"/>
      <c r="BX189" s="169"/>
      <c r="BY189" s="169"/>
      <c r="BZ189" s="169"/>
    </row>
    <row r="190" spans="12:78" customFormat="1" ht="11.25" customHeight="1">
      <c r="L190" s="20"/>
      <c r="M190" s="509" t="s">
        <v>586</v>
      </c>
      <c r="N190" s="546" t="s">
        <v>1014</v>
      </c>
      <c r="O190" s="420" t="s">
        <v>195</v>
      </c>
      <c r="AB190" s="251"/>
      <c r="AC190" s="251"/>
      <c r="AD190" s="251"/>
      <c r="AE190" s="247">
        <f t="shared" si="8"/>
        <v>0</v>
      </c>
      <c r="AF190" s="221"/>
      <c r="AG190" s="221"/>
      <c r="AH190" s="169"/>
      <c r="AI190" s="169"/>
      <c r="AJ190" s="169"/>
      <c r="AK190" s="169"/>
      <c r="AL190" s="169"/>
      <c r="AM190" s="169"/>
      <c r="AN190" s="169"/>
      <c r="AO190" s="169"/>
      <c r="AP190" s="169"/>
      <c r="AQ190" s="169"/>
      <c r="AR190" s="169"/>
      <c r="AS190" s="169"/>
      <c r="AT190" s="169"/>
      <c r="AU190" s="169"/>
      <c r="AV190" s="169"/>
      <c r="AW190" s="169"/>
      <c r="AX190" s="169"/>
      <c r="AY190" s="169"/>
      <c r="AZ190" s="169"/>
      <c r="BA190" s="169"/>
      <c r="BB190" s="169"/>
      <c r="BC190" s="169"/>
      <c r="BD190" s="169"/>
      <c r="BE190" s="169"/>
      <c r="BF190" s="169"/>
      <c r="BG190" s="169"/>
      <c r="BH190" s="169"/>
      <c r="BI190" s="169"/>
      <c r="BJ190" s="169"/>
      <c r="BK190" s="169"/>
      <c r="BL190" s="169"/>
      <c r="BM190" s="169"/>
      <c r="BN190" s="169"/>
      <c r="BO190" s="169"/>
      <c r="BP190" s="169"/>
      <c r="BQ190" s="169"/>
      <c r="BR190" s="169"/>
      <c r="BS190" s="169"/>
      <c r="BT190" s="169"/>
      <c r="BU190" s="169"/>
      <c r="BV190" s="169"/>
      <c r="BW190" s="169"/>
      <c r="BX190" s="169"/>
      <c r="BY190" s="169"/>
      <c r="BZ190" s="169"/>
    </row>
    <row r="191" spans="12:78" customFormat="1" ht="11.25" customHeight="1">
      <c r="L191" s="20"/>
      <c r="M191" s="490">
        <v>7</v>
      </c>
      <c r="N191" s="490" t="s">
        <v>1903</v>
      </c>
      <c r="O191" s="420" t="s">
        <v>195</v>
      </c>
      <c r="AB191" s="251"/>
      <c r="AC191" s="251"/>
      <c r="AD191" s="251"/>
      <c r="AE191" s="247">
        <f t="shared" si="8"/>
        <v>0</v>
      </c>
      <c r="AF191" s="244">
        <f>SUM(AF192:AF198)</f>
        <v>0</v>
      </c>
      <c r="AG191" s="244">
        <f>SUM(AG192:AG198)</f>
        <v>0</v>
      </c>
      <c r="AH191" s="169"/>
      <c r="AI191" s="169"/>
      <c r="AJ191" s="169"/>
      <c r="AK191" s="169"/>
      <c r="AL191" s="169"/>
      <c r="AM191" s="169"/>
      <c r="AN191" s="169"/>
      <c r="AO191" s="169"/>
      <c r="AP191" s="169"/>
      <c r="AQ191" s="169"/>
      <c r="AR191" s="169"/>
      <c r="AS191" s="169"/>
      <c r="AT191" s="169"/>
      <c r="AU191" s="169"/>
      <c r="AV191" s="169"/>
      <c r="AW191" s="169"/>
      <c r="AX191" s="169"/>
      <c r="AY191" s="169"/>
      <c r="AZ191" s="169"/>
      <c r="BA191" s="169"/>
      <c r="BB191" s="169"/>
      <c r="BC191" s="169"/>
      <c r="BD191" s="169"/>
      <c r="BE191" s="169"/>
      <c r="BF191" s="169"/>
      <c r="BG191" s="169"/>
      <c r="BH191" s="169"/>
      <c r="BI191" s="169"/>
      <c r="BJ191" s="169"/>
      <c r="BK191" s="169"/>
      <c r="BL191" s="169"/>
      <c r="BM191" s="169"/>
      <c r="BN191" s="169"/>
      <c r="BO191" s="169"/>
      <c r="BP191" s="169"/>
      <c r="BQ191" s="169"/>
      <c r="BR191" s="169"/>
      <c r="BS191" s="169"/>
      <c r="BT191" s="169"/>
      <c r="BU191" s="169"/>
      <c r="BV191" s="169"/>
      <c r="BW191" s="169"/>
      <c r="BX191" s="169"/>
      <c r="BY191" s="169"/>
      <c r="BZ191" s="169"/>
    </row>
    <row r="192" spans="12:78" customFormat="1" ht="11.25" customHeight="1">
      <c r="L192" s="20"/>
      <c r="M192" s="509" t="s">
        <v>525</v>
      </c>
      <c r="N192" s="546" t="s">
        <v>1015</v>
      </c>
      <c r="O192" s="420" t="s">
        <v>195</v>
      </c>
      <c r="AB192" s="251"/>
      <c r="AC192" s="251"/>
      <c r="AD192" s="251"/>
      <c r="AE192" s="247">
        <f t="shared" si="8"/>
        <v>0</v>
      </c>
      <c r="AF192" s="221"/>
      <c r="AG192" s="221"/>
      <c r="AH192" s="169"/>
      <c r="AI192" s="169"/>
      <c r="AJ192" s="169"/>
      <c r="AK192" s="169"/>
      <c r="AL192" s="169"/>
      <c r="AM192" s="169"/>
      <c r="AN192" s="169"/>
      <c r="AO192" s="169"/>
      <c r="AP192" s="169"/>
      <c r="AQ192" s="169"/>
      <c r="AR192" s="169"/>
      <c r="AS192" s="169"/>
      <c r="AT192" s="169"/>
      <c r="AU192" s="169"/>
      <c r="AV192" s="169"/>
      <c r="AW192" s="169"/>
      <c r="AX192" s="169"/>
      <c r="AY192" s="169"/>
      <c r="AZ192" s="169"/>
      <c r="BA192" s="169"/>
      <c r="BB192" s="169"/>
      <c r="BC192" s="169"/>
      <c r="BD192" s="169"/>
      <c r="BE192" s="169"/>
      <c r="BF192" s="169"/>
      <c r="BG192" s="169"/>
      <c r="BH192" s="169"/>
      <c r="BI192" s="169"/>
      <c r="BJ192" s="169"/>
      <c r="BK192" s="169"/>
      <c r="BL192" s="169"/>
      <c r="BM192" s="169"/>
      <c r="BN192" s="169"/>
      <c r="BO192" s="169"/>
      <c r="BP192" s="169"/>
      <c r="BQ192" s="169"/>
      <c r="BR192" s="169"/>
      <c r="BS192" s="169"/>
      <c r="BT192" s="169"/>
      <c r="BU192" s="169"/>
      <c r="BV192" s="169"/>
      <c r="BW192" s="169"/>
      <c r="BX192" s="169"/>
      <c r="BY192" s="169"/>
      <c r="BZ192" s="169"/>
    </row>
    <row r="193" spans="12:78" customFormat="1" ht="11.25" customHeight="1">
      <c r="L193" s="20"/>
      <c r="M193" s="509" t="s">
        <v>527</v>
      </c>
      <c r="N193" s="546" t="s">
        <v>1016</v>
      </c>
      <c r="O193" s="420" t="s">
        <v>195</v>
      </c>
      <c r="AB193" s="251"/>
      <c r="AC193" s="251"/>
      <c r="AD193" s="251"/>
      <c r="AE193" s="247">
        <f t="shared" si="8"/>
        <v>0</v>
      </c>
      <c r="AF193" s="221"/>
      <c r="AG193" s="221"/>
      <c r="AH193" s="169"/>
      <c r="AI193" s="169"/>
      <c r="AJ193" s="169"/>
      <c r="AK193" s="169"/>
      <c r="AL193" s="169"/>
      <c r="AM193" s="169"/>
      <c r="AN193" s="169"/>
      <c r="AO193" s="169"/>
      <c r="AP193" s="169"/>
      <c r="AQ193" s="169"/>
      <c r="AR193" s="169"/>
      <c r="AS193" s="169"/>
      <c r="AT193" s="169"/>
      <c r="AU193" s="169"/>
      <c r="AV193" s="169"/>
      <c r="AW193" s="169"/>
      <c r="AX193" s="169"/>
      <c r="AY193" s="169"/>
      <c r="AZ193" s="169"/>
      <c r="BA193" s="169"/>
      <c r="BB193" s="169"/>
      <c r="BC193" s="169"/>
      <c r="BD193" s="169"/>
      <c r="BE193" s="169"/>
      <c r="BF193" s="169"/>
      <c r="BG193" s="169"/>
      <c r="BH193" s="169"/>
      <c r="BI193" s="169"/>
      <c r="BJ193" s="169"/>
      <c r="BK193" s="169"/>
      <c r="BL193" s="169"/>
      <c r="BM193" s="169"/>
      <c r="BN193" s="169"/>
      <c r="BO193" s="169"/>
      <c r="BP193" s="169"/>
      <c r="BQ193" s="169"/>
      <c r="BR193" s="169"/>
      <c r="BS193" s="169"/>
      <c r="BT193" s="169"/>
      <c r="BU193" s="169"/>
      <c r="BV193" s="169"/>
      <c r="BW193" s="169"/>
      <c r="BX193" s="169"/>
      <c r="BY193" s="169"/>
      <c r="BZ193" s="169"/>
    </row>
    <row r="194" spans="12:78" customFormat="1" ht="11.25" customHeight="1">
      <c r="L194" s="20"/>
      <c r="M194" s="509" t="s">
        <v>530</v>
      </c>
      <c r="N194" s="546" t="s">
        <v>1017</v>
      </c>
      <c r="O194" s="420" t="s">
        <v>195</v>
      </c>
      <c r="AB194" s="251"/>
      <c r="AC194" s="251"/>
      <c r="AD194" s="251"/>
      <c r="AE194" s="247">
        <f t="shared" si="8"/>
        <v>0</v>
      </c>
      <c r="AF194" s="221"/>
      <c r="AG194" s="221"/>
      <c r="AH194" s="169"/>
      <c r="AI194" s="169"/>
      <c r="AJ194" s="169"/>
      <c r="AK194" s="169"/>
      <c r="AL194" s="169"/>
      <c r="AM194" s="169"/>
      <c r="AN194" s="169"/>
      <c r="AO194" s="169"/>
      <c r="AP194" s="169"/>
      <c r="AQ194" s="169"/>
      <c r="AR194" s="169"/>
      <c r="AS194" s="169"/>
      <c r="AT194" s="169"/>
      <c r="AU194" s="169"/>
      <c r="AV194" s="169"/>
      <c r="AW194" s="169"/>
      <c r="AX194" s="169"/>
      <c r="AY194" s="169"/>
      <c r="AZ194" s="169"/>
      <c r="BA194" s="169"/>
      <c r="BB194" s="169"/>
      <c r="BC194" s="169"/>
      <c r="BD194" s="169"/>
      <c r="BE194" s="169"/>
      <c r="BF194" s="169"/>
      <c r="BG194" s="169"/>
      <c r="BH194" s="169"/>
      <c r="BI194" s="169"/>
      <c r="BJ194" s="169"/>
      <c r="BK194" s="169"/>
      <c r="BL194" s="169"/>
      <c r="BM194" s="169"/>
      <c r="BN194" s="169"/>
      <c r="BO194" s="169"/>
      <c r="BP194" s="169"/>
      <c r="BQ194" s="169"/>
      <c r="BR194" s="169"/>
      <c r="BS194" s="169"/>
      <c r="BT194" s="169"/>
      <c r="BU194" s="169"/>
      <c r="BV194" s="169"/>
      <c r="BW194" s="169"/>
      <c r="BX194" s="169"/>
      <c r="BY194" s="169"/>
      <c r="BZ194" s="169"/>
    </row>
    <row r="195" spans="12:78" customFormat="1" ht="11.25" customHeight="1">
      <c r="L195" s="20"/>
      <c r="M195" s="509" t="s">
        <v>532</v>
      </c>
      <c r="N195" s="546" t="s">
        <v>1018</v>
      </c>
      <c r="O195" s="420" t="s">
        <v>195</v>
      </c>
      <c r="AB195" s="251"/>
      <c r="AC195" s="251"/>
      <c r="AD195" s="251"/>
      <c r="AE195" s="247">
        <f t="shared" si="8"/>
        <v>0</v>
      </c>
      <c r="AF195" s="221"/>
      <c r="AG195" s="221"/>
      <c r="AH195" s="169"/>
      <c r="AI195" s="169"/>
      <c r="AJ195" s="169"/>
      <c r="AK195" s="169"/>
      <c r="AL195" s="169"/>
      <c r="AM195" s="169"/>
      <c r="AN195" s="169"/>
      <c r="AO195" s="169"/>
      <c r="AP195" s="169"/>
      <c r="AQ195" s="169"/>
      <c r="AR195" s="169"/>
      <c r="AS195" s="169"/>
      <c r="AT195" s="169"/>
      <c r="AU195" s="169"/>
      <c r="AV195" s="169"/>
      <c r="AW195" s="169"/>
      <c r="AX195" s="169"/>
      <c r="AY195" s="169"/>
      <c r="AZ195" s="169"/>
      <c r="BA195" s="169"/>
      <c r="BB195" s="169"/>
      <c r="BC195" s="169"/>
      <c r="BD195" s="169"/>
      <c r="BE195" s="169"/>
      <c r="BF195" s="169"/>
      <c r="BG195" s="169"/>
      <c r="BH195" s="169"/>
      <c r="BI195" s="169"/>
      <c r="BJ195" s="169"/>
      <c r="BK195" s="169"/>
      <c r="BL195" s="169"/>
      <c r="BM195" s="169"/>
      <c r="BN195" s="169"/>
      <c r="BO195" s="169"/>
      <c r="BP195" s="169"/>
      <c r="BQ195" s="169"/>
      <c r="BR195" s="169"/>
      <c r="BS195" s="169"/>
      <c r="BT195" s="169"/>
      <c r="BU195" s="169"/>
      <c r="BV195" s="169"/>
      <c r="BW195" s="169"/>
      <c r="BX195" s="169"/>
      <c r="BY195" s="169"/>
      <c r="BZ195" s="169"/>
    </row>
    <row r="196" spans="12:78" customFormat="1" ht="11.25" customHeight="1">
      <c r="L196" s="20"/>
      <c r="M196" s="509" t="s">
        <v>534</v>
      </c>
      <c r="N196" s="546" t="s">
        <v>1019</v>
      </c>
      <c r="O196" s="420" t="s">
        <v>195</v>
      </c>
      <c r="AB196" s="251"/>
      <c r="AC196" s="251"/>
      <c r="AD196" s="251"/>
      <c r="AE196" s="247">
        <f t="shared" si="8"/>
        <v>0</v>
      </c>
      <c r="AF196" s="221"/>
      <c r="AG196" s="221"/>
      <c r="AH196" s="169"/>
      <c r="AI196" s="169"/>
      <c r="AJ196" s="169"/>
      <c r="AK196" s="169"/>
      <c r="AL196" s="169"/>
      <c r="AM196" s="169"/>
      <c r="AN196" s="169"/>
      <c r="AO196" s="169"/>
      <c r="AP196" s="169"/>
      <c r="AQ196" s="169"/>
      <c r="AR196" s="169"/>
      <c r="AS196" s="169"/>
      <c r="AT196" s="169"/>
      <c r="AU196" s="169"/>
      <c r="AV196" s="169"/>
      <c r="AW196" s="169"/>
      <c r="AX196" s="169"/>
      <c r="AY196" s="169"/>
      <c r="AZ196" s="169"/>
      <c r="BA196" s="169"/>
      <c r="BB196" s="169"/>
      <c r="BC196" s="169"/>
      <c r="BD196" s="169"/>
      <c r="BE196" s="169"/>
      <c r="BF196" s="169"/>
      <c r="BG196" s="169"/>
      <c r="BH196" s="169"/>
      <c r="BI196" s="169"/>
      <c r="BJ196" s="169"/>
      <c r="BK196" s="169"/>
      <c r="BL196" s="169"/>
      <c r="BM196" s="169"/>
      <c r="BN196" s="169"/>
      <c r="BO196" s="169"/>
      <c r="BP196" s="169"/>
      <c r="BQ196" s="169"/>
      <c r="BR196" s="169"/>
      <c r="BS196" s="169"/>
      <c r="BT196" s="169"/>
      <c r="BU196" s="169"/>
      <c r="BV196" s="169"/>
      <c r="BW196" s="169"/>
      <c r="BX196" s="169"/>
      <c r="BY196" s="169"/>
      <c r="BZ196" s="169"/>
    </row>
    <row r="197" spans="12:78" customFormat="1" ht="11.25" customHeight="1">
      <c r="L197" s="20"/>
      <c r="M197" s="509" t="s">
        <v>1020</v>
      </c>
      <c r="N197" s="546" t="s">
        <v>1021</v>
      </c>
      <c r="O197" s="420" t="s">
        <v>195</v>
      </c>
      <c r="AB197" s="251"/>
      <c r="AC197" s="251"/>
      <c r="AD197" s="251"/>
      <c r="AE197" s="247">
        <f t="shared" si="8"/>
        <v>0</v>
      </c>
      <c r="AF197" s="221"/>
      <c r="AG197" s="221"/>
      <c r="AH197" s="169"/>
      <c r="AI197" s="169"/>
      <c r="AJ197" s="169"/>
      <c r="AK197" s="169"/>
      <c r="AL197" s="169"/>
      <c r="AM197" s="169"/>
      <c r="AN197" s="169"/>
      <c r="AO197" s="169"/>
      <c r="AP197" s="169"/>
      <c r="AQ197" s="169"/>
      <c r="AR197" s="169"/>
      <c r="AS197" s="169"/>
      <c r="AT197" s="169"/>
      <c r="AU197" s="169"/>
      <c r="AV197" s="169"/>
      <c r="AW197" s="169"/>
      <c r="AX197" s="169"/>
      <c r="AY197" s="169"/>
      <c r="AZ197" s="169"/>
      <c r="BA197" s="169"/>
      <c r="BB197" s="169"/>
      <c r="BC197" s="169"/>
      <c r="BD197" s="169"/>
      <c r="BE197" s="169"/>
      <c r="BF197" s="169"/>
      <c r="BG197" s="169"/>
      <c r="BH197" s="169"/>
      <c r="BI197" s="169"/>
      <c r="BJ197" s="169"/>
      <c r="BK197" s="169"/>
      <c r="BL197" s="169"/>
      <c r="BM197" s="169"/>
      <c r="BN197" s="169"/>
      <c r="BO197" s="169"/>
      <c r="BP197" s="169"/>
      <c r="BQ197" s="169"/>
      <c r="BR197" s="169"/>
      <c r="BS197" s="169"/>
      <c r="BT197" s="169"/>
      <c r="BU197" s="169"/>
      <c r="BV197" s="169"/>
      <c r="BW197" s="169"/>
      <c r="BX197" s="169"/>
      <c r="BY197" s="169"/>
      <c r="BZ197" s="169"/>
    </row>
    <row r="198" spans="12:78" customFormat="1" ht="11.25" customHeight="1">
      <c r="L198" s="20"/>
      <c r="M198" s="509" t="s">
        <v>1022</v>
      </c>
      <c r="N198" s="546" t="s">
        <v>1023</v>
      </c>
      <c r="O198" s="420" t="s">
        <v>195</v>
      </c>
      <c r="AB198" s="251"/>
      <c r="AC198" s="251"/>
      <c r="AD198" s="251"/>
      <c r="AE198" s="247">
        <f t="shared" si="8"/>
        <v>0</v>
      </c>
      <c r="AF198" s="221"/>
      <c r="AG198" s="221"/>
      <c r="AH198" s="169"/>
      <c r="AI198" s="169"/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</row>
    <row r="199" spans="12:78" customFormat="1" ht="11.25" customHeight="1">
      <c r="L199" s="20"/>
      <c r="M199" s="490" t="s">
        <v>536</v>
      </c>
      <c r="N199" s="490" t="s">
        <v>1024</v>
      </c>
      <c r="O199" s="420" t="s">
        <v>195</v>
      </c>
      <c r="AB199" s="251"/>
      <c r="AC199" s="251"/>
      <c r="AD199" s="251"/>
      <c r="AE199" s="247">
        <f t="shared" si="8"/>
        <v>0</v>
      </c>
      <c r="AF199" s="221"/>
      <c r="AG199" s="221"/>
      <c r="AH199" s="169"/>
      <c r="AI199" s="169"/>
      <c r="AJ199" s="169"/>
      <c r="AK199" s="169"/>
      <c r="AL199" s="169"/>
      <c r="AM199" s="169"/>
      <c r="AN199" s="169"/>
      <c r="AO199" s="169"/>
      <c r="AP199" s="169"/>
      <c r="AQ199" s="169"/>
      <c r="AR199" s="169"/>
      <c r="AS199" s="169"/>
      <c r="AT199" s="169"/>
      <c r="AU199" s="169"/>
      <c r="AV199" s="169"/>
      <c r="AW199" s="169"/>
      <c r="AX199" s="169"/>
      <c r="AY199" s="169"/>
      <c r="AZ199" s="169"/>
      <c r="BA199" s="169"/>
      <c r="BB199" s="169"/>
      <c r="BC199" s="169"/>
      <c r="BD199" s="169"/>
      <c r="BE199" s="169"/>
      <c r="BF199" s="169"/>
      <c r="BG199" s="169"/>
      <c r="BH199" s="169"/>
      <c r="BI199" s="169"/>
      <c r="BJ199" s="169"/>
      <c r="BK199" s="169"/>
      <c r="BL199" s="169"/>
      <c r="BM199" s="169"/>
      <c r="BN199" s="169"/>
      <c r="BO199" s="169"/>
      <c r="BP199" s="169"/>
      <c r="BQ199" s="169"/>
      <c r="BR199" s="169"/>
      <c r="BS199" s="169"/>
      <c r="BT199" s="169"/>
      <c r="BU199" s="169"/>
      <c r="BV199" s="169"/>
      <c r="BW199" s="169"/>
      <c r="BX199" s="169"/>
      <c r="BY199" s="169"/>
      <c r="BZ199" s="169"/>
    </row>
    <row r="200" spans="12:78" customFormat="1" ht="11.25" customHeight="1">
      <c r="L200" s="20"/>
      <c r="M200" s="490" t="s">
        <v>538</v>
      </c>
      <c r="N200" s="490" t="s">
        <v>1133</v>
      </c>
      <c r="O200" s="420" t="s">
        <v>195</v>
      </c>
      <c r="AB200" s="251"/>
      <c r="AC200" s="251"/>
      <c r="AD200" s="251"/>
      <c r="AE200" s="247">
        <f t="shared" si="8"/>
        <v>0</v>
      </c>
      <c r="AF200" s="221"/>
      <c r="AG200" s="221"/>
      <c r="AH200" s="169"/>
      <c r="AI200" s="169"/>
      <c r="AJ200" s="169"/>
      <c r="AK200" s="169"/>
      <c r="AL200" s="169"/>
      <c r="AM200" s="169"/>
      <c r="AN200" s="169"/>
      <c r="AO200" s="169"/>
      <c r="AP200" s="169"/>
      <c r="AQ200" s="169"/>
      <c r="AR200" s="169"/>
      <c r="AS200" s="169"/>
      <c r="AT200" s="169"/>
      <c r="AU200" s="169"/>
      <c r="AV200" s="169"/>
      <c r="AW200" s="169"/>
      <c r="AX200" s="169"/>
      <c r="AY200" s="169"/>
      <c r="AZ200" s="169"/>
      <c r="BA200" s="169"/>
      <c r="BB200" s="169"/>
      <c r="BC200" s="169"/>
      <c r="BD200" s="169"/>
      <c r="BE200" s="169"/>
      <c r="BF200" s="169"/>
      <c r="BG200" s="169"/>
      <c r="BH200" s="169"/>
      <c r="BI200" s="169"/>
      <c r="BJ200" s="169"/>
      <c r="BK200" s="169"/>
      <c r="BL200" s="169"/>
      <c r="BM200" s="169"/>
      <c r="BN200" s="169"/>
      <c r="BO200" s="169"/>
      <c r="BP200" s="169"/>
      <c r="BQ200" s="169"/>
      <c r="BR200" s="169"/>
      <c r="BS200" s="169"/>
      <c r="BT200" s="169"/>
      <c r="BU200" s="169"/>
      <c r="BV200" s="169"/>
      <c r="BW200" s="169"/>
      <c r="BX200" s="169"/>
      <c r="BY200" s="169"/>
      <c r="BZ200" s="169"/>
    </row>
    <row r="201" spans="12:78" customFormat="1" ht="11.25" customHeight="1">
      <c r="L201" s="20"/>
      <c r="M201" s="490" t="s">
        <v>542</v>
      </c>
      <c r="N201" s="490" t="s">
        <v>1134</v>
      </c>
      <c r="O201" s="420" t="s">
        <v>195</v>
      </c>
      <c r="AB201" s="251"/>
      <c r="AC201" s="251"/>
      <c r="AD201" s="251"/>
      <c r="AE201" s="247">
        <f t="shared" si="8"/>
        <v>0</v>
      </c>
      <c r="AF201" s="221"/>
      <c r="AG201" s="221"/>
      <c r="AH201" s="169"/>
      <c r="AI201" s="169"/>
      <c r="AJ201" s="169"/>
      <c r="AK201" s="169"/>
      <c r="AL201" s="169"/>
      <c r="AM201" s="169"/>
      <c r="AN201" s="169"/>
      <c r="AO201" s="169"/>
      <c r="AP201" s="169"/>
      <c r="AQ201" s="169"/>
      <c r="AR201" s="169"/>
      <c r="AS201" s="169"/>
      <c r="AT201" s="169"/>
      <c r="AU201" s="169"/>
      <c r="AV201" s="169"/>
      <c r="AW201" s="169"/>
      <c r="AX201" s="169"/>
      <c r="AY201" s="169"/>
      <c r="AZ201" s="169"/>
      <c r="BA201" s="169"/>
      <c r="BB201" s="169"/>
      <c r="BC201" s="169"/>
      <c r="BD201" s="169"/>
      <c r="BE201" s="169"/>
      <c r="BF201" s="169"/>
      <c r="BG201" s="169"/>
      <c r="BH201" s="169"/>
      <c r="BI201" s="169"/>
      <c r="BJ201" s="169"/>
      <c r="BK201" s="169"/>
      <c r="BL201" s="169"/>
      <c r="BM201" s="169"/>
      <c r="BN201" s="169"/>
      <c r="BO201" s="169"/>
      <c r="BP201" s="169"/>
      <c r="BQ201" s="169"/>
      <c r="BR201" s="169"/>
      <c r="BS201" s="169"/>
      <c r="BT201" s="169"/>
      <c r="BU201" s="169"/>
      <c r="BV201" s="169"/>
      <c r="BW201" s="169"/>
      <c r="BX201" s="169"/>
      <c r="BY201" s="169"/>
      <c r="BZ201" s="169"/>
    </row>
    <row r="202" spans="12:78" customFormat="1" ht="11.25" customHeight="1" thickBot="1">
      <c r="L202" s="20"/>
      <c r="M202" s="532"/>
      <c r="N202" s="533"/>
      <c r="O202" s="422"/>
      <c r="AB202" s="251"/>
      <c r="AC202" s="251"/>
      <c r="AD202" s="251"/>
      <c r="AE202" s="261"/>
      <c r="AF202" s="261"/>
      <c r="AG202" s="261"/>
      <c r="AH202" s="169"/>
      <c r="AI202" s="169"/>
      <c r="AJ202" s="169"/>
      <c r="AK202" s="169"/>
      <c r="AL202" s="169"/>
      <c r="AM202" s="169"/>
      <c r="AN202" s="169"/>
      <c r="AO202" s="169"/>
      <c r="AP202" s="169"/>
      <c r="AQ202" s="169"/>
      <c r="AR202" s="169"/>
      <c r="AS202" s="169"/>
      <c r="AT202" s="169"/>
      <c r="AU202" s="169"/>
      <c r="AV202" s="169"/>
      <c r="AW202" s="169"/>
      <c r="AX202" s="169"/>
      <c r="AY202" s="169"/>
      <c r="AZ202" s="169"/>
      <c r="BA202" s="169"/>
      <c r="BB202" s="169"/>
      <c r="BC202" s="169"/>
      <c r="BD202" s="169"/>
      <c r="BE202" s="169"/>
      <c r="BF202" s="169"/>
      <c r="BG202" s="169"/>
      <c r="BH202" s="169"/>
      <c r="BI202" s="169"/>
      <c r="BJ202" s="169"/>
      <c r="BK202" s="169"/>
      <c r="BL202" s="169"/>
      <c r="BM202" s="169"/>
      <c r="BN202" s="169"/>
      <c r="BO202" s="169"/>
      <c r="BP202" s="169"/>
      <c r="BQ202" s="169"/>
      <c r="BR202" s="169"/>
      <c r="BS202" s="169"/>
      <c r="BT202" s="169"/>
      <c r="BU202" s="169"/>
      <c r="BV202" s="169"/>
      <c r="BW202" s="169"/>
      <c r="BX202" s="169"/>
      <c r="BY202" s="169"/>
      <c r="BZ202" s="169"/>
    </row>
    <row r="203" spans="12:78" customFormat="1" ht="11.25" customHeight="1" thickTop="1" thickBot="1">
      <c r="L203" s="20"/>
      <c r="M203" s="570" t="s">
        <v>2124</v>
      </c>
      <c r="N203" s="490" t="s">
        <v>545</v>
      </c>
      <c r="O203" s="420" t="s">
        <v>195</v>
      </c>
      <c r="AB203" s="251"/>
      <c r="AC203" s="251"/>
      <c r="AD203" s="251"/>
      <c r="AE203" s="521">
        <f>SUM(AE23,AE132,AE150,AE178,AE180,AE182,AE191,AE199,AE200,AE201)</f>
        <v>0</v>
      </c>
      <c r="AF203" s="521">
        <f>SUM(AF23,AF132,AF150,AF178,AF180,AF182,AF191,AF199,AF200,AF201)</f>
        <v>0</v>
      </c>
      <c r="AG203" s="521">
        <f>SUM(AG23,AG132,AG150,AG178,AG180,AG182,AG191,AG199,AG200,AG201)</f>
        <v>0</v>
      </c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</row>
    <row r="204" spans="12:78" customFormat="1" ht="11.25" customHeight="1" thickTop="1" thickBot="1">
      <c r="L204" s="20"/>
      <c r="M204" s="532"/>
      <c r="N204" s="533"/>
      <c r="O204" s="422"/>
      <c r="AB204" s="251"/>
      <c r="AC204" s="251"/>
      <c r="AD204" s="251"/>
      <c r="AE204" s="261"/>
      <c r="AF204" s="261"/>
      <c r="AG204" s="261"/>
      <c r="AH204" s="169"/>
      <c r="AI204" s="169"/>
      <c r="AJ204" s="169"/>
      <c r="AK204" s="169"/>
      <c r="AL204" s="169"/>
      <c r="AM204" s="169"/>
      <c r="AN204" s="169"/>
      <c r="AO204" s="169"/>
      <c r="AP204" s="169"/>
      <c r="AQ204" s="169"/>
      <c r="AR204" s="169"/>
      <c r="AS204" s="169"/>
      <c r="AT204" s="169"/>
      <c r="AU204" s="169"/>
      <c r="AV204" s="169"/>
      <c r="AW204" s="169"/>
      <c r="AX204" s="169"/>
      <c r="AY204" s="169"/>
      <c r="AZ204" s="169"/>
      <c r="BA204" s="169"/>
      <c r="BB204" s="169"/>
      <c r="BC204" s="169"/>
      <c r="BD204" s="169"/>
      <c r="BE204" s="169"/>
      <c r="BF204" s="169"/>
      <c r="BG204" s="169"/>
      <c r="BH204" s="169"/>
      <c r="BI204" s="169"/>
      <c r="BJ204" s="169"/>
      <c r="BK204" s="169"/>
      <c r="BL204" s="169"/>
      <c r="BM204" s="169"/>
      <c r="BN204" s="169"/>
      <c r="BO204" s="169"/>
      <c r="BP204" s="169"/>
      <c r="BQ204" s="169"/>
      <c r="BR204" s="169"/>
      <c r="BS204" s="169"/>
      <c r="BT204" s="169"/>
      <c r="BU204" s="169"/>
      <c r="BV204" s="169"/>
      <c r="BW204" s="169"/>
      <c r="BX204" s="169"/>
      <c r="BY204" s="169"/>
      <c r="BZ204" s="169"/>
    </row>
    <row r="205" spans="12:78" customFormat="1" ht="11.25" customHeight="1" thickTop="1" thickBot="1">
      <c r="L205" s="150"/>
      <c r="M205" s="570" t="s">
        <v>2123</v>
      </c>
      <c r="N205" s="494" t="s">
        <v>2122</v>
      </c>
      <c r="O205" s="163" t="s">
        <v>195</v>
      </c>
      <c r="AB205" s="251"/>
      <c r="AC205" s="251"/>
      <c r="AD205" s="251"/>
      <c r="AE205" s="521">
        <f>AF205+AG205</f>
        <v>0</v>
      </c>
      <c r="AF205" s="521">
        <f>AF203*AF$242</f>
        <v>0</v>
      </c>
      <c r="AG205" s="521">
        <f>AG203*AG$242</f>
        <v>0</v>
      </c>
      <c r="AH205" s="169"/>
      <c r="AI205" s="169"/>
      <c r="AJ205" s="169"/>
      <c r="AK205" s="169"/>
      <c r="AL205" s="169"/>
      <c r="AM205" s="169"/>
      <c r="AN205" s="169"/>
      <c r="AO205" s="169"/>
      <c r="AP205" s="169"/>
      <c r="AQ205" s="169"/>
      <c r="AR205" s="169"/>
      <c r="AS205" s="169"/>
      <c r="AT205" s="169"/>
      <c r="AU205" s="169"/>
      <c r="AV205" s="169"/>
      <c r="AW205" s="169"/>
      <c r="AX205" s="169"/>
      <c r="AY205" s="169"/>
      <c r="AZ205" s="169"/>
      <c r="BA205" s="169"/>
      <c r="BB205" s="169"/>
      <c r="BC205" s="169"/>
      <c r="BD205" s="169"/>
      <c r="BE205" s="169"/>
      <c r="BF205" s="169"/>
      <c r="BG205" s="169"/>
      <c r="BH205" s="169"/>
      <c r="BI205" s="169"/>
      <c r="BJ205" s="169"/>
      <c r="BK205" s="169"/>
      <c r="BL205" s="169"/>
      <c r="BM205" s="169"/>
      <c r="BN205" s="169"/>
      <c r="BO205" s="169"/>
      <c r="BP205" s="169"/>
      <c r="BQ205" s="169"/>
      <c r="BR205" s="169"/>
      <c r="BS205" s="169"/>
      <c r="BT205" s="169"/>
      <c r="BU205" s="169"/>
      <c r="BV205" s="169"/>
      <c r="BW205" s="169"/>
      <c r="BX205" s="169"/>
      <c r="BY205" s="169"/>
      <c r="BZ205" s="169"/>
    </row>
    <row r="206" spans="12:78" customFormat="1" ht="11.25" customHeight="1" thickTop="1">
      <c r="L206" s="150"/>
      <c r="M206" s="508"/>
      <c r="N206" s="472"/>
      <c r="O206" s="166"/>
      <c r="AB206" s="251"/>
      <c r="AC206" s="251"/>
      <c r="AD206" s="251"/>
      <c r="AE206" s="243"/>
      <c r="AF206" s="243"/>
      <c r="AG206" s="243"/>
      <c r="AH206" s="169"/>
      <c r="AI206" s="169"/>
      <c r="AJ206" s="169"/>
      <c r="AK206" s="169"/>
      <c r="AL206" s="169"/>
      <c r="AM206" s="169"/>
      <c r="AN206" s="169"/>
      <c r="AO206" s="169"/>
      <c r="AP206" s="169"/>
      <c r="AQ206" s="169"/>
      <c r="AR206" s="169"/>
      <c r="AS206" s="169"/>
      <c r="AT206" s="169"/>
      <c r="AU206" s="169"/>
      <c r="AV206" s="169"/>
      <c r="AW206" s="169"/>
      <c r="AX206" s="169"/>
      <c r="AY206" s="169"/>
      <c r="AZ206" s="169"/>
      <c r="BA206" s="169"/>
      <c r="BB206" s="169"/>
      <c r="BC206" s="169"/>
      <c r="BD206" s="169"/>
      <c r="BE206" s="169"/>
      <c r="BF206" s="169"/>
      <c r="BG206" s="169"/>
      <c r="BH206" s="169"/>
      <c r="BI206" s="169"/>
      <c r="BJ206" s="169"/>
      <c r="BK206" s="169"/>
      <c r="BL206" s="169"/>
      <c r="BM206" s="169"/>
      <c r="BN206" s="169"/>
      <c r="BO206" s="169"/>
      <c r="BP206" s="169"/>
      <c r="BQ206" s="169"/>
      <c r="BR206" s="169"/>
      <c r="BS206" s="169"/>
      <c r="BT206" s="169"/>
      <c r="BU206" s="169"/>
      <c r="BV206" s="169"/>
      <c r="BW206" s="169"/>
      <c r="BX206" s="169"/>
      <c r="BY206" s="169"/>
      <c r="BZ206" s="169"/>
    </row>
    <row r="207" spans="12:78" customFormat="1" ht="11.25" customHeight="1">
      <c r="L207" s="150"/>
      <c r="M207" s="513" t="s">
        <v>2119</v>
      </c>
      <c r="N207" s="513" t="s">
        <v>2131</v>
      </c>
      <c r="O207" s="443" t="s">
        <v>195</v>
      </c>
      <c r="AB207" s="251"/>
      <c r="AC207" s="251"/>
      <c r="AD207" s="251"/>
      <c r="AE207" s="247">
        <f>AF207+AG207</f>
        <v>0</v>
      </c>
      <c r="AF207" s="245"/>
      <c r="AG207" s="245"/>
      <c r="AH207" s="169"/>
      <c r="AI207" s="169"/>
      <c r="AJ207" s="169"/>
      <c r="AK207" s="169"/>
      <c r="AL207" s="169"/>
      <c r="AM207" s="169"/>
      <c r="AN207" s="169"/>
      <c r="AO207" s="169"/>
      <c r="AP207" s="169"/>
      <c r="AQ207" s="169"/>
      <c r="AR207" s="169"/>
      <c r="AS207" s="169"/>
      <c r="AT207" s="169"/>
      <c r="AU207" s="169"/>
      <c r="AV207" s="169"/>
      <c r="AW207" s="169"/>
      <c r="AX207" s="169"/>
      <c r="AY207" s="169"/>
      <c r="AZ207" s="169"/>
      <c r="BA207" s="169"/>
      <c r="BB207" s="169"/>
      <c r="BC207" s="169"/>
      <c r="BD207" s="169"/>
      <c r="BE207" s="169"/>
      <c r="BF207" s="169"/>
      <c r="BG207" s="169"/>
      <c r="BH207" s="169"/>
      <c r="BI207" s="169"/>
      <c r="BJ207" s="169"/>
      <c r="BK207" s="169"/>
      <c r="BL207" s="169"/>
      <c r="BM207" s="169"/>
      <c r="BN207" s="169"/>
      <c r="BO207" s="169"/>
      <c r="BP207" s="169"/>
      <c r="BQ207" s="169"/>
      <c r="BR207" s="169"/>
      <c r="BS207" s="169"/>
      <c r="BT207" s="169"/>
      <c r="BU207" s="169"/>
      <c r="BV207" s="169"/>
      <c r="BW207" s="169"/>
      <c r="BX207" s="169"/>
      <c r="BY207" s="169"/>
      <c r="BZ207" s="169"/>
    </row>
    <row r="208" spans="12:78" customFormat="1" ht="11.25" customHeight="1">
      <c r="L208" s="150"/>
      <c r="M208" s="514" t="s">
        <v>641</v>
      </c>
      <c r="N208" s="515" t="s">
        <v>598</v>
      </c>
      <c r="O208" s="443" t="s">
        <v>195</v>
      </c>
      <c r="AB208" s="251"/>
      <c r="AC208" s="251"/>
      <c r="AD208" s="251"/>
      <c r="AE208" s="247">
        <f>AF208+AG208</f>
        <v>0</v>
      </c>
      <c r="AF208" s="247">
        <f>SUM(AF210:AF213)</f>
        <v>0</v>
      </c>
      <c r="AG208" s="247">
        <f>SUM(AG210:AG213)</f>
        <v>0</v>
      </c>
      <c r="AH208" s="169"/>
      <c r="AI208" s="169"/>
      <c r="AJ208" s="169"/>
      <c r="AK208" s="169"/>
      <c r="AL208" s="169"/>
      <c r="AM208" s="169"/>
      <c r="AN208" s="169"/>
      <c r="AO208" s="169"/>
      <c r="AP208" s="169"/>
      <c r="AQ208" s="169"/>
      <c r="AR208" s="169"/>
      <c r="AS208" s="169"/>
      <c r="AT208" s="169"/>
      <c r="AU208" s="169"/>
      <c r="AV208" s="169"/>
      <c r="AW208" s="169"/>
      <c r="AX208" s="169"/>
      <c r="AY208" s="169"/>
      <c r="AZ208" s="169"/>
      <c r="BA208" s="169"/>
      <c r="BB208" s="169"/>
      <c r="BC208" s="169"/>
      <c r="BD208" s="169"/>
      <c r="BE208" s="169"/>
      <c r="BF208" s="169"/>
      <c r="BG208" s="169"/>
      <c r="BH208" s="169"/>
      <c r="BI208" s="169"/>
      <c r="BJ208" s="169"/>
      <c r="BK208" s="169"/>
      <c r="BL208" s="169"/>
      <c r="BM208" s="169"/>
      <c r="BN208" s="169"/>
      <c r="BO208" s="169"/>
      <c r="BP208" s="169"/>
      <c r="BQ208" s="169"/>
      <c r="BR208" s="169"/>
      <c r="BS208" s="169"/>
      <c r="BT208" s="169"/>
      <c r="BU208" s="169"/>
      <c r="BV208" s="169"/>
      <c r="BW208" s="169"/>
      <c r="BX208" s="169"/>
      <c r="BY208" s="169"/>
      <c r="BZ208" s="169"/>
    </row>
    <row r="209" spans="12:78" customFormat="1" ht="11.25" customHeight="1">
      <c r="L209" s="150"/>
      <c r="M209" s="508"/>
      <c r="N209" s="472"/>
      <c r="O209" s="166"/>
      <c r="AB209" s="251"/>
      <c r="AC209" s="251"/>
      <c r="AD209" s="251"/>
      <c r="AE209" s="241"/>
      <c r="AF209" s="241"/>
      <c r="AG209" s="241"/>
      <c r="AH209" s="169"/>
      <c r="AI209" s="169"/>
      <c r="AJ209" s="169"/>
      <c r="AK209" s="169"/>
      <c r="AL209" s="169"/>
      <c r="AM209" s="169"/>
      <c r="AN209" s="169"/>
      <c r="AO209" s="169"/>
      <c r="AP209" s="169"/>
      <c r="AQ209" s="169"/>
      <c r="AR209" s="169"/>
      <c r="AS209" s="169"/>
      <c r="AT209" s="169"/>
      <c r="AU209" s="169"/>
      <c r="AV209" s="169"/>
      <c r="AW209" s="169"/>
      <c r="AX209" s="169"/>
      <c r="AY209" s="169"/>
      <c r="AZ209" s="169"/>
      <c r="BA209" s="169"/>
      <c r="BB209" s="169"/>
      <c r="BC209" s="169"/>
      <c r="BD209" s="169"/>
      <c r="BE209" s="169"/>
      <c r="BF209" s="169"/>
      <c r="BG209" s="169"/>
      <c r="BH209" s="169"/>
      <c r="BI209" s="169"/>
      <c r="BJ209" s="169"/>
      <c r="BK209" s="169"/>
      <c r="BL209" s="169"/>
      <c r="BM209" s="169"/>
      <c r="BN209" s="169"/>
      <c r="BO209" s="169"/>
      <c r="BP209" s="169"/>
      <c r="BQ209" s="169"/>
      <c r="BR209" s="169"/>
      <c r="BS209" s="169"/>
      <c r="BT209" s="169"/>
      <c r="BU209" s="169"/>
      <c r="BV209" s="169"/>
      <c r="BW209" s="169"/>
      <c r="BX209" s="169"/>
      <c r="BY209" s="169"/>
      <c r="BZ209" s="169"/>
    </row>
    <row r="210" spans="12:78" customFormat="1" ht="11.25" customHeight="1">
      <c r="L210" s="150"/>
      <c r="M210" s="558" t="s">
        <v>2127</v>
      </c>
      <c r="N210" s="467" t="s">
        <v>547</v>
      </c>
      <c r="O210" s="445" t="s">
        <v>195</v>
      </c>
      <c r="AB210" s="251"/>
      <c r="AC210" s="251"/>
      <c r="AD210" s="251"/>
      <c r="AE210" s="247">
        <f>AF210+AG210</f>
        <v>0</v>
      </c>
      <c r="AF210" s="245"/>
      <c r="AG210" s="245"/>
      <c r="AH210" s="169"/>
      <c r="AI210" s="169"/>
      <c r="AJ210" s="169"/>
      <c r="AK210" s="169"/>
      <c r="AL210" s="169"/>
      <c r="AM210" s="169"/>
      <c r="AN210" s="169"/>
      <c r="AO210" s="169"/>
      <c r="AP210" s="169"/>
      <c r="AQ210" s="169"/>
      <c r="AR210" s="169"/>
      <c r="AS210" s="169"/>
      <c r="AT210" s="169"/>
      <c r="AU210" s="169"/>
      <c r="AV210" s="169"/>
      <c r="AW210" s="169"/>
      <c r="AX210" s="169"/>
      <c r="AY210" s="169"/>
      <c r="AZ210" s="169"/>
      <c r="BA210" s="169"/>
      <c r="BB210" s="169"/>
      <c r="BC210" s="169"/>
      <c r="BD210" s="169"/>
      <c r="BE210" s="169"/>
      <c r="BF210" s="169"/>
      <c r="BG210" s="169"/>
      <c r="BH210" s="169"/>
      <c r="BI210" s="169"/>
      <c r="BJ210" s="169"/>
      <c r="BK210" s="169"/>
      <c r="BL210" s="169"/>
      <c r="BM210" s="169"/>
      <c r="BN210" s="169"/>
      <c r="BO210" s="169"/>
      <c r="BP210" s="169"/>
      <c r="BQ210" s="169"/>
      <c r="BR210" s="169"/>
      <c r="BS210" s="169"/>
      <c r="BT210" s="169"/>
      <c r="BU210" s="169"/>
      <c r="BV210" s="169"/>
      <c r="BW210" s="169"/>
      <c r="BX210" s="169"/>
      <c r="BY210" s="169"/>
      <c r="BZ210" s="169"/>
    </row>
    <row r="211" spans="12:78" customFormat="1" ht="11.25" customHeight="1">
      <c r="L211" s="150"/>
      <c r="M211" s="558" t="s">
        <v>2128</v>
      </c>
      <c r="N211" s="467" t="s">
        <v>548</v>
      </c>
      <c r="O211" s="445" t="s">
        <v>195</v>
      </c>
      <c r="AB211" s="251"/>
      <c r="AC211" s="251"/>
      <c r="AD211" s="251"/>
      <c r="AE211" s="247">
        <f>AF211+AG211</f>
        <v>0</v>
      </c>
      <c r="AF211" s="245"/>
      <c r="AG211" s="245"/>
      <c r="AH211" s="169"/>
      <c r="AI211" s="169"/>
      <c r="AJ211" s="169"/>
      <c r="AK211" s="169"/>
      <c r="AL211" s="169"/>
      <c r="AM211" s="169"/>
      <c r="AN211" s="169"/>
      <c r="AO211" s="169"/>
      <c r="AP211" s="169"/>
      <c r="AQ211" s="169"/>
      <c r="AR211" s="169"/>
      <c r="AS211" s="169"/>
      <c r="AT211" s="169"/>
      <c r="AU211" s="169"/>
      <c r="AV211" s="169"/>
      <c r="AW211" s="169"/>
      <c r="AX211" s="169"/>
      <c r="AY211" s="169"/>
      <c r="AZ211" s="169"/>
      <c r="BA211" s="169"/>
      <c r="BB211" s="169"/>
      <c r="BC211" s="169"/>
      <c r="BD211" s="169"/>
      <c r="BE211" s="169"/>
      <c r="BF211" s="169"/>
      <c r="BG211" s="169"/>
      <c r="BH211" s="169"/>
      <c r="BI211" s="169"/>
      <c r="BJ211" s="169"/>
      <c r="BK211" s="169"/>
      <c r="BL211" s="169"/>
      <c r="BM211" s="169"/>
      <c r="BN211" s="169"/>
      <c r="BO211" s="169"/>
      <c r="BP211" s="169"/>
      <c r="BQ211" s="169"/>
      <c r="BR211" s="169"/>
      <c r="BS211" s="169"/>
      <c r="BT211" s="169"/>
      <c r="BU211" s="169"/>
      <c r="BV211" s="169"/>
      <c r="BW211" s="169"/>
      <c r="BX211" s="169"/>
      <c r="BY211" s="169"/>
      <c r="BZ211" s="169"/>
    </row>
    <row r="212" spans="12:78" customFormat="1" ht="11.25" customHeight="1">
      <c r="L212" s="150"/>
      <c r="M212" s="558" t="s">
        <v>2129</v>
      </c>
      <c r="N212" s="467" t="s">
        <v>549</v>
      </c>
      <c r="O212" s="445" t="s">
        <v>195</v>
      </c>
      <c r="AB212" s="251"/>
      <c r="AC212" s="251"/>
      <c r="AD212" s="251"/>
      <c r="AE212" s="247">
        <f>AF212+AG212</f>
        <v>0</v>
      </c>
      <c r="AF212" s="245"/>
      <c r="AG212" s="245"/>
      <c r="AH212" s="169"/>
      <c r="AI212" s="169"/>
      <c r="AJ212" s="169"/>
      <c r="AK212" s="169"/>
      <c r="AL212" s="169"/>
      <c r="AM212" s="169"/>
      <c r="AN212" s="169"/>
      <c r="AO212" s="169"/>
      <c r="AP212" s="169"/>
      <c r="AQ212" s="169"/>
      <c r="AR212" s="169"/>
      <c r="AS212" s="169"/>
      <c r="AT212" s="169"/>
      <c r="AU212" s="169"/>
      <c r="AV212" s="169"/>
      <c r="AW212" s="169"/>
      <c r="AX212" s="169"/>
      <c r="AY212" s="169"/>
      <c r="AZ212" s="169"/>
      <c r="BA212" s="169"/>
      <c r="BB212" s="169"/>
      <c r="BC212" s="169"/>
      <c r="BD212" s="169"/>
      <c r="BE212" s="169"/>
      <c r="BF212" s="169"/>
      <c r="BG212" s="169"/>
      <c r="BH212" s="169"/>
      <c r="BI212" s="169"/>
      <c r="BJ212" s="169"/>
      <c r="BK212" s="169"/>
      <c r="BL212" s="169"/>
      <c r="BM212" s="169"/>
      <c r="BN212" s="169"/>
      <c r="BO212" s="169"/>
      <c r="BP212" s="169"/>
      <c r="BQ212" s="169"/>
      <c r="BR212" s="169"/>
      <c r="BS212" s="169"/>
      <c r="BT212" s="169"/>
      <c r="BU212" s="169"/>
      <c r="BV212" s="169"/>
      <c r="BW212" s="169"/>
      <c r="BX212" s="169"/>
      <c r="BY212" s="169"/>
      <c r="BZ212" s="169"/>
    </row>
    <row r="213" spans="12:78" customFormat="1" ht="11.25" customHeight="1">
      <c r="L213" s="150"/>
      <c r="M213" s="558" t="s">
        <v>2130</v>
      </c>
      <c r="N213" s="467" t="s">
        <v>550</v>
      </c>
      <c r="O213" s="445" t="s">
        <v>195</v>
      </c>
      <c r="AB213" s="251"/>
      <c r="AC213" s="251"/>
      <c r="AD213" s="251"/>
      <c r="AE213" s="247">
        <f>AF213+AG213</f>
        <v>0</v>
      </c>
      <c r="AF213" s="245"/>
      <c r="AG213" s="245"/>
      <c r="AH213" s="169"/>
      <c r="AI213" s="169"/>
      <c r="AJ213" s="169"/>
      <c r="AK213" s="169"/>
      <c r="AL213" s="169"/>
      <c r="AM213" s="169"/>
      <c r="AN213" s="169"/>
      <c r="AO213" s="169"/>
      <c r="AP213" s="169"/>
      <c r="AQ213" s="169"/>
      <c r="AR213" s="169"/>
      <c r="AS213" s="169"/>
      <c r="AT213" s="169"/>
      <c r="AU213" s="169"/>
      <c r="AV213" s="169"/>
      <c r="AW213" s="169"/>
      <c r="AX213" s="169"/>
      <c r="AY213" s="169"/>
      <c r="AZ213" s="169"/>
      <c r="BA213" s="169"/>
      <c r="BB213" s="169"/>
      <c r="BC213" s="169"/>
      <c r="BD213" s="169"/>
      <c r="BE213" s="169"/>
      <c r="BF213" s="169"/>
      <c r="BG213" s="169"/>
      <c r="BH213" s="169"/>
      <c r="BI213" s="169"/>
      <c r="BJ213" s="169"/>
      <c r="BK213" s="169"/>
      <c r="BL213" s="169"/>
      <c r="BM213" s="169"/>
      <c r="BN213" s="169"/>
      <c r="BO213" s="169"/>
      <c r="BP213" s="169"/>
      <c r="BQ213" s="169"/>
      <c r="BR213" s="169"/>
      <c r="BS213" s="169"/>
      <c r="BT213" s="169"/>
      <c r="BU213" s="169"/>
      <c r="BV213" s="169"/>
      <c r="BW213" s="169"/>
      <c r="BX213" s="169"/>
      <c r="BY213" s="169"/>
      <c r="BZ213" s="169"/>
    </row>
    <row r="214" spans="12:78" customFormat="1" ht="11.25" customHeight="1">
      <c r="L214" s="20"/>
      <c r="M214" s="508"/>
      <c r="N214" s="522"/>
      <c r="O214" s="166"/>
      <c r="AB214" s="251"/>
      <c r="AC214" s="251"/>
      <c r="AD214" s="251"/>
      <c r="AE214" s="241"/>
      <c r="AF214" s="241"/>
      <c r="AG214" s="241"/>
      <c r="AH214" s="169"/>
      <c r="AI214" s="169"/>
      <c r="AJ214" s="169"/>
      <c r="AK214" s="169"/>
      <c r="AL214" s="169"/>
      <c r="AM214" s="169"/>
      <c r="AN214" s="169"/>
      <c r="AO214" s="169"/>
      <c r="AP214" s="169"/>
      <c r="AQ214" s="169"/>
      <c r="AR214" s="169"/>
      <c r="AS214" s="169"/>
      <c r="AT214" s="169"/>
      <c r="AU214" s="169"/>
      <c r="AV214" s="169"/>
      <c r="AW214" s="169"/>
      <c r="AX214" s="169"/>
      <c r="AY214" s="169"/>
      <c r="AZ214" s="169"/>
      <c r="BA214" s="169"/>
      <c r="BB214" s="169"/>
      <c r="BC214" s="169"/>
      <c r="BD214" s="169"/>
      <c r="BE214" s="169"/>
      <c r="BF214" s="169"/>
      <c r="BG214" s="169"/>
      <c r="BH214" s="169"/>
      <c r="BI214" s="169"/>
      <c r="BJ214" s="169"/>
      <c r="BK214" s="169"/>
      <c r="BL214" s="169"/>
      <c r="BM214" s="169"/>
      <c r="BN214" s="169"/>
      <c r="BO214" s="169"/>
      <c r="BP214" s="169"/>
      <c r="BQ214" s="169"/>
      <c r="BR214" s="169"/>
      <c r="BS214" s="169"/>
      <c r="BT214" s="169"/>
      <c r="BU214" s="169"/>
      <c r="BV214" s="169"/>
      <c r="BW214" s="169"/>
      <c r="BX214" s="169"/>
      <c r="BY214" s="169"/>
      <c r="BZ214" s="169"/>
    </row>
    <row r="215" spans="12:78" customFormat="1" ht="11.25" customHeight="1">
      <c r="L215" s="20"/>
      <c r="M215" s="508"/>
      <c r="N215" s="522"/>
      <c r="O215" s="166"/>
      <c r="AB215" s="251"/>
      <c r="AC215" s="251"/>
      <c r="AD215" s="251"/>
      <c r="AE215" s="241"/>
      <c r="AF215" s="241"/>
      <c r="AG215" s="241"/>
      <c r="AH215" s="169"/>
      <c r="AI215" s="169"/>
      <c r="AJ215" s="169"/>
      <c r="AK215" s="169"/>
      <c r="AL215" s="169"/>
      <c r="AM215" s="169"/>
      <c r="AN215" s="169"/>
      <c r="AO215" s="169"/>
      <c r="AP215" s="169"/>
      <c r="AQ215" s="169"/>
      <c r="AR215" s="169"/>
      <c r="AS215" s="169"/>
      <c r="AT215" s="169"/>
      <c r="AU215" s="169"/>
      <c r="AV215" s="169"/>
      <c r="AW215" s="169"/>
      <c r="AX215" s="169"/>
      <c r="AY215" s="169"/>
      <c r="AZ215" s="169"/>
      <c r="BA215" s="169"/>
      <c r="BB215" s="169"/>
      <c r="BC215" s="169"/>
      <c r="BD215" s="169"/>
      <c r="BE215" s="169"/>
      <c r="BF215" s="169"/>
      <c r="BG215" s="169"/>
      <c r="BH215" s="169"/>
      <c r="BI215" s="169"/>
      <c r="BJ215" s="169"/>
      <c r="BK215" s="169"/>
      <c r="BL215" s="169"/>
      <c r="BM215" s="169"/>
      <c r="BN215" s="169"/>
      <c r="BO215" s="169"/>
      <c r="BP215" s="169"/>
      <c r="BQ215" s="169"/>
      <c r="BR215" s="169"/>
      <c r="BS215" s="169"/>
      <c r="BT215" s="169"/>
      <c r="BU215" s="169"/>
      <c r="BV215" s="169"/>
      <c r="BW215" s="169"/>
      <c r="BX215" s="169"/>
      <c r="BY215" s="169"/>
      <c r="BZ215" s="169"/>
    </row>
    <row r="216" spans="12:78" customFormat="1" ht="11.25" customHeight="1">
      <c r="L216" s="20"/>
      <c r="M216" s="508"/>
      <c r="N216" s="522"/>
      <c r="O216" s="166"/>
      <c r="AB216" s="251"/>
      <c r="AC216" s="251"/>
      <c r="AD216" s="251"/>
      <c r="AE216" s="241"/>
      <c r="AF216" s="241"/>
      <c r="AG216" s="241"/>
      <c r="AH216" s="169"/>
      <c r="AI216" s="169"/>
      <c r="AJ216" s="169"/>
      <c r="AK216" s="169"/>
      <c r="AL216" s="169"/>
      <c r="AM216" s="169"/>
      <c r="AN216" s="169"/>
      <c r="AO216" s="169"/>
      <c r="AP216" s="169"/>
      <c r="AQ216" s="169"/>
      <c r="AR216" s="169"/>
      <c r="AS216" s="169"/>
      <c r="AT216" s="169"/>
      <c r="AU216" s="169"/>
      <c r="AV216" s="169"/>
      <c r="AW216" s="169"/>
      <c r="AX216" s="169"/>
      <c r="AY216" s="169"/>
      <c r="AZ216" s="169"/>
      <c r="BA216" s="169"/>
      <c r="BB216" s="169"/>
      <c r="BC216" s="169"/>
      <c r="BD216" s="169"/>
      <c r="BE216" s="169"/>
      <c r="BF216" s="169"/>
      <c r="BG216" s="169"/>
      <c r="BH216" s="169"/>
      <c r="BI216" s="169"/>
      <c r="BJ216" s="169"/>
      <c r="BK216" s="169"/>
      <c r="BL216" s="169"/>
      <c r="BM216" s="169"/>
      <c r="BN216" s="169"/>
      <c r="BO216" s="169"/>
      <c r="BP216" s="169"/>
      <c r="BQ216" s="169"/>
      <c r="BR216" s="169"/>
      <c r="BS216" s="169"/>
      <c r="BT216" s="169"/>
      <c r="BU216" s="169"/>
      <c r="BV216" s="169"/>
      <c r="BW216" s="169"/>
      <c r="BX216" s="169"/>
      <c r="BY216" s="169"/>
      <c r="BZ216" s="169"/>
    </row>
    <row r="217" spans="12:78" customFormat="1" ht="11.25" customHeight="1">
      <c r="L217" s="20"/>
      <c r="M217" s="508"/>
      <c r="N217" s="522"/>
      <c r="O217" s="166"/>
      <c r="AB217" s="251"/>
      <c r="AC217" s="251"/>
      <c r="AD217" s="251"/>
      <c r="AE217" s="241"/>
      <c r="AF217" s="241"/>
      <c r="AG217" s="241"/>
      <c r="AH217" s="169"/>
      <c r="AI217" s="169"/>
      <c r="AJ217" s="169"/>
      <c r="AK217" s="169"/>
      <c r="AL217" s="169"/>
      <c r="AM217" s="169"/>
      <c r="AN217" s="169"/>
      <c r="AO217" s="169"/>
      <c r="AP217" s="169"/>
      <c r="AQ217" s="169"/>
      <c r="AR217" s="169"/>
      <c r="AS217" s="169"/>
      <c r="AT217" s="169"/>
      <c r="AU217" s="169"/>
      <c r="AV217" s="169"/>
      <c r="AW217" s="169"/>
      <c r="AX217" s="169"/>
      <c r="AY217" s="169"/>
      <c r="AZ217" s="169"/>
      <c r="BA217" s="169"/>
      <c r="BB217" s="169"/>
      <c r="BC217" s="169"/>
      <c r="BD217" s="169"/>
      <c r="BE217" s="169"/>
      <c r="BF217" s="169"/>
      <c r="BG217" s="169"/>
      <c r="BH217" s="169"/>
      <c r="BI217" s="169"/>
      <c r="BJ217" s="169"/>
      <c r="BK217" s="169"/>
      <c r="BL217" s="169"/>
      <c r="BM217" s="169"/>
      <c r="BN217" s="169"/>
      <c r="BO217" s="169"/>
      <c r="BP217" s="169"/>
      <c r="BQ217" s="169"/>
      <c r="BR217" s="169"/>
      <c r="BS217" s="169"/>
      <c r="BT217" s="169"/>
      <c r="BU217" s="169"/>
      <c r="BV217" s="169"/>
      <c r="BW217" s="169"/>
      <c r="BX217" s="169"/>
      <c r="BY217" s="169"/>
      <c r="BZ217" s="169"/>
    </row>
    <row r="218" spans="12:78" customFormat="1" ht="11.25" customHeight="1">
      <c r="L218" s="20"/>
      <c r="M218" s="508"/>
      <c r="N218" s="522"/>
      <c r="O218" s="166"/>
      <c r="AB218" s="251"/>
      <c r="AC218" s="251"/>
      <c r="AD218" s="251"/>
      <c r="AE218" s="241"/>
      <c r="AF218" s="241"/>
      <c r="AG218" s="241"/>
      <c r="AH218" s="169"/>
      <c r="AI218" s="169"/>
      <c r="AJ218" s="169"/>
      <c r="AK218" s="169"/>
      <c r="AL218" s="169"/>
      <c r="AM218" s="169"/>
      <c r="AN218" s="169"/>
      <c r="AO218" s="169"/>
      <c r="AP218" s="169"/>
      <c r="AQ218" s="169"/>
      <c r="AR218" s="169"/>
      <c r="AS218" s="169"/>
      <c r="AT218" s="169"/>
      <c r="AU218" s="169"/>
      <c r="AV218" s="169"/>
      <c r="AW218" s="169"/>
      <c r="AX218" s="169"/>
      <c r="AY218" s="169"/>
      <c r="AZ218" s="169"/>
      <c r="BA218" s="169"/>
      <c r="BB218" s="169"/>
      <c r="BC218" s="169"/>
      <c r="BD218" s="169"/>
      <c r="BE218" s="169"/>
      <c r="BF218" s="169"/>
      <c r="BG218" s="169"/>
      <c r="BH218" s="169"/>
      <c r="BI218" s="169"/>
      <c r="BJ218" s="169"/>
      <c r="BK218" s="169"/>
      <c r="BL218" s="169"/>
      <c r="BM218" s="169"/>
      <c r="BN218" s="169"/>
      <c r="BO218" s="169"/>
      <c r="BP218" s="169"/>
      <c r="BQ218" s="169"/>
      <c r="BR218" s="169"/>
      <c r="BS218" s="169"/>
      <c r="BT218" s="169"/>
      <c r="BU218" s="169"/>
      <c r="BV218" s="169"/>
      <c r="BW218" s="169"/>
      <c r="BX218" s="169"/>
      <c r="BY218" s="169"/>
      <c r="BZ218" s="169"/>
    </row>
    <row r="219" spans="12:78" customFormat="1" ht="11.25" customHeight="1">
      <c r="L219" s="20"/>
      <c r="M219" s="508"/>
      <c r="N219" s="522"/>
      <c r="O219" s="166"/>
      <c r="AB219" s="251"/>
      <c r="AC219" s="251"/>
      <c r="AD219" s="251"/>
      <c r="AE219" s="241"/>
      <c r="AF219" s="241"/>
      <c r="AG219" s="241"/>
      <c r="AH219" s="169"/>
      <c r="AI219" s="169"/>
      <c r="AJ219" s="169"/>
      <c r="AK219" s="169"/>
      <c r="AL219" s="169"/>
      <c r="AM219" s="169"/>
      <c r="AN219" s="169"/>
      <c r="AO219" s="169"/>
      <c r="AP219" s="169"/>
      <c r="AQ219" s="169"/>
      <c r="AR219" s="169"/>
      <c r="AS219" s="169"/>
      <c r="AT219" s="169"/>
      <c r="AU219" s="169"/>
      <c r="AV219" s="169"/>
      <c r="AW219" s="169"/>
      <c r="AX219" s="169"/>
      <c r="AY219" s="169"/>
      <c r="AZ219" s="169"/>
      <c r="BA219" s="169"/>
      <c r="BB219" s="169"/>
      <c r="BC219" s="169"/>
      <c r="BD219" s="169"/>
      <c r="BE219" s="169"/>
      <c r="BF219" s="169"/>
      <c r="BG219" s="169"/>
      <c r="BH219" s="169"/>
      <c r="BI219" s="169"/>
      <c r="BJ219" s="169"/>
      <c r="BK219" s="169"/>
      <c r="BL219" s="169"/>
      <c r="BM219" s="169"/>
      <c r="BN219" s="169"/>
      <c r="BO219" s="169"/>
      <c r="BP219" s="169"/>
      <c r="BQ219" s="169"/>
      <c r="BR219" s="169"/>
      <c r="BS219" s="169"/>
      <c r="BT219" s="169"/>
      <c r="BU219" s="169"/>
      <c r="BV219" s="169"/>
      <c r="BW219" s="169"/>
      <c r="BX219" s="169"/>
      <c r="BY219" s="169"/>
      <c r="BZ219" s="169"/>
    </row>
    <row r="220" spans="12:78" customFormat="1" ht="11.25" customHeight="1">
      <c r="L220" s="20"/>
      <c r="M220" s="508"/>
      <c r="N220" s="522"/>
      <c r="O220" s="166"/>
      <c r="AB220" s="251"/>
      <c r="AC220" s="251"/>
      <c r="AD220" s="251"/>
      <c r="AE220" s="241"/>
      <c r="AF220" s="241"/>
      <c r="AG220" s="241"/>
      <c r="AH220" s="169"/>
      <c r="AI220" s="169"/>
      <c r="AJ220" s="169"/>
      <c r="AK220" s="169"/>
      <c r="AL220" s="169"/>
      <c r="AM220" s="169"/>
      <c r="AN220" s="169"/>
      <c r="AO220" s="169"/>
      <c r="AP220" s="169"/>
      <c r="AQ220" s="169"/>
      <c r="AR220" s="169"/>
      <c r="AS220" s="169"/>
      <c r="AT220" s="169"/>
      <c r="AU220" s="169"/>
      <c r="AV220" s="169"/>
      <c r="AW220" s="169"/>
      <c r="AX220" s="169"/>
      <c r="AY220" s="169"/>
      <c r="AZ220" s="169"/>
      <c r="BA220" s="169"/>
      <c r="BB220" s="169"/>
      <c r="BC220" s="169"/>
      <c r="BD220" s="169"/>
      <c r="BE220" s="169"/>
      <c r="BF220" s="169"/>
      <c r="BG220" s="169"/>
      <c r="BH220" s="169"/>
      <c r="BI220" s="169"/>
      <c r="BJ220" s="169"/>
      <c r="BK220" s="169"/>
      <c r="BL220" s="169"/>
      <c r="BM220" s="169"/>
      <c r="BN220" s="169"/>
      <c r="BO220" s="169"/>
      <c r="BP220" s="169"/>
      <c r="BQ220" s="169"/>
      <c r="BR220" s="169"/>
      <c r="BS220" s="169"/>
      <c r="BT220" s="169"/>
      <c r="BU220" s="169"/>
      <c r="BV220" s="169"/>
      <c r="BW220" s="169"/>
      <c r="BX220" s="169"/>
      <c r="BY220" s="169"/>
      <c r="BZ220" s="169"/>
    </row>
    <row r="221" spans="12:78" customFormat="1" ht="11.25" customHeight="1" thickBot="1">
      <c r="L221" s="20"/>
      <c r="M221" s="508"/>
      <c r="N221" s="522"/>
      <c r="O221" s="166"/>
      <c r="AB221" s="251"/>
      <c r="AC221" s="251"/>
      <c r="AD221" s="251"/>
      <c r="AE221" s="241"/>
      <c r="AF221" s="241"/>
      <c r="AG221" s="241"/>
      <c r="AH221" s="169"/>
      <c r="AI221" s="169"/>
      <c r="AJ221" s="169"/>
      <c r="AK221" s="169"/>
      <c r="AL221" s="169"/>
      <c r="AM221" s="169"/>
      <c r="AN221" s="169"/>
      <c r="AO221" s="169"/>
      <c r="AP221" s="169"/>
      <c r="AQ221" s="169"/>
      <c r="AR221" s="169"/>
      <c r="AS221" s="169"/>
      <c r="AT221" s="169"/>
      <c r="AU221" s="169"/>
      <c r="AV221" s="169"/>
      <c r="AW221" s="169"/>
      <c r="AX221" s="169"/>
      <c r="AY221" s="169"/>
      <c r="AZ221" s="169"/>
      <c r="BA221" s="169"/>
      <c r="BB221" s="169"/>
      <c r="BC221" s="169"/>
      <c r="BD221" s="169"/>
      <c r="BE221" s="169"/>
      <c r="BF221" s="169"/>
      <c r="BG221" s="169"/>
      <c r="BH221" s="169"/>
      <c r="BI221" s="169"/>
      <c r="BJ221" s="169"/>
      <c r="BK221" s="169"/>
      <c r="BL221" s="169"/>
      <c r="BM221" s="169"/>
      <c r="BN221" s="169"/>
      <c r="BO221" s="169"/>
      <c r="BP221" s="169"/>
      <c r="BQ221" s="169"/>
      <c r="BR221" s="169"/>
      <c r="BS221" s="169"/>
      <c r="BT221" s="169"/>
      <c r="BU221" s="169"/>
      <c r="BV221" s="169"/>
      <c r="BW221" s="169"/>
      <c r="BX221" s="169"/>
      <c r="BY221" s="169"/>
      <c r="BZ221" s="169"/>
    </row>
    <row r="222" spans="12:78" customFormat="1" ht="11.25" customHeight="1" thickTop="1" thickBot="1">
      <c r="L222" s="150"/>
      <c r="M222" s="570" t="s">
        <v>2132</v>
      </c>
      <c r="N222" s="494" t="s">
        <v>2133</v>
      </c>
      <c r="O222" s="163" t="s">
        <v>195</v>
      </c>
      <c r="AB222" s="251"/>
      <c r="AC222" s="251"/>
      <c r="AD222" s="251"/>
      <c r="AE222" s="521">
        <f>AF222+AG222</f>
        <v>0</v>
      </c>
      <c r="AF222" s="521">
        <f>AF203+AF208</f>
        <v>0</v>
      </c>
      <c r="AG222" s="521">
        <f>AG203+AG208</f>
        <v>0</v>
      </c>
      <c r="AH222" s="169"/>
      <c r="AI222" s="169"/>
      <c r="AJ222" s="169"/>
      <c r="AK222" s="169"/>
      <c r="AL222" s="169"/>
      <c r="AM222" s="169"/>
      <c r="AN222" s="169"/>
      <c r="AO222" s="169"/>
      <c r="AP222" s="169"/>
      <c r="AQ222" s="169"/>
      <c r="AR222" s="169"/>
      <c r="AS222" s="169"/>
      <c r="AT222" s="169"/>
      <c r="AU222" s="169"/>
      <c r="AV222" s="169"/>
      <c r="AW222" s="169"/>
      <c r="AX222" s="169"/>
      <c r="AY222" s="169"/>
      <c r="AZ222" s="169"/>
      <c r="BA222" s="169"/>
      <c r="BB222" s="169"/>
      <c r="BC222" s="169"/>
      <c r="BD222" s="169"/>
      <c r="BE222" s="169"/>
      <c r="BF222" s="169"/>
      <c r="BG222" s="169"/>
      <c r="BH222" s="169"/>
      <c r="BI222" s="169"/>
      <c r="BJ222" s="169"/>
      <c r="BK222" s="169"/>
      <c r="BL222" s="169"/>
      <c r="BM222" s="169"/>
      <c r="BN222" s="169"/>
      <c r="BO222" s="169"/>
      <c r="BP222" s="169"/>
      <c r="BQ222" s="169"/>
      <c r="BR222" s="169"/>
      <c r="BS222" s="169"/>
      <c r="BT222" s="169"/>
      <c r="BU222" s="169"/>
      <c r="BV222" s="169"/>
      <c r="BW222" s="169"/>
      <c r="BX222" s="169"/>
      <c r="BY222" s="169"/>
      <c r="BZ222" s="169"/>
    </row>
    <row r="223" spans="12:78" customFormat="1" ht="11.25" customHeight="1" thickTop="1">
      <c r="L223" s="20"/>
      <c r="M223" s="508"/>
      <c r="N223" s="522"/>
      <c r="O223" s="166"/>
      <c r="AB223" s="251"/>
      <c r="AC223" s="251"/>
      <c r="AD223" s="251"/>
      <c r="AE223" s="266"/>
      <c r="AF223" s="266"/>
      <c r="AG223" s="266"/>
      <c r="AH223" s="169"/>
      <c r="AI223" s="169"/>
      <c r="AJ223" s="169"/>
      <c r="AK223" s="169"/>
      <c r="AL223" s="169"/>
      <c r="AM223" s="169"/>
      <c r="AN223" s="169"/>
      <c r="AO223" s="169"/>
      <c r="AP223" s="169"/>
      <c r="AQ223" s="169"/>
      <c r="AR223" s="169"/>
      <c r="AS223" s="169"/>
      <c r="AT223" s="169"/>
      <c r="AU223" s="169"/>
      <c r="AV223" s="169"/>
      <c r="AW223" s="169"/>
      <c r="AX223" s="169"/>
      <c r="AY223" s="169"/>
      <c r="AZ223" s="169"/>
      <c r="BA223" s="169"/>
      <c r="BB223" s="169"/>
      <c r="BC223" s="169"/>
      <c r="BD223" s="169"/>
      <c r="BE223" s="169"/>
      <c r="BF223" s="169"/>
      <c r="BG223" s="169"/>
      <c r="BH223" s="169"/>
      <c r="BI223" s="169"/>
      <c r="BJ223" s="169"/>
      <c r="BK223" s="169"/>
      <c r="BL223" s="169"/>
      <c r="BM223" s="169"/>
      <c r="BN223" s="169"/>
      <c r="BO223" s="169"/>
      <c r="BP223" s="169"/>
      <c r="BQ223" s="169"/>
      <c r="BR223" s="169"/>
      <c r="BS223" s="169"/>
      <c r="BT223" s="169"/>
      <c r="BU223" s="169"/>
      <c r="BV223" s="169"/>
      <c r="BW223" s="169"/>
      <c r="BX223" s="169"/>
      <c r="BY223" s="169"/>
      <c r="BZ223" s="169"/>
    </row>
    <row r="224" spans="12:78" customFormat="1" ht="11.25" customHeight="1">
      <c r="L224" s="20"/>
      <c r="M224" s="508"/>
      <c r="N224" s="522"/>
      <c r="O224" s="166"/>
      <c r="AB224" s="251"/>
      <c r="AC224" s="251"/>
      <c r="AD224" s="251"/>
      <c r="AE224" s="266"/>
      <c r="AF224" s="266"/>
      <c r="AG224" s="266"/>
      <c r="AH224" s="169"/>
      <c r="AI224" s="169"/>
      <c r="AJ224" s="169"/>
      <c r="AK224" s="169"/>
      <c r="AL224" s="169"/>
      <c r="AM224" s="169"/>
      <c r="AN224" s="169"/>
      <c r="AO224" s="169"/>
      <c r="AP224" s="169"/>
      <c r="AQ224" s="169"/>
      <c r="AR224" s="169"/>
      <c r="AS224" s="169"/>
      <c r="AT224" s="169"/>
      <c r="AU224" s="169"/>
      <c r="AV224" s="169"/>
      <c r="AW224" s="169"/>
      <c r="AX224" s="169"/>
      <c r="AY224" s="169"/>
      <c r="AZ224" s="169"/>
      <c r="BA224" s="169"/>
      <c r="BB224" s="169"/>
      <c r="BC224" s="169"/>
      <c r="BD224" s="169"/>
      <c r="BE224" s="169"/>
      <c r="BF224" s="169"/>
      <c r="BG224" s="169"/>
      <c r="BH224" s="169"/>
      <c r="BI224" s="169"/>
      <c r="BJ224" s="169"/>
      <c r="BK224" s="169"/>
      <c r="BL224" s="169"/>
      <c r="BM224" s="169"/>
      <c r="BN224" s="169"/>
      <c r="BO224" s="169"/>
      <c r="BP224" s="169"/>
      <c r="BQ224" s="169"/>
      <c r="BR224" s="169"/>
      <c r="BS224" s="169"/>
      <c r="BT224" s="169"/>
      <c r="BU224" s="169"/>
      <c r="BV224" s="169"/>
      <c r="BW224" s="169"/>
      <c r="BX224" s="169"/>
      <c r="BY224" s="169"/>
      <c r="BZ224" s="169"/>
    </row>
    <row r="225" spans="12:78" customFormat="1" ht="11.25" customHeight="1">
      <c r="L225" s="20"/>
      <c r="M225" s="508"/>
      <c r="N225" s="522"/>
      <c r="O225" s="166"/>
      <c r="AB225" s="251"/>
      <c r="AC225" s="251"/>
      <c r="AD225" s="251"/>
      <c r="AE225" s="266"/>
      <c r="AF225" s="266"/>
      <c r="AG225" s="266"/>
      <c r="AH225" s="169"/>
      <c r="AI225" s="169"/>
      <c r="AJ225" s="169"/>
      <c r="AK225" s="169"/>
      <c r="AL225" s="169"/>
      <c r="AM225" s="169"/>
      <c r="AN225" s="169"/>
      <c r="AO225" s="169"/>
      <c r="AP225" s="169"/>
      <c r="AQ225" s="169"/>
      <c r="AR225" s="169"/>
      <c r="AS225" s="169"/>
      <c r="AT225" s="169"/>
      <c r="AU225" s="169"/>
      <c r="AV225" s="169"/>
      <c r="AW225" s="169"/>
      <c r="AX225" s="169"/>
      <c r="AY225" s="169"/>
      <c r="AZ225" s="169"/>
      <c r="BA225" s="169"/>
      <c r="BB225" s="169"/>
      <c r="BC225" s="169"/>
      <c r="BD225" s="169"/>
      <c r="BE225" s="169"/>
      <c r="BF225" s="169"/>
      <c r="BG225" s="169"/>
      <c r="BH225" s="169"/>
      <c r="BI225" s="169"/>
      <c r="BJ225" s="169"/>
      <c r="BK225" s="169"/>
      <c r="BL225" s="169"/>
      <c r="BM225" s="169"/>
      <c r="BN225" s="169"/>
      <c r="BO225" s="169"/>
      <c r="BP225" s="169"/>
      <c r="BQ225" s="169"/>
      <c r="BR225" s="169"/>
      <c r="BS225" s="169"/>
      <c r="BT225" s="169"/>
      <c r="BU225" s="169"/>
      <c r="BV225" s="169"/>
      <c r="BW225" s="169"/>
      <c r="BX225" s="169"/>
      <c r="BY225" s="169"/>
      <c r="BZ225" s="169"/>
    </row>
    <row r="226" spans="12:78" customFormat="1" ht="11.25" customHeight="1">
      <c r="L226" s="20"/>
      <c r="M226" s="508"/>
      <c r="N226" s="522"/>
      <c r="O226" s="166"/>
      <c r="AB226" s="251"/>
      <c r="AC226" s="251"/>
      <c r="AD226" s="251"/>
      <c r="AE226" s="266"/>
      <c r="AF226" s="266"/>
      <c r="AG226" s="266"/>
      <c r="AH226" s="169"/>
      <c r="AI226" s="169"/>
      <c r="AJ226" s="169"/>
      <c r="AK226" s="169"/>
      <c r="AL226" s="169"/>
      <c r="AM226" s="169"/>
      <c r="AN226" s="169"/>
      <c r="AO226" s="169"/>
      <c r="AP226" s="169"/>
      <c r="AQ226" s="169"/>
      <c r="AR226" s="169"/>
      <c r="AS226" s="169"/>
      <c r="AT226" s="169"/>
      <c r="AU226" s="169"/>
      <c r="AV226" s="169"/>
      <c r="AW226" s="169"/>
      <c r="AX226" s="169"/>
      <c r="AY226" s="169"/>
      <c r="AZ226" s="169"/>
      <c r="BA226" s="169"/>
      <c r="BB226" s="169"/>
      <c r="BC226" s="169"/>
      <c r="BD226" s="169"/>
      <c r="BE226" s="169"/>
      <c r="BF226" s="169"/>
      <c r="BG226" s="169"/>
      <c r="BH226" s="169"/>
      <c r="BI226" s="169"/>
      <c r="BJ226" s="169"/>
      <c r="BK226" s="169"/>
      <c r="BL226" s="169"/>
      <c r="BM226" s="169"/>
      <c r="BN226" s="169"/>
      <c r="BO226" s="169"/>
      <c r="BP226" s="169"/>
      <c r="BQ226" s="169"/>
      <c r="BR226" s="169"/>
      <c r="BS226" s="169"/>
      <c r="BT226" s="169"/>
      <c r="BU226" s="169"/>
      <c r="BV226" s="169"/>
      <c r="BW226" s="169"/>
      <c r="BX226" s="169"/>
      <c r="BY226" s="169"/>
      <c r="BZ226" s="169"/>
    </row>
    <row r="227" spans="12:78" customFormat="1" ht="11.25" customHeight="1">
      <c r="L227" s="20"/>
      <c r="M227" s="508"/>
      <c r="N227" s="522"/>
      <c r="O227" s="166"/>
      <c r="AB227" s="251"/>
      <c r="AC227" s="251"/>
      <c r="AD227" s="251"/>
      <c r="AE227" s="266"/>
      <c r="AF227" s="266"/>
      <c r="AG227" s="266"/>
      <c r="AH227" s="169"/>
      <c r="AI227" s="169"/>
      <c r="AJ227" s="169"/>
      <c r="AK227" s="169"/>
      <c r="AL227" s="169"/>
      <c r="AM227" s="169"/>
      <c r="AN227" s="169"/>
      <c r="AO227" s="169"/>
      <c r="AP227" s="169"/>
      <c r="AQ227" s="169"/>
      <c r="AR227" s="169"/>
      <c r="AS227" s="169"/>
      <c r="AT227" s="169"/>
      <c r="AU227" s="169"/>
      <c r="AV227" s="169"/>
      <c r="AW227" s="169"/>
      <c r="AX227" s="169"/>
      <c r="AY227" s="169"/>
      <c r="AZ227" s="169"/>
      <c r="BA227" s="169"/>
      <c r="BB227" s="169"/>
      <c r="BC227" s="169"/>
      <c r="BD227" s="169"/>
      <c r="BE227" s="169"/>
      <c r="BF227" s="169"/>
      <c r="BG227" s="169"/>
      <c r="BH227" s="169"/>
      <c r="BI227" s="169"/>
      <c r="BJ227" s="169"/>
      <c r="BK227" s="169"/>
      <c r="BL227" s="169"/>
      <c r="BM227" s="169"/>
      <c r="BN227" s="169"/>
      <c r="BO227" s="169"/>
      <c r="BP227" s="169"/>
      <c r="BQ227" s="169"/>
      <c r="BR227" s="169"/>
      <c r="BS227" s="169"/>
      <c r="BT227" s="169"/>
      <c r="BU227" s="169"/>
      <c r="BV227" s="169"/>
      <c r="BW227" s="169"/>
      <c r="BX227" s="169"/>
      <c r="BY227" s="169"/>
      <c r="BZ227" s="169"/>
    </row>
    <row r="228" spans="12:78" customFormat="1" ht="11.25" customHeight="1">
      <c r="L228" s="20"/>
      <c r="M228" s="508"/>
      <c r="N228" s="522"/>
      <c r="O228" s="166"/>
      <c r="AB228" s="251"/>
      <c r="AC228" s="251"/>
      <c r="AD228" s="251"/>
      <c r="AE228" s="266"/>
      <c r="AF228" s="266"/>
      <c r="AG228" s="266"/>
      <c r="AH228" s="169"/>
      <c r="AI228" s="169"/>
      <c r="AJ228" s="169"/>
      <c r="AK228" s="169"/>
      <c r="AL228" s="169"/>
      <c r="AM228" s="169"/>
      <c r="AN228" s="169"/>
      <c r="AO228" s="169"/>
      <c r="AP228" s="169"/>
      <c r="AQ228" s="169"/>
      <c r="AR228" s="169"/>
      <c r="AS228" s="169"/>
      <c r="AT228" s="169"/>
      <c r="AU228" s="169"/>
      <c r="AV228" s="169"/>
      <c r="AW228" s="169"/>
      <c r="AX228" s="169"/>
      <c r="AY228" s="169"/>
      <c r="AZ228" s="169"/>
      <c r="BA228" s="169"/>
      <c r="BB228" s="169"/>
      <c r="BC228" s="169"/>
      <c r="BD228" s="169"/>
      <c r="BE228" s="169"/>
      <c r="BF228" s="169"/>
      <c r="BG228" s="169"/>
      <c r="BH228" s="169"/>
      <c r="BI228" s="169"/>
      <c r="BJ228" s="169"/>
      <c r="BK228" s="169"/>
      <c r="BL228" s="169"/>
      <c r="BM228" s="169"/>
      <c r="BN228" s="169"/>
      <c r="BO228" s="169"/>
      <c r="BP228" s="169"/>
      <c r="BQ228" s="169"/>
      <c r="BR228" s="169"/>
      <c r="BS228" s="169"/>
      <c r="BT228" s="169"/>
      <c r="BU228" s="169"/>
      <c r="BV228" s="169"/>
      <c r="BW228" s="169"/>
      <c r="BX228" s="169"/>
      <c r="BY228" s="169"/>
      <c r="BZ228" s="169"/>
    </row>
    <row r="229" spans="12:78" customFormat="1" ht="11.25" customHeight="1">
      <c r="L229" s="20"/>
      <c r="M229" s="508"/>
      <c r="N229" s="522"/>
      <c r="O229" s="166"/>
      <c r="AB229" s="251"/>
      <c r="AC229" s="251"/>
      <c r="AD229" s="251"/>
      <c r="AE229" s="266"/>
      <c r="AF229" s="266"/>
      <c r="AG229" s="266"/>
      <c r="AH229" s="169"/>
      <c r="AI229" s="169"/>
      <c r="AJ229" s="169"/>
      <c r="AK229" s="169"/>
      <c r="AL229" s="169"/>
      <c r="AM229" s="169"/>
      <c r="AN229" s="169"/>
      <c r="AO229" s="169"/>
      <c r="AP229" s="169"/>
      <c r="AQ229" s="169"/>
      <c r="AR229" s="169"/>
      <c r="AS229" s="169"/>
      <c r="AT229" s="169"/>
      <c r="AU229" s="169"/>
      <c r="AV229" s="169"/>
      <c r="AW229" s="169"/>
      <c r="AX229" s="169"/>
      <c r="AY229" s="169"/>
      <c r="AZ229" s="169"/>
      <c r="BA229" s="169"/>
      <c r="BB229" s="169"/>
      <c r="BC229" s="169"/>
      <c r="BD229" s="169"/>
      <c r="BE229" s="169"/>
      <c r="BF229" s="169"/>
      <c r="BG229" s="169"/>
      <c r="BH229" s="169"/>
      <c r="BI229" s="169"/>
      <c r="BJ229" s="169"/>
      <c r="BK229" s="169"/>
      <c r="BL229" s="169"/>
      <c r="BM229" s="169"/>
      <c r="BN229" s="169"/>
      <c r="BO229" s="169"/>
      <c r="BP229" s="169"/>
      <c r="BQ229" s="169"/>
      <c r="BR229" s="169"/>
      <c r="BS229" s="169"/>
      <c r="BT229" s="169"/>
      <c r="BU229" s="169"/>
      <c r="BV229" s="169"/>
      <c r="BW229" s="169"/>
      <c r="BX229" s="169"/>
      <c r="BY229" s="169"/>
      <c r="BZ229" s="169"/>
    </row>
    <row r="230" spans="12:78" customFormat="1" ht="11.25" customHeight="1">
      <c r="L230" s="20"/>
      <c r="M230" s="508"/>
      <c r="N230" s="522"/>
      <c r="O230" s="166"/>
      <c r="AB230" s="251"/>
      <c r="AC230" s="251"/>
      <c r="AD230" s="251"/>
      <c r="AE230" s="266"/>
      <c r="AF230" s="266"/>
      <c r="AG230" s="266"/>
      <c r="AH230" s="169"/>
      <c r="AI230" s="169"/>
      <c r="AJ230" s="169"/>
      <c r="AK230" s="169"/>
      <c r="AL230" s="169"/>
      <c r="AM230" s="169"/>
      <c r="AN230" s="169"/>
      <c r="AO230" s="169"/>
      <c r="AP230" s="169"/>
      <c r="AQ230" s="169"/>
      <c r="AR230" s="169"/>
      <c r="AS230" s="169"/>
      <c r="AT230" s="169"/>
      <c r="AU230" s="169"/>
      <c r="AV230" s="169"/>
      <c r="AW230" s="169"/>
      <c r="AX230" s="169"/>
      <c r="AY230" s="169"/>
      <c r="AZ230" s="169"/>
      <c r="BA230" s="169"/>
      <c r="BB230" s="169"/>
      <c r="BC230" s="169"/>
      <c r="BD230" s="169"/>
      <c r="BE230" s="169"/>
      <c r="BF230" s="169"/>
      <c r="BG230" s="169"/>
      <c r="BH230" s="169"/>
      <c r="BI230" s="169"/>
      <c r="BJ230" s="169"/>
      <c r="BK230" s="169"/>
      <c r="BL230" s="169"/>
      <c r="BM230" s="169"/>
      <c r="BN230" s="169"/>
      <c r="BO230" s="169"/>
      <c r="BP230" s="169"/>
      <c r="BQ230" s="169"/>
      <c r="BR230" s="169"/>
      <c r="BS230" s="169"/>
      <c r="BT230" s="169"/>
      <c r="BU230" s="169"/>
      <c r="BV230" s="169"/>
      <c r="BW230" s="169"/>
      <c r="BX230" s="169"/>
      <c r="BY230" s="169"/>
      <c r="BZ230" s="169"/>
    </row>
    <row r="231" spans="12:78" customFormat="1" ht="11.25" customHeight="1">
      <c r="L231" s="20"/>
      <c r="M231" s="508"/>
      <c r="N231" s="522"/>
      <c r="O231" s="166"/>
      <c r="AB231" s="251"/>
      <c r="AC231" s="251"/>
      <c r="AD231" s="251"/>
      <c r="AE231" s="266"/>
      <c r="AF231" s="266"/>
      <c r="AG231" s="266"/>
      <c r="AH231" s="169"/>
      <c r="AI231" s="169"/>
      <c r="AJ231" s="169"/>
      <c r="AK231" s="169"/>
      <c r="AL231" s="169"/>
      <c r="AM231" s="169"/>
      <c r="AN231" s="169"/>
      <c r="AO231" s="169"/>
      <c r="AP231" s="169"/>
      <c r="AQ231" s="169"/>
      <c r="AR231" s="169"/>
      <c r="AS231" s="169"/>
      <c r="AT231" s="169"/>
      <c r="AU231" s="169"/>
      <c r="AV231" s="169"/>
      <c r="AW231" s="169"/>
      <c r="AX231" s="169"/>
      <c r="AY231" s="169"/>
      <c r="AZ231" s="169"/>
      <c r="BA231" s="169"/>
      <c r="BB231" s="169"/>
      <c r="BC231" s="169"/>
      <c r="BD231" s="169"/>
      <c r="BE231" s="169"/>
      <c r="BF231" s="169"/>
      <c r="BG231" s="169"/>
      <c r="BH231" s="169"/>
      <c r="BI231" s="169"/>
      <c r="BJ231" s="169"/>
      <c r="BK231" s="169"/>
      <c r="BL231" s="169"/>
      <c r="BM231" s="169"/>
      <c r="BN231" s="169"/>
      <c r="BO231" s="169"/>
      <c r="BP231" s="169"/>
      <c r="BQ231" s="169"/>
      <c r="BR231" s="169"/>
      <c r="BS231" s="169"/>
      <c r="BT231" s="169"/>
      <c r="BU231" s="169"/>
      <c r="BV231" s="169"/>
      <c r="BW231" s="169"/>
      <c r="BX231" s="169"/>
      <c r="BY231" s="169"/>
      <c r="BZ231" s="169"/>
    </row>
    <row r="232" spans="12:78" customFormat="1" ht="11.25" customHeight="1">
      <c r="L232" s="20"/>
      <c r="M232" s="508"/>
      <c r="N232" s="522"/>
      <c r="O232" s="166"/>
      <c r="AB232" s="251"/>
      <c r="AC232" s="251"/>
      <c r="AD232" s="251"/>
      <c r="AE232" s="266"/>
      <c r="AF232" s="266"/>
      <c r="AG232" s="266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</row>
    <row r="233" spans="12:78" customFormat="1" ht="11.25" customHeight="1">
      <c r="L233" s="20"/>
      <c r="M233" s="508"/>
      <c r="N233" s="522"/>
      <c r="O233" s="166"/>
      <c r="AB233" s="251"/>
      <c r="AC233" s="251"/>
      <c r="AD233" s="251"/>
      <c r="AE233" s="266"/>
      <c r="AF233" s="266"/>
      <c r="AG233" s="266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</row>
    <row r="234" spans="12:78" customFormat="1" ht="11.25" customHeight="1">
      <c r="L234" s="20"/>
      <c r="M234" s="508"/>
      <c r="N234" s="522"/>
      <c r="O234" s="166"/>
      <c r="AB234" s="251"/>
      <c r="AC234" s="251"/>
      <c r="AD234" s="251"/>
      <c r="AE234" s="266"/>
      <c r="AF234" s="266"/>
      <c r="AG234" s="266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</row>
    <row r="235" spans="12:78" customFormat="1" ht="11.25" customHeight="1">
      <c r="L235" s="20"/>
      <c r="M235" s="508"/>
      <c r="N235" s="522"/>
      <c r="O235" s="166"/>
      <c r="AB235" s="251"/>
      <c r="AC235" s="251"/>
      <c r="AD235" s="251"/>
      <c r="AE235" s="266"/>
      <c r="AF235" s="266"/>
      <c r="AG235" s="266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</row>
    <row r="236" spans="12:78" customFormat="1" ht="11.25" customHeight="1">
      <c r="L236" s="20"/>
      <c r="M236" s="508"/>
      <c r="N236" s="522"/>
      <c r="O236" s="166"/>
      <c r="AB236" s="251"/>
      <c r="AC236" s="251"/>
      <c r="AD236" s="251"/>
      <c r="AE236" s="266"/>
      <c r="AF236" s="266"/>
      <c r="AG236" s="266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</row>
    <row r="237" spans="12:78" customFormat="1" ht="11.25" customHeight="1">
      <c r="L237" s="20"/>
      <c r="M237" s="508"/>
      <c r="N237" s="522"/>
      <c r="O237" s="166"/>
      <c r="AB237" s="251"/>
      <c r="AC237" s="251"/>
      <c r="AD237" s="251"/>
      <c r="AE237" s="266"/>
      <c r="AF237" s="266"/>
      <c r="AG237" s="266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</row>
    <row r="238" spans="12:78" customFormat="1" ht="11.25" customHeight="1">
      <c r="L238" s="20"/>
      <c r="M238" s="508"/>
      <c r="N238" s="522"/>
      <c r="O238" s="166"/>
      <c r="AB238" s="251"/>
      <c r="AC238" s="251"/>
      <c r="AD238" s="251"/>
      <c r="AE238" s="266"/>
      <c r="AF238" s="266"/>
      <c r="AG238" s="266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169"/>
      <c r="AX238" s="169"/>
      <c r="AY238" s="169"/>
      <c r="AZ238" s="169"/>
      <c r="BA238" s="169"/>
      <c r="BB238" s="169"/>
      <c r="BC238" s="169"/>
      <c r="BD238" s="169"/>
      <c r="BE238" s="169"/>
      <c r="BF238" s="169"/>
      <c r="BG238" s="169"/>
      <c r="BH238" s="169"/>
      <c r="BI238" s="169"/>
      <c r="BJ238" s="169"/>
      <c r="BK238" s="169"/>
      <c r="BL238" s="169"/>
      <c r="BM238" s="169"/>
      <c r="BN238" s="169"/>
      <c r="BO238" s="169"/>
      <c r="BP238" s="169"/>
      <c r="BQ238" s="169"/>
      <c r="BR238" s="169"/>
      <c r="BS238" s="169"/>
      <c r="BT238" s="169"/>
      <c r="BU238" s="169"/>
      <c r="BV238" s="169"/>
      <c r="BW238" s="169"/>
      <c r="BX238" s="169"/>
      <c r="BY238" s="169"/>
      <c r="BZ238" s="169"/>
    </row>
    <row r="239" spans="12:78" customFormat="1" ht="11.25" customHeight="1">
      <c r="L239" s="20"/>
      <c r="M239" s="508"/>
      <c r="N239" s="522"/>
      <c r="O239" s="166"/>
      <c r="AB239" s="251"/>
      <c r="AC239" s="251"/>
      <c r="AD239" s="251"/>
      <c r="AE239" s="266"/>
      <c r="AF239" s="266"/>
      <c r="AG239" s="266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169"/>
      <c r="BM239" s="169"/>
      <c r="BN239" s="169"/>
      <c r="BO239" s="169"/>
      <c r="BP239" s="169"/>
      <c r="BQ239" s="169"/>
      <c r="BR239" s="169"/>
      <c r="BS239" s="169"/>
      <c r="BT239" s="169"/>
      <c r="BU239" s="169"/>
      <c r="BV239" s="169"/>
      <c r="BW239" s="169"/>
      <c r="BX239" s="169"/>
      <c r="BY239" s="169"/>
      <c r="BZ239" s="169"/>
    </row>
    <row r="240" spans="12:78" customFormat="1" ht="11.25" customHeight="1">
      <c r="L240" s="20"/>
      <c r="M240" s="516" t="s">
        <v>1056</v>
      </c>
      <c r="N240" s="489" t="s">
        <v>2140</v>
      </c>
      <c r="O240" s="163" t="s">
        <v>1026</v>
      </c>
      <c r="AB240" s="251"/>
      <c r="AC240" s="251"/>
      <c r="AD240" s="251"/>
      <c r="AE240" s="247">
        <f>AF240+AG240</f>
        <v>0</v>
      </c>
      <c r="AF240" s="262">
        <f>SUMIF(ХВС.БПр!$BA$131:$BA$132,AF$17 &amp; ".0-" &amp; AF$9,ХВС.БПр!$X$131:$X$132)/1000+SUMIF(ХВС.БТр!$BA$131:$BA$132,AF$17 &amp; ".0-" &amp; AF$9,ХВС.БТр!$P$131:$P$132)/1000</f>
        <v>0</v>
      </c>
      <c r="AG240" s="262">
        <f>SUMIF(ХВС.БПр!$BA$131:$BA$132,AG$17 &amp; ".0-" &amp; AG$9,ХВС.БПр!$X$131:$X$132)/1000+SUMIF(ХВС.БТр!$BA$131:$BA$132,AG$17 &amp; ".0-" &amp; AG$9,ХВС.БТр!$P$131:$P$132)/1000</f>
        <v>0</v>
      </c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</row>
    <row r="241" spans="12:78" customFormat="1" ht="11.25" customHeight="1">
      <c r="L241" s="20"/>
      <c r="M241" s="516" t="s">
        <v>1057</v>
      </c>
      <c r="N241" s="554" t="s">
        <v>2141</v>
      </c>
      <c r="O241" s="163" t="s">
        <v>1026</v>
      </c>
      <c r="AB241" s="251"/>
      <c r="AC241" s="251"/>
      <c r="AD241" s="251"/>
      <c r="AE241" s="247">
        <f>AF241+AG241</f>
        <v>0</v>
      </c>
      <c r="AF241" s="262">
        <f>SUMIF(ХВС.БПр!$BA$131:$BA$132,AF$17 &amp; ".0-" &amp; AF$9,ХВС.БПр!$AC$131:$AC$132)/1000+SUMIF(ХВС.БПр!$BA$131:$BA$132,AF$17 &amp; ".0-" &amp; AF$9,ХВС.БПр!$AF$131:$AF$132)/1000+SUMIF(ХВС.БТр!$BA$131:$BA$132,AF$17 &amp; ".0-" &amp; AF$9,ХВС.БТр!$R$131:$R$132)/1000+SUMIF(ХВС.БТр!$BA$131:$BA$132,AF$17 &amp; ".0-" &amp; AF$9,ХВС.БТр!$U$131:$U$132)/1000+SUMIF(ХВС.БТр!$BA$131:$BA$132,AF$17 &amp; ".0-" &amp; AF$9,ХВС.БТр!$X$131:$X$132)/1000+SUMIF(ХВС.БТр!$BA$131:$BA$132,AF$17 &amp; ".0-" &amp; AF$9,ХВС.БТр!$AA$131:$AA$132)/1000</f>
        <v>0</v>
      </c>
      <c r="AG241" s="262">
        <f>SUMIF(ХВС.БПр!$BA$131:$BA$132,AG$17 &amp; ".0-" &amp; AG$9,ХВС.БПр!$AC$131:$AC$132)/1000+SUMIF(ХВС.БПр!$BA$131:$BA$132,AG$17 &amp; ".0-" &amp; AG$9,ХВС.БПр!$AF$131:$AF$132)/1000+SUMIF(ХВС.БТр!$BA$131:$BA$132,AG$17 &amp; ".0-" &amp; AG$9,ХВС.БТр!$R$131:$R$132)/1000+SUMIF(ХВС.БТр!$BA$131:$BA$132,AG$17 &amp; ".0-" &amp; AG$9,ХВС.БТр!$U$131:$U$132)/1000+SUMIF(ХВС.БТр!$BA$131:$BA$132,AG$17 &amp; ".0-" &amp; AG$9,ХВС.БТр!$X$131:$X$132)/1000+SUMIF(ХВС.БТр!$BA$131:$BA$132,AG$17 &amp; ".0-" &amp; AG$9,ХВС.БТр!$AA$131:$AA$132)/1000</f>
        <v>0</v>
      </c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</row>
    <row r="242" spans="12:78" customFormat="1" ht="11.25" customHeight="1">
      <c r="L242" s="20"/>
      <c r="M242" s="516" t="s">
        <v>1058</v>
      </c>
      <c r="N242" s="554" t="s">
        <v>312</v>
      </c>
      <c r="O242" s="163"/>
      <c r="AB242" s="251"/>
      <c r="AC242" s="251"/>
      <c r="AD242" s="251"/>
      <c r="AE242" s="247">
        <f>IF(AE240=0,0,AE241/AE240)</f>
        <v>0</v>
      </c>
      <c r="AF242" s="247">
        <f>IF(AF240=0,0,AF241/AF240)</f>
        <v>0</v>
      </c>
      <c r="AG242" s="247">
        <f>IF(AG240=0,0,AG241/AG240)</f>
        <v>0</v>
      </c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</row>
    <row r="243" spans="12:78" customFormat="1" ht="11.25" customHeight="1">
      <c r="L243" s="20"/>
      <c r="M243" s="516" t="s">
        <v>1059</v>
      </c>
      <c r="N243" s="554" t="s">
        <v>2142</v>
      </c>
      <c r="O243" s="163" t="s">
        <v>1026</v>
      </c>
      <c r="AB243" s="251"/>
      <c r="AC243" s="251"/>
      <c r="AD243" s="251"/>
      <c r="AE243" s="247">
        <f>AF243+AG243</f>
        <v>0</v>
      </c>
      <c r="AF243" s="262">
        <f>SUMIF(ХВС.БПр!$BA$131:$BA$132,AF$17 &amp; ".0-" &amp; AF$9,ХВС.БПр!$AF$131:$AF$132)/1000+SUMIF(ХВС.БТр!$BA$131:$BA$132,AF$17 &amp; ".0-" &amp; AF$9,ХВС.БТр!$U$131:$U$132)/1000+SUMIF(ХВС.БТр!$BA$131:$BA$132,AF$17 &amp; ".0-" &amp; AF$9,ХВС.БТр!$X$131:$X$132)/1000+SUMIF(ХВС.БТр!$BA$131:$BA$132,AF$17 &amp; ".0-" &amp; AF$9,ХВС.БТр!$AA$131:$AA$132)/1000</f>
        <v>0</v>
      </c>
      <c r="AG243" s="262">
        <f>SUMIF(ХВС.БПр!$BA$131:$BA$132,AG$17 &amp; ".0-" &amp; AG$9,ХВС.БПр!$AF$131:$AF$132)/1000+SUMIF(ХВС.БТр!$BA$131:$BA$132,AG$17 &amp; ".0-" &amp; AG$9,ХВС.БТр!$U$131:$U$132)/1000+SUMIF(ХВС.БТр!$BA$131:$BA$132,AG$17 &amp; ".0-" &amp; AG$9,ХВС.БТр!$X$131:$X$132)/1000+SUMIF(ХВС.БТр!$BA$131:$BA$132,AG$17 &amp; ".0-" &amp; AG$9,ХВС.БТр!$AA$131:$AA$132)/1000</f>
        <v>0</v>
      </c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</row>
    <row r="244" spans="12:78" customFormat="1" ht="11.25" customHeight="1">
      <c r="L244" s="20"/>
      <c r="M244" s="532"/>
      <c r="N244" s="533"/>
      <c r="O244" s="422"/>
      <c r="AB244" s="251"/>
      <c r="AC244" s="251"/>
      <c r="AD244" s="251"/>
      <c r="AE244" s="261"/>
      <c r="AF244" s="261"/>
      <c r="AG244" s="261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</row>
    <row r="245" spans="12:78" customFormat="1" ht="11.25" customHeight="1">
      <c r="L245" s="20"/>
      <c r="M245" s="516" t="s">
        <v>1142</v>
      </c>
      <c r="N245" s="503" t="str">
        <f>IF(TEMPLATE_SPHERE_CODE="COLDVSNA","Объём отпуска воды",IF(TEMPLATE_SPHERE_CODE="VOTV","Объём сточных вод",""))</f>
        <v/>
      </c>
      <c r="O245" s="163" t="s">
        <v>1026</v>
      </c>
      <c r="AB245" s="251"/>
      <c r="AC245" s="251"/>
      <c r="AD245" s="251"/>
      <c r="AE245" s="264"/>
      <c r="AF245" s="265">
        <f>AF240</f>
        <v>0</v>
      </c>
      <c r="AG245" s="265">
        <f>AG240</f>
        <v>0</v>
      </c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</row>
    <row r="246" spans="12:78" customFormat="1" ht="11.25" customHeight="1">
      <c r="L246" s="20"/>
      <c r="M246" s="532"/>
      <c r="N246" s="533"/>
      <c r="O246" s="422"/>
      <c r="AB246" s="251"/>
      <c r="AC246" s="251"/>
      <c r="AD246" s="251"/>
      <c r="AE246" s="261"/>
      <c r="AF246" s="261"/>
      <c r="AG246" s="261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</row>
    <row r="247" spans="12:78" customFormat="1" ht="11.25" customHeight="1">
      <c r="L247" s="20"/>
      <c r="M247" s="516" t="s">
        <v>1143</v>
      </c>
      <c r="N247" s="490" t="s">
        <v>629</v>
      </c>
      <c r="O247" s="163" t="s">
        <v>755</v>
      </c>
      <c r="AB247" s="251"/>
      <c r="AC247" s="251"/>
      <c r="AD247" s="251"/>
      <c r="AE247" s="414">
        <f>IF(AE203=0,0,(AE208-AE207)/AE203*100)</f>
        <v>0</v>
      </c>
      <c r="AF247" s="414">
        <f>IF(AF203=0,0,(AF208-AF207)/AF203*100)</f>
        <v>0</v>
      </c>
      <c r="AG247" s="414">
        <f>IF(AG203=0,0,(AG208-AG207)/AG203*100)</f>
        <v>0</v>
      </c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</row>
    <row r="248" spans="12:78" customFormat="1" ht="11.25" customHeight="1">
      <c r="L248" s="20"/>
      <c r="M248" s="532"/>
      <c r="N248" s="533"/>
      <c r="O248" s="422"/>
      <c r="AB248" s="251"/>
      <c r="AC248" s="251"/>
      <c r="AD248" s="251"/>
      <c r="AE248" s="241"/>
      <c r="AF248" s="241"/>
      <c r="AG248" s="241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</row>
    <row r="249" spans="12:78" customFormat="1" ht="11.25" customHeight="1">
      <c r="L249" s="20"/>
      <c r="M249" s="508"/>
      <c r="N249" s="522"/>
      <c r="O249" s="166"/>
      <c r="AB249" s="251"/>
      <c r="AC249" s="251"/>
      <c r="AD249" s="251"/>
      <c r="AE249" s="241"/>
      <c r="AF249" s="241"/>
      <c r="AG249" s="241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169"/>
      <c r="AX249" s="169"/>
      <c r="AY249" s="169"/>
      <c r="AZ249" s="169"/>
      <c r="BA249" s="169"/>
      <c r="BB249" s="169"/>
      <c r="BC249" s="169"/>
      <c r="BD249" s="169"/>
      <c r="BE249" s="169"/>
      <c r="BF249" s="169"/>
      <c r="BG249" s="169"/>
      <c r="BH249" s="169"/>
      <c r="BI249" s="169"/>
      <c r="BJ249" s="169"/>
      <c r="BK249" s="169"/>
      <c r="BL249" s="169"/>
      <c r="BM249" s="169"/>
      <c r="BN249" s="169"/>
      <c r="BO249" s="169"/>
      <c r="BP249" s="169"/>
      <c r="BQ249" s="169"/>
      <c r="BR249" s="169"/>
      <c r="BS249" s="169"/>
      <c r="BT249" s="169"/>
      <c r="BU249" s="169"/>
      <c r="BV249" s="169"/>
      <c r="BW249" s="169"/>
      <c r="BX249" s="169"/>
      <c r="BY249" s="169"/>
      <c r="BZ249" s="169"/>
    </row>
    <row r="250" spans="12:78" customFormat="1" ht="11.25" customHeight="1">
      <c r="L250" s="20"/>
      <c r="M250" s="508"/>
      <c r="N250" s="522"/>
      <c r="O250" s="166"/>
      <c r="AB250" s="251"/>
      <c r="AC250" s="251"/>
      <c r="AD250" s="251"/>
      <c r="AE250" s="241"/>
      <c r="AF250" s="241"/>
      <c r="AG250" s="241"/>
      <c r="AH250" s="169"/>
      <c r="AI250" s="169"/>
      <c r="AJ250" s="169"/>
      <c r="AK250" s="169"/>
      <c r="AL250" s="169"/>
      <c r="AM250" s="169"/>
      <c r="AN250" s="169"/>
      <c r="AO250" s="169"/>
      <c r="AP250" s="169"/>
      <c r="AQ250" s="169"/>
      <c r="AR250" s="169"/>
      <c r="AS250" s="169"/>
      <c r="AT250" s="169"/>
      <c r="AU250" s="169"/>
      <c r="AV250" s="169"/>
      <c r="AW250" s="169"/>
      <c r="AX250" s="169"/>
      <c r="AY250" s="169"/>
      <c r="AZ250" s="169"/>
      <c r="BA250" s="169"/>
      <c r="BB250" s="169"/>
      <c r="BC250" s="169"/>
      <c r="BD250" s="169"/>
      <c r="BE250" s="169"/>
      <c r="BF250" s="169"/>
      <c r="BG250" s="169"/>
      <c r="BH250" s="169"/>
      <c r="BI250" s="169"/>
      <c r="BJ250" s="169"/>
      <c r="BK250" s="169"/>
      <c r="BL250" s="169"/>
      <c r="BM250" s="169"/>
      <c r="BN250" s="169"/>
      <c r="BO250" s="169"/>
      <c r="BP250" s="169"/>
      <c r="BQ250" s="169"/>
      <c r="BR250" s="169"/>
      <c r="BS250" s="169"/>
      <c r="BT250" s="169"/>
      <c r="BU250" s="169"/>
      <c r="BV250" s="169"/>
      <c r="BW250" s="169"/>
      <c r="BX250" s="169"/>
      <c r="BY250" s="169"/>
      <c r="BZ250" s="169"/>
    </row>
    <row r="251" spans="12:78" customFormat="1" ht="11.25" customHeight="1">
      <c r="L251" s="20"/>
      <c r="M251" s="508"/>
      <c r="N251" s="522"/>
      <c r="O251" s="166"/>
      <c r="AB251" s="251"/>
      <c r="AC251" s="251"/>
      <c r="AD251" s="251"/>
      <c r="AE251" s="241"/>
      <c r="AF251" s="241"/>
      <c r="AG251" s="241"/>
      <c r="AH251" s="169"/>
      <c r="AI251" s="169"/>
      <c r="AJ251" s="169"/>
      <c r="AK251" s="169"/>
      <c r="AL251" s="169"/>
      <c r="AM251" s="169"/>
      <c r="AN251" s="169"/>
      <c r="AO251" s="169"/>
      <c r="AP251" s="169"/>
      <c r="AQ251" s="169"/>
      <c r="AR251" s="169"/>
      <c r="AS251" s="169"/>
      <c r="AT251" s="169"/>
      <c r="AU251" s="169"/>
      <c r="AV251" s="169"/>
      <c r="AW251" s="169"/>
      <c r="AX251" s="169"/>
      <c r="AY251" s="169"/>
      <c r="AZ251" s="169"/>
      <c r="BA251" s="169"/>
      <c r="BB251" s="169"/>
      <c r="BC251" s="169"/>
      <c r="BD251" s="169"/>
      <c r="BE251" s="169"/>
      <c r="BF251" s="169"/>
      <c r="BG251" s="169"/>
      <c r="BH251" s="169"/>
      <c r="BI251" s="169"/>
      <c r="BJ251" s="169"/>
      <c r="BK251" s="169"/>
      <c r="BL251" s="169"/>
      <c r="BM251" s="169"/>
      <c r="BN251" s="169"/>
      <c r="BO251" s="169"/>
      <c r="BP251" s="169"/>
      <c r="BQ251" s="169"/>
      <c r="BR251" s="169"/>
      <c r="BS251" s="169"/>
      <c r="BT251" s="169"/>
      <c r="BU251" s="169"/>
      <c r="BV251" s="169"/>
      <c r="BW251" s="169"/>
      <c r="BX251" s="169"/>
      <c r="BY251" s="169"/>
      <c r="BZ251" s="169"/>
    </row>
    <row r="252" spans="12:78" customFormat="1" ht="11.25" customHeight="1">
      <c r="L252" s="20"/>
      <c r="M252" s="508"/>
      <c r="N252" s="522"/>
      <c r="O252" s="166"/>
      <c r="AB252" s="251"/>
      <c r="AC252" s="251"/>
      <c r="AD252" s="251"/>
      <c r="AE252" s="241"/>
      <c r="AF252" s="241"/>
      <c r="AG252" s="241"/>
      <c r="AH252" s="169"/>
      <c r="AI252" s="169"/>
      <c r="AJ252" s="169"/>
      <c r="AK252" s="169"/>
      <c r="AL252" s="169"/>
      <c r="AM252" s="169"/>
      <c r="AN252" s="169"/>
      <c r="AO252" s="169"/>
      <c r="AP252" s="169"/>
      <c r="AQ252" s="169"/>
      <c r="AR252" s="169"/>
      <c r="AS252" s="169"/>
      <c r="AT252" s="169"/>
      <c r="AU252" s="169"/>
      <c r="AV252" s="169"/>
      <c r="AW252" s="169"/>
      <c r="AX252" s="169"/>
      <c r="AY252" s="169"/>
      <c r="AZ252" s="169"/>
      <c r="BA252" s="169"/>
      <c r="BB252" s="169"/>
      <c r="BC252" s="169"/>
      <c r="BD252" s="169"/>
      <c r="BE252" s="169"/>
      <c r="BF252" s="169"/>
      <c r="BG252" s="169"/>
      <c r="BH252" s="169"/>
      <c r="BI252" s="169"/>
      <c r="BJ252" s="169"/>
      <c r="BK252" s="169"/>
      <c r="BL252" s="169"/>
      <c r="BM252" s="169"/>
      <c r="BN252" s="169"/>
      <c r="BO252" s="169"/>
      <c r="BP252" s="169"/>
      <c r="BQ252" s="169"/>
      <c r="BR252" s="169"/>
      <c r="BS252" s="169"/>
      <c r="BT252" s="169"/>
      <c r="BU252" s="169"/>
      <c r="BV252" s="169"/>
      <c r="BW252" s="169"/>
      <c r="BX252" s="169"/>
      <c r="BY252" s="169"/>
      <c r="BZ252" s="169"/>
    </row>
    <row r="253" spans="12:78" customFormat="1" ht="11.25" customHeight="1">
      <c r="L253" s="20"/>
      <c r="M253" s="508"/>
      <c r="N253" s="522"/>
      <c r="O253" s="166"/>
      <c r="AB253" s="251"/>
      <c r="AC253" s="251"/>
      <c r="AD253" s="251"/>
      <c r="AE253" s="241"/>
      <c r="AF253" s="241"/>
      <c r="AG253" s="241"/>
      <c r="AH253" s="169"/>
      <c r="AI253" s="169"/>
      <c r="AJ253" s="169"/>
      <c r="AK253" s="169"/>
      <c r="AL253" s="169"/>
      <c r="AM253" s="169"/>
      <c r="AN253" s="169"/>
      <c r="AO253" s="169"/>
      <c r="AP253" s="169"/>
      <c r="AQ253" s="169"/>
      <c r="AR253" s="169"/>
      <c r="AS253" s="169"/>
      <c r="AT253" s="169"/>
      <c r="AU253" s="169"/>
      <c r="AV253" s="169"/>
      <c r="AW253" s="169"/>
      <c r="AX253" s="169"/>
      <c r="AY253" s="169"/>
      <c r="AZ253" s="169"/>
      <c r="BA253" s="169"/>
      <c r="BB253" s="169"/>
      <c r="BC253" s="169"/>
      <c r="BD253" s="169"/>
      <c r="BE253" s="169"/>
      <c r="BF253" s="169"/>
      <c r="BG253" s="169"/>
      <c r="BH253" s="169"/>
      <c r="BI253" s="169"/>
      <c r="BJ253" s="169"/>
      <c r="BK253" s="169"/>
      <c r="BL253" s="169"/>
      <c r="BM253" s="169"/>
      <c r="BN253" s="169"/>
      <c r="BO253" s="169"/>
      <c r="BP253" s="169"/>
      <c r="BQ253" s="169"/>
      <c r="BR253" s="169"/>
      <c r="BS253" s="169"/>
      <c r="BT253" s="169"/>
      <c r="BU253" s="169"/>
      <c r="BV253" s="169"/>
      <c r="BW253" s="169"/>
      <c r="BX253" s="169"/>
      <c r="BY253" s="169"/>
      <c r="BZ253" s="169"/>
    </row>
    <row r="254" spans="12:78" customFormat="1" ht="11.25" customHeight="1">
      <c r="L254" s="20"/>
      <c r="M254" s="508"/>
      <c r="N254" s="522"/>
      <c r="O254" s="166"/>
      <c r="AB254" s="251"/>
      <c r="AC254" s="251"/>
      <c r="AD254" s="251"/>
      <c r="AE254" s="241"/>
      <c r="AF254" s="241"/>
      <c r="AG254" s="241"/>
      <c r="AH254" s="169"/>
      <c r="AI254" s="169"/>
      <c r="AJ254" s="169"/>
      <c r="AK254" s="169"/>
      <c r="AL254" s="169"/>
      <c r="AM254" s="169"/>
      <c r="AN254" s="169"/>
      <c r="AO254" s="169"/>
      <c r="AP254" s="169"/>
      <c r="AQ254" s="169"/>
      <c r="AR254" s="169"/>
      <c r="AS254" s="169"/>
      <c r="AT254" s="169"/>
      <c r="AU254" s="169"/>
      <c r="AV254" s="169"/>
      <c r="AW254" s="169"/>
      <c r="AX254" s="169"/>
      <c r="AY254" s="169"/>
      <c r="AZ254" s="169"/>
      <c r="BA254" s="169"/>
      <c r="BB254" s="169"/>
      <c r="BC254" s="169"/>
      <c r="BD254" s="169"/>
      <c r="BE254" s="169"/>
      <c r="BF254" s="169"/>
      <c r="BG254" s="169"/>
      <c r="BH254" s="169"/>
      <c r="BI254" s="169"/>
      <c r="BJ254" s="169"/>
      <c r="BK254" s="169"/>
      <c r="BL254" s="169"/>
      <c r="BM254" s="169"/>
      <c r="BN254" s="169"/>
      <c r="BO254" s="169"/>
      <c r="BP254" s="169"/>
      <c r="BQ254" s="169"/>
      <c r="BR254" s="169"/>
      <c r="BS254" s="169"/>
      <c r="BT254" s="169"/>
      <c r="BU254" s="169"/>
      <c r="BV254" s="169"/>
      <c r="BW254" s="169"/>
      <c r="BX254" s="169"/>
      <c r="BY254" s="169"/>
      <c r="BZ254" s="169"/>
    </row>
    <row r="255" spans="12:78" customFormat="1" ht="11.25" customHeight="1">
      <c r="L255" s="20"/>
      <c r="M255" s="508"/>
      <c r="N255" s="522"/>
      <c r="O255" s="166"/>
      <c r="AB255" s="251"/>
      <c r="AC255" s="251"/>
      <c r="AD255" s="251"/>
      <c r="AE255" s="241"/>
      <c r="AF255" s="241"/>
      <c r="AG255" s="241"/>
      <c r="AH255" s="169"/>
      <c r="AI255" s="169"/>
      <c r="AJ255" s="169"/>
      <c r="AK255" s="169"/>
      <c r="AL255" s="169"/>
      <c r="AM255" s="169"/>
      <c r="AN255" s="169"/>
      <c r="AO255" s="169"/>
      <c r="AP255" s="169"/>
      <c r="AQ255" s="169"/>
      <c r="AR255" s="169"/>
      <c r="AS255" s="169"/>
      <c r="AT255" s="169"/>
      <c r="AU255" s="169"/>
      <c r="AV255" s="169"/>
      <c r="AW255" s="169"/>
      <c r="AX255" s="169"/>
      <c r="AY255" s="169"/>
      <c r="AZ255" s="169"/>
      <c r="BA255" s="169"/>
      <c r="BB255" s="169"/>
      <c r="BC255" s="169"/>
      <c r="BD255" s="169"/>
      <c r="BE255" s="169"/>
      <c r="BF255" s="169"/>
      <c r="BG255" s="169"/>
      <c r="BH255" s="169"/>
      <c r="BI255" s="169"/>
      <c r="BJ255" s="169"/>
      <c r="BK255" s="169"/>
      <c r="BL255" s="169"/>
      <c r="BM255" s="169"/>
      <c r="BN255" s="169"/>
      <c r="BO255" s="169"/>
      <c r="BP255" s="169"/>
      <c r="BQ255" s="169"/>
      <c r="BR255" s="169"/>
      <c r="BS255" s="169"/>
      <c r="BT255" s="169"/>
      <c r="BU255" s="169"/>
      <c r="BV255" s="169"/>
      <c r="BW255" s="169"/>
      <c r="BX255" s="169"/>
      <c r="BY255" s="169"/>
      <c r="BZ255" s="169"/>
    </row>
    <row r="256" spans="12:78" customFormat="1" ht="11.25" customHeight="1">
      <c r="L256" s="20"/>
      <c r="M256" s="508"/>
      <c r="N256" s="522"/>
      <c r="O256" s="166"/>
      <c r="AB256" s="251"/>
      <c r="AC256" s="251"/>
      <c r="AD256" s="251"/>
      <c r="AE256" s="241"/>
      <c r="AF256" s="241"/>
      <c r="AG256" s="241"/>
      <c r="AH256" s="169"/>
      <c r="AI256" s="169"/>
      <c r="AJ256" s="169"/>
      <c r="AK256" s="169"/>
      <c r="AL256" s="169"/>
      <c r="AM256" s="169"/>
      <c r="AN256" s="169"/>
      <c r="AO256" s="169"/>
      <c r="AP256" s="169"/>
      <c r="AQ256" s="169"/>
      <c r="AR256" s="169"/>
      <c r="AS256" s="169"/>
      <c r="AT256" s="169"/>
      <c r="AU256" s="169"/>
      <c r="AV256" s="169"/>
      <c r="AW256" s="169"/>
      <c r="AX256" s="169"/>
      <c r="AY256" s="169"/>
      <c r="AZ256" s="169"/>
      <c r="BA256" s="169"/>
      <c r="BB256" s="169"/>
      <c r="BC256" s="169"/>
      <c r="BD256" s="169"/>
      <c r="BE256" s="169"/>
      <c r="BF256" s="169"/>
      <c r="BG256" s="169"/>
      <c r="BH256" s="169"/>
      <c r="BI256" s="169"/>
      <c r="BJ256" s="169"/>
      <c r="BK256" s="169"/>
      <c r="BL256" s="169"/>
      <c r="BM256" s="169"/>
      <c r="BN256" s="169"/>
      <c r="BO256" s="169"/>
      <c r="BP256" s="169"/>
      <c r="BQ256" s="169"/>
      <c r="BR256" s="169"/>
      <c r="BS256" s="169"/>
      <c r="BT256" s="169"/>
      <c r="BU256" s="169"/>
      <c r="BV256" s="169"/>
      <c r="BW256" s="169"/>
      <c r="BX256" s="169"/>
      <c r="BY256" s="169"/>
      <c r="BZ256" s="169"/>
    </row>
    <row r="257" spans="12:78" customFormat="1" ht="11.25" customHeight="1">
      <c r="L257" s="20"/>
      <c r="M257" s="508"/>
      <c r="N257" s="522"/>
      <c r="O257" s="166"/>
      <c r="AB257" s="251"/>
      <c r="AC257" s="251"/>
      <c r="AD257" s="251"/>
      <c r="AE257" s="241"/>
      <c r="AF257" s="241"/>
      <c r="AG257" s="241"/>
      <c r="AH257" s="169"/>
      <c r="AI257" s="169"/>
      <c r="AJ257" s="169"/>
      <c r="AK257" s="169"/>
      <c r="AL257" s="169"/>
      <c r="AM257" s="169"/>
      <c r="AN257" s="169"/>
      <c r="AO257" s="169"/>
      <c r="AP257" s="169"/>
      <c r="AQ257" s="169"/>
      <c r="AR257" s="169"/>
      <c r="AS257" s="169"/>
      <c r="AT257" s="169"/>
      <c r="AU257" s="169"/>
      <c r="AV257" s="169"/>
      <c r="AW257" s="169"/>
      <c r="AX257" s="169"/>
      <c r="AY257" s="169"/>
      <c r="AZ257" s="169"/>
      <c r="BA257" s="169"/>
      <c r="BB257" s="169"/>
      <c r="BC257" s="169"/>
      <c r="BD257" s="169"/>
      <c r="BE257" s="169"/>
      <c r="BF257" s="169"/>
      <c r="BG257" s="169"/>
      <c r="BH257" s="169"/>
      <c r="BI257" s="169"/>
      <c r="BJ257" s="169"/>
      <c r="BK257" s="169"/>
      <c r="BL257" s="169"/>
      <c r="BM257" s="169"/>
      <c r="BN257" s="169"/>
      <c r="BO257" s="169"/>
      <c r="BP257" s="169"/>
      <c r="BQ257" s="169"/>
      <c r="BR257" s="169"/>
      <c r="BS257" s="169"/>
      <c r="BT257" s="169"/>
      <c r="BU257" s="169"/>
      <c r="BV257" s="169"/>
      <c r="BW257" s="169"/>
      <c r="BX257" s="169"/>
      <c r="BY257" s="169"/>
      <c r="BZ257" s="169"/>
    </row>
    <row r="258" spans="12:78" customFormat="1" ht="11.25" customHeight="1">
      <c r="L258" s="20"/>
      <c r="M258" s="508"/>
      <c r="N258" s="522"/>
      <c r="O258" s="166"/>
      <c r="AB258" s="251"/>
      <c r="AC258" s="251"/>
      <c r="AD258" s="251"/>
      <c r="AE258" s="241"/>
      <c r="AF258" s="241"/>
      <c r="AG258" s="241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</row>
    <row r="259" spans="12:78" customFormat="1" ht="11.25" customHeight="1">
      <c r="L259" s="20"/>
      <c r="M259" s="508"/>
      <c r="N259" s="522"/>
      <c r="O259" s="166"/>
      <c r="AB259" s="251"/>
      <c r="AC259" s="251"/>
      <c r="AD259" s="251"/>
      <c r="AE259" s="241"/>
      <c r="AF259" s="241"/>
      <c r="AG259" s="241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</row>
    <row r="260" spans="12:78" customFormat="1" ht="11.25" customHeight="1">
      <c r="L260" s="20"/>
      <c r="M260" s="508"/>
      <c r="N260" s="522"/>
      <c r="O260" s="166"/>
      <c r="AB260" s="251"/>
      <c r="AC260" s="251"/>
      <c r="AD260" s="251"/>
      <c r="AE260" s="241"/>
      <c r="AF260" s="241"/>
      <c r="AG260" s="241"/>
      <c r="AH260" s="169"/>
      <c r="AI260" s="169"/>
      <c r="AJ260" s="169"/>
      <c r="AK260" s="169"/>
      <c r="AL260" s="169"/>
      <c r="AM260" s="169"/>
      <c r="AN260" s="169"/>
      <c r="AO260" s="169"/>
      <c r="AP260" s="169"/>
      <c r="AQ260" s="169"/>
      <c r="AR260" s="169"/>
      <c r="AS260" s="169"/>
      <c r="AT260" s="169"/>
      <c r="AU260" s="169"/>
      <c r="AV260" s="169"/>
      <c r="AW260" s="169"/>
      <c r="AX260" s="169"/>
      <c r="AY260" s="169"/>
      <c r="AZ260" s="169"/>
      <c r="BA260" s="169"/>
      <c r="BB260" s="169"/>
      <c r="BC260" s="169"/>
      <c r="BD260" s="169"/>
      <c r="BE260" s="169"/>
      <c r="BF260" s="169"/>
      <c r="BG260" s="169"/>
      <c r="BH260" s="169"/>
      <c r="BI260" s="169"/>
      <c r="BJ260" s="169"/>
      <c r="BK260" s="169"/>
      <c r="BL260" s="169"/>
      <c r="BM260" s="169"/>
      <c r="BN260" s="169"/>
      <c r="BO260" s="169"/>
      <c r="BP260" s="169"/>
      <c r="BQ260" s="169"/>
      <c r="BR260" s="169"/>
      <c r="BS260" s="169"/>
      <c r="BT260" s="169"/>
      <c r="BU260" s="169"/>
      <c r="BV260" s="169"/>
      <c r="BW260" s="169"/>
      <c r="BX260" s="169"/>
      <c r="BY260" s="169"/>
      <c r="BZ260" s="169"/>
    </row>
    <row r="261" spans="12:78" customFormat="1" ht="11.25" customHeight="1">
      <c r="L261" s="20"/>
      <c r="M261" s="508"/>
      <c r="N261" s="522"/>
      <c r="O261" s="166"/>
      <c r="AB261" s="251"/>
      <c r="AC261" s="251"/>
      <c r="AD261" s="251"/>
      <c r="AE261" s="241"/>
      <c r="AF261" s="241"/>
      <c r="AG261" s="241"/>
      <c r="AH261" s="169"/>
      <c r="AI261" s="169"/>
      <c r="AJ261" s="169"/>
      <c r="AK261" s="169"/>
      <c r="AL261" s="169"/>
      <c r="AM261" s="169"/>
      <c r="AN261" s="169"/>
      <c r="AO261" s="169"/>
      <c r="AP261" s="169"/>
      <c r="AQ261" s="169"/>
      <c r="AR261" s="169"/>
      <c r="AS261" s="169"/>
      <c r="AT261" s="169"/>
      <c r="AU261" s="169"/>
      <c r="AV261" s="169"/>
      <c r="AW261" s="169"/>
      <c r="AX261" s="169"/>
      <c r="AY261" s="169"/>
      <c r="AZ261" s="169"/>
      <c r="BA261" s="169"/>
      <c r="BB261" s="169"/>
      <c r="BC261" s="169"/>
      <c r="BD261" s="169"/>
      <c r="BE261" s="169"/>
      <c r="BF261" s="169"/>
      <c r="BG261" s="169"/>
      <c r="BH261" s="169"/>
      <c r="BI261" s="169"/>
      <c r="BJ261" s="169"/>
      <c r="BK261" s="169"/>
      <c r="BL261" s="169"/>
      <c r="BM261" s="169"/>
      <c r="BN261" s="169"/>
      <c r="BO261" s="169"/>
      <c r="BP261" s="169"/>
      <c r="BQ261" s="169"/>
      <c r="BR261" s="169"/>
      <c r="BS261" s="169"/>
      <c r="BT261" s="169"/>
      <c r="BU261" s="169"/>
      <c r="BV261" s="169"/>
      <c r="BW261" s="169"/>
      <c r="BX261" s="169"/>
      <c r="BY261" s="169"/>
      <c r="BZ261" s="169"/>
    </row>
    <row r="262" spans="12:78" customFormat="1" ht="11.25" customHeight="1">
      <c r="L262" s="20"/>
      <c r="M262" s="508"/>
      <c r="N262" s="522"/>
      <c r="O262" s="166"/>
      <c r="AB262" s="251"/>
      <c r="AC262" s="251"/>
      <c r="AD262" s="251"/>
      <c r="AE262" s="241"/>
      <c r="AF262" s="241"/>
      <c r="AG262" s="241"/>
      <c r="AH262" s="169"/>
      <c r="AI262" s="169"/>
      <c r="AJ262" s="169"/>
      <c r="AK262" s="169"/>
      <c r="AL262" s="169"/>
      <c r="AM262" s="169"/>
      <c r="AN262" s="169"/>
      <c r="AO262" s="169"/>
      <c r="AP262" s="169"/>
      <c r="AQ262" s="169"/>
      <c r="AR262" s="169"/>
      <c r="AS262" s="169"/>
      <c r="AT262" s="169"/>
      <c r="AU262" s="169"/>
      <c r="AV262" s="169"/>
      <c r="AW262" s="169"/>
      <c r="AX262" s="169"/>
      <c r="AY262" s="169"/>
      <c r="AZ262" s="169"/>
      <c r="BA262" s="169"/>
      <c r="BB262" s="169"/>
      <c r="BC262" s="169"/>
      <c r="BD262" s="169"/>
      <c r="BE262" s="169"/>
      <c r="BF262" s="169"/>
      <c r="BG262" s="169"/>
      <c r="BH262" s="169"/>
      <c r="BI262" s="169"/>
      <c r="BJ262" s="169"/>
      <c r="BK262" s="169"/>
      <c r="BL262" s="169"/>
      <c r="BM262" s="169"/>
      <c r="BN262" s="169"/>
      <c r="BO262" s="169"/>
      <c r="BP262" s="169"/>
      <c r="BQ262" s="169"/>
      <c r="BR262" s="169"/>
      <c r="BS262" s="169"/>
      <c r="BT262" s="169"/>
      <c r="BU262" s="169"/>
      <c r="BV262" s="169"/>
      <c r="BW262" s="169"/>
      <c r="BX262" s="169"/>
      <c r="BY262" s="169"/>
      <c r="BZ262" s="169"/>
    </row>
    <row r="263" spans="12:78" customFormat="1" ht="11.25" customHeight="1">
      <c r="L263" s="20"/>
      <c r="M263" s="508"/>
      <c r="N263" s="522"/>
      <c r="O263" s="166"/>
      <c r="AB263" s="251"/>
      <c r="AC263" s="251"/>
      <c r="AD263" s="251"/>
      <c r="AE263" s="241"/>
      <c r="AF263" s="241"/>
      <c r="AG263" s="241"/>
      <c r="AH263" s="169"/>
      <c r="AI263" s="169"/>
      <c r="AJ263" s="169"/>
      <c r="AK263" s="169"/>
      <c r="AL263" s="169"/>
      <c r="AM263" s="169"/>
      <c r="AN263" s="169"/>
      <c r="AO263" s="169"/>
      <c r="AP263" s="169"/>
      <c r="AQ263" s="169"/>
      <c r="AR263" s="169"/>
      <c r="AS263" s="169"/>
      <c r="AT263" s="169"/>
      <c r="AU263" s="169"/>
      <c r="AV263" s="169"/>
      <c r="AW263" s="169"/>
      <c r="AX263" s="169"/>
      <c r="AY263" s="169"/>
      <c r="AZ263" s="169"/>
      <c r="BA263" s="169"/>
      <c r="BB263" s="169"/>
      <c r="BC263" s="169"/>
      <c r="BD263" s="169"/>
      <c r="BE263" s="169"/>
      <c r="BF263" s="169"/>
      <c r="BG263" s="169"/>
      <c r="BH263" s="169"/>
      <c r="BI263" s="169"/>
      <c r="BJ263" s="169"/>
      <c r="BK263" s="169"/>
      <c r="BL263" s="169"/>
      <c r="BM263" s="169"/>
      <c r="BN263" s="169"/>
      <c r="BO263" s="169"/>
      <c r="BP263" s="169"/>
      <c r="BQ263" s="169"/>
      <c r="BR263" s="169"/>
      <c r="BS263" s="169"/>
      <c r="BT263" s="169"/>
      <c r="BU263" s="169"/>
      <c r="BV263" s="169"/>
      <c r="BW263" s="169"/>
      <c r="BX263" s="169"/>
      <c r="BY263" s="169"/>
      <c r="BZ263" s="169"/>
    </row>
    <row r="264" spans="12:78" customFormat="1" ht="11.25" customHeight="1">
      <c r="L264" s="20"/>
      <c r="M264" s="508"/>
      <c r="N264" s="522"/>
      <c r="O264" s="166"/>
      <c r="AB264" s="251"/>
      <c r="AC264" s="251"/>
      <c r="AD264" s="251"/>
      <c r="AE264" s="241"/>
      <c r="AF264" s="241"/>
      <c r="AG264" s="241"/>
      <c r="AH264" s="169"/>
      <c r="AI264" s="169"/>
      <c r="AJ264" s="169"/>
      <c r="AK264" s="169"/>
      <c r="AL264" s="169"/>
      <c r="AM264" s="169"/>
      <c r="AN264" s="169"/>
      <c r="AO264" s="169"/>
      <c r="AP264" s="169"/>
      <c r="AQ264" s="169"/>
      <c r="AR264" s="169"/>
      <c r="AS264" s="169"/>
      <c r="AT264" s="169"/>
      <c r="AU264" s="169"/>
      <c r="AV264" s="169"/>
      <c r="AW264" s="169"/>
      <c r="AX264" s="169"/>
      <c r="AY264" s="169"/>
      <c r="AZ264" s="169"/>
      <c r="BA264" s="169"/>
      <c r="BB264" s="169"/>
      <c r="BC264" s="169"/>
      <c r="BD264" s="169"/>
      <c r="BE264" s="169"/>
      <c r="BF264" s="169"/>
      <c r="BG264" s="169"/>
      <c r="BH264" s="169"/>
      <c r="BI264" s="169"/>
      <c r="BJ264" s="169"/>
      <c r="BK264" s="169"/>
      <c r="BL264" s="169"/>
      <c r="BM264" s="169"/>
      <c r="BN264" s="169"/>
      <c r="BO264" s="169"/>
      <c r="BP264" s="169"/>
      <c r="BQ264" s="169"/>
      <c r="BR264" s="169"/>
      <c r="BS264" s="169"/>
      <c r="BT264" s="169"/>
      <c r="BU264" s="169"/>
      <c r="BV264" s="169"/>
      <c r="BW264" s="169"/>
      <c r="BX264" s="169"/>
      <c r="BY264" s="169"/>
      <c r="BZ264" s="169"/>
    </row>
    <row r="265" spans="12:78" customFormat="1" ht="11.25" customHeight="1">
      <c r="L265" s="20"/>
      <c r="M265" s="508"/>
      <c r="N265" s="522"/>
      <c r="O265" s="166"/>
      <c r="AB265" s="251"/>
      <c r="AC265" s="251"/>
      <c r="AD265" s="251"/>
      <c r="AE265" s="241"/>
      <c r="AF265" s="241"/>
      <c r="AG265" s="241"/>
      <c r="AH265" s="169"/>
      <c r="AI265" s="169"/>
      <c r="AJ265" s="169"/>
      <c r="AK265" s="169"/>
      <c r="AL265" s="169"/>
      <c r="AM265" s="169"/>
      <c r="AN265" s="169"/>
      <c r="AO265" s="169"/>
      <c r="AP265" s="169"/>
      <c r="AQ265" s="169"/>
      <c r="AR265" s="169"/>
      <c r="AS265" s="169"/>
      <c r="AT265" s="169"/>
      <c r="AU265" s="169"/>
      <c r="AV265" s="169"/>
      <c r="AW265" s="169"/>
      <c r="AX265" s="169"/>
      <c r="AY265" s="169"/>
      <c r="AZ265" s="169"/>
      <c r="BA265" s="169"/>
      <c r="BB265" s="169"/>
      <c r="BC265" s="169"/>
      <c r="BD265" s="169"/>
      <c r="BE265" s="169"/>
      <c r="BF265" s="169"/>
      <c r="BG265" s="169"/>
      <c r="BH265" s="169"/>
      <c r="BI265" s="169"/>
      <c r="BJ265" s="169"/>
      <c r="BK265" s="169"/>
      <c r="BL265" s="169"/>
      <c r="BM265" s="169"/>
      <c r="BN265" s="169"/>
      <c r="BO265" s="169"/>
      <c r="BP265" s="169"/>
      <c r="BQ265" s="169"/>
      <c r="BR265" s="169"/>
      <c r="BS265" s="169"/>
      <c r="BT265" s="169"/>
      <c r="BU265" s="169"/>
      <c r="BV265" s="169"/>
      <c r="BW265" s="169"/>
      <c r="BX265" s="169"/>
      <c r="BY265" s="169"/>
      <c r="BZ265" s="169"/>
    </row>
    <row r="266" spans="12:78" customFormat="1" ht="11.25" customHeight="1">
      <c r="L266" s="20"/>
      <c r="M266" s="508"/>
      <c r="N266" s="522"/>
      <c r="O266" s="166"/>
      <c r="AB266" s="251"/>
      <c r="AC266" s="251"/>
      <c r="AD266" s="251"/>
      <c r="AE266" s="241"/>
      <c r="AF266" s="241"/>
      <c r="AG266" s="241"/>
      <c r="AH266" s="169"/>
      <c r="AI266" s="169"/>
      <c r="AJ266" s="169"/>
      <c r="AK266" s="169"/>
      <c r="AL266" s="169"/>
      <c r="AM266" s="169"/>
      <c r="AN266" s="169"/>
      <c r="AO266" s="169"/>
      <c r="AP266" s="169"/>
      <c r="AQ266" s="169"/>
      <c r="AR266" s="169"/>
      <c r="AS266" s="169"/>
      <c r="AT266" s="169"/>
      <c r="AU266" s="169"/>
      <c r="AV266" s="169"/>
      <c r="AW266" s="169"/>
      <c r="AX266" s="169"/>
      <c r="AY266" s="169"/>
      <c r="AZ266" s="169"/>
      <c r="BA266" s="169"/>
      <c r="BB266" s="169"/>
      <c r="BC266" s="169"/>
      <c r="BD266" s="169"/>
      <c r="BE266" s="169"/>
      <c r="BF266" s="169"/>
      <c r="BG266" s="169"/>
      <c r="BH266" s="169"/>
      <c r="BI266" s="169"/>
      <c r="BJ266" s="169"/>
      <c r="BK266" s="169"/>
      <c r="BL266" s="169"/>
      <c r="BM266" s="169"/>
      <c r="BN266" s="169"/>
      <c r="BO266" s="169"/>
      <c r="BP266" s="169"/>
      <c r="BQ266" s="169"/>
      <c r="BR266" s="169"/>
      <c r="BS266" s="169"/>
      <c r="BT266" s="169"/>
      <c r="BU266" s="169"/>
      <c r="BV266" s="169"/>
      <c r="BW266" s="169"/>
      <c r="BX266" s="169"/>
      <c r="BY266" s="169"/>
      <c r="BZ266" s="169"/>
    </row>
    <row r="267" spans="12:78" customFormat="1" ht="11.25" customHeight="1">
      <c r="L267" s="20"/>
      <c r="M267" s="508"/>
      <c r="N267" s="522"/>
      <c r="O267" s="166"/>
      <c r="AB267" s="251"/>
      <c r="AC267" s="251"/>
      <c r="AD267" s="251"/>
      <c r="AE267" s="241"/>
      <c r="AF267" s="241"/>
      <c r="AG267" s="241"/>
      <c r="AH267" s="169"/>
      <c r="AI267" s="169"/>
      <c r="AJ267" s="169"/>
      <c r="AK267" s="169"/>
      <c r="AL267" s="169"/>
      <c r="AM267" s="169"/>
      <c r="AN267" s="169"/>
      <c r="AO267" s="169"/>
      <c r="AP267" s="169"/>
      <c r="AQ267" s="169"/>
      <c r="AR267" s="169"/>
      <c r="AS267" s="169"/>
      <c r="AT267" s="169"/>
      <c r="AU267" s="169"/>
      <c r="AV267" s="169"/>
      <c r="AW267" s="169"/>
      <c r="AX267" s="169"/>
      <c r="AY267" s="169"/>
      <c r="AZ267" s="169"/>
      <c r="BA267" s="169"/>
      <c r="BB267" s="169"/>
      <c r="BC267" s="169"/>
      <c r="BD267" s="169"/>
      <c r="BE267" s="169"/>
      <c r="BF267" s="169"/>
      <c r="BG267" s="169"/>
      <c r="BH267" s="169"/>
      <c r="BI267" s="169"/>
      <c r="BJ267" s="169"/>
      <c r="BK267" s="169"/>
      <c r="BL267" s="169"/>
      <c r="BM267" s="169"/>
      <c r="BN267" s="169"/>
      <c r="BO267" s="169"/>
      <c r="BP267" s="169"/>
      <c r="BQ267" s="169"/>
      <c r="BR267" s="169"/>
      <c r="BS267" s="169"/>
      <c r="BT267" s="169"/>
      <c r="BU267" s="169"/>
      <c r="BV267" s="169"/>
      <c r="BW267" s="169"/>
      <c r="BX267" s="169"/>
      <c r="BY267" s="169"/>
      <c r="BZ267" s="169"/>
    </row>
    <row r="268" spans="12:78" customFormat="1" ht="11.25" customHeight="1">
      <c r="L268" s="20"/>
      <c r="M268" s="508"/>
      <c r="N268" s="522"/>
      <c r="O268" s="166"/>
      <c r="AB268" s="251"/>
      <c r="AC268" s="251"/>
      <c r="AD268" s="251"/>
      <c r="AE268" s="241"/>
      <c r="AF268" s="241"/>
      <c r="AG268" s="241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</row>
    <row r="269" spans="12:78" customFormat="1" ht="11.25" customHeight="1">
      <c r="L269" s="20"/>
      <c r="M269" s="508"/>
      <c r="N269" s="522"/>
      <c r="O269" s="166"/>
      <c r="AB269" s="251"/>
      <c r="AC269" s="251"/>
      <c r="AD269" s="251"/>
      <c r="AE269" s="241"/>
      <c r="AF269" s="241"/>
      <c r="AG269" s="241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</row>
    <row r="270" spans="12:78" customFormat="1" ht="11.25" customHeight="1">
      <c r="L270" s="20"/>
      <c r="M270" s="508"/>
      <c r="N270" s="522"/>
      <c r="O270" s="166"/>
      <c r="AB270" s="251"/>
      <c r="AC270" s="251"/>
      <c r="AD270" s="251"/>
      <c r="AE270" s="241"/>
      <c r="AF270" s="241"/>
      <c r="AG270" s="241"/>
      <c r="AH270" s="169"/>
      <c r="AI270" s="169"/>
      <c r="AJ270" s="169"/>
      <c r="AK270" s="169"/>
      <c r="AL270" s="169"/>
      <c r="AM270" s="169"/>
      <c r="AN270" s="169"/>
      <c r="AO270" s="169"/>
      <c r="AP270" s="169"/>
      <c r="AQ270" s="169"/>
      <c r="AR270" s="169"/>
      <c r="AS270" s="169"/>
      <c r="AT270" s="169"/>
      <c r="AU270" s="169"/>
      <c r="AV270" s="169"/>
      <c r="AW270" s="169"/>
      <c r="AX270" s="169"/>
      <c r="AY270" s="169"/>
      <c r="AZ270" s="169"/>
      <c r="BA270" s="169"/>
      <c r="BB270" s="169"/>
      <c r="BC270" s="169"/>
      <c r="BD270" s="169"/>
      <c r="BE270" s="169"/>
      <c r="BF270" s="169"/>
      <c r="BG270" s="169"/>
      <c r="BH270" s="169"/>
      <c r="BI270" s="169"/>
      <c r="BJ270" s="169"/>
      <c r="BK270" s="169"/>
      <c r="BL270" s="169"/>
      <c r="BM270" s="169"/>
      <c r="BN270" s="169"/>
      <c r="BO270" s="169"/>
      <c r="BP270" s="169"/>
      <c r="BQ270" s="169"/>
      <c r="BR270" s="169"/>
      <c r="BS270" s="169"/>
      <c r="BT270" s="169"/>
      <c r="BU270" s="169"/>
      <c r="BV270" s="169"/>
      <c r="BW270" s="169"/>
      <c r="BX270" s="169"/>
      <c r="BY270" s="169"/>
      <c r="BZ270" s="169"/>
    </row>
    <row r="271" spans="12:78" customFormat="1" ht="11.25" customHeight="1">
      <c r="L271" s="20"/>
      <c r="M271" s="508"/>
      <c r="N271" s="522"/>
      <c r="O271" s="166"/>
      <c r="AB271" s="251"/>
      <c r="AC271" s="251"/>
      <c r="AD271" s="251"/>
      <c r="AE271" s="241"/>
      <c r="AF271" s="241"/>
      <c r="AG271" s="241"/>
      <c r="AH271" s="169"/>
      <c r="AI271" s="169"/>
      <c r="AJ271" s="169"/>
      <c r="AK271" s="169"/>
      <c r="AL271" s="169"/>
      <c r="AM271" s="169"/>
      <c r="AN271" s="169"/>
      <c r="AO271" s="169"/>
      <c r="AP271" s="169"/>
      <c r="AQ271" s="169"/>
      <c r="AR271" s="169"/>
      <c r="AS271" s="169"/>
      <c r="AT271" s="169"/>
      <c r="AU271" s="169"/>
      <c r="AV271" s="169"/>
      <c r="AW271" s="169"/>
      <c r="AX271" s="169"/>
      <c r="AY271" s="169"/>
      <c r="AZ271" s="169"/>
      <c r="BA271" s="169"/>
      <c r="BB271" s="169"/>
      <c r="BC271" s="169"/>
      <c r="BD271" s="169"/>
      <c r="BE271" s="169"/>
      <c r="BF271" s="169"/>
      <c r="BG271" s="169"/>
      <c r="BH271" s="169"/>
      <c r="BI271" s="169"/>
      <c r="BJ271" s="169"/>
      <c r="BK271" s="169"/>
      <c r="BL271" s="169"/>
      <c r="BM271" s="169"/>
      <c r="BN271" s="169"/>
      <c r="BO271" s="169"/>
      <c r="BP271" s="169"/>
      <c r="BQ271" s="169"/>
      <c r="BR271" s="169"/>
      <c r="BS271" s="169"/>
      <c r="BT271" s="169"/>
      <c r="BU271" s="169"/>
      <c r="BV271" s="169"/>
      <c r="BW271" s="169"/>
      <c r="BX271" s="169"/>
      <c r="BY271" s="169"/>
      <c r="BZ271" s="169"/>
    </row>
    <row r="272" spans="12:78" customFormat="1" ht="11.25" customHeight="1">
      <c r="L272" s="20"/>
      <c r="M272" s="508"/>
      <c r="N272" s="522"/>
      <c r="O272" s="166"/>
      <c r="AB272" s="251"/>
      <c r="AC272" s="251"/>
      <c r="AD272" s="251"/>
      <c r="AE272" s="241"/>
      <c r="AF272" s="241"/>
      <c r="AG272" s="241"/>
      <c r="AH272" s="169"/>
      <c r="AI272" s="169"/>
      <c r="AJ272" s="169"/>
      <c r="AK272" s="169"/>
      <c r="AL272" s="169"/>
      <c r="AM272" s="169"/>
      <c r="AN272" s="169"/>
      <c r="AO272" s="169"/>
      <c r="AP272" s="169"/>
      <c r="AQ272" s="169"/>
      <c r="AR272" s="169"/>
      <c r="AS272" s="169"/>
      <c r="AT272" s="169"/>
      <c r="AU272" s="169"/>
      <c r="AV272" s="169"/>
      <c r="AW272" s="169"/>
      <c r="AX272" s="169"/>
      <c r="AY272" s="169"/>
      <c r="AZ272" s="169"/>
      <c r="BA272" s="169"/>
      <c r="BB272" s="169"/>
      <c r="BC272" s="169"/>
      <c r="BD272" s="169"/>
      <c r="BE272" s="169"/>
      <c r="BF272" s="169"/>
      <c r="BG272" s="169"/>
      <c r="BH272" s="169"/>
      <c r="BI272" s="169"/>
      <c r="BJ272" s="169"/>
      <c r="BK272" s="169"/>
      <c r="BL272" s="169"/>
      <c r="BM272" s="169"/>
      <c r="BN272" s="169"/>
      <c r="BO272" s="169"/>
      <c r="BP272" s="169"/>
      <c r="BQ272" s="169"/>
      <c r="BR272" s="169"/>
      <c r="BS272" s="169"/>
      <c r="BT272" s="169"/>
      <c r="BU272" s="169"/>
      <c r="BV272" s="169"/>
      <c r="BW272" s="169"/>
      <c r="BX272" s="169"/>
      <c r="BY272" s="169"/>
      <c r="BZ272" s="169"/>
    </row>
    <row r="273" spans="12:78" customFormat="1" ht="11.25" customHeight="1">
      <c r="L273" s="20"/>
      <c r="M273" s="508"/>
      <c r="N273" s="522"/>
      <c r="O273" s="166"/>
      <c r="AB273" s="251"/>
      <c r="AC273" s="251"/>
      <c r="AD273" s="251"/>
      <c r="AE273" s="241"/>
      <c r="AF273" s="241"/>
      <c r="AG273" s="241"/>
      <c r="AH273" s="169"/>
      <c r="AI273" s="169"/>
      <c r="AJ273" s="169"/>
      <c r="AK273" s="169"/>
      <c r="AL273" s="169"/>
      <c r="AM273" s="169"/>
      <c r="AN273" s="169"/>
      <c r="AO273" s="169"/>
      <c r="AP273" s="169"/>
      <c r="AQ273" s="169"/>
      <c r="AR273" s="169"/>
      <c r="AS273" s="169"/>
      <c r="AT273" s="169"/>
      <c r="AU273" s="169"/>
      <c r="AV273" s="169"/>
      <c r="AW273" s="169"/>
      <c r="AX273" s="169"/>
      <c r="AY273" s="169"/>
      <c r="AZ273" s="169"/>
      <c r="BA273" s="169"/>
      <c r="BB273" s="169"/>
      <c r="BC273" s="169"/>
      <c r="BD273" s="169"/>
      <c r="BE273" s="169"/>
      <c r="BF273" s="169"/>
      <c r="BG273" s="169"/>
      <c r="BH273" s="169"/>
      <c r="BI273" s="169"/>
      <c r="BJ273" s="169"/>
      <c r="BK273" s="169"/>
      <c r="BL273" s="169"/>
      <c r="BM273" s="169"/>
      <c r="BN273" s="169"/>
      <c r="BO273" s="169"/>
      <c r="BP273" s="169"/>
      <c r="BQ273" s="169"/>
      <c r="BR273" s="169"/>
      <c r="BS273" s="169"/>
      <c r="BT273" s="169"/>
      <c r="BU273" s="169"/>
      <c r="BV273" s="169"/>
      <c r="BW273" s="169"/>
      <c r="BX273" s="169"/>
      <c r="BY273" s="169"/>
      <c r="BZ273" s="169"/>
    </row>
    <row r="274" spans="12:78" customFormat="1" ht="11.25" customHeight="1">
      <c r="L274" s="20"/>
      <c r="M274" s="508"/>
      <c r="N274" s="522"/>
      <c r="O274" s="166"/>
      <c r="AB274" s="251"/>
      <c r="AC274" s="251"/>
      <c r="AD274" s="251"/>
      <c r="AE274" s="241"/>
      <c r="AF274" s="241"/>
      <c r="AG274" s="241"/>
      <c r="AH274" s="169"/>
      <c r="AI274" s="169"/>
      <c r="AJ274" s="169"/>
      <c r="AK274" s="169"/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69"/>
      <c r="BB274" s="169"/>
      <c r="BC274" s="169"/>
      <c r="BD274" s="169"/>
      <c r="BE274" s="169"/>
      <c r="BF274" s="169"/>
      <c r="BG274" s="169"/>
      <c r="BH274" s="169"/>
      <c r="BI274" s="169"/>
      <c r="BJ274" s="169"/>
      <c r="BK274" s="169"/>
      <c r="BL274" s="169"/>
      <c r="BM274" s="169"/>
      <c r="BN274" s="169"/>
      <c r="BO274" s="169"/>
      <c r="BP274" s="169"/>
      <c r="BQ274" s="169"/>
      <c r="BR274" s="169"/>
      <c r="BS274" s="169"/>
      <c r="BT274" s="169"/>
      <c r="BU274" s="169"/>
      <c r="BV274" s="169"/>
      <c r="BW274" s="169"/>
      <c r="BX274" s="169"/>
      <c r="BY274" s="169"/>
      <c r="BZ274" s="169"/>
    </row>
    <row r="275" spans="12:78" customFormat="1" ht="11.25" customHeight="1">
      <c r="L275" s="20"/>
      <c r="M275" s="508"/>
      <c r="N275" s="522"/>
      <c r="O275" s="166"/>
      <c r="AB275" s="251"/>
      <c r="AC275" s="251"/>
      <c r="AD275" s="251"/>
      <c r="AE275" s="241"/>
      <c r="AF275" s="241"/>
      <c r="AG275" s="241"/>
      <c r="AH275" s="169"/>
      <c r="AI275" s="169"/>
      <c r="AJ275" s="169"/>
      <c r="AK275" s="169"/>
      <c r="AL275" s="169"/>
      <c r="AM275" s="169"/>
      <c r="AN275" s="169"/>
      <c r="AO275" s="169"/>
      <c r="AP275" s="169"/>
      <c r="AQ275" s="169"/>
      <c r="AR275" s="169"/>
      <c r="AS275" s="169"/>
      <c r="AT275" s="169"/>
      <c r="AU275" s="169"/>
      <c r="AV275" s="169"/>
      <c r="AW275" s="169"/>
      <c r="AX275" s="169"/>
      <c r="AY275" s="169"/>
      <c r="AZ275" s="169"/>
      <c r="BA275" s="169"/>
      <c r="BB275" s="169"/>
      <c r="BC275" s="169"/>
      <c r="BD275" s="169"/>
      <c r="BE275" s="169"/>
      <c r="BF275" s="169"/>
      <c r="BG275" s="169"/>
      <c r="BH275" s="169"/>
      <c r="BI275" s="169"/>
      <c r="BJ275" s="169"/>
      <c r="BK275" s="169"/>
      <c r="BL275" s="169"/>
      <c r="BM275" s="169"/>
      <c r="BN275" s="169"/>
      <c r="BO275" s="169"/>
      <c r="BP275" s="169"/>
      <c r="BQ275" s="169"/>
      <c r="BR275" s="169"/>
      <c r="BS275" s="169"/>
      <c r="BT275" s="169"/>
      <c r="BU275" s="169"/>
      <c r="BV275" s="169"/>
      <c r="BW275" s="169"/>
      <c r="BX275" s="169"/>
      <c r="BY275" s="169"/>
      <c r="BZ275" s="169"/>
    </row>
    <row r="276" spans="12:78" customFormat="1" ht="11.25" customHeight="1">
      <c r="L276" s="20"/>
      <c r="M276" s="508"/>
      <c r="N276" s="522"/>
      <c r="O276" s="166"/>
      <c r="AB276" s="251"/>
      <c r="AC276" s="251"/>
      <c r="AD276" s="251"/>
      <c r="AE276" s="241"/>
      <c r="AF276" s="241"/>
      <c r="AG276" s="241"/>
      <c r="AH276" s="169"/>
      <c r="AI276" s="169"/>
      <c r="AJ276" s="169"/>
      <c r="AK276" s="169"/>
      <c r="AL276" s="169"/>
      <c r="AM276" s="169"/>
      <c r="AN276" s="169"/>
      <c r="AO276" s="169"/>
      <c r="AP276" s="169"/>
      <c r="AQ276" s="169"/>
      <c r="AR276" s="169"/>
      <c r="AS276" s="169"/>
      <c r="AT276" s="169"/>
      <c r="AU276" s="169"/>
      <c r="AV276" s="169"/>
      <c r="AW276" s="169"/>
      <c r="AX276" s="169"/>
      <c r="AY276" s="169"/>
      <c r="AZ276" s="169"/>
      <c r="BA276" s="169"/>
      <c r="BB276" s="169"/>
      <c r="BC276" s="169"/>
      <c r="BD276" s="169"/>
      <c r="BE276" s="169"/>
      <c r="BF276" s="169"/>
      <c r="BG276" s="169"/>
      <c r="BH276" s="169"/>
      <c r="BI276" s="169"/>
      <c r="BJ276" s="169"/>
      <c r="BK276" s="169"/>
      <c r="BL276" s="169"/>
      <c r="BM276" s="169"/>
      <c r="BN276" s="169"/>
      <c r="BO276" s="169"/>
      <c r="BP276" s="169"/>
      <c r="BQ276" s="169"/>
      <c r="BR276" s="169"/>
      <c r="BS276" s="169"/>
      <c r="BT276" s="169"/>
      <c r="BU276" s="169"/>
      <c r="BV276" s="169"/>
      <c r="BW276" s="169"/>
      <c r="BX276" s="169"/>
      <c r="BY276" s="169"/>
      <c r="BZ276" s="169"/>
    </row>
    <row r="277" spans="12:78" customFormat="1" ht="11.25" customHeight="1">
      <c r="L277" s="20"/>
      <c r="M277" s="508"/>
      <c r="N277" s="522"/>
      <c r="O277" s="166"/>
      <c r="AB277" s="251"/>
      <c r="AC277" s="251"/>
      <c r="AD277" s="251"/>
      <c r="AE277" s="241"/>
      <c r="AF277" s="241"/>
      <c r="AG277" s="241"/>
      <c r="AH277" s="169"/>
      <c r="AI277" s="169"/>
      <c r="AJ277" s="169"/>
      <c r="AK277" s="169"/>
      <c r="AL277" s="169"/>
      <c r="AM277" s="169"/>
      <c r="AN277" s="169"/>
      <c r="AO277" s="169"/>
      <c r="AP277" s="169"/>
      <c r="AQ277" s="169"/>
      <c r="AR277" s="169"/>
      <c r="AS277" s="169"/>
      <c r="AT277" s="169"/>
      <c r="AU277" s="169"/>
      <c r="AV277" s="169"/>
      <c r="AW277" s="169"/>
      <c r="AX277" s="169"/>
      <c r="AY277" s="169"/>
      <c r="AZ277" s="169"/>
      <c r="BA277" s="169"/>
      <c r="BB277" s="169"/>
      <c r="BC277" s="169"/>
      <c r="BD277" s="169"/>
      <c r="BE277" s="169"/>
      <c r="BF277" s="169"/>
      <c r="BG277" s="169"/>
      <c r="BH277" s="169"/>
      <c r="BI277" s="169"/>
      <c r="BJ277" s="169"/>
      <c r="BK277" s="169"/>
      <c r="BL277" s="169"/>
      <c r="BM277" s="169"/>
      <c r="BN277" s="169"/>
      <c r="BO277" s="169"/>
      <c r="BP277" s="169"/>
      <c r="BQ277" s="169"/>
      <c r="BR277" s="169"/>
      <c r="BS277" s="169"/>
      <c r="BT277" s="169"/>
      <c r="BU277" s="169"/>
      <c r="BV277" s="169"/>
      <c r="BW277" s="169"/>
      <c r="BX277" s="169"/>
      <c r="BY277" s="169"/>
      <c r="BZ277" s="169"/>
    </row>
    <row r="278" spans="12:78" customFormat="1" ht="11.25" customHeight="1">
      <c r="L278" s="20"/>
      <c r="M278" s="508"/>
      <c r="N278" s="522"/>
      <c r="O278" s="166"/>
      <c r="AB278" s="251"/>
      <c r="AC278" s="251"/>
      <c r="AD278" s="251"/>
      <c r="AE278" s="241"/>
      <c r="AF278" s="241"/>
      <c r="AG278" s="241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</row>
    <row r="279" spans="12:78" customFormat="1" ht="11.25" customHeight="1">
      <c r="L279" s="20"/>
      <c r="M279" s="508"/>
      <c r="N279" s="522"/>
      <c r="O279" s="166"/>
      <c r="AB279" s="251"/>
      <c r="AC279" s="251"/>
      <c r="AD279" s="251"/>
      <c r="AE279" s="241"/>
      <c r="AF279" s="241"/>
      <c r="AG279" s="241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</row>
    <row r="280" spans="12:78" customFormat="1" ht="11.25" customHeight="1">
      <c r="L280" s="20"/>
      <c r="M280" s="508"/>
      <c r="N280" s="522"/>
      <c r="O280" s="166"/>
      <c r="AB280" s="251"/>
      <c r="AC280" s="251"/>
      <c r="AD280" s="251"/>
      <c r="AE280" s="241"/>
      <c r="AF280" s="241"/>
      <c r="AG280" s="241"/>
      <c r="AH280" s="169"/>
      <c r="AI280" s="169"/>
      <c r="AJ280" s="169"/>
      <c r="AK280" s="169"/>
      <c r="AL280" s="169"/>
      <c r="AM280" s="169"/>
      <c r="AN280" s="169"/>
      <c r="AO280" s="169"/>
      <c r="AP280" s="169"/>
      <c r="AQ280" s="169"/>
      <c r="AR280" s="169"/>
      <c r="AS280" s="169"/>
      <c r="AT280" s="169"/>
      <c r="AU280" s="169"/>
      <c r="AV280" s="169"/>
      <c r="AW280" s="169"/>
      <c r="AX280" s="169"/>
      <c r="AY280" s="169"/>
      <c r="AZ280" s="169"/>
      <c r="BA280" s="169"/>
      <c r="BB280" s="169"/>
      <c r="BC280" s="169"/>
      <c r="BD280" s="169"/>
      <c r="BE280" s="169"/>
      <c r="BF280" s="169"/>
      <c r="BG280" s="169"/>
      <c r="BH280" s="169"/>
      <c r="BI280" s="169"/>
      <c r="BJ280" s="169"/>
      <c r="BK280" s="169"/>
      <c r="BL280" s="169"/>
      <c r="BM280" s="169"/>
      <c r="BN280" s="169"/>
      <c r="BO280" s="169"/>
      <c r="BP280" s="169"/>
      <c r="BQ280" s="169"/>
      <c r="BR280" s="169"/>
      <c r="BS280" s="169"/>
      <c r="BT280" s="169"/>
      <c r="BU280" s="169"/>
      <c r="BV280" s="169"/>
      <c r="BW280" s="169"/>
      <c r="BX280" s="169"/>
      <c r="BY280" s="169"/>
      <c r="BZ280" s="169"/>
    </row>
    <row r="281" spans="12:78" customFormat="1" ht="11.25" customHeight="1">
      <c r="L281" s="20"/>
      <c r="M281" s="508"/>
      <c r="N281" s="522"/>
      <c r="O281" s="166"/>
      <c r="AB281" s="251"/>
      <c r="AC281" s="251"/>
      <c r="AD281" s="251"/>
      <c r="AE281" s="241"/>
      <c r="AF281" s="241"/>
      <c r="AG281" s="241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69"/>
      <c r="AU281" s="169"/>
      <c r="AV281" s="169"/>
      <c r="AW281" s="169"/>
      <c r="AX281" s="169"/>
      <c r="AY281" s="169"/>
      <c r="AZ281" s="169"/>
      <c r="BA281" s="169"/>
      <c r="BB281" s="169"/>
      <c r="BC281" s="169"/>
      <c r="BD281" s="169"/>
      <c r="BE281" s="169"/>
      <c r="BF281" s="169"/>
      <c r="BG281" s="169"/>
      <c r="BH281" s="169"/>
      <c r="BI281" s="169"/>
      <c r="BJ281" s="169"/>
      <c r="BK281" s="169"/>
      <c r="BL281" s="169"/>
      <c r="BM281" s="169"/>
      <c r="BN281" s="169"/>
      <c r="BO281" s="169"/>
      <c r="BP281" s="169"/>
      <c r="BQ281" s="169"/>
      <c r="BR281" s="169"/>
      <c r="BS281" s="169"/>
      <c r="BT281" s="169"/>
      <c r="BU281" s="169"/>
      <c r="BV281" s="169"/>
      <c r="BW281" s="169"/>
      <c r="BX281" s="169"/>
      <c r="BY281" s="169"/>
      <c r="BZ281" s="169"/>
    </row>
    <row r="282" spans="12:78" customFormat="1" ht="11.25" customHeight="1">
      <c r="L282" s="20"/>
      <c r="M282" s="508"/>
      <c r="N282" s="522"/>
      <c r="O282" s="166"/>
      <c r="AB282" s="251"/>
      <c r="AC282" s="251"/>
      <c r="AD282" s="251"/>
      <c r="AE282" s="241"/>
      <c r="AF282" s="241"/>
      <c r="AG282" s="241"/>
      <c r="AH282" s="169"/>
      <c r="AI282" s="169"/>
      <c r="AJ282" s="169"/>
      <c r="AK282" s="169"/>
      <c r="AL282" s="169"/>
      <c r="AM282" s="169"/>
      <c r="AN282" s="169"/>
      <c r="AO282" s="169"/>
      <c r="AP282" s="169"/>
      <c r="AQ282" s="169"/>
      <c r="AR282" s="169"/>
      <c r="AS282" s="169"/>
      <c r="AT282" s="169"/>
      <c r="AU282" s="169"/>
      <c r="AV282" s="169"/>
      <c r="AW282" s="169"/>
      <c r="AX282" s="169"/>
      <c r="AY282" s="169"/>
      <c r="AZ282" s="169"/>
      <c r="BA282" s="169"/>
      <c r="BB282" s="169"/>
      <c r="BC282" s="169"/>
      <c r="BD282" s="169"/>
      <c r="BE282" s="169"/>
      <c r="BF282" s="169"/>
      <c r="BG282" s="169"/>
      <c r="BH282" s="169"/>
      <c r="BI282" s="169"/>
      <c r="BJ282" s="169"/>
      <c r="BK282" s="169"/>
      <c r="BL282" s="169"/>
      <c r="BM282" s="169"/>
      <c r="BN282" s="169"/>
      <c r="BO282" s="169"/>
      <c r="BP282" s="169"/>
      <c r="BQ282" s="169"/>
      <c r="BR282" s="169"/>
      <c r="BS282" s="169"/>
      <c r="BT282" s="169"/>
      <c r="BU282" s="169"/>
      <c r="BV282" s="169"/>
      <c r="BW282" s="169"/>
      <c r="BX282" s="169"/>
      <c r="BY282" s="169"/>
      <c r="BZ282" s="169"/>
    </row>
    <row r="283" spans="12:78" customFormat="1" ht="11.25" customHeight="1">
      <c r="L283" s="20"/>
      <c r="M283" s="508"/>
      <c r="N283" s="522"/>
      <c r="O283" s="166"/>
      <c r="AB283" s="251"/>
      <c r="AC283" s="251"/>
      <c r="AD283" s="251"/>
      <c r="AE283" s="241"/>
      <c r="AF283" s="241"/>
      <c r="AG283" s="241"/>
      <c r="AH283" s="169"/>
      <c r="AI283" s="169"/>
      <c r="AJ283" s="169"/>
      <c r="AK283" s="169"/>
      <c r="AL283" s="169"/>
      <c r="AM283" s="169"/>
      <c r="AN283" s="169"/>
      <c r="AO283" s="169"/>
      <c r="AP283" s="169"/>
      <c r="AQ283" s="169"/>
      <c r="AR283" s="169"/>
      <c r="AS283" s="169"/>
      <c r="AT283" s="169"/>
      <c r="AU283" s="169"/>
      <c r="AV283" s="169"/>
      <c r="AW283" s="169"/>
      <c r="AX283" s="169"/>
      <c r="AY283" s="169"/>
      <c r="AZ283" s="169"/>
      <c r="BA283" s="169"/>
      <c r="BB283" s="169"/>
      <c r="BC283" s="169"/>
      <c r="BD283" s="169"/>
      <c r="BE283" s="169"/>
      <c r="BF283" s="169"/>
      <c r="BG283" s="169"/>
      <c r="BH283" s="169"/>
      <c r="BI283" s="169"/>
      <c r="BJ283" s="169"/>
      <c r="BK283" s="169"/>
      <c r="BL283" s="169"/>
      <c r="BM283" s="169"/>
      <c r="BN283" s="169"/>
      <c r="BO283" s="169"/>
      <c r="BP283" s="169"/>
      <c r="BQ283" s="169"/>
      <c r="BR283" s="169"/>
      <c r="BS283" s="169"/>
      <c r="BT283" s="169"/>
      <c r="BU283" s="169"/>
      <c r="BV283" s="169"/>
      <c r="BW283" s="169"/>
      <c r="BX283" s="169"/>
      <c r="BY283" s="169"/>
      <c r="BZ283" s="169"/>
    </row>
    <row r="284" spans="12:78" customFormat="1" ht="11.25" customHeight="1">
      <c r="L284" s="20"/>
      <c r="M284" s="508"/>
      <c r="N284" s="522"/>
      <c r="O284" s="166"/>
      <c r="AB284" s="251"/>
      <c r="AC284" s="251"/>
      <c r="AD284" s="251"/>
      <c r="AE284" s="241"/>
      <c r="AF284" s="241"/>
      <c r="AG284" s="241"/>
      <c r="AH284" s="169"/>
      <c r="AI284" s="169"/>
      <c r="AJ284" s="169"/>
      <c r="AK284" s="169"/>
      <c r="AL284" s="169"/>
      <c r="AM284" s="169"/>
      <c r="AN284" s="169"/>
      <c r="AO284" s="169"/>
      <c r="AP284" s="169"/>
      <c r="AQ284" s="169"/>
      <c r="AR284" s="169"/>
      <c r="AS284" s="169"/>
      <c r="AT284" s="169"/>
      <c r="AU284" s="169"/>
      <c r="AV284" s="169"/>
      <c r="AW284" s="169"/>
      <c r="AX284" s="169"/>
      <c r="AY284" s="169"/>
      <c r="AZ284" s="169"/>
      <c r="BA284" s="169"/>
      <c r="BB284" s="169"/>
      <c r="BC284" s="169"/>
      <c r="BD284" s="169"/>
      <c r="BE284" s="169"/>
      <c r="BF284" s="169"/>
      <c r="BG284" s="169"/>
      <c r="BH284" s="169"/>
      <c r="BI284" s="169"/>
      <c r="BJ284" s="169"/>
      <c r="BK284" s="169"/>
      <c r="BL284" s="169"/>
      <c r="BM284" s="169"/>
      <c r="BN284" s="169"/>
      <c r="BO284" s="169"/>
      <c r="BP284" s="169"/>
      <c r="BQ284" s="169"/>
      <c r="BR284" s="169"/>
      <c r="BS284" s="169"/>
      <c r="BT284" s="169"/>
      <c r="BU284" s="169"/>
      <c r="BV284" s="169"/>
      <c r="BW284" s="169"/>
      <c r="BX284" s="169"/>
      <c r="BY284" s="169"/>
      <c r="BZ284" s="169"/>
    </row>
    <row r="285" spans="12:78" customFormat="1" ht="11.25" customHeight="1">
      <c r="L285" s="20"/>
      <c r="M285" s="508"/>
      <c r="N285" s="522"/>
      <c r="O285" s="166"/>
      <c r="AB285" s="251"/>
      <c r="AC285" s="251"/>
      <c r="AD285" s="251"/>
      <c r="AE285" s="241"/>
      <c r="AF285" s="241"/>
      <c r="AG285" s="241"/>
      <c r="AH285" s="169"/>
      <c r="AI285" s="169"/>
      <c r="AJ285" s="169"/>
      <c r="AK285" s="169"/>
      <c r="AL285" s="169"/>
      <c r="AM285" s="169"/>
      <c r="AN285" s="169"/>
      <c r="AO285" s="169"/>
      <c r="AP285" s="169"/>
      <c r="AQ285" s="169"/>
      <c r="AR285" s="169"/>
      <c r="AS285" s="169"/>
      <c r="AT285" s="169"/>
      <c r="AU285" s="169"/>
      <c r="AV285" s="169"/>
      <c r="AW285" s="169"/>
      <c r="AX285" s="169"/>
      <c r="AY285" s="169"/>
      <c r="AZ285" s="169"/>
      <c r="BA285" s="169"/>
      <c r="BB285" s="169"/>
      <c r="BC285" s="169"/>
      <c r="BD285" s="169"/>
      <c r="BE285" s="169"/>
      <c r="BF285" s="169"/>
      <c r="BG285" s="169"/>
      <c r="BH285" s="169"/>
      <c r="BI285" s="169"/>
      <c r="BJ285" s="169"/>
      <c r="BK285" s="169"/>
      <c r="BL285" s="169"/>
      <c r="BM285" s="169"/>
      <c r="BN285" s="169"/>
      <c r="BO285" s="169"/>
      <c r="BP285" s="169"/>
      <c r="BQ285" s="169"/>
      <c r="BR285" s="169"/>
      <c r="BS285" s="169"/>
      <c r="BT285" s="169"/>
      <c r="BU285" s="169"/>
      <c r="BV285" s="169"/>
      <c r="BW285" s="169"/>
      <c r="BX285" s="169"/>
      <c r="BY285" s="169"/>
      <c r="BZ285" s="169"/>
    </row>
    <row r="286" spans="12:78" customFormat="1" ht="11.25" customHeight="1">
      <c r="L286" s="20"/>
      <c r="M286" s="508"/>
      <c r="N286" s="522"/>
      <c r="O286" s="166"/>
      <c r="AB286" s="251"/>
      <c r="AC286" s="251"/>
      <c r="AD286" s="251"/>
      <c r="AE286" s="241"/>
      <c r="AF286" s="241"/>
      <c r="AG286" s="241"/>
      <c r="AH286" s="169"/>
      <c r="AI286" s="169"/>
      <c r="AJ286" s="169"/>
      <c r="AK286" s="169"/>
      <c r="AL286" s="169"/>
      <c r="AM286" s="169"/>
      <c r="AN286" s="169"/>
      <c r="AO286" s="169"/>
      <c r="AP286" s="169"/>
      <c r="AQ286" s="169"/>
      <c r="AR286" s="169"/>
      <c r="AS286" s="169"/>
      <c r="AT286" s="169"/>
      <c r="AU286" s="169"/>
      <c r="AV286" s="169"/>
      <c r="AW286" s="169"/>
      <c r="AX286" s="169"/>
      <c r="AY286" s="169"/>
      <c r="AZ286" s="169"/>
      <c r="BA286" s="169"/>
      <c r="BB286" s="169"/>
      <c r="BC286" s="169"/>
      <c r="BD286" s="169"/>
      <c r="BE286" s="169"/>
      <c r="BF286" s="169"/>
      <c r="BG286" s="169"/>
      <c r="BH286" s="169"/>
      <c r="BI286" s="169"/>
      <c r="BJ286" s="169"/>
      <c r="BK286" s="169"/>
      <c r="BL286" s="169"/>
      <c r="BM286" s="169"/>
      <c r="BN286" s="169"/>
      <c r="BO286" s="169"/>
      <c r="BP286" s="169"/>
      <c r="BQ286" s="169"/>
      <c r="BR286" s="169"/>
      <c r="BS286" s="169"/>
      <c r="BT286" s="169"/>
      <c r="BU286" s="169"/>
      <c r="BV286" s="169"/>
      <c r="BW286" s="169"/>
      <c r="BX286" s="169"/>
      <c r="BY286" s="169"/>
      <c r="BZ286" s="169"/>
    </row>
    <row r="287" spans="12:78" customFormat="1" ht="11.25" customHeight="1">
      <c r="L287" s="20"/>
      <c r="M287" s="508"/>
      <c r="N287" s="522"/>
      <c r="O287" s="166"/>
      <c r="AB287" s="251"/>
      <c r="AC287" s="251"/>
      <c r="AD287" s="251"/>
      <c r="AE287" s="241"/>
      <c r="AF287" s="241"/>
      <c r="AG287" s="241"/>
      <c r="AH287" s="169"/>
      <c r="AI287" s="169"/>
      <c r="AJ287" s="169"/>
      <c r="AK287" s="169"/>
      <c r="AL287" s="169"/>
      <c r="AM287" s="169"/>
      <c r="AN287" s="169"/>
      <c r="AO287" s="169"/>
      <c r="AP287" s="169"/>
      <c r="AQ287" s="169"/>
      <c r="AR287" s="169"/>
      <c r="AS287" s="169"/>
      <c r="AT287" s="169"/>
      <c r="AU287" s="169"/>
      <c r="AV287" s="169"/>
      <c r="AW287" s="169"/>
      <c r="AX287" s="169"/>
      <c r="AY287" s="169"/>
      <c r="AZ287" s="169"/>
      <c r="BA287" s="169"/>
      <c r="BB287" s="169"/>
      <c r="BC287" s="169"/>
      <c r="BD287" s="169"/>
      <c r="BE287" s="169"/>
      <c r="BF287" s="169"/>
      <c r="BG287" s="169"/>
      <c r="BH287" s="169"/>
      <c r="BI287" s="169"/>
      <c r="BJ287" s="169"/>
      <c r="BK287" s="169"/>
      <c r="BL287" s="169"/>
      <c r="BM287" s="169"/>
      <c r="BN287" s="169"/>
      <c r="BO287" s="169"/>
      <c r="BP287" s="169"/>
      <c r="BQ287" s="169"/>
      <c r="BR287" s="169"/>
      <c r="BS287" s="169"/>
      <c r="BT287" s="169"/>
      <c r="BU287" s="169"/>
      <c r="BV287" s="169"/>
      <c r="BW287" s="169"/>
      <c r="BX287" s="169"/>
      <c r="BY287" s="169"/>
      <c r="BZ287" s="169"/>
    </row>
    <row r="288" spans="12:78" customFormat="1" ht="11.25" customHeight="1">
      <c r="L288" s="20"/>
      <c r="M288" s="508"/>
      <c r="N288" s="522"/>
      <c r="O288" s="166"/>
      <c r="AB288" s="251"/>
      <c r="AC288" s="251"/>
      <c r="AD288" s="251"/>
      <c r="AE288" s="241"/>
      <c r="AF288" s="241"/>
      <c r="AG288" s="241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</row>
    <row r="289" spans="12:78" customFormat="1" ht="11.25" customHeight="1">
      <c r="L289" s="20"/>
      <c r="M289" s="508"/>
      <c r="N289" s="522"/>
      <c r="O289" s="166"/>
      <c r="AB289" s="251"/>
      <c r="AC289" s="251"/>
      <c r="AD289" s="251"/>
      <c r="AE289" s="261"/>
      <c r="AF289" s="261"/>
      <c r="AG289" s="261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</row>
    <row r="290" spans="12:78" customFormat="1" ht="11.25" customHeight="1">
      <c r="L290" s="20"/>
      <c r="M290" s="466" t="s">
        <v>1144</v>
      </c>
      <c r="N290" s="490" t="s">
        <v>2125</v>
      </c>
      <c r="O290" s="163" t="s">
        <v>195</v>
      </c>
      <c r="AB290" s="251"/>
      <c r="AC290" s="251"/>
      <c r="AD290" s="251"/>
      <c r="AE290" s="263">
        <f>AF290+AG290</f>
        <v>0</v>
      </c>
      <c r="AF290" s="263">
        <f>AF291-(AF205+AF208-AF207)</f>
        <v>0</v>
      </c>
      <c r="AG290" s="263">
        <f>AG291-(AG205+AG208-AG207)</f>
        <v>0</v>
      </c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</row>
    <row r="291" spans="12:78" customFormat="1" ht="11.25" customHeight="1">
      <c r="L291" s="20"/>
      <c r="M291" s="555" t="str">
        <f>M290 &amp; ".0.1"</f>
        <v>D.0.1</v>
      </c>
      <c r="N291" s="490" t="s">
        <v>2120</v>
      </c>
      <c r="O291" s="163" t="s">
        <v>195</v>
      </c>
      <c r="AB291" s="251"/>
      <c r="AC291" s="251"/>
      <c r="AD291" s="251"/>
      <c r="AE291" s="247">
        <f>AF291+AG291</f>
        <v>0</v>
      </c>
      <c r="AF291" s="247">
        <f>AF293+AF296+AF299+AF302+AF305+AF306</f>
        <v>0</v>
      </c>
      <c r="AG291" s="247">
        <f>AG293+AG296+AG299+AG302+AG305+AG306</f>
        <v>0</v>
      </c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</row>
    <row r="292" spans="12:78" customFormat="1" ht="11.25" customHeight="1">
      <c r="L292" s="20"/>
      <c r="M292" s="555" t="str">
        <f>M290 &amp; ".0.2"</f>
        <v>D.0.2</v>
      </c>
      <c r="N292" s="593" t="s">
        <v>44</v>
      </c>
      <c r="O292" s="162" t="s">
        <v>1026</v>
      </c>
      <c r="AB292" s="251"/>
      <c r="AC292" s="251"/>
      <c r="AD292" s="251"/>
      <c r="AE292" s="247">
        <f>AF292+AG292</f>
        <v>0</v>
      </c>
      <c r="AF292" s="247">
        <f>AF295+AF298+AF301+AF304</f>
        <v>0</v>
      </c>
      <c r="AG292" s="247">
        <f>AG295+AG298+AG301+AG304</f>
        <v>0</v>
      </c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</row>
    <row r="293" spans="12:78" customFormat="1" ht="11.25" customHeight="1">
      <c r="L293" s="20"/>
      <c r="M293" s="555" t="str">
        <f>M290 &amp; ".1"</f>
        <v>D.1</v>
      </c>
      <c r="N293" s="556" t="s">
        <v>602</v>
      </c>
      <c r="O293" s="163" t="s">
        <v>195</v>
      </c>
      <c r="AB293" s="251"/>
      <c r="AC293" s="251"/>
      <c r="AD293" s="251"/>
      <c r="AE293" s="247">
        <f>AF293+AG293</f>
        <v>0</v>
      </c>
      <c r="AF293" s="183">
        <f>AF294*AF295</f>
        <v>0</v>
      </c>
      <c r="AG293" s="183">
        <f>AG294*AG295</f>
        <v>0</v>
      </c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</row>
    <row r="294" spans="12:78" customFormat="1" ht="11.25" customHeight="1">
      <c r="L294" s="20"/>
      <c r="M294" s="466" t="str">
        <f>M293 &amp; ".1"</f>
        <v>D.1.1</v>
      </c>
      <c r="N294" s="557" t="s">
        <v>398</v>
      </c>
      <c r="O294" s="162" t="s">
        <v>397</v>
      </c>
      <c r="AB294" s="251"/>
      <c r="AC294" s="251"/>
      <c r="AD294" s="251"/>
      <c r="AE294" s="244">
        <f>IF(AE295=0,0,AE293/AE295)</f>
        <v>0</v>
      </c>
      <c r="AF294" s="590"/>
      <c r="AG294" s="590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</row>
    <row r="295" spans="12:78" customFormat="1" ht="11.25" customHeight="1">
      <c r="L295" s="20"/>
      <c r="M295" s="466" t="str">
        <f>M293 &amp; ".2"</f>
        <v>D.1.2</v>
      </c>
      <c r="N295" s="557" t="s">
        <v>283</v>
      </c>
      <c r="O295" s="162" t="s">
        <v>1026</v>
      </c>
      <c r="AB295" s="251"/>
      <c r="AC295" s="251"/>
      <c r="AD295" s="251"/>
      <c r="AE295" s="247">
        <f>AF295+AG295</f>
        <v>0</v>
      </c>
      <c r="AF295" s="262">
        <f>SUMIF(ХВС.БПр!$BA$131:$BA$132,AF$17 &amp; ".0-" &amp; AF$9,ХВС.БПр!$AC$131:$AC$132)/1000+SUMIF(ХВС.БТр!$BA$131:$BA$132,AF$17 &amp; ".0-" &amp; AF$9,ХВС.БТр!$R$131:$R$132)/1000</f>
        <v>0</v>
      </c>
      <c r="AG295" s="262">
        <f>SUMIF(ХВС.БПр!$BA$131:$BA$132,AG$17 &amp; ".0-" &amp; AG$9,ХВС.БПр!$AC$131:$AC$132)/1000+SUMIF(ХВС.БТр!$BA$131:$BA$132,AG$17 &amp; ".0-" &amp; AG$9,ХВС.БТр!$R$131:$R$132)/1000</f>
        <v>0</v>
      </c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</row>
    <row r="296" spans="12:78" customFormat="1" ht="11.25" customHeight="1">
      <c r="L296" s="20"/>
      <c r="M296" s="555" t="str">
        <f>M290 &amp; ".2"</f>
        <v>D.2</v>
      </c>
      <c r="N296" s="556" t="s">
        <v>161</v>
      </c>
      <c r="O296" s="163" t="s">
        <v>195</v>
      </c>
      <c r="AB296" s="251"/>
      <c r="AC296" s="251"/>
      <c r="AD296" s="251"/>
      <c r="AE296" s="247">
        <f>AF296+AG296</f>
        <v>0</v>
      </c>
      <c r="AF296" s="183">
        <f>AF297*AF298</f>
        <v>0</v>
      </c>
      <c r="AG296" s="183">
        <f>AG297*AG298</f>
        <v>0</v>
      </c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</row>
    <row r="297" spans="12:78" customFormat="1" ht="11.25" customHeight="1">
      <c r="L297" s="20"/>
      <c r="M297" s="466" t="str">
        <f>M296 &amp; ".1"</f>
        <v>D.2.1</v>
      </c>
      <c r="N297" s="557" t="s">
        <v>398</v>
      </c>
      <c r="O297" s="162" t="s">
        <v>397</v>
      </c>
      <c r="AB297" s="251"/>
      <c r="AC297" s="251"/>
      <c r="AD297" s="251"/>
      <c r="AE297" s="244">
        <f>IF(AE298=0,0,AE296/AE298)</f>
        <v>0</v>
      </c>
      <c r="AF297" s="590"/>
      <c r="AG297" s="590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</row>
    <row r="298" spans="12:78" customFormat="1" ht="11.25" customHeight="1">
      <c r="L298" s="20"/>
      <c r="M298" s="466" t="str">
        <f>M296 &amp; ".2"</f>
        <v>D.2.2</v>
      </c>
      <c r="N298" s="557" t="s">
        <v>283</v>
      </c>
      <c r="O298" s="162" t="s">
        <v>1026</v>
      </c>
      <c r="AB298" s="251"/>
      <c r="AC298" s="251"/>
      <c r="AD298" s="251"/>
      <c r="AE298" s="247">
        <f>AF298+AG298</f>
        <v>0</v>
      </c>
      <c r="AF298" s="262">
        <f>SUMIF(ХВС.БПр!$BA$131:$BA$132,AF$17 &amp; ".0-" &amp; AF$9,ХВС.БПр!$AG$131:$AG$132)/1000+SUMIF(ХВС.БТр!$BA$131:$BA$132,AF$17 &amp; ".0-" &amp; AF$9,ХВС.БТр!$U$131:$U$132)/1000</f>
        <v>0</v>
      </c>
      <c r="AG298" s="262">
        <f>SUMIF(ХВС.БПр!$BA$131:$BA$132,AG$17 &amp; ".0-" &amp; AG$9,ХВС.БПр!$AG$131:$AG$132)/1000+SUMIF(ХВС.БТр!$BA$131:$BA$132,AG$17 &amp; ".0-" &amp; AG$9,ХВС.БТр!$U$131:$U$132)/1000</f>
        <v>0</v>
      </c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</row>
    <row r="299" spans="12:78" customFormat="1" ht="11.25" customHeight="1">
      <c r="L299" s="20"/>
      <c r="M299" s="555" t="str">
        <f>M290 &amp; ".3"</f>
        <v>D.3</v>
      </c>
      <c r="N299" s="556" t="s">
        <v>162</v>
      </c>
      <c r="O299" s="163" t="s">
        <v>195</v>
      </c>
      <c r="AB299" s="251"/>
      <c r="AC299" s="251"/>
      <c r="AD299" s="251"/>
      <c r="AE299" s="247">
        <f>AF299+AG299</f>
        <v>0</v>
      </c>
      <c r="AF299" s="183">
        <f>AF300*AF301</f>
        <v>0</v>
      </c>
      <c r="AG299" s="183">
        <f>AG300*AG301</f>
        <v>0</v>
      </c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</row>
    <row r="300" spans="12:78" customFormat="1" ht="11.25" customHeight="1">
      <c r="L300" s="20"/>
      <c r="M300" s="466" t="str">
        <f>M299 &amp; ".1"</f>
        <v>D.3.1</v>
      </c>
      <c r="N300" s="557" t="s">
        <v>398</v>
      </c>
      <c r="O300" s="162" t="s">
        <v>397</v>
      </c>
      <c r="AB300" s="251"/>
      <c r="AC300" s="251"/>
      <c r="AD300" s="251"/>
      <c r="AE300" s="244">
        <f>IF(AE301=0,0,AE299/AE301)</f>
        <v>0</v>
      </c>
      <c r="AF300" s="590"/>
      <c r="AG300" s="590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</row>
    <row r="301" spans="12:78" customFormat="1" ht="11.25" customHeight="1">
      <c r="L301" s="20"/>
      <c r="M301" s="466" t="str">
        <f>M299 &amp; ".2"</f>
        <v>D.3.2</v>
      </c>
      <c r="N301" s="557" t="s">
        <v>283</v>
      </c>
      <c r="O301" s="162" t="s">
        <v>1026</v>
      </c>
      <c r="AB301" s="251"/>
      <c r="AC301" s="251"/>
      <c r="AD301" s="251"/>
      <c r="AE301" s="247">
        <f>AF301+AG301</f>
        <v>0</v>
      </c>
      <c r="AF301" s="262">
        <f>SUMIF(ХВС.БПр!$BA$131:$BA$132,AF$17 &amp; ".0-" &amp; AF$9,ХВС.БПр!$AJ$131:$AJ$132)/1000+SUMIF(ХВС.БТр!$BA$131:$BA$132,AF$17 &amp; ".0-" &amp; AF$9,ХВС.БТр!$X$131:$X$132)/1000</f>
        <v>0</v>
      </c>
      <c r="AG301" s="262">
        <f>SUMIF(ХВС.БПр!$BA$131:$BA$132,AG$17 &amp; ".0-" &amp; AG$9,ХВС.БПр!$AJ$131:$AJ$132)/1000+SUMIF(ХВС.БТр!$BA$131:$BA$132,AG$17 &amp; ".0-" &amp; AG$9,ХВС.БТр!$X$131:$X$132)/1000</f>
        <v>0</v>
      </c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</row>
    <row r="302" spans="12:78" customFormat="1" ht="11.25" customHeight="1">
      <c r="L302" s="20"/>
      <c r="M302" s="555" t="str">
        <f>M290 &amp; ".4"</f>
        <v>D.4</v>
      </c>
      <c r="N302" s="556" t="s">
        <v>169</v>
      </c>
      <c r="O302" s="163" t="s">
        <v>195</v>
      </c>
      <c r="AB302" s="251"/>
      <c r="AC302" s="251"/>
      <c r="AD302" s="251"/>
      <c r="AE302" s="247">
        <f>AF302+AG302</f>
        <v>0</v>
      </c>
      <c r="AF302" s="183">
        <f>AF303*AF304</f>
        <v>0</v>
      </c>
      <c r="AG302" s="183">
        <f>AG303*AG304</f>
        <v>0</v>
      </c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</row>
    <row r="303" spans="12:78" customFormat="1" ht="11.25" customHeight="1">
      <c r="L303" s="20"/>
      <c r="M303" s="466" t="str">
        <f>M302 &amp; ".1"</f>
        <v>D.4.1</v>
      </c>
      <c r="N303" s="557" t="s">
        <v>398</v>
      </c>
      <c r="O303" s="162" t="s">
        <v>397</v>
      </c>
      <c r="AB303" s="251"/>
      <c r="AC303" s="251"/>
      <c r="AD303" s="251"/>
      <c r="AE303" s="244">
        <f>IF(AE304=0,0,AE302/AE304)</f>
        <v>0</v>
      </c>
      <c r="AF303" s="590"/>
      <c r="AG303" s="590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</row>
    <row r="304" spans="12:78" customFormat="1" ht="11.25" customHeight="1">
      <c r="L304" s="20"/>
      <c r="M304" s="466" t="str">
        <f>M302 &amp; ".2"</f>
        <v>D.4.2</v>
      </c>
      <c r="N304" s="557" t="s">
        <v>283</v>
      </c>
      <c r="O304" s="162" t="s">
        <v>1026</v>
      </c>
      <c r="AB304" s="251"/>
      <c r="AC304" s="251"/>
      <c r="AD304" s="251"/>
      <c r="AE304" s="247">
        <f>AF304+AG304</f>
        <v>0</v>
      </c>
      <c r="AF304" s="262">
        <f>SUMIF(ХВС.БПр!$BA$131:$BA$132,AF$17 &amp; ".0-" &amp; AF$9,ХВС.БПр!$AM$131:$AM$132)/1000+SUMIF(ХВС.БТр!$BA$131:$BA$132,AF$17 &amp; ".0-" &amp; AF$9,ХВС.БТр!$AA$131:$AA$132)/1000</f>
        <v>0</v>
      </c>
      <c r="AG304" s="262">
        <f>SUMIF(ХВС.БПр!$BA$131:$BA$132,AG$17 &amp; ".0-" &amp; AG$9,ХВС.БПр!$AM$131:$AM$132)/1000+SUMIF(ХВС.БТр!$BA$131:$BA$132,AG$17 &amp; ".0-" &amp; AG$9,ХВС.БТр!$AA$131:$AA$132)/1000</f>
        <v>0</v>
      </c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</row>
    <row r="305" spans="12:90" customFormat="1" ht="11.25" customHeight="1">
      <c r="L305" s="150"/>
      <c r="M305" s="503" t="str">
        <f>M290 &amp; ".5"</f>
        <v>D.5</v>
      </c>
      <c r="N305" s="497" t="s">
        <v>2121</v>
      </c>
      <c r="O305" s="163" t="s">
        <v>195</v>
      </c>
      <c r="AB305" s="251"/>
      <c r="AC305" s="251"/>
      <c r="AD305" s="251"/>
      <c r="AE305" s="247">
        <f>AF305+AG305</f>
        <v>0</v>
      </c>
      <c r="AF305" s="245"/>
      <c r="AG305" s="245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</row>
    <row r="306" spans="12:90" customFormat="1" ht="11.25" customHeight="1">
      <c r="L306" s="150"/>
      <c r="M306" s="620" t="str">
        <f>M290 &amp; ".6"</f>
        <v>D.6</v>
      </c>
      <c r="N306" s="621" t="s">
        <v>2175</v>
      </c>
      <c r="O306" s="616" t="s">
        <v>195</v>
      </c>
      <c r="AB306" s="251"/>
      <c r="AC306" s="251"/>
      <c r="AD306" s="251"/>
      <c r="AE306" s="247">
        <f>AF306+AG306</f>
        <v>0</v>
      </c>
      <c r="AF306" s="245"/>
      <c r="AG306" s="245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</row>
    <row r="307" spans="12:90" ht="11.4">
      <c r="M307" s="500"/>
      <c r="N307" s="622"/>
      <c r="O307" s="166"/>
      <c r="AB307" s="251"/>
      <c r="AC307" s="251"/>
      <c r="AD307" s="251"/>
      <c r="AE307" s="266"/>
      <c r="AF307" s="266"/>
      <c r="AG307" s="266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</row>
    <row r="308" spans="12:90" ht="11.4">
      <c r="M308" s="500"/>
      <c r="N308" s="622"/>
      <c r="O308" s="166"/>
      <c r="AB308" s="251"/>
      <c r="AC308" s="251"/>
      <c r="AD308" s="251"/>
      <c r="AE308" s="266"/>
      <c r="AF308" s="266"/>
      <c r="AG308" s="266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</row>
    <row r="309" spans="12:90" ht="11.4">
      <c r="M309" s="500"/>
      <c r="N309" s="622"/>
      <c r="O309" s="166"/>
      <c r="AB309" s="251"/>
      <c r="AC309" s="251"/>
      <c r="AD309" s="251"/>
      <c r="AE309" s="266"/>
      <c r="AF309" s="266"/>
      <c r="AG309" s="266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</row>
    <row r="310" spans="12:90" ht="11.4">
      <c r="M310" s="500"/>
      <c r="N310" s="622"/>
      <c r="O310" s="166"/>
      <c r="AB310" s="251"/>
      <c r="AC310" s="251"/>
      <c r="AD310" s="251"/>
      <c r="AE310" s="266"/>
      <c r="AF310" s="266"/>
      <c r="AG310" s="266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</row>
    <row r="311" spans="12:90" ht="11.4">
      <c r="M311" s="500"/>
      <c r="N311" s="622"/>
      <c r="O311" s="166"/>
      <c r="AB311" s="251"/>
      <c r="AC311" s="251"/>
      <c r="AD311" s="251"/>
      <c r="AE311" s="266"/>
      <c r="AF311" s="266"/>
      <c r="AG311" s="266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</row>
    <row r="312" spans="12:90" ht="11.4">
      <c r="M312" s="500"/>
      <c r="N312" s="622"/>
      <c r="O312" s="166"/>
      <c r="AB312" s="251"/>
      <c r="AC312" s="251"/>
      <c r="AD312" s="251"/>
      <c r="AE312" s="266"/>
      <c r="AF312" s="266"/>
      <c r="AG312" s="266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</row>
    <row r="313" spans="12:90" ht="11.4">
      <c r="M313" s="623"/>
      <c r="N313" s="627" t="s">
        <v>2261</v>
      </c>
      <c r="O313" s="166"/>
      <c r="AB313" s="251"/>
      <c r="AC313" s="251"/>
      <c r="AD313" s="251"/>
      <c r="AE313" s="266"/>
      <c r="AF313" s="266"/>
      <c r="AG313" s="266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</row>
    <row r="314" spans="12:90" ht="11.4">
      <c r="M314" s="623"/>
      <c r="N314" s="627" t="s">
        <v>787</v>
      </c>
      <c r="O314" s="166"/>
      <c r="AB314" s="251"/>
      <c r="AC314" s="251"/>
      <c r="AD314" s="251"/>
      <c r="AE314" s="266"/>
      <c r="AF314" s="266"/>
      <c r="AG314" s="266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</row>
    <row r="315" spans="12:90" ht="20.399999999999999">
      <c r="M315" s="624"/>
      <c r="N315" s="503" t="str">
        <f>"Стоимость основных средств, относимых на источники производства (подъём / добыча) " &amp; RESOURCE_IDENTIFIER</f>
        <v>Стоимость основных средств, относимых на источники производства (подъём / добыча) ТЭ</v>
      </c>
      <c r="O315" s="163" t="s">
        <v>195</v>
      </c>
      <c r="AB315" s="251"/>
      <c r="AC315" s="251"/>
      <c r="AD315" s="251"/>
      <c r="AE315" s="266"/>
      <c r="AF315" s="266"/>
      <c r="AG315" s="266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</row>
    <row r="316" spans="12:90" ht="11.4">
      <c r="M316" s="624"/>
      <c r="N316" s="503" t="str">
        <f>"Количество " &amp; TEMPLATE_SPHERE_OKK_SOURCE</f>
        <v>Количество ТИ</v>
      </c>
      <c r="O316" s="163" t="s">
        <v>289</v>
      </c>
      <c r="AB316" s="251"/>
      <c r="AC316" s="251"/>
      <c r="AD316" s="251"/>
      <c r="AE316" s="266"/>
      <c r="AF316" s="266"/>
      <c r="AG316" s="26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</row>
    <row r="317" spans="12:90" ht="11.4">
      <c r="M317" s="624"/>
      <c r="N317" s="503" t="s">
        <v>2262</v>
      </c>
      <c r="O317" s="163" t="s">
        <v>755</v>
      </c>
      <c r="AB317" s="251"/>
      <c r="AC317" s="251"/>
      <c r="AD317" s="251"/>
      <c r="AE317" s="266"/>
      <c r="AF317" s="266"/>
      <c r="AG317" s="266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</row>
    <row r="318" spans="12:90" ht="11.4">
      <c r="M318" s="623"/>
      <c r="N318" s="627" t="s">
        <v>2263</v>
      </c>
      <c r="O318" s="166"/>
      <c r="AB318" s="251"/>
      <c r="AC318" s="251"/>
      <c r="AD318" s="251"/>
      <c r="AE318" s="266"/>
      <c r="AF318" s="266"/>
      <c r="AG318" s="266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</row>
    <row r="319" spans="12:90" ht="20.399999999999999">
      <c r="M319" s="624"/>
      <c r="N319" s="503" t="str">
        <f>"Стоимость основных средств, относимых на системы / сооружения для очистки " &amp; RESOURCE_IDENTIFIER</f>
        <v>Стоимость основных средств, относимых на системы / сооружения для очистки ТЭ</v>
      </c>
      <c r="O319" s="163" t="s">
        <v>195</v>
      </c>
      <c r="AB319" s="251"/>
      <c r="AC319" s="251"/>
      <c r="AD319" s="251"/>
      <c r="AE319" s="266"/>
      <c r="AF319" s="266"/>
      <c r="AG319" s="266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</row>
    <row r="320" spans="12:90" ht="11.4">
      <c r="M320" s="626"/>
      <c r="N320" s="495"/>
      <c r="O320" s="166"/>
      <c r="AB320" s="251"/>
      <c r="AC320" s="251"/>
      <c r="AD320" s="251"/>
      <c r="AE320" s="266"/>
      <c r="AF320" s="266"/>
      <c r="AG320" s="266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</row>
    <row r="321" spans="13:90" ht="11.4">
      <c r="M321" s="626"/>
      <c r="N321" s="495"/>
      <c r="O321" s="166"/>
      <c r="AB321" s="251"/>
      <c r="AC321" s="251"/>
      <c r="AD321" s="251"/>
      <c r="AE321" s="266"/>
      <c r="AF321" s="266"/>
      <c r="AG321" s="266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</row>
    <row r="322" spans="13:90" ht="11.4">
      <c r="M322" s="624"/>
      <c r="N322" s="503" t="s">
        <v>2262</v>
      </c>
      <c r="O322" s="163" t="s">
        <v>755</v>
      </c>
      <c r="AB322" s="251"/>
      <c r="AC322" s="251"/>
      <c r="AD322" s="251"/>
      <c r="AE322" s="266"/>
      <c r="AF322" s="266"/>
      <c r="AG322" s="266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</row>
    <row r="323" spans="13:90" ht="11.4">
      <c r="M323" s="623"/>
      <c r="N323" s="627" t="s">
        <v>2264</v>
      </c>
      <c r="O323" s="166"/>
      <c r="AB323" s="251"/>
      <c r="AC323" s="251"/>
      <c r="AD323" s="251"/>
      <c r="AE323" s="266"/>
      <c r="AF323" s="266"/>
      <c r="AG323" s="266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</row>
    <row r="324" spans="13:90" ht="20.399999999999999">
      <c r="M324" s="624"/>
      <c r="N324" s="503" t="str">
        <f>"Стоимость основных средств, относимых на транспортировку " &amp; RESOURCE_IDENTIFIER</f>
        <v>Стоимость основных средств, относимых на транспортировку ТЭ</v>
      </c>
      <c r="O324" s="163" t="s">
        <v>195</v>
      </c>
      <c r="AB324" s="251"/>
      <c r="AC324" s="251"/>
      <c r="AD324" s="251"/>
      <c r="AE324" s="266"/>
      <c r="AF324" s="266"/>
      <c r="AG324" s="266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</row>
    <row r="325" spans="13:90" ht="11.4">
      <c r="M325" s="624"/>
      <c r="N325" s="503" t="s">
        <v>2266</v>
      </c>
      <c r="O325" s="163" t="s">
        <v>2267</v>
      </c>
      <c r="AB325" s="251"/>
      <c r="AC325" s="251"/>
      <c r="AD325" s="251"/>
      <c r="AE325" s="266"/>
      <c r="AF325" s="266"/>
      <c r="AG325" s="266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</row>
    <row r="326" spans="13:90" ht="11.4">
      <c r="M326" s="624"/>
      <c r="N326" s="503" t="s">
        <v>2268</v>
      </c>
      <c r="O326" s="163" t="s">
        <v>2267</v>
      </c>
      <c r="AB326" s="251"/>
      <c r="AC326" s="251"/>
      <c r="AD326" s="251"/>
      <c r="AE326" s="266"/>
      <c r="AF326" s="266"/>
      <c r="AG326" s="26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</row>
    <row r="327" spans="13:90" ht="11.4">
      <c r="M327" s="623"/>
      <c r="N327" s="627" t="s">
        <v>788</v>
      </c>
      <c r="O327" s="166"/>
      <c r="AB327" s="251"/>
      <c r="AC327" s="251"/>
      <c r="AD327" s="251"/>
      <c r="AE327" s="266"/>
      <c r="AF327" s="266"/>
      <c r="AG327" s="266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</row>
    <row r="328" spans="13:90" ht="20.399999999999999">
      <c r="M328" s="624"/>
      <c r="N328" s="503" t="s">
        <v>2274</v>
      </c>
      <c r="O328" s="162" t="s">
        <v>1026</v>
      </c>
      <c r="AB328" s="251"/>
      <c r="AC328" s="251"/>
      <c r="AD328" s="251"/>
      <c r="AE328" s="266"/>
      <c r="AF328" s="266"/>
      <c r="AG328" s="266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</row>
    <row r="329" spans="13:90" ht="11.4">
      <c r="M329" s="624"/>
      <c r="N329" s="503" t="s">
        <v>2270</v>
      </c>
      <c r="O329" s="163" t="s">
        <v>2271</v>
      </c>
      <c r="AB329" s="251"/>
      <c r="AC329" s="251"/>
      <c r="AD329" s="251"/>
      <c r="AE329" s="266"/>
      <c r="AF329" s="266"/>
      <c r="AG329" s="266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</row>
    <row r="330" spans="13:90" ht="11.4">
      <c r="M330" s="624"/>
      <c r="N330" s="503" t="s">
        <v>2272</v>
      </c>
      <c r="O330" s="163" t="s">
        <v>2273</v>
      </c>
      <c r="AB330" s="251"/>
      <c r="AC330" s="251"/>
      <c r="AD330" s="251"/>
      <c r="AE330" s="266"/>
      <c r="AF330" s="266"/>
      <c r="AG330" s="266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</row>
    <row r="331" spans="13:90" ht="11.4">
      <c r="M331" s="624"/>
      <c r="N331" s="503" t="s">
        <v>2275</v>
      </c>
      <c r="O331" s="163" t="s">
        <v>2276</v>
      </c>
      <c r="AB331" s="251"/>
      <c r="AC331" s="251"/>
      <c r="AD331" s="251"/>
      <c r="AE331" s="266"/>
      <c r="AF331" s="266"/>
      <c r="AG331" s="266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</row>
    <row r="332" spans="13:90" ht="11.4">
      <c r="M332" s="500"/>
      <c r="N332" s="622"/>
      <c r="O332" s="166"/>
      <c r="AB332" s="251"/>
      <c r="AC332" s="251"/>
      <c r="AD332" s="251"/>
      <c r="AE332" s="266"/>
      <c r="AF332" s="266"/>
      <c r="AG332" s="266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</row>
    <row r="333" spans="13:90" ht="11.4">
      <c r="M333" s="509" t="s">
        <v>3002</v>
      </c>
      <c r="N333" s="740" t="s">
        <v>3003</v>
      </c>
      <c r="O333" s="443" t="s">
        <v>195</v>
      </c>
      <c r="AB333" s="741"/>
      <c r="AC333" s="741"/>
      <c r="AD333" s="741"/>
      <c r="AE333" s="256">
        <f>AF333+AG333</f>
        <v>0</v>
      </c>
      <c r="AF333" s="245"/>
      <c r="AG333" s="245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</row>
    <row r="334" spans="13:90" ht="11.4">
      <c r="M334" s="510" t="str">
        <f>M333 &amp; ".1"</f>
        <v>Э.1.1.1</v>
      </c>
      <c r="N334" s="742" t="s">
        <v>3004</v>
      </c>
      <c r="O334" s="443" t="s">
        <v>195</v>
      </c>
      <c r="AB334" s="741"/>
      <c r="AC334" s="741"/>
      <c r="AD334" s="741"/>
      <c r="AE334" s="256">
        <f>AF334+AG334</f>
        <v>0</v>
      </c>
      <c r="AF334" s="245"/>
      <c r="AG334" s="245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</row>
    <row r="335" spans="13:90" ht="11.4">
      <c r="M335" s="509" t="s">
        <v>3005</v>
      </c>
      <c r="N335" s="740" t="s">
        <v>3006</v>
      </c>
      <c r="O335" s="443" t="s">
        <v>195</v>
      </c>
      <c r="AB335" s="741"/>
      <c r="AC335" s="741"/>
      <c r="AD335" s="741"/>
      <c r="AE335" s="256">
        <f>AF335+AG335</f>
        <v>0</v>
      </c>
      <c r="AF335" s="245"/>
      <c r="AG335" s="24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</row>
    <row r="336" spans="13:90" ht="11.4">
      <c r="M336" s="743"/>
      <c r="N336" s="744"/>
      <c r="O336" s="442"/>
      <c r="AB336" s="741"/>
      <c r="AC336" s="741"/>
      <c r="AD336" s="741"/>
      <c r="AE336" s="241"/>
      <c r="AF336" s="241"/>
      <c r="AG336" s="241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</row>
    <row r="337" spans="13:90" ht="11.4">
      <c r="M337" s="509" t="s">
        <v>3007</v>
      </c>
      <c r="N337" s="740" t="s">
        <v>3008</v>
      </c>
      <c r="O337" s="687" t="s">
        <v>195</v>
      </c>
      <c r="AB337" s="741"/>
      <c r="AC337" s="741"/>
      <c r="AD337" s="741"/>
      <c r="AE337" s="256">
        <f t="shared" ref="AE337:AE352" si="9">AF337+AG337</f>
        <v>0</v>
      </c>
      <c r="AF337" s="245"/>
      <c r="AG337" s="245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</row>
    <row r="338" spans="13:90" ht="11.4">
      <c r="M338" s="510" t="str">
        <f>M337 &amp; ".1"</f>
        <v>Э.1.3.1</v>
      </c>
      <c r="N338" s="742" t="s">
        <v>3004</v>
      </c>
      <c r="O338" s="687" t="s">
        <v>195</v>
      </c>
      <c r="AB338" s="741"/>
      <c r="AC338" s="741"/>
      <c r="AD338" s="741"/>
      <c r="AE338" s="256">
        <f t="shared" si="9"/>
        <v>0</v>
      </c>
      <c r="AF338" s="245"/>
      <c r="AG338" s="245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</row>
    <row r="339" spans="13:90" ht="11.4">
      <c r="M339" s="509" t="s">
        <v>3009</v>
      </c>
      <c r="N339" s="740" t="s">
        <v>3010</v>
      </c>
      <c r="O339" s="687" t="s">
        <v>195</v>
      </c>
      <c r="AB339" s="741"/>
      <c r="AC339" s="741"/>
      <c r="AD339" s="741"/>
      <c r="AE339" s="256">
        <f t="shared" si="9"/>
        <v>0</v>
      </c>
      <c r="AF339" s="245"/>
      <c r="AG339" s="245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</row>
    <row r="340" spans="13:90" ht="11.4">
      <c r="M340" s="510" t="str">
        <f>M339 &amp; ".1"</f>
        <v>Э.1.4.1</v>
      </c>
      <c r="N340" s="742" t="s">
        <v>3004</v>
      </c>
      <c r="O340" s="687" t="s">
        <v>195</v>
      </c>
      <c r="AB340" s="741"/>
      <c r="AC340" s="741"/>
      <c r="AD340" s="741"/>
      <c r="AE340" s="256">
        <f t="shared" si="9"/>
        <v>0</v>
      </c>
      <c r="AF340" s="245"/>
      <c r="AG340" s="245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</row>
    <row r="341" spans="13:90" ht="11.4">
      <c r="M341" s="509" t="s">
        <v>3011</v>
      </c>
      <c r="N341" s="740" t="s">
        <v>3012</v>
      </c>
      <c r="O341" s="687" t="s">
        <v>195</v>
      </c>
      <c r="AB341" s="741"/>
      <c r="AC341" s="741"/>
      <c r="AD341" s="741"/>
      <c r="AE341" s="256">
        <f t="shared" si="9"/>
        <v>0</v>
      </c>
      <c r="AF341" s="245"/>
      <c r="AG341" s="245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</row>
    <row r="342" spans="13:90" ht="11.4">
      <c r="M342" s="510" t="str">
        <f>M341 &amp; ".1"</f>
        <v>Э.1.5.1</v>
      </c>
      <c r="N342" s="742" t="s">
        <v>3004</v>
      </c>
      <c r="O342" s="687" t="s">
        <v>195</v>
      </c>
      <c r="AB342" s="741"/>
      <c r="AC342" s="741"/>
      <c r="AD342" s="741"/>
      <c r="AE342" s="256">
        <f t="shared" si="9"/>
        <v>0</v>
      </c>
      <c r="AF342" s="245"/>
      <c r="AG342" s="245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</row>
    <row r="343" spans="13:90" ht="11.4">
      <c r="M343" s="509" t="s">
        <v>3013</v>
      </c>
      <c r="N343" s="740" t="s">
        <v>3014</v>
      </c>
      <c r="O343" s="687" t="s">
        <v>195</v>
      </c>
      <c r="AB343" s="741"/>
      <c r="AC343" s="741"/>
      <c r="AD343" s="741"/>
      <c r="AE343" s="256">
        <f t="shared" si="9"/>
        <v>0</v>
      </c>
      <c r="AF343" s="245"/>
      <c r="AG343" s="245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</row>
    <row r="344" spans="13:90" ht="11.4">
      <c r="M344" s="510" t="str">
        <f>M343 &amp; ".1"</f>
        <v>Э.1.6.1</v>
      </c>
      <c r="N344" s="742" t="s">
        <v>3004</v>
      </c>
      <c r="O344" s="687" t="s">
        <v>195</v>
      </c>
      <c r="AB344" s="741"/>
      <c r="AC344" s="741"/>
      <c r="AD344" s="741"/>
      <c r="AE344" s="256">
        <f t="shared" si="9"/>
        <v>0</v>
      </c>
      <c r="AF344" s="245"/>
      <c r="AG344" s="245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</row>
    <row r="345" spans="13:90" ht="11.4">
      <c r="M345" s="509" t="s">
        <v>3015</v>
      </c>
      <c r="N345" s="740" t="s">
        <v>3016</v>
      </c>
      <c r="O345" s="687" t="s">
        <v>195</v>
      </c>
      <c r="AB345" s="741"/>
      <c r="AC345" s="741"/>
      <c r="AD345" s="741"/>
      <c r="AE345" s="256">
        <f t="shared" si="9"/>
        <v>0</v>
      </c>
      <c r="AF345" s="245"/>
      <c r="AG345" s="2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</row>
    <row r="346" spans="13:90" ht="11.4">
      <c r="M346" s="510" t="str">
        <f>M345 &amp; ".1"</f>
        <v>Э.1.7.1</v>
      </c>
      <c r="N346" s="742" t="s">
        <v>3004</v>
      </c>
      <c r="O346" s="687" t="s">
        <v>195</v>
      </c>
      <c r="AB346" s="741"/>
      <c r="AC346" s="741"/>
      <c r="AD346" s="741"/>
      <c r="AE346" s="256">
        <f t="shared" si="9"/>
        <v>0</v>
      </c>
      <c r="AF346" s="245"/>
      <c r="AG346" s="245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</row>
    <row r="347" spans="13:90" ht="11.4">
      <c r="M347" s="509" t="s">
        <v>3017</v>
      </c>
      <c r="N347" s="740" t="s">
        <v>3018</v>
      </c>
      <c r="O347" s="687" t="s">
        <v>195</v>
      </c>
      <c r="AB347" s="741"/>
      <c r="AC347" s="741"/>
      <c r="AD347" s="741"/>
      <c r="AE347" s="256">
        <f t="shared" si="9"/>
        <v>0</v>
      </c>
      <c r="AF347" s="245"/>
      <c r="AG347" s="245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</row>
    <row r="348" spans="13:90" ht="11.4">
      <c r="M348" s="510" t="str">
        <f>M347 &amp; ".1"</f>
        <v>Э.1.8.1</v>
      </c>
      <c r="N348" s="742" t="s">
        <v>3004</v>
      </c>
      <c r="O348" s="687" t="s">
        <v>195</v>
      </c>
      <c r="AB348" s="741"/>
      <c r="AC348" s="741"/>
      <c r="AD348" s="741"/>
      <c r="AE348" s="256">
        <f t="shared" si="9"/>
        <v>0</v>
      </c>
      <c r="AF348" s="245"/>
      <c r="AG348" s="245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</row>
    <row r="349" spans="13:90" ht="11.4">
      <c r="M349" s="509" t="s">
        <v>3019</v>
      </c>
      <c r="N349" s="740" t="s">
        <v>3020</v>
      </c>
      <c r="O349" s="687" t="s">
        <v>195</v>
      </c>
      <c r="AB349" s="741"/>
      <c r="AC349" s="741"/>
      <c r="AD349" s="741"/>
      <c r="AE349" s="256">
        <f t="shared" si="9"/>
        <v>0</v>
      </c>
      <c r="AF349" s="245"/>
      <c r="AG349" s="245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</row>
    <row r="350" spans="13:90" ht="11.4">
      <c r="M350" s="510" t="str">
        <f>M349 &amp; ".1"</f>
        <v>Э.1.9.1</v>
      </c>
      <c r="N350" s="742" t="s">
        <v>3004</v>
      </c>
      <c r="O350" s="687" t="s">
        <v>195</v>
      </c>
      <c r="AB350" s="741"/>
      <c r="AC350" s="741"/>
      <c r="AD350" s="741"/>
      <c r="AE350" s="256">
        <f t="shared" si="9"/>
        <v>0</v>
      </c>
      <c r="AF350" s="245"/>
      <c r="AG350" s="245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</row>
    <row r="351" spans="13:90" ht="30.6">
      <c r="M351" s="509" t="s">
        <v>3021</v>
      </c>
      <c r="N351" s="738" t="str">
        <f>"Экономия инвестиционных расходов, сложившаяся в " &amp; PERIOD &amp; " году, предусмотренная в абзаце 3 пункта 67 Основ ценообразования"</f>
        <v>Экономия инвестиционных расходов, сложившаяся в 2024 году, предусмотренная в абзаце 3 пункта 67 Основ ценообразования</v>
      </c>
      <c r="O351" s="687" t="s">
        <v>195</v>
      </c>
      <c r="AB351" s="741"/>
      <c r="AC351" s="741"/>
      <c r="AD351" s="741"/>
      <c r="AE351" s="256">
        <f t="shared" si="9"/>
        <v>0</v>
      </c>
      <c r="AF351" s="245"/>
      <c r="AG351" s="245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</row>
    <row r="352" spans="13:90" ht="20.399999999999999">
      <c r="M352" s="509" t="s">
        <v>3022</v>
      </c>
      <c r="N352" s="739" t="s">
        <v>3023</v>
      </c>
      <c r="O352" s="687" t="s">
        <v>195</v>
      </c>
      <c r="AB352" s="741"/>
      <c r="AC352" s="741"/>
      <c r="AD352" s="741"/>
      <c r="AE352" s="256">
        <f t="shared" si="9"/>
        <v>0</v>
      </c>
      <c r="AF352" s="245"/>
      <c r="AG352" s="245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</row>
    <row r="353" spans="13:90" ht="20.399999999999999">
      <c r="M353" s="509" t="s">
        <v>3024</v>
      </c>
      <c r="N353" s="739" t="s">
        <v>3023</v>
      </c>
      <c r="O353" s="687" t="s">
        <v>755</v>
      </c>
      <c r="AB353" s="741"/>
      <c r="AC353" s="741"/>
      <c r="AD353" s="741"/>
      <c r="AE353" s="245"/>
      <c r="AF353" s="245"/>
      <c r="AG353" s="245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</row>
    <row r="354" spans="13:90" ht="11.4">
      <c r="M354" s="509" t="s">
        <v>3025</v>
      </c>
      <c r="N354" s="739" t="s">
        <v>3026</v>
      </c>
      <c r="O354" s="687" t="s">
        <v>195</v>
      </c>
      <c r="AB354" s="741"/>
      <c r="AC354" s="741"/>
      <c r="AD354" s="741"/>
      <c r="AE354" s="688">
        <f>AE351-AE352</f>
        <v>0</v>
      </c>
      <c r="AF354" s="688">
        <f>AF351-AF352</f>
        <v>0</v>
      </c>
      <c r="AG354" s="688">
        <f>AG351-AG352</f>
        <v>0</v>
      </c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</row>
    <row r="355" spans="13:90" ht="11.4">
      <c r="M355" s="509" t="s">
        <v>3027</v>
      </c>
      <c r="N355" s="739" t="s">
        <v>3026</v>
      </c>
      <c r="O355" s="687" t="s">
        <v>755</v>
      </c>
      <c r="AB355" s="741"/>
      <c r="AC355" s="741"/>
      <c r="AD355" s="741"/>
      <c r="AE355" s="245"/>
      <c r="AF355" s="245"/>
      <c r="AG355" s="24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</row>
    <row r="356" spans="13:90" ht="11.4">
      <c r="M356" s="510" t="str">
        <f>M351 &amp; ".1"</f>
        <v>Э.1.10.1</v>
      </c>
      <c r="N356" s="737" t="s">
        <v>3004</v>
      </c>
      <c r="O356" s="687" t="s">
        <v>195</v>
      </c>
      <c r="AB356" s="741"/>
      <c r="AC356" s="741"/>
      <c r="AD356" s="741"/>
      <c r="AE356" s="256">
        <f>AF356+AG356</f>
        <v>0</v>
      </c>
      <c r="AF356" s="245"/>
      <c r="AG356" s="245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</row>
    <row r="357" spans="13:90" ht="30.6">
      <c r="M357" s="509" t="s">
        <v>3028</v>
      </c>
      <c r="N357" s="738" t="str">
        <f>"Экономия инвестиционных расходов, сложившаяся в " &amp; PERIOD &amp; " году, предусмотренная в абзаце 4 пункта 67 Основ ценообразования"</f>
        <v>Экономия инвестиционных расходов, сложившаяся в 2024 году, предусмотренная в абзаце 4 пункта 67 Основ ценообразования</v>
      </c>
      <c r="O357" s="687" t="s">
        <v>195</v>
      </c>
      <c r="AB357" s="741"/>
      <c r="AC357" s="741"/>
      <c r="AD357" s="741"/>
      <c r="AE357" s="256">
        <f>AF357+AG357</f>
        <v>0</v>
      </c>
      <c r="AF357" s="245"/>
      <c r="AG357" s="245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</row>
    <row r="358" spans="13:90" ht="11.4">
      <c r="M358" s="510" t="str">
        <f>M357 &amp; ".1"</f>
        <v>Э.1.11.1</v>
      </c>
      <c r="N358" s="737" t="s">
        <v>3004</v>
      </c>
      <c r="O358" s="687" t="s">
        <v>195</v>
      </c>
      <c r="AB358" s="741"/>
      <c r="AC358" s="741"/>
      <c r="AD358" s="741"/>
      <c r="AE358" s="256">
        <f>AF358+AG358</f>
        <v>0</v>
      </c>
      <c r="AF358" s="245"/>
      <c r="AG358" s="245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</row>
    <row r="359" spans="13:90" ht="11.4">
      <c r="M359" s="500"/>
      <c r="N359" s="622"/>
      <c r="O359" s="166"/>
      <c r="AB359" s="251"/>
      <c r="AC359" s="251"/>
      <c r="AD359" s="251"/>
      <c r="AE359" s="266"/>
      <c r="AF359" s="266"/>
      <c r="AG359" s="266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</row>
    <row r="360" spans="13:90" ht="11.4">
      <c r="M360" s="500"/>
      <c r="N360" s="622"/>
      <c r="O360" s="166"/>
      <c r="AB360" s="251"/>
      <c r="AC360" s="251"/>
      <c r="AD360" s="251"/>
      <c r="AE360" s="266"/>
      <c r="AF360" s="266"/>
      <c r="AG360" s="266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</row>
    <row r="361" spans="13:90" ht="11.4">
      <c r="M361" s="500"/>
      <c r="N361" s="622"/>
      <c r="O361" s="166"/>
      <c r="AB361" s="251"/>
      <c r="AC361" s="251"/>
      <c r="AD361" s="251"/>
      <c r="AE361" s="266"/>
      <c r="AF361" s="266"/>
      <c r="AG361" s="266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</row>
    <row r="362" spans="13:90" ht="11.4">
      <c r="M362" s="500"/>
      <c r="N362" s="622"/>
      <c r="O362" s="166"/>
      <c r="AB362" s="251"/>
      <c r="AC362" s="251"/>
      <c r="AD362" s="251"/>
      <c r="AE362" s="266"/>
      <c r="AF362" s="266"/>
      <c r="AG362" s="266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</row>
    <row r="363" spans="13:90" ht="11.4">
      <c r="M363" s="500"/>
      <c r="N363" s="622"/>
      <c r="O363" s="166"/>
      <c r="AB363" s="251"/>
      <c r="AC363" s="251"/>
      <c r="AD363" s="251"/>
      <c r="AE363" s="266"/>
      <c r="AF363" s="266"/>
      <c r="AG363" s="266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</row>
    <row r="364" spans="13:90" ht="11.4">
      <c r="M364" s="45"/>
      <c r="N364" s="45"/>
      <c r="O364" s="45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</row>
  </sheetData>
  <sheetProtection formatColumns="0" formatRows="0"/>
  <mergeCells count="12">
    <mergeCell ref="M19:M20"/>
    <mergeCell ref="N19:N20"/>
    <mergeCell ref="O19:O20"/>
    <mergeCell ref="AB19:AD19"/>
    <mergeCell ref="AB20:AD20"/>
    <mergeCell ref="AB21:AD21"/>
    <mergeCell ref="AH21:AV21"/>
    <mergeCell ref="AB22:AD22"/>
    <mergeCell ref="AH22:AV22"/>
    <mergeCell ref="AB2:AD2"/>
    <mergeCell ref="AB14:AD14"/>
    <mergeCell ref="AB18:AD18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3">
    <tabColor indexed="47"/>
  </sheetPr>
  <dimension ref="A2:AU349"/>
  <sheetViews>
    <sheetView showGridLines="0" zoomScale="85" zoomScaleNormal="85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45" width="8.75" style="2" customWidth="1"/>
    <col min="46" max="47" width="2.75" style="2" customWidth="1"/>
    <col min="48" max="16384" width="9.125" style="2"/>
  </cols>
  <sheetData>
    <row r="2" spans="28:47" ht="11.25" customHeight="1">
      <c r="AB2" s="916" t="s">
        <v>2195</v>
      </c>
      <c r="AC2" s="916"/>
      <c r="AD2" s="916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2"/>
    </row>
    <row r="3" spans="28:47" customFormat="1" ht="11.25" customHeight="1"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2"/>
    </row>
    <row r="4" spans="28:47" customFormat="1" ht="11.25" customHeight="1"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2"/>
    </row>
    <row r="5" spans="28:47" ht="11.25" customHeight="1">
      <c r="AB5" s="157"/>
      <c r="AC5" s="157"/>
      <c r="AD5" s="157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2"/>
    </row>
    <row r="6" spans="28:47" ht="11.25" customHeight="1">
      <c r="AB6" s="157">
        <v>12</v>
      </c>
      <c r="AC6" s="157">
        <v>6</v>
      </c>
      <c r="AD6" s="157">
        <v>6</v>
      </c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2"/>
    </row>
    <row r="7" spans="28:47" ht="11.25" customHeight="1">
      <c r="AB7" s="147"/>
      <c r="AC7" s="147"/>
      <c r="AD7" s="147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2"/>
    </row>
    <row r="8" spans="28:47" customFormat="1" ht="11.25" customHeight="1">
      <c r="AB8" s="172"/>
      <c r="AC8" s="172"/>
      <c r="AD8" s="172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2"/>
    </row>
    <row r="9" spans="28:47" customFormat="1" ht="11.25" customHeight="1">
      <c r="AB9" s="143" t="s">
        <v>275</v>
      </c>
      <c r="AC9" s="143" t="s">
        <v>194</v>
      </c>
      <c r="AD9" s="143" t="s">
        <v>609</v>
      </c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</row>
    <row r="10" spans="28:47" customFormat="1" ht="11.25" customHeight="1">
      <c r="AB10" s="215"/>
      <c r="AC10" s="215"/>
      <c r="AD10" s="215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2"/>
    </row>
    <row r="11" spans="28:47" customFormat="1" ht="11.25" customHeight="1">
      <c r="AB11" s="143"/>
      <c r="AC11" s="143"/>
      <c r="AD11" s="143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</row>
    <row r="12" spans="28:47" customFormat="1" ht="11.25" customHeight="1">
      <c r="AB12" s="147"/>
      <c r="AC12" s="147"/>
      <c r="AD12" s="147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2"/>
    </row>
    <row r="13" spans="28:47" customFormat="1" ht="11.25" customHeight="1">
      <c r="AB13" s="214" t="s">
        <v>20</v>
      </c>
      <c r="AC13" s="214" t="s">
        <v>273</v>
      </c>
      <c r="AD13" s="214" t="s">
        <v>274</v>
      </c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</row>
    <row r="14" spans="28:47" ht="11.25" customHeight="1">
      <c r="AB14" s="919"/>
      <c r="AC14" s="920"/>
      <c r="AD14" s="920"/>
      <c r="AE14" s="31"/>
      <c r="AF14" s="31"/>
      <c r="AG14" s="31"/>
      <c r="AH14" s="31"/>
      <c r="AI14" s="31"/>
      <c r="AJ14" s="31"/>
      <c r="AK14" s="928" t="s">
        <v>2197</v>
      </c>
      <c r="AL14" s="928"/>
      <c r="AM14" s="928"/>
      <c r="AN14" s="31"/>
      <c r="AO14" s="31"/>
      <c r="AP14" s="31"/>
      <c r="AQ14" s="31"/>
      <c r="AR14" s="31"/>
      <c r="AS14" s="31"/>
      <c r="AT14" s="31"/>
      <c r="AU14" s="32"/>
    </row>
    <row r="15" spans="28:47" ht="11.25" customHeight="1">
      <c r="AB15" s="167" t="str">
        <f>AB17 &amp; "_" &amp; AB9</f>
        <v>0_Y</v>
      </c>
      <c r="AC15" s="167" t="str">
        <f>AC17 &amp; "_" &amp; AC9</f>
        <v>0_I</v>
      </c>
      <c r="AD15" s="167" t="str">
        <f>AD17 &amp; "_" &amp; AD9</f>
        <v>0_II</v>
      </c>
      <c r="AE15" s="31"/>
      <c r="AF15" s="31"/>
      <c r="AG15" s="31"/>
      <c r="AH15" s="31"/>
      <c r="AI15" s="31"/>
      <c r="AJ15" s="31"/>
      <c r="AK15" s="928" t="s">
        <v>2199</v>
      </c>
      <c r="AL15" s="928"/>
      <c r="AM15" s="928"/>
      <c r="AN15" s="31"/>
      <c r="AO15" s="31"/>
      <c r="AP15" s="31"/>
      <c r="AQ15" s="31"/>
      <c r="AR15" s="31"/>
      <c r="AS15" s="31"/>
      <c r="AT15" s="31"/>
      <c r="AU15" s="32"/>
    </row>
    <row r="16" spans="28:47" customFormat="1" ht="11.25" customHeight="1">
      <c r="AB16" s="158"/>
      <c r="AC16" s="158"/>
      <c r="AD16" s="158"/>
      <c r="AE16" s="31"/>
      <c r="AF16" s="31"/>
      <c r="AG16" s="31"/>
      <c r="AH16" s="31"/>
      <c r="AI16" s="31"/>
      <c r="AJ16" s="31"/>
      <c r="AK16" s="928" t="s">
        <v>2201</v>
      </c>
      <c r="AL16" s="928"/>
      <c r="AM16" s="928"/>
      <c r="AN16" s="31"/>
      <c r="AO16" s="31"/>
      <c r="AP16" s="31"/>
      <c r="AQ16" s="31"/>
      <c r="AR16" s="31"/>
      <c r="AS16" s="31"/>
      <c r="AT16" s="31"/>
      <c r="AU16" s="32"/>
    </row>
    <row r="17" spans="12:47" customFormat="1" ht="11.25" customHeight="1">
      <c r="AB17" s="167">
        <f>AB19</f>
        <v>0</v>
      </c>
      <c r="AC17" s="167">
        <f>AB19</f>
        <v>0</v>
      </c>
      <c r="AD17" s="167">
        <f>AB19</f>
        <v>0</v>
      </c>
      <c r="AE17" s="31"/>
      <c r="AF17" s="31"/>
      <c r="AG17" s="31"/>
      <c r="AH17" s="31"/>
      <c r="AI17" s="31"/>
      <c r="AJ17" s="31"/>
      <c r="AK17" s="928" t="s">
        <v>2202</v>
      </c>
      <c r="AL17" s="928"/>
      <c r="AM17" s="928"/>
      <c r="AN17" s="31"/>
      <c r="AO17" s="31"/>
      <c r="AP17" s="31"/>
      <c r="AQ17" s="31"/>
      <c r="AR17" s="31"/>
      <c r="AS17" s="31"/>
      <c r="AT17" s="31"/>
      <c r="AU17" s="32"/>
    </row>
    <row r="18" spans="12:47" customFormat="1" ht="11.25" customHeight="1">
      <c r="AB18" s="918" t="s">
        <v>134</v>
      </c>
      <c r="AC18" s="918"/>
      <c r="AD18" s="918"/>
      <c r="AE18" s="31"/>
      <c r="AF18" s="31"/>
      <c r="AG18" s="31"/>
      <c r="AH18" s="31"/>
      <c r="AI18" s="31"/>
      <c r="AJ18" s="31"/>
      <c r="AK18" s="928" t="s">
        <v>2196</v>
      </c>
      <c r="AL18" s="928"/>
      <c r="AM18" s="928"/>
      <c r="AN18" s="31"/>
      <c r="AO18" s="31"/>
      <c r="AP18" s="31"/>
      <c r="AQ18" s="31"/>
      <c r="AR18" s="31"/>
      <c r="AS18" s="31"/>
      <c r="AT18" s="31"/>
      <c r="AU18" s="32"/>
    </row>
    <row r="19" spans="12:47" ht="11.25" customHeight="1">
      <c r="L19" s="118"/>
      <c r="M19" s="908" t="s">
        <v>104</v>
      </c>
      <c r="N19" s="910" t="s">
        <v>196</v>
      </c>
      <c r="O19" s="912" t="s">
        <v>683</v>
      </c>
      <c r="AB19" s="917"/>
      <c r="AC19" s="917"/>
      <c r="AD19" s="917"/>
      <c r="AE19" s="31"/>
      <c r="AF19" s="31"/>
      <c r="AG19" s="31"/>
      <c r="AH19" s="31"/>
      <c r="AI19" s="31"/>
      <c r="AJ19" s="31"/>
      <c r="AK19" s="928" t="s">
        <v>2198</v>
      </c>
      <c r="AL19" s="928"/>
      <c r="AM19" s="928"/>
      <c r="AN19" s="31"/>
      <c r="AO19" s="31"/>
      <c r="AP19" s="31"/>
      <c r="AQ19" s="31"/>
      <c r="AR19" s="31"/>
      <c r="AS19" s="31"/>
      <c r="AT19" s="31"/>
      <c r="AU19" s="32"/>
    </row>
    <row r="20" spans="12:47" ht="11.25" customHeight="1">
      <c r="L20" s="118"/>
      <c r="M20" s="909"/>
      <c r="N20" s="911"/>
      <c r="O20" s="913"/>
      <c r="AB20" s="914"/>
      <c r="AC20" s="915"/>
      <c r="AD20" s="915"/>
      <c r="AE20" s="31"/>
      <c r="AF20" s="31"/>
      <c r="AG20" s="31"/>
      <c r="AH20" s="31"/>
      <c r="AI20" s="31"/>
      <c r="AJ20" s="31"/>
      <c r="AK20" s="928" t="s">
        <v>2200</v>
      </c>
      <c r="AL20" s="928"/>
      <c r="AM20" s="928"/>
      <c r="AN20" s="31"/>
      <c r="AO20" s="31"/>
      <c r="AP20" s="31"/>
      <c r="AQ20" s="31"/>
      <c r="AR20" s="31"/>
      <c r="AS20" s="31"/>
      <c r="AT20" s="31"/>
      <c r="AU20" s="32"/>
    </row>
    <row r="21" spans="12:47" ht="11.25" customHeight="1">
      <c r="L21" s="9"/>
      <c r="M21" s="175"/>
      <c r="N21" s="176" t="s">
        <v>197</v>
      </c>
      <c r="O21" s="177"/>
      <c r="AB21" s="929"/>
      <c r="AC21" s="930"/>
      <c r="AD21" s="930"/>
      <c r="AE21" s="31"/>
      <c r="AF21" s="31"/>
      <c r="AG21" s="31"/>
      <c r="AH21" s="31"/>
      <c r="AI21" s="31"/>
      <c r="AJ21" s="31"/>
      <c r="AK21" s="928" t="s">
        <v>2203</v>
      </c>
      <c r="AL21" s="928"/>
      <c r="AM21" s="928"/>
      <c r="AN21" s="31"/>
      <c r="AO21" s="31"/>
      <c r="AP21" s="31"/>
      <c r="AQ21" s="31"/>
      <c r="AR21" s="31"/>
      <c r="AS21" s="31"/>
      <c r="AT21" s="31"/>
      <c r="AU21" s="32"/>
    </row>
    <row r="22" spans="12:47" ht="11.25" customHeight="1">
      <c r="L22" s="9"/>
      <c r="M22" s="175"/>
      <c r="N22" s="180" t="str">
        <f>IF(CALC_IDENTIFIER="","",CALC_IDENTIFIER)</f>
        <v/>
      </c>
      <c r="O22" s="192"/>
      <c r="AB22" s="926"/>
      <c r="AC22" s="927"/>
      <c r="AD22" s="927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2"/>
    </row>
    <row r="23" spans="12:47" customFormat="1" ht="11.4">
      <c r="M23" s="560"/>
      <c r="N23" s="533"/>
      <c r="O23" s="422"/>
      <c r="AB23" s="251"/>
      <c r="AC23" s="251"/>
      <c r="AD23" s="251"/>
      <c r="AE23" s="261"/>
      <c r="AF23" s="261"/>
      <c r="AG23" s="261"/>
      <c r="AH23" s="251"/>
      <c r="AI23" s="251"/>
      <c r="AJ23" s="251"/>
      <c r="AK23" s="261"/>
      <c r="AL23" s="261"/>
      <c r="AM23" s="261"/>
      <c r="AN23" s="251"/>
      <c r="AO23" s="251"/>
      <c r="AP23" s="251"/>
      <c r="AQ23" s="261"/>
      <c r="AR23" s="261"/>
      <c r="AS23" s="261"/>
      <c r="AT23" s="2"/>
      <c r="AU23" s="2"/>
    </row>
    <row r="24" spans="12:47" customFormat="1" ht="11.4">
      <c r="M24" s="560"/>
      <c r="N24" s="533"/>
      <c r="O24" s="422"/>
      <c r="AB24" s="250"/>
      <c r="AC24" s="250"/>
      <c r="AD24" s="250"/>
      <c r="AE24" s="261"/>
      <c r="AF24" s="261"/>
      <c r="AG24" s="261"/>
      <c r="AH24" s="251"/>
      <c r="AI24" s="251"/>
      <c r="AJ24" s="251"/>
      <c r="AK24" s="261"/>
      <c r="AL24" s="261"/>
      <c r="AM24" s="261"/>
      <c r="AN24" s="251"/>
      <c r="AO24" s="251"/>
      <c r="AP24" s="251"/>
      <c r="AQ24" s="261"/>
      <c r="AR24" s="261"/>
      <c r="AS24" s="261"/>
      <c r="AT24" s="2"/>
      <c r="AU24" s="2"/>
    </row>
    <row r="25" spans="12:47" customFormat="1" ht="11.4">
      <c r="M25" s="516" t="s">
        <v>610</v>
      </c>
      <c r="N25" s="463" t="s">
        <v>1916</v>
      </c>
      <c r="O25" s="420" t="s">
        <v>195</v>
      </c>
      <c r="AB25" s="251"/>
      <c r="AC25" s="251"/>
      <c r="AD25" s="251"/>
      <c r="AE25" s="247">
        <f>AF25+AG25</f>
        <v>0</v>
      </c>
      <c r="AF25" s="244">
        <f>SUM(AF27,AF64,AF92,AF346)</f>
        <v>0</v>
      </c>
      <c r="AG25" s="244">
        <f>SUM(AG27,AG64,AG92,AG346)</f>
        <v>0</v>
      </c>
      <c r="AH25" s="251"/>
      <c r="AI25" s="251"/>
      <c r="AJ25" s="251"/>
      <c r="AK25" s="247"/>
      <c r="AL25" s="244"/>
      <c r="AM25" s="244"/>
      <c r="AN25" s="251"/>
      <c r="AO25" s="251"/>
      <c r="AP25" s="251"/>
      <c r="AQ25" s="247"/>
      <c r="AR25" s="244"/>
      <c r="AS25" s="244"/>
      <c r="AT25" s="2"/>
      <c r="AU25" s="2"/>
    </row>
    <row r="26" spans="12:47" customFormat="1" ht="11.4">
      <c r="M26" s="560"/>
      <c r="N26" s="533"/>
      <c r="O26" s="422"/>
      <c r="AB26" s="251"/>
      <c r="AC26" s="251"/>
      <c r="AD26" s="251"/>
      <c r="AE26" s="261"/>
      <c r="AF26" s="261"/>
      <c r="AG26" s="261"/>
      <c r="AH26" s="251"/>
      <c r="AI26" s="251"/>
      <c r="AJ26" s="251"/>
      <c r="AK26" s="261"/>
      <c r="AL26" s="261"/>
      <c r="AM26" s="261"/>
      <c r="AN26" s="251"/>
      <c r="AO26" s="251"/>
      <c r="AP26" s="251"/>
      <c r="AQ26" s="261"/>
      <c r="AR26" s="261"/>
      <c r="AS26" s="261"/>
      <c r="AT26" s="2"/>
      <c r="AU26" s="2"/>
    </row>
    <row r="27" spans="12:47" customFormat="1" ht="11.4">
      <c r="M27" s="561" t="s">
        <v>1349</v>
      </c>
      <c r="N27" s="567" t="s">
        <v>1907</v>
      </c>
      <c r="O27" s="420" t="s">
        <v>195</v>
      </c>
      <c r="AB27" s="251"/>
      <c r="AC27" s="251"/>
      <c r="AD27" s="251"/>
      <c r="AE27" s="247">
        <f>AF27+AG27</f>
        <v>0</v>
      </c>
      <c r="AF27" s="244">
        <f>SUMIF(ХВС.Р!$AO$28:$AO$63,ХВС.Р!$AO$27,ХВС.Р!AF$28:AF$63)</f>
        <v>0</v>
      </c>
      <c r="AG27" s="244">
        <f>SUMIF(ХВС.Р!$AO$28:$AO$63,ХВС.Р!$AO$27,ХВС.Р!AG$28:AG$63)</f>
        <v>0</v>
      </c>
      <c r="AH27" s="251"/>
      <c r="AI27" s="251"/>
      <c r="AJ27" s="251"/>
      <c r="AK27" s="247"/>
      <c r="AL27" s="244"/>
      <c r="AM27" s="244"/>
      <c r="AN27" s="251"/>
      <c r="AO27" s="251"/>
      <c r="AP27" s="251"/>
      <c r="AQ27" s="247"/>
      <c r="AR27" s="244"/>
      <c r="AS27" s="244"/>
      <c r="AT27" s="2"/>
      <c r="AU27" s="2"/>
    </row>
    <row r="28" spans="12:47" customFormat="1" ht="11.4">
      <c r="M28" s="560"/>
      <c r="N28" s="533"/>
      <c r="O28" s="422"/>
      <c r="AB28" s="251"/>
      <c r="AC28" s="251"/>
      <c r="AD28" s="251"/>
      <c r="AE28" s="261"/>
      <c r="AF28" s="261"/>
      <c r="AG28" s="261"/>
      <c r="AH28" s="251"/>
      <c r="AI28" s="251"/>
      <c r="AJ28" s="251"/>
      <c r="AK28" s="261"/>
      <c r="AL28" s="261"/>
      <c r="AM28" s="261"/>
      <c r="AN28" s="251"/>
      <c r="AO28" s="251"/>
      <c r="AP28" s="251"/>
      <c r="AQ28" s="261"/>
      <c r="AR28" s="261"/>
      <c r="AS28" s="261"/>
      <c r="AT28" s="2"/>
      <c r="AU28" s="2"/>
    </row>
    <row r="29" spans="12:47" customFormat="1" ht="20.399999999999999">
      <c r="M29" s="561" t="s">
        <v>2081</v>
      </c>
      <c r="N29" s="559" t="s">
        <v>1908</v>
      </c>
      <c r="O29" s="420" t="s">
        <v>195</v>
      </c>
      <c r="AB29" s="251"/>
      <c r="AC29" s="251"/>
      <c r="AD29" s="251"/>
      <c r="AE29" s="252"/>
      <c r="AF29" s="524"/>
      <c r="AG29" s="524"/>
      <c r="AH29" s="251"/>
      <c r="AI29" s="251"/>
      <c r="AJ29" s="251"/>
      <c r="AK29" s="247">
        <f>AL29+AM29</f>
        <v>0</v>
      </c>
      <c r="AL29" s="244">
        <f>AL30*AL31/1000</f>
        <v>0</v>
      </c>
      <c r="AM29" s="244">
        <f>AM30*AM31/1000</f>
        <v>0</v>
      </c>
      <c r="AN29" s="251"/>
      <c r="AO29" s="251"/>
      <c r="AP29" s="251"/>
      <c r="AQ29" s="252"/>
      <c r="AR29" s="524"/>
      <c r="AS29" s="524"/>
      <c r="AT29" s="2"/>
      <c r="AU29" s="2"/>
    </row>
    <row r="30" spans="12:47" customFormat="1" ht="11.4">
      <c r="M30" s="562" t="str">
        <f>M29 &amp; ".P"</f>
        <v>HDSFAL.P</v>
      </c>
      <c r="N30" s="531" t="s">
        <v>842</v>
      </c>
      <c r="O30" s="420" t="s">
        <v>23</v>
      </c>
      <c r="AB30" s="251"/>
      <c r="AC30" s="251"/>
      <c r="AD30" s="251"/>
      <c r="AE30" s="252"/>
      <c r="AF30" s="524"/>
      <c r="AG30" s="524"/>
      <c r="AH30" s="251"/>
      <c r="AI30" s="251"/>
      <c r="AJ30" s="251"/>
      <c r="AK30" s="247">
        <f>IF(AK31=0,0,AK29*1000/AK31)</f>
        <v>0</v>
      </c>
      <c r="AL30" s="221"/>
      <c r="AM30" s="221"/>
      <c r="AN30" s="251"/>
      <c r="AO30" s="251"/>
      <c r="AP30" s="251"/>
      <c r="AQ30" s="252"/>
      <c r="AR30" s="524"/>
      <c r="AS30" s="524"/>
      <c r="AT30" s="2"/>
      <c r="AU30" s="2"/>
    </row>
    <row r="31" spans="12:47" customFormat="1" ht="11.4">
      <c r="M31" s="562" t="str">
        <f>M29 &amp; ".V"</f>
        <v>HDSFAL.V</v>
      </c>
      <c r="N31" s="531" t="s">
        <v>245</v>
      </c>
      <c r="O31" s="420" t="s">
        <v>289</v>
      </c>
      <c r="AB31" s="251"/>
      <c r="AC31" s="251"/>
      <c r="AD31" s="251"/>
      <c r="AE31" s="524"/>
      <c r="AF31" s="524"/>
      <c r="AG31" s="524"/>
      <c r="AH31" s="251"/>
      <c r="AI31" s="251"/>
      <c r="AJ31" s="251"/>
      <c r="AK31" s="247">
        <f>AL31+AM31</f>
        <v>0</v>
      </c>
      <c r="AL31" s="221"/>
      <c r="AM31" s="221"/>
      <c r="AN31" s="251"/>
      <c r="AO31" s="251"/>
      <c r="AP31" s="251"/>
      <c r="AQ31" s="524"/>
      <c r="AR31" s="524"/>
      <c r="AS31" s="524"/>
      <c r="AT31" s="2"/>
      <c r="AU31" s="2"/>
    </row>
    <row r="32" spans="12:47" customFormat="1" ht="11.4">
      <c r="M32" s="561" t="s">
        <v>1998</v>
      </c>
      <c r="N32" s="559" t="s">
        <v>1909</v>
      </c>
      <c r="O32" s="420" t="s">
        <v>195</v>
      </c>
      <c r="AB32" s="251"/>
      <c r="AC32" s="251"/>
      <c r="AD32" s="251"/>
      <c r="AE32" s="252"/>
      <c r="AF32" s="524"/>
      <c r="AG32" s="524"/>
      <c r="AH32" s="251"/>
      <c r="AI32" s="251"/>
      <c r="AJ32" s="251"/>
      <c r="AK32" s="247">
        <f>AL32+AM32</f>
        <v>0</v>
      </c>
      <c r="AL32" s="244">
        <f>AL33*AL34/1000</f>
        <v>0</v>
      </c>
      <c r="AM32" s="244">
        <f>AM33*AM34/1000</f>
        <v>0</v>
      </c>
      <c r="AN32" s="251"/>
      <c r="AO32" s="251"/>
      <c r="AP32" s="251"/>
      <c r="AQ32" s="252"/>
      <c r="AR32" s="524"/>
      <c r="AS32" s="524"/>
      <c r="AT32" s="2"/>
      <c r="AU32" s="2"/>
    </row>
    <row r="33" spans="13:47" customFormat="1" ht="11.4">
      <c r="M33" s="562" t="str">
        <f>M32 &amp; ".P"</f>
        <v>FES.P</v>
      </c>
      <c r="N33" s="531" t="s">
        <v>842</v>
      </c>
      <c r="O33" s="420" t="s">
        <v>23</v>
      </c>
      <c r="AB33" s="251"/>
      <c r="AC33" s="251"/>
      <c r="AD33" s="251"/>
      <c r="AE33" s="252"/>
      <c r="AF33" s="524"/>
      <c r="AG33" s="524"/>
      <c r="AH33" s="251"/>
      <c r="AI33" s="251"/>
      <c r="AJ33" s="251"/>
      <c r="AK33" s="247">
        <f>IF(AK34=0,0,AK32*1000/AK34)</f>
        <v>0</v>
      </c>
      <c r="AL33" s="221"/>
      <c r="AM33" s="221"/>
      <c r="AN33" s="251"/>
      <c r="AO33" s="251"/>
      <c r="AP33" s="251"/>
      <c r="AQ33" s="252"/>
      <c r="AR33" s="524"/>
      <c r="AS33" s="524"/>
      <c r="AT33" s="2"/>
      <c r="AU33" s="2"/>
    </row>
    <row r="34" spans="13:47" customFormat="1" ht="11.4">
      <c r="M34" s="562" t="str">
        <f>M32 &amp; ".V"</f>
        <v>FES.V</v>
      </c>
      <c r="N34" s="531" t="s">
        <v>245</v>
      </c>
      <c r="O34" s="420" t="s">
        <v>289</v>
      </c>
      <c r="AB34" s="251"/>
      <c r="AC34" s="251"/>
      <c r="AD34" s="251"/>
      <c r="AE34" s="524"/>
      <c r="AF34" s="524"/>
      <c r="AG34" s="524"/>
      <c r="AH34" s="251"/>
      <c r="AI34" s="251"/>
      <c r="AJ34" s="251"/>
      <c r="AK34" s="247">
        <f>AL34+AM34</f>
        <v>0</v>
      </c>
      <c r="AL34" s="221"/>
      <c r="AM34" s="221"/>
      <c r="AN34" s="251"/>
      <c r="AO34" s="251"/>
      <c r="AP34" s="251"/>
      <c r="AQ34" s="524"/>
      <c r="AR34" s="524"/>
      <c r="AS34" s="524"/>
      <c r="AT34" s="2"/>
      <c r="AU34" s="2"/>
    </row>
    <row r="35" spans="13:47" customFormat="1" ht="11.4">
      <c r="M35" s="561" t="s">
        <v>2082</v>
      </c>
      <c r="N35" s="559" t="s">
        <v>1910</v>
      </c>
      <c r="O35" s="420" t="s">
        <v>195</v>
      </c>
      <c r="AB35" s="251"/>
      <c r="AC35" s="251"/>
      <c r="AD35" s="251"/>
      <c r="AE35" s="252"/>
      <c r="AF35" s="524"/>
      <c r="AG35" s="524"/>
      <c r="AH35" s="251"/>
      <c r="AI35" s="251"/>
      <c r="AJ35" s="251"/>
      <c r="AK35" s="247">
        <f>AL35+AM35</f>
        <v>0</v>
      </c>
      <c r="AL35" s="244">
        <f>AL36*AL37/1000</f>
        <v>0</v>
      </c>
      <c r="AM35" s="244">
        <f>AM36*AM37/1000</f>
        <v>0</v>
      </c>
      <c r="AN35" s="251"/>
      <c r="AO35" s="251"/>
      <c r="AP35" s="251"/>
      <c r="AQ35" s="252"/>
      <c r="AR35" s="524"/>
      <c r="AS35" s="524"/>
      <c r="AT35" s="2"/>
      <c r="AU35" s="2"/>
    </row>
    <row r="36" spans="13:47" customFormat="1" ht="11.4">
      <c r="M36" s="562" t="str">
        <f>M35 &amp; ".P"</f>
        <v>OXCLAL.P</v>
      </c>
      <c r="N36" s="531" t="s">
        <v>842</v>
      </c>
      <c r="O36" s="420" t="s">
        <v>23</v>
      </c>
      <c r="AB36" s="251"/>
      <c r="AC36" s="251"/>
      <c r="AD36" s="251"/>
      <c r="AE36" s="252"/>
      <c r="AF36" s="524"/>
      <c r="AG36" s="524"/>
      <c r="AH36" s="251"/>
      <c r="AI36" s="251"/>
      <c r="AJ36" s="251"/>
      <c r="AK36" s="247">
        <f>IF(AK37=0,0,AK35*1000/AK37)</f>
        <v>0</v>
      </c>
      <c r="AL36" s="221"/>
      <c r="AM36" s="221"/>
      <c r="AN36" s="251"/>
      <c r="AO36" s="251"/>
      <c r="AP36" s="251"/>
      <c r="AQ36" s="252"/>
      <c r="AR36" s="524"/>
      <c r="AS36" s="524"/>
      <c r="AT36" s="2"/>
      <c r="AU36" s="2"/>
    </row>
    <row r="37" spans="13:47" customFormat="1" ht="11.25" customHeight="1">
      <c r="M37" s="562" t="str">
        <f>M35 &amp; ".V"</f>
        <v>OXCLAL.V</v>
      </c>
      <c r="N37" s="531" t="s">
        <v>245</v>
      </c>
      <c r="O37" s="420" t="s">
        <v>289</v>
      </c>
      <c r="AB37" s="251"/>
      <c r="AC37" s="251"/>
      <c r="AD37" s="251"/>
      <c r="AE37" s="524"/>
      <c r="AF37" s="524"/>
      <c r="AG37" s="524"/>
      <c r="AH37" s="251"/>
      <c r="AI37" s="251"/>
      <c r="AJ37" s="251"/>
      <c r="AK37" s="247">
        <f>AL37+AM37</f>
        <v>0</v>
      </c>
      <c r="AL37" s="221"/>
      <c r="AM37" s="221"/>
      <c r="AN37" s="251"/>
      <c r="AO37" s="251"/>
      <c r="AP37" s="251"/>
      <c r="AQ37" s="524"/>
      <c r="AR37" s="524"/>
      <c r="AS37" s="524"/>
      <c r="AT37" s="2"/>
      <c r="AU37" s="2"/>
    </row>
    <row r="38" spans="13:47" customFormat="1" ht="11.25" customHeight="1">
      <c r="M38" s="638" t="s">
        <v>2303</v>
      </c>
      <c r="N38" s="559" t="s">
        <v>2304</v>
      </c>
      <c r="O38" s="420" t="s">
        <v>195</v>
      </c>
      <c r="AB38" s="251"/>
      <c r="AC38" s="251"/>
      <c r="AD38" s="251"/>
      <c r="AE38" s="252"/>
      <c r="AF38" s="524"/>
      <c r="AG38" s="524"/>
      <c r="AH38" s="251"/>
      <c r="AI38" s="251"/>
      <c r="AJ38" s="251"/>
      <c r="AK38" s="247">
        <f>AL38+AM38</f>
        <v>0</v>
      </c>
      <c r="AL38" s="244">
        <f>AL39*AL40/1000</f>
        <v>0</v>
      </c>
      <c r="AM38" s="244">
        <f>AM39*AM40/1000</f>
        <v>0</v>
      </c>
      <c r="AN38" s="251"/>
      <c r="AO38" s="251"/>
      <c r="AP38" s="251"/>
      <c r="AQ38" s="252"/>
      <c r="AR38" s="524"/>
      <c r="AS38" s="524"/>
      <c r="AT38" s="2"/>
      <c r="AU38" s="2"/>
    </row>
    <row r="39" spans="13:47" customFormat="1" ht="11.25" customHeight="1">
      <c r="M39" s="639" t="str">
        <f>M38 &amp; ".P"</f>
        <v>OXCLAL10.P</v>
      </c>
      <c r="N39" s="531" t="s">
        <v>842</v>
      </c>
      <c r="O39" s="420" t="s">
        <v>23</v>
      </c>
      <c r="AB39" s="251"/>
      <c r="AC39" s="251"/>
      <c r="AD39" s="251"/>
      <c r="AE39" s="252"/>
      <c r="AF39" s="524"/>
      <c r="AG39" s="524"/>
      <c r="AH39" s="251"/>
      <c r="AI39" s="251"/>
      <c r="AJ39" s="251"/>
      <c r="AK39" s="247">
        <f>IF(AK40=0,0,AK38*1000/AK40)</f>
        <v>0</v>
      </c>
      <c r="AL39" s="221"/>
      <c r="AM39" s="221"/>
      <c r="AN39" s="251"/>
      <c r="AO39" s="251"/>
      <c r="AP39" s="251"/>
      <c r="AQ39" s="252"/>
      <c r="AR39" s="524"/>
      <c r="AS39" s="524"/>
      <c r="AT39" s="2"/>
      <c r="AU39" s="2"/>
    </row>
    <row r="40" spans="13:47" customFormat="1" ht="11.25" customHeight="1">
      <c r="M40" s="639" t="str">
        <f>M38 &amp; ".V"</f>
        <v>OXCLAL10.V</v>
      </c>
      <c r="N40" s="531" t="s">
        <v>245</v>
      </c>
      <c r="O40" s="420" t="s">
        <v>289</v>
      </c>
      <c r="AB40" s="251"/>
      <c r="AC40" s="251"/>
      <c r="AD40" s="251"/>
      <c r="AE40" s="524"/>
      <c r="AF40" s="524"/>
      <c r="AG40" s="524"/>
      <c r="AH40" s="251"/>
      <c r="AI40" s="251"/>
      <c r="AJ40" s="251"/>
      <c r="AK40" s="247">
        <f>AL40+AM40</f>
        <v>0</v>
      </c>
      <c r="AL40" s="221"/>
      <c r="AM40" s="221"/>
      <c r="AN40" s="251"/>
      <c r="AO40" s="251"/>
      <c r="AP40" s="251"/>
      <c r="AQ40" s="524"/>
      <c r="AR40" s="524"/>
      <c r="AS40" s="524"/>
      <c r="AT40" s="2"/>
      <c r="AU40" s="2"/>
    </row>
    <row r="41" spans="13:47" customFormat="1" ht="11.25" customHeight="1">
      <c r="M41" s="638" t="s">
        <v>2305</v>
      </c>
      <c r="N41" s="559" t="s">
        <v>2306</v>
      </c>
      <c r="O41" s="420" t="s">
        <v>195</v>
      </c>
      <c r="AB41" s="251"/>
      <c r="AC41" s="251"/>
      <c r="AD41" s="251"/>
      <c r="AE41" s="252"/>
      <c r="AF41" s="524"/>
      <c r="AG41" s="524"/>
      <c r="AH41" s="251"/>
      <c r="AI41" s="251"/>
      <c r="AJ41" s="251"/>
      <c r="AK41" s="247">
        <f>AL41+AM41</f>
        <v>0</v>
      </c>
      <c r="AL41" s="244">
        <f>AL42*AL43/1000</f>
        <v>0</v>
      </c>
      <c r="AM41" s="244">
        <f>AM42*AM43/1000</f>
        <v>0</v>
      </c>
      <c r="AN41" s="251"/>
      <c r="AO41" s="251"/>
      <c r="AP41" s="251"/>
      <c r="AQ41" s="252"/>
      <c r="AR41" s="524"/>
      <c r="AS41" s="524"/>
      <c r="AT41" s="2"/>
      <c r="AU41" s="2"/>
    </row>
    <row r="42" spans="13:47" customFormat="1" ht="11.25" customHeight="1">
      <c r="M42" s="639" t="str">
        <f>M41 &amp; ".P"</f>
        <v>OXCLAL18.P</v>
      </c>
      <c r="N42" s="531" t="s">
        <v>842</v>
      </c>
      <c r="O42" s="420" t="s">
        <v>23</v>
      </c>
      <c r="AB42" s="251"/>
      <c r="AC42" s="251"/>
      <c r="AD42" s="251"/>
      <c r="AE42" s="252"/>
      <c r="AF42" s="524"/>
      <c r="AG42" s="524"/>
      <c r="AH42" s="251"/>
      <c r="AI42" s="251"/>
      <c r="AJ42" s="251"/>
      <c r="AK42" s="247">
        <f>IF(AK43=0,0,AK41*1000/AK43)</f>
        <v>0</v>
      </c>
      <c r="AL42" s="221"/>
      <c r="AM42" s="221"/>
      <c r="AN42" s="251"/>
      <c r="AO42" s="251"/>
      <c r="AP42" s="251"/>
      <c r="AQ42" s="252"/>
      <c r="AR42" s="524"/>
      <c r="AS42" s="524"/>
      <c r="AT42" s="2"/>
      <c r="AU42" s="2"/>
    </row>
    <row r="43" spans="13:47" customFormat="1" ht="11.25" customHeight="1">
      <c r="M43" s="639" t="str">
        <f>M41 &amp; ".V"</f>
        <v>OXCLAL18.V</v>
      </c>
      <c r="N43" s="531" t="s">
        <v>245</v>
      </c>
      <c r="O43" s="420" t="s">
        <v>289</v>
      </c>
      <c r="AB43" s="251"/>
      <c r="AC43" s="251"/>
      <c r="AD43" s="251"/>
      <c r="AE43" s="524"/>
      <c r="AF43" s="524"/>
      <c r="AG43" s="524"/>
      <c r="AH43" s="251"/>
      <c r="AI43" s="251"/>
      <c r="AJ43" s="251"/>
      <c r="AK43" s="247">
        <f>AL43+AM43</f>
        <v>0</v>
      </c>
      <c r="AL43" s="221"/>
      <c r="AM43" s="221"/>
      <c r="AN43" s="251"/>
      <c r="AO43" s="251"/>
      <c r="AP43" s="251"/>
      <c r="AQ43" s="524"/>
      <c r="AR43" s="524"/>
      <c r="AS43" s="524"/>
      <c r="AT43" s="2"/>
      <c r="AU43" s="2"/>
    </row>
    <row r="44" spans="13:47" customFormat="1" ht="11.25" customHeight="1">
      <c r="M44" s="638" t="s">
        <v>2307</v>
      </c>
      <c r="N44" s="559" t="s">
        <v>2308</v>
      </c>
      <c r="O44" s="420" t="s">
        <v>195</v>
      </c>
      <c r="AB44" s="251"/>
      <c r="AC44" s="251"/>
      <c r="AD44" s="251"/>
      <c r="AE44" s="252"/>
      <c r="AF44" s="524"/>
      <c r="AG44" s="524"/>
      <c r="AH44" s="251"/>
      <c r="AI44" s="251"/>
      <c r="AJ44" s="251"/>
      <c r="AK44" s="247">
        <f>AL44+AM44</f>
        <v>0</v>
      </c>
      <c r="AL44" s="244">
        <f>AL45*AL46/1000</f>
        <v>0</v>
      </c>
      <c r="AM44" s="244">
        <f>AM45*AM46/1000</f>
        <v>0</v>
      </c>
      <c r="AN44" s="251"/>
      <c r="AO44" s="251"/>
      <c r="AP44" s="251"/>
      <c r="AQ44" s="252"/>
      <c r="AR44" s="524"/>
      <c r="AS44" s="524"/>
      <c r="AT44" s="2"/>
      <c r="AU44" s="2"/>
    </row>
    <row r="45" spans="13:47" customFormat="1" ht="11.25" customHeight="1">
      <c r="M45" s="639" t="str">
        <f>M44 &amp; ".P"</f>
        <v>OXCLAL30.P</v>
      </c>
      <c r="N45" s="531" t="s">
        <v>842</v>
      </c>
      <c r="O45" s="420" t="s">
        <v>23</v>
      </c>
      <c r="AB45" s="251"/>
      <c r="AC45" s="251"/>
      <c r="AD45" s="251"/>
      <c r="AE45" s="252"/>
      <c r="AF45" s="524"/>
      <c r="AG45" s="524"/>
      <c r="AH45" s="251"/>
      <c r="AI45" s="251"/>
      <c r="AJ45" s="251"/>
      <c r="AK45" s="247">
        <f>IF(AK46=0,0,AK44*1000/AK46)</f>
        <v>0</v>
      </c>
      <c r="AL45" s="221"/>
      <c r="AM45" s="221"/>
      <c r="AN45" s="251"/>
      <c r="AO45" s="251"/>
      <c r="AP45" s="251"/>
      <c r="AQ45" s="252"/>
      <c r="AR45" s="524"/>
      <c r="AS45" s="524"/>
      <c r="AT45" s="2"/>
      <c r="AU45" s="2"/>
    </row>
    <row r="46" spans="13:47" customFormat="1" ht="11.25" customHeight="1">
      <c r="M46" s="639" t="str">
        <f>M44 &amp; ".V"</f>
        <v>OXCLAL30.V</v>
      </c>
      <c r="N46" s="531" t="s">
        <v>245</v>
      </c>
      <c r="O46" s="420" t="s">
        <v>289</v>
      </c>
      <c r="AB46" s="251"/>
      <c r="AC46" s="251"/>
      <c r="AD46" s="251"/>
      <c r="AE46" s="524"/>
      <c r="AF46" s="524"/>
      <c r="AG46" s="524"/>
      <c r="AH46" s="251"/>
      <c r="AI46" s="251"/>
      <c r="AJ46" s="251"/>
      <c r="AK46" s="247">
        <f>AL46+AM46</f>
        <v>0</v>
      </c>
      <c r="AL46" s="221"/>
      <c r="AM46" s="221"/>
      <c r="AN46" s="251"/>
      <c r="AO46" s="251"/>
      <c r="AP46" s="251"/>
      <c r="AQ46" s="524"/>
      <c r="AR46" s="524"/>
      <c r="AS46" s="524"/>
      <c r="AT46" s="2"/>
      <c r="AU46" s="2"/>
    </row>
    <row r="47" spans="13:47" ht="11.4">
      <c r="M47" s="561" t="s">
        <v>2083</v>
      </c>
      <c r="N47" s="559" t="s">
        <v>1911</v>
      </c>
      <c r="O47" s="420" t="s">
        <v>195</v>
      </c>
      <c r="AB47" s="251"/>
      <c r="AC47" s="251"/>
      <c r="AD47" s="251"/>
      <c r="AE47" s="252"/>
      <c r="AF47" s="524"/>
      <c r="AG47" s="524"/>
      <c r="AH47" s="251"/>
      <c r="AI47" s="251"/>
      <c r="AJ47" s="251"/>
      <c r="AK47" s="247">
        <f>AL47+AM47</f>
        <v>0</v>
      </c>
      <c r="AL47" s="244">
        <f>AL48*AL49/1000</f>
        <v>0</v>
      </c>
      <c r="AM47" s="244">
        <f>AM48*AM49/1000</f>
        <v>0</v>
      </c>
      <c r="AN47" s="251"/>
      <c r="AO47" s="251"/>
      <c r="AP47" s="251"/>
      <c r="AQ47" s="252"/>
      <c r="AR47" s="524"/>
      <c r="AS47" s="524"/>
    </row>
    <row r="48" spans="13:47" ht="11.4">
      <c r="M48" s="562" t="str">
        <f>M47 &amp; ".P"</f>
        <v>PLOXCLAL.P</v>
      </c>
      <c r="N48" s="531" t="s">
        <v>842</v>
      </c>
      <c r="O48" s="420" t="s">
        <v>23</v>
      </c>
      <c r="AB48" s="251"/>
      <c r="AC48" s="251"/>
      <c r="AD48" s="251"/>
      <c r="AE48" s="252"/>
      <c r="AF48" s="524"/>
      <c r="AG48" s="524"/>
      <c r="AH48" s="251"/>
      <c r="AI48" s="251"/>
      <c r="AJ48" s="251"/>
      <c r="AK48" s="247">
        <f>IF(AK49=0,0,AK47*1000/AK49)</f>
        <v>0</v>
      </c>
      <c r="AL48" s="221"/>
      <c r="AM48" s="221"/>
      <c r="AN48" s="251"/>
      <c r="AO48" s="251"/>
      <c r="AP48" s="251"/>
      <c r="AQ48" s="252"/>
      <c r="AR48" s="524"/>
      <c r="AS48" s="524"/>
    </row>
    <row r="49" spans="13:45" ht="11.4">
      <c r="M49" s="562" t="str">
        <f>M47 &amp; ".V"</f>
        <v>PLOXCLAL.V</v>
      </c>
      <c r="N49" s="531" t="s">
        <v>245</v>
      </c>
      <c r="O49" s="420" t="s">
        <v>289</v>
      </c>
      <c r="AB49" s="251"/>
      <c r="AC49" s="251"/>
      <c r="AD49" s="251"/>
      <c r="AE49" s="524"/>
      <c r="AF49" s="524"/>
      <c r="AG49" s="524"/>
      <c r="AH49" s="251"/>
      <c r="AI49" s="251"/>
      <c r="AJ49" s="251"/>
      <c r="AK49" s="247">
        <f>AL49+AM49</f>
        <v>0</v>
      </c>
      <c r="AL49" s="221"/>
      <c r="AM49" s="221"/>
      <c r="AN49" s="251"/>
      <c r="AO49" s="251"/>
      <c r="AP49" s="251"/>
      <c r="AQ49" s="524"/>
      <c r="AR49" s="524"/>
      <c r="AS49" s="524"/>
    </row>
    <row r="50" spans="13:45" ht="11.4">
      <c r="M50" s="638" t="s">
        <v>2309</v>
      </c>
      <c r="N50" s="559" t="s">
        <v>2310</v>
      </c>
      <c r="O50" s="420" t="s">
        <v>195</v>
      </c>
      <c r="AB50" s="251"/>
      <c r="AC50" s="251"/>
      <c r="AD50" s="251"/>
      <c r="AE50" s="252"/>
      <c r="AF50" s="524"/>
      <c r="AG50" s="524"/>
      <c r="AH50" s="251"/>
      <c r="AI50" s="251"/>
      <c r="AJ50" s="251"/>
      <c r="AK50" s="247">
        <f>AL50+AM50</f>
        <v>0</v>
      </c>
      <c r="AL50" s="244">
        <f>AL51*AL52/1000</f>
        <v>0</v>
      </c>
      <c r="AM50" s="244">
        <f>AM51*AM52/1000</f>
        <v>0</v>
      </c>
      <c r="AN50" s="251"/>
      <c r="AO50" s="251"/>
      <c r="AP50" s="251"/>
      <c r="AQ50" s="252"/>
      <c r="AR50" s="524"/>
      <c r="AS50" s="524"/>
    </row>
    <row r="51" spans="13:45" ht="11.4">
      <c r="M51" s="639" t="str">
        <f>M50 &amp; ".P"</f>
        <v>PLOXCLAL10.P</v>
      </c>
      <c r="N51" s="531" t="s">
        <v>842</v>
      </c>
      <c r="O51" s="420" t="s">
        <v>23</v>
      </c>
      <c r="AB51" s="251"/>
      <c r="AC51" s="251"/>
      <c r="AD51" s="251"/>
      <c r="AE51" s="252"/>
      <c r="AF51" s="524"/>
      <c r="AG51" s="524"/>
      <c r="AH51" s="251"/>
      <c r="AI51" s="251"/>
      <c r="AJ51" s="251"/>
      <c r="AK51" s="247">
        <f>IF(AK52=0,0,AK50*1000/AK52)</f>
        <v>0</v>
      </c>
      <c r="AL51" s="221"/>
      <c r="AM51" s="221"/>
      <c r="AN51" s="251"/>
      <c r="AO51" s="251"/>
      <c r="AP51" s="251"/>
      <c r="AQ51" s="252"/>
      <c r="AR51" s="524"/>
      <c r="AS51" s="524"/>
    </row>
    <row r="52" spans="13:45" ht="11.4">
      <c r="M52" s="639" t="str">
        <f>M50 &amp; ".V"</f>
        <v>PLOXCLAL10.V</v>
      </c>
      <c r="N52" s="531" t="s">
        <v>245</v>
      </c>
      <c r="O52" s="420" t="s">
        <v>289</v>
      </c>
      <c r="AB52" s="251"/>
      <c r="AC52" s="251"/>
      <c r="AD52" s="251"/>
      <c r="AE52" s="524"/>
      <c r="AF52" s="524"/>
      <c r="AG52" s="524"/>
      <c r="AH52" s="251"/>
      <c r="AI52" s="251"/>
      <c r="AJ52" s="251"/>
      <c r="AK52" s="247">
        <f>AL52+AM52</f>
        <v>0</v>
      </c>
      <c r="AL52" s="221"/>
      <c r="AM52" s="221"/>
      <c r="AN52" s="251"/>
      <c r="AO52" s="251"/>
      <c r="AP52" s="251"/>
      <c r="AQ52" s="524"/>
      <c r="AR52" s="524"/>
      <c r="AS52" s="524"/>
    </row>
    <row r="53" spans="13:45" ht="11.4">
      <c r="M53" s="638" t="s">
        <v>2311</v>
      </c>
      <c r="N53" s="559" t="s">
        <v>2312</v>
      </c>
      <c r="O53" s="420" t="s">
        <v>195</v>
      </c>
      <c r="AB53" s="251"/>
      <c r="AC53" s="251"/>
      <c r="AD53" s="251"/>
      <c r="AE53" s="252"/>
      <c r="AF53" s="524"/>
      <c r="AG53" s="524"/>
      <c r="AH53" s="251"/>
      <c r="AI53" s="251"/>
      <c r="AJ53" s="251"/>
      <c r="AK53" s="247">
        <f>AL53+AM53</f>
        <v>0</v>
      </c>
      <c r="AL53" s="244">
        <f>AL54*AL55/1000</f>
        <v>0</v>
      </c>
      <c r="AM53" s="244">
        <f>AM54*AM55/1000</f>
        <v>0</v>
      </c>
      <c r="AN53" s="251"/>
      <c r="AO53" s="251"/>
      <c r="AP53" s="251"/>
      <c r="AQ53" s="252"/>
      <c r="AR53" s="524"/>
      <c r="AS53" s="524"/>
    </row>
    <row r="54" spans="13:45" ht="11.4">
      <c r="M54" s="639" t="str">
        <f>M53 &amp; ".P"</f>
        <v>PLOXCLAL18.P</v>
      </c>
      <c r="N54" s="531" t="s">
        <v>842</v>
      </c>
      <c r="O54" s="420" t="s">
        <v>23</v>
      </c>
      <c r="AB54" s="251"/>
      <c r="AC54" s="251"/>
      <c r="AD54" s="251"/>
      <c r="AE54" s="252"/>
      <c r="AF54" s="524"/>
      <c r="AG54" s="524"/>
      <c r="AH54" s="251"/>
      <c r="AI54" s="251"/>
      <c r="AJ54" s="251"/>
      <c r="AK54" s="247">
        <f>IF(AK55=0,0,AK53*1000/AK55)</f>
        <v>0</v>
      </c>
      <c r="AL54" s="221"/>
      <c r="AM54" s="221"/>
      <c r="AN54" s="251"/>
      <c r="AO54" s="251"/>
      <c r="AP54" s="251"/>
      <c r="AQ54" s="252"/>
      <c r="AR54" s="524"/>
      <c r="AS54" s="524"/>
    </row>
    <row r="55" spans="13:45" ht="11.4">
      <c r="M55" s="639" t="str">
        <f>M53 &amp; ".V"</f>
        <v>PLOXCLAL18.V</v>
      </c>
      <c r="N55" s="531" t="s">
        <v>245</v>
      </c>
      <c r="O55" s="420" t="s">
        <v>289</v>
      </c>
      <c r="AB55" s="251"/>
      <c r="AC55" s="251"/>
      <c r="AD55" s="251"/>
      <c r="AE55" s="524"/>
      <c r="AF55" s="524"/>
      <c r="AG55" s="524"/>
      <c r="AH55" s="251"/>
      <c r="AI55" s="251"/>
      <c r="AJ55" s="251"/>
      <c r="AK55" s="247">
        <f>AL55+AM55</f>
        <v>0</v>
      </c>
      <c r="AL55" s="221"/>
      <c r="AM55" s="221"/>
      <c r="AN55" s="251"/>
      <c r="AO55" s="251"/>
      <c r="AP55" s="251"/>
      <c r="AQ55" s="524"/>
      <c r="AR55" s="524"/>
      <c r="AS55" s="524"/>
    </row>
    <row r="56" spans="13:45" ht="11.4">
      <c r="M56" s="638" t="s">
        <v>2313</v>
      </c>
      <c r="N56" s="559" t="s">
        <v>2314</v>
      </c>
      <c r="O56" s="420" t="s">
        <v>195</v>
      </c>
      <c r="AB56" s="251"/>
      <c r="AC56" s="251"/>
      <c r="AD56" s="251"/>
      <c r="AE56" s="252"/>
      <c r="AF56" s="524"/>
      <c r="AG56" s="524"/>
      <c r="AH56" s="251"/>
      <c r="AI56" s="251"/>
      <c r="AJ56" s="251"/>
      <c r="AK56" s="247">
        <f>AL56+AM56</f>
        <v>0</v>
      </c>
      <c r="AL56" s="244">
        <f>AL57*AL58/1000</f>
        <v>0</v>
      </c>
      <c r="AM56" s="244">
        <f>AM57*AM58/1000</f>
        <v>0</v>
      </c>
      <c r="AN56" s="251"/>
      <c r="AO56" s="251"/>
      <c r="AP56" s="251"/>
      <c r="AQ56" s="252"/>
      <c r="AR56" s="524"/>
      <c r="AS56" s="524"/>
    </row>
    <row r="57" spans="13:45" ht="11.4">
      <c r="M57" s="639" t="str">
        <f>M56 &amp; ".P"</f>
        <v>PLOXCLAL30.P</v>
      </c>
      <c r="N57" s="531" t="s">
        <v>842</v>
      </c>
      <c r="O57" s="420" t="s">
        <v>23</v>
      </c>
      <c r="AB57" s="251"/>
      <c r="AC57" s="251"/>
      <c r="AD57" s="251"/>
      <c r="AE57" s="252"/>
      <c r="AF57" s="524"/>
      <c r="AG57" s="524"/>
      <c r="AH57" s="251"/>
      <c r="AI57" s="251"/>
      <c r="AJ57" s="251"/>
      <c r="AK57" s="247">
        <f>IF(AK58=0,0,AK56*1000/AK58)</f>
        <v>0</v>
      </c>
      <c r="AL57" s="221"/>
      <c r="AM57" s="221"/>
      <c r="AN57" s="251"/>
      <c r="AO57" s="251"/>
      <c r="AP57" s="251"/>
      <c r="AQ57" s="252"/>
      <c r="AR57" s="524"/>
      <c r="AS57" s="524"/>
    </row>
    <row r="58" spans="13:45" ht="11.4">
      <c r="M58" s="639" t="str">
        <f>M56 &amp; ".V"</f>
        <v>PLOXCLAL30.V</v>
      </c>
      <c r="N58" s="531" t="s">
        <v>245</v>
      </c>
      <c r="O58" s="420" t="s">
        <v>289</v>
      </c>
      <c r="AB58" s="251"/>
      <c r="AC58" s="251"/>
      <c r="AD58" s="251"/>
      <c r="AE58" s="524"/>
      <c r="AF58" s="524"/>
      <c r="AG58" s="524"/>
      <c r="AH58" s="251"/>
      <c r="AI58" s="251"/>
      <c r="AJ58" s="251"/>
      <c r="AK58" s="247">
        <f>AL58+AM58</f>
        <v>0</v>
      </c>
      <c r="AL58" s="221"/>
      <c r="AM58" s="221"/>
      <c r="AN58" s="251"/>
      <c r="AO58" s="251"/>
      <c r="AP58" s="251"/>
      <c r="AQ58" s="524"/>
      <c r="AR58" s="524"/>
      <c r="AS58" s="524"/>
    </row>
    <row r="59" spans="13:45" ht="11.4">
      <c r="M59" s="561" t="s">
        <v>2036</v>
      </c>
      <c r="N59" s="559" t="s">
        <v>1912</v>
      </c>
      <c r="O59" s="420" t="s">
        <v>195</v>
      </c>
      <c r="AB59" s="251"/>
      <c r="AC59" s="251"/>
      <c r="AD59" s="251"/>
      <c r="AE59" s="252"/>
      <c r="AF59" s="524"/>
      <c r="AG59" s="524"/>
      <c r="AH59" s="251"/>
      <c r="AI59" s="251"/>
      <c r="AJ59" s="251"/>
      <c r="AK59" s="247">
        <f>AL59+AM59</f>
        <v>0</v>
      </c>
      <c r="AL59" s="244">
        <f>AL60*AL61/1000</f>
        <v>0</v>
      </c>
      <c r="AM59" s="244">
        <f>AM60*AM61/1000</f>
        <v>0</v>
      </c>
      <c r="AN59" s="251"/>
      <c r="AO59" s="251"/>
      <c r="AP59" s="251"/>
      <c r="AQ59" s="252"/>
      <c r="AR59" s="524"/>
      <c r="AS59" s="524"/>
    </row>
    <row r="60" spans="13:45" ht="11.4">
      <c r="M60" s="562" t="str">
        <f>M59 &amp; ".P"</f>
        <v>SFAL.P</v>
      </c>
      <c r="N60" s="531" t="s">
        <v>842</v>
      </c>
      <c r="O60" s="420" t="s">
        <v>23</v>
      </c>
      <c r="AB60" s="251"/>
      <c r="AC60" s="251"/>
      <c r="AD60" s="251"/>
      <c r="AE60" s="252"/>
      <c r="AF60" s="524"/>
      <c r="AG60" s="524"/>
      <c r="AH60" s="251"/>
      <c r="AI60" s="251"/>
      <c r="AJ60" s="251"/>
      <c r="AK60" s="247">
        <f>IF(AK61=0,0,AK59*1000/AK61)</f>
        <v>0</v>
      </c>
      <c r="AL60" s="221"/>
      <c r="AM60" s="221"/>
      <c r="AN60" s="251"/>
      <c r="AO60" s="251"/>
      <c r="AP60" s="251"/>
      <c r="AQ60" s="252"/>
      <c r="AR60" s="524"/>
      <c r="AS60" s="524"/>
    </row>
    <row r="61" spans="13:45" ht="11.4">
      <c r="M61" s="562" t="str">
        <f>M59 &amp; ".V"</f>
        <v>SFAL.V</v>
      </c>
      <c r="N61" s="531" t="s">
        <v>245</v>
      </c>
      <c r="O61" s="420" t="s">
        <v>289</v>
      </c>
      <c r="AB61" s="251"/>
      <c r="AC61" s="251"/>
      <c r="AD61" s="251"/>
      <c r="AE61" s="524"/>
      <c r="AF61" s="524"/>
      <c r="AG61" s="524"/>
      <c r="AH61" s="251"/>
      <c r="AI61" s="251"/>
      <c r="AJ61" s="251"/>
      <c r="AK61" s="247">
        <f>AL61+AM61</f>
        <v>0</v>
      </c>
      <c r="AL61" s="221"/>
      <c r="AM61" s="221"/>
      <c r="AN61" s="251"/>
      <c r="AO61" s="251"/>
      <c r="AP61" s="251"/>
      <c r="AQ61" s="524"/>
      <c r="AR61" s="524"/>
      <c r="AS61" s="524"/>
    </row>
    <row r="62" spans="13:45" ht="11.4">
      <c r="M62" s="561" t="s">
        <v>1356</v>
      </c>
      <c r="N62" s="559" t="s">
        <v>307</v>
      </c>
      <c r="O62" s="420" t="s">
        <v>195</v>
      </c>
      <c r="AB62" s="251"/>
      <c r="AC62" s="251"/>
      <c r="AD62" s="251"/>
      <c r="AE62" s="252"/>
      <c r="AF62" s="524"/>
      <c r="AG62" s="524"/>
      <c r="AH62" s="251"/>
      <c r="AI62" s="251"/>
      <c r="AJ62" s="251"/>
      <c r="AK62" s="247">
        <f>AL62+AM62</f>
        <v>0</v>
      </c>
      <c r="AL62" s="221"/>
      <c r="AM62" s="221"/>
      <c r="AN62" s="251"/>
      <c r="AO62" s="251"/>
      <c r="AP62" s="251"/>
      <c r="AQ62" s="252"/>
      <c r="AR62" s="524"/>
      <c r="AS62" s="524"/>
    </row>
    <row r="63" spans="13:45" ht="11.4">
      <c r="M63" s="560"/>
      <c r="N63" s="533"/>
      <c r="O63" s="422"/>
      <c r="AB63" s="251"/>
      <c r="AC63" s="251"/>
      <c r="AD63" s="251"/>
      <c r="AE63" s="261"/>
      <c r="AF63" s="261"/>
      <c r="AG63" s="261"/>
      <c r="AH63" s="251"/>
      <c r="AI63" s="251"/>
      <c r="AJ63" s="251"/>
      <c r="AK63" s="261"/>
      <c r="AL63" s="261"/>
      <c r="AM63" s="261"/>
      <c r="AN63" s="251"/>
      <c r="AO63" s="251"/>
      <c r="AP63" s="251"/>
      <c r="AQ63" s="261"/>
      <c r="AR63" s="261"/>
      <c r="AS63" s="261"/>
    </row>
    <row r="64" spans="13:45" ht="11.4">
      <c r="M64" s="561" t="s">
        <v>1996</v>
      </c>
      <c r="N64" s="567" t="s">
        <v>1913</v>
      </c>
      <c r="O64" s="420" t="s">
        <v>195</v>
      </c>
      <c r="AB64" s="251"/>
      <c r="AC64" s="251"/>
      <c r="AD64" s="251"/>
      <c r="AE64" s="247">
        <f>AF64+AG64</f>
        <v>0</v>
      </c>
      <c r="AF64" s="244">
        <f>SUMIF(ХВС.Р!$AO$65:$AO$91,ХВС.Р!$AO$64,ХВС.Р!AF$65:AF$91)</f>
        <v>0</v>
      </c>
      <c r="AG64" s="244">
        <f>SUMIF(ХВС.Р!$AO$65:$AO$91,ХВС.Р!$AO$64,ХВС.Р!AG$65:AG$91)</f>
        <v>0</v>
      </c>
      <c r="AH64" s="251"/>
      <c r="AI64" s="251"/>
      <c r="AJ64" s="251"/>
      <c r="AK64" s="247"/>
      <c r="AL64" s="244"/>
      <c r="AM64" s="244"/>
      <c r="AN64" s="251"/>
      <c r="AO64" s="251"/>
      <c r="AP64" s="251"/>
      <c r="AQ64" s="247"/>
      <c r="AR64" s="244"/>
      <c r="AS64" s="244"/>
    </row>
    <row r="65" spans="13:45" ht="11.4">
      <c r="M65" s="560"/>
      <c r="N65" s="533"/>
      <c r="O65" s="422"/>
      <c r="AB65" s="251"/>
      <c r="AC65" s="251"/>
      <c r="AD65" s="251"/>
      <c r="AE65" s="261"/>
      <c r="AF65" s="261"/>
      <c r="AG65" s="261"/>
      <c r="AH65" s="251"/>
      <c r="AI65" s="251"/>
      <c r="AJ65" s="251"/>
      <c r="AK65" s="261"/>
      <c r="AL65" s="261"/>
      <c r="AM65" s="261"/>
      <c r="AN65" s="251"/>
      <c r="AO65" s="251"/>
      <c r="AP65" s="251"/>
      <c r="AQ65" s="261"/>
      <c r="AR65" s="261"/>
      <c r="AS65" s="261"/>
    </row>
    <row r="66" spans="13:45" ht="11.4">
      <c r="M66" s="561" t="s">
        <v>1999</v>
      </c>
      <c r="N66" s="559" t="s">
        <v>1914</v>
      </c>
      <c r="O66" s="420" t="s">
        <v>195</v>
      </c>
      <c r="AB66" s="251"/>
      <c r="AC66" s="251"/>
      <c r="AD66" s="251"/>
      <c r="AE66" s="252"/>
      <c r="AF66" s="524"/>
      <c r="AG66" s="524"/>
      <c r="AH66" s="251"/>
      <c r="AI66" s="251"/>
      <c r="AJ66" s="251"/>
      <c r="AK66" s="247">
        <f>AL66+AM66</f>
        <v>0</v>
      </c>
      <c r="AL66" s="244">
        <f>AL67*AL68/1000</f>
        <v>0</v>
      </c>
      <c r="AM66" s="244">
        <f>AM67*AM68/1000</f>
        <v>0</v>
      </c>
      <c r="AN66" s="251"/>
      <c r="AO66" s="251"/>
      <c r="AP66" s="251"/>
      <c r="AQ66" s="252"/>
      <c r="AR66" s="524"/>
      <c r="AS66" s="524"/>
    </row>
    <row r="67" spans="13:45" ht="11.4">
      <c r="M67" s="562" t="str">
        <f>M66 &amp; ".P"</f>
        <v>MGFLK.P</v>
      </c>
      <c r="N67" s="531" t="s">
        <v>842</v>
      </c>
      <c r="O67" s="420" t="s">
        <v>23</v>
      </c>
      <c r="AB67" s="251"/>
      <c r="AC67" s="251"/>
      <c r="AD67" s="251"/>
      <c r="AE67" s="252"/>
      <c r="AF67" s="524"/>
      <c r="AG67" s="524"/>
      <c r="AH67" s="251"/>
      <c r="AI67" s="251"/>
      <c r="AJ67" s="251"/>
      <c r="AK67" s="247">
        <f>IF(AK68=0,0,AK66*1000/AK68)</f>
        <v>0</v>
      </c>
      <c r="AL67" s="221"/>
      <c r="AM67" s="221"/>
      <c r="AN67" s="251"/>
      <c r="AO67" s="251"/>
      <c r="AP67" s="251"/>
      <c r="AQ67" s="252"/>
      <c r="AR67" s="524"/>
      <c r="AS67" s="524"/>
    </row>
    <row r="68" spans="13:45" ht="11.4">
      <c r="M68" s="562" t="str">
        <f>M66 &amp; ".V"</f>
        <v>MGFLK.V</v>
      </c>
      <c r="N68" s="531" t="s">
        <v>245</v>
      </c>
      <c r="O68" s="420" t="s">
        <v>289</v>
      </c>
      <c r="AB68" s="251"/>
      <c r="AC68" s="251"/>
      <c r="AD68" s="251"/>
      <c r="AE68" s="524"/>
      <c r="AF68" s="524"/>
      <c r="AG68" s="524"/>
      <c r="AH68" s="251"/>
      <c r="AI68" s="251"/>
      <c r="AJ68" s="251"/>
      <c r="AK68" s="247">
        <f>AL68+AM68</f>
        <v>0</v>
      </c>
      <c r="AL68" s="221"/>
      <c r="AM68" s="221"/>
      <c r="AN68" s="251"/>
      <c r="AO68" s="251"/>
      <c r="AP68" s="251"/>
      <c r="AQ68" s="524"/>
      <c r="AR68" s="524"/>
      <c r="AS68" s="524"/>
    </row>
    <row r="69" spans="13:45" ht="11.4">
      <c r="M69" s="561" t="s">
        <v>2000</v>
      </c>
      <c r="N69" s="559" t="s">
        <v>1915</v>
      </c>
      <c r="O69" s="420" t="s">
        <v>195</v>
      </c>
      <c r="AB69" s="251"/>
      <c r="AC69" s="251"/>
      <c r="AD69" s="251"/>
      <c r="AE69" s="252"/>
      <c r="AF69" s="524"/>
      <c r="AG69" s="524"/>
      <c r="AH69" s="251"/>
      <c r="AI69" s="251"/>
      <c r="AJ69" s="251"/>
      <c r="AK69" s="247">
        <f>AL69+AM69</f>
        <v>0</v>
      </c>
      <c r="AL69" s="244">
        <f>AL70*AL71/1000</f>
        <v>0</v>
      </c>
      <c r="AM69" s="244">
        <f>AM70*AM71/1000</f>
        <v>0</v>
      </c>
      <c r="AN69" s="251"/>
      <c r="AO69" s="251"/>
      <c r="AP69" s="251"/>
      <c r="AQ69" s="252"/>
      <c r="AR69" s="524"/>
      <c r="AS69" s="524"/>
    </row>
    <row r="70" spans="13:45" ht="11.4">
      <c r="M70" s="562" t="str">
        <f>M69 &amp; ".P"</f>
        <v>PRSTL.P</v>
      </c>
      <c r="N70" s="531" t="s">
        <v>842</v>
      </c>
      <c r="O70" s="420" t="s">
        <v>23</v>
      </c>
      <c r="AB70" s="251"/>
      <c r="AC70" s="251"/>
      <c r="AD70" s="251"/>
      <c r="AE70" s="252"/>
      <c r="AF70" s="524"/>
      <c r="AG70" s="524"/>
      <c r="AH70" s="251"/>
      <c r="AI70" s="251"/>
      <c r="AJ70" s="251"/>
      <c r="AK70" s="247">
        <f>IF(AK71=0,0,AK69*1000/AK71)</f>
        <v>0</v>
      </c>
      <c r="AL70" s="221"/>
      <c r="AM70" s="221"/>
      <c r="AN70" s="251"/>
      <c r="AO70" s="251"/>
      <c r="AP70" s="251"/>
      <c r="AQ70" s="252"/>
      <c r="AR70" s="524"/>
      <c r="AS70" s="524"/>
    </row>
    <row r="71" spans="13:45" ht="11.4">
      <c r="M71" s="562" t="str">
        <f>M69 &amp; ".V"</f>
        <v>PRSTL.V</v>
      </c>
      <c r="N71" s="531" t="s">
        <v>245</v>
      </c>
      <c r="O71" s="420" t="s">
        <v>289</v>
      </c>
      <c r="AB71" s="251"/>
      <c r="AC71" s="251"/>
      <c r="AD71" s="251"/>
      <c r="AE71" s="524"/>
      <c r="AF71" s="524"/>
      <c r="AG71" s="524"/>
      <c r="AH71" s="251"/>
      <c r="AI71" s="251"/>
      <c r="AJ71" s="251"/>
      <c r="AK71" s="247">
        <f>AL71+AM71</f>
        <v>0</v>
      </c>
      <c r="AL71" s="221"/>
      <c r="AM71" s="221"/>
      <c r="AN71" s="251"/>
      <c r="AO71" s="251"/>
      <c r="AP71" s="251"/>
      <c r="AQ71" s="524"/>
      <c r="AR71" s="524"/>
      <c r="AS71" s="524"/>
    </row>
    <row r="72" spans="13:45" ht="11.4">
      <c r="M72" s="639" t="s">
        <v>2315</v>
      </c>
      <c r="N72" s="559" t="s">
        <v>2316</v>
      </c>
      <c r="O72" s="420" t="s">
        <v>195</v>
      </c>
      <c r="AB72" s="251"/>
      <c r="AC72" s="251"/>
      <c r="AD72" s="251"/>
      <c r="AE72" s="252"/>
      <c r="AF72" s="524"/>
      <c r="AG72" s="524"/>
      <c r="AH72" s="251"/>
      <c r="AI72" s="251"/>
      <c r="AJ72" s="251"/>
      <c r="AK72" s="247">
        <f>AL72+AM72</f>
        <v>0</v>
      </c>
      <c r="AL72" s="244">
        <f>AL73*AL74/1000</f>
        <v>0</v>
      </c>
      <c r="AM72" s="244">
        <f>AM73*AM74/1000</f>
        <v>0</v>
      </c>
      <c r="AN72" s="251"/>
      <c r="AO72" s="251"/>
      <c r="AP72" s="251"/>
      <c r="AQ72" s="252"/>
      <c r="AR72" s="524"/>
      <c r="AS72" s="524"/>
    </row>
    <row r="73" spans="13:45" ht="11.4">
      <c r="M73" s="639" t="str">
        <f>M72 &amp; ".P"</f>
        <v>PRSTL853.P</v>
      </c>
      <c r="N73" s="531" t="s">
        <v>842</v>
      </c>
      <c r="O73" s="420" t="s">
        <v>23</v>
      </c>
      <c r="AB73" s="251"/>
      <c r="AC73" s="251"/>
      <c r="AD73" s="251"/>
      <c r="AE73" s="252"/>
      <c r="AF73" s="524"/>
      <c r="AG73" s="524"/>
      <c r="AH73" s="251"/>
      <c r="AI73" s="251"/>
      <c r="AJ73" s="251"/>
      <c r="AK73" s="247">
        <f>IF(AK74=0,0,AK72*1000/AK74)</f>
        <v>0</v>
      </c>
      <c r="AL73" s="221"/>
      <c r="AM73" s="221"/>
      <c r="AN73" s="251"/>
      <c r="AO73" s="251"/>
      <c r="AP73" s="251"/>
      <c r="AQ73" s="252"/>
      <c r="AR73" s="524"/>
      <c r="AS73" s="524"/>
    </row>
    <row r="74" spans="13:45" ht="11.4">
      <c r="M74" s="639" t="str">
        <f>M72 &amp; ".V"</f>
        <v>PRSTL853.V</v>
      </c>
      <c r="N74" s="531" t="s">
        <v>245</v>
      </c>
      <c r="O74" s="420" t="s">
        <v>289</v>
      </c>
      <c r="AB74" s="251"/>
      <c r="AC74" s="251"/>
      <c r="AD74" s="251"/>
      <c r="AE74" s="524"/>
      <c r="AF74" s="524"/>
      <c r="AG74" s="524"/>
      <c r="AH74" s="251"/>
      <c r="AI74" s="251"/>
      <c r="AJ74" s="251"/>
      <c r="AK74" s="247">
        <f>AL74+AM74</f>
        <v>0</v>
      </c>
      <c r="AL74" s="221"/>
      <c r="AM74" s="221"/>
      <c r="AN74" s="251"/>
      <c r="AO74" s="251"/>
      <c r="AP74" s="251"/>
      <c r="AQ74" s="524"/>
      <c r="AR74" s="524"/>
      <c r="AS74" s="524"/>
    </row>
    <row r="75" spans="13:45" ht="11.4">
      <c r="M75" s="639" t="s">
        <v>2317</v>
      </c>
      <c r="N75" s="559" t="s">
        <v>2318</v>
      </c>
      <c r="O75" s="420" t="s">
        <v>195</v>
      </c>
      <c r="AB75" s="251"/>
      <c r="AC75" s="251"/>
      <c r="AD75" s="251"/>
      <c r="AE75" s="252"/>
      <c r="AF75" s="524"/>
      <c r="AG75" s="524"/>
      <c r="AH75" s="251"/>
      <c r="AI75" s="251"/>
      <c r="AJ75" s="251"/>
      <c r="AK75" s="247">
        <f>AL75+AM75</f>
        <v>0</v>
      </c>
      <c r="AL75" s="244">
        <f>AL76*AL77/1000</f>
        <v>0</v>
      </c>
      <c r="AM75" s="244">
        <f>AM76*AM77/1000</f>
        <v>0</v>
      </c>
      <c r="AN75" s="251"/>
      <c r="AO75" s="251"/>
      <c r="AP75" s="251"/>
      <c r="AQ75" s="252"/>
      <c r="AR75" s="524"/>
      <c r="AS75" s="524"/>
    </row>
    <row r="76" spans="13:45" ht="11.4">
      <c r="M76" s="639" t="str">
        <f>M75 &amp; ".P"</f>
        <v>PRSTL650.P</v>
      </c>
      <c r="N76" s="531" t="s">
        <v>842</v>
      </c>
      <c r="O76" s="420" t="s">
        <v>23</v>
      </c>
      <c r="AB76" s="251"/>
      <c r="AC76" s="251"/>
      <c r="AD76" s="251"/>
      <c r="AE76" s="252"/>
      <c r="AF76" s="524"/>
      <c r="AG76" s="524"/>
      <c r="AH76" s="251"/>
      <c r="AI76" s="251"/>
      <c r="AJ76" s="251"/>
      <c r="AK76" s="247">
        <f>IF(AK77=0,0,AK75*1000/AK77)</f>
        <v>0</v>
      </c>
      <c r="AL76" s="221"/>
      <c r="AM76" s="221"/>
      <c r="AN76" s="251"/>
      <c r="AO76" s="251"/>
      <c r="AP76" s="251"/>
      <c r="AQ76" s="252"/>
      <c r="AR76" s="524"/>
      <c r="AS76" s="524"/>
    </row>
    <row r="77" spans="13:45" ht="11.4">
      <c r="M77" s="639" t="str">
        <f>M75 &amp; ".V"</f>
        <v>PRSTL650.V</v>
      </c>
      <c r="N77" s="531" t="s">
        <v>245</v>
      </c>
      <c r="O77" s="420" t="s">
        <v>289</v>
      </c>
      <c r="AB77" s="251"/>
      <c r="AC77" s="251"/>
      <c r="AD77" s="251"/>
      <c r="AE77" s="524"/>
      <c r="AF77" s="524"/>
      <c r="AG77" s="524"/>
      <c r="AH77" s="251"/>
      <c r="AI77" s="251"/>
      <c r="AJ77" s="251"/>
      <c r="AK77" s="247">
        <f>AL77+AM77</f>
        <v>0</v>
      </c>
      <c r="AL77" s="221"/>
      <c r="AM77" s="221"/>
      <c r="AN77" s="251"/>
      <c r="AO77" s="251"/>
      <c r="AP77" s="251"/>
      <c r="AQ77" s="524"/>
      <c r="AR77" s="524"/>
      <c r="AS77" s="524"/>
    </row>
    <row r="78" spans="13:45" ht="11.4">
      <c r="M78" s="639" t="s">
        <v>2319</v>
      </c>
      <c r="N78" s="559" t="s">
        <v>2320</v>
      </c>
      <c r="O78" s="420" t="s">
        <v>195</v>
      </c>
      <c r="AB78" s="251"/>
      <c r="AC78" s="251"/>
      <c r="AD78" s="251"/>
      <c r="AE78" s="252"/>
      <c r="AF78" s="524"/>
      <c r="AG78" s="524"/>
      <c r="AH78" s="251"/>
      <c r="AI78" s="251"/>
      <c r="AJ78" s="251"/>
      <c r="AK78" s="247">
        <f>AL78+AM78</f>
        <v>0</v>
      </c>
      <c r="AL78" s="244">
        <f>AL79*AL80/1000</f>
        <v>0</v>
      </c>
      <c r="AM78" s="244">
        <f>AM79*AM80/1000</f>
        <v>0</v>
      </c>
      <c r="AN78" s="251"/>
      <c r="AO78" s="251"/>
      <c r="AP78" s="251"/>
      <c r="AQ78" s="252"/>
      <c r="AR78" s="524"/>
      <c r="AS78" s="524"/>
    </row>
    <row r="79" spans="13:45" ht="11.4">
      <c r="M79" s="639" t="str">
        <f>M78 &amp; ".P"</f>
        <v>PRSTL2515.P</v>
      </c>
      <c r="N79" s="531" t="s">
        <v>842</v>
      </c>
      <c r="O79" s="420" t="s">
        <v>23</v>
      </c>
      <c r="AB79" s="251"/>
      <c r="AC79" s="251"/>
      <c r="AD79" s="251"/>
      <c r="AE79" s="252"/>
      <c r="AF79" s="524"/>
      <c r="AG79" s="524"/>
      <c r="AH79" s="251"/>
      <c r="AI79" s="251"/>
      <c r="AJ79" s="251"/>
      <c r="AK79" s="247">
        <f>IF(AK80=0,0,AK78*1000/AK80)</f>
        <v>0</v>
      </c>
      <c r="AL79" s="221"/>
      <c r="AM79" s="221"/>
      <c r="AN79" s="251"/>
      <c r="AO79" s="251"/>
      <c r="AP79" s="251"/>
      <c r="AQ79" s="252"/>
      <c r="AR79" s="524"/>
      <c r="AS79" s="524"/>
    </row>
    <row r="80" spans="13:45" ht="11.4">
      <c r="M80" s="639" t="str">
        <f>M78 &amp; ".V"</f>
        <v>PRSTL2515.V</v>
      </c>
      <c r="N80" s="531" t="s">
        <v>245</v>
      </c>
      <c r="O80" s="420" t="s">
        <v>289</v>
      </c>
      <c r="AB80" s="251"/>
      <c r="AC80" s="251"/>
      <c r="AD80" s="251"/>
      <c r="AE80" s="524"/>
      <c r="AF80" s="524"/>
      <c r="AG80" s="524"/>
      <c r="AH80" s="251"/>
      <c r="AI80" s="251"/>
      <c r="AJ80" s="251"/>
      <c r="AK80" s="247">
        <f>AL80+AM80</f>
        <v>0</v>
      </c>
      <c r="AL80" s="221"/>
      <c r="AM80" s="221"/>
      <c r="AN80" s="251"/>
      <c r="AO80" s="251"/>
      <c r="AP80" s="251"/>
      <c r="AQ80" s="524"/>
      <c r="AR80" s="524"/>
      <c r="AS80" s="524"/>
    </row>
    <row r="81" spans="13:45" ht="11.4">
      <c r="M81" s="639" t="s">
        <v>2321</v>
      </c>
      <c r="N81" s="559" t="s">
        <v>2322</v>
      </c>
      <c r="O81" s="420" t="s">
        <v>195</v>
      </c>
      <c r="AB81" s="251"/>
      <c r="AC81" s="251"/>
      <c r="AD81" s="251"/>
      <c r="AE81" s="252"/>
      <c r="AF81" s="524"/>
      <c r="AG81" s="524"/>
      <c r="AH81" s="251"/>
      <c r="AI81" s="251"/>
      <c r="AJ81" s="251"/>
      <c r="AK81" s="247">
        <f>AL81+AM81</f>
        <v>0</v>
      </c>
      <c r="AL81" s="244">
        <f>AL82*AL83/1000</f>
        <v>0</v>
      </c>
      <c r="AM81" s="244">
        <f>AM82*AM83/1000</f>
        <v>0</v>
      </c>
      <c r="AN81" s="251"/>
      <c r="AO81" s="251"/>
      <c r="AP81" s="251"/>
      <c r="AQ81" s="252"/>
      <c r="AR81" s="524"/>
      <c r="AS81" s="524"/>
    </row>
    <row r="82" spans="13:45" ht="11.4">
      <c r="M82" s="639" t="str">
        <f>M81 &amp; ".P"</f>
        <v>GRLIFEK47.P</v>
      </c>
      <c r="N82" s="531" t="s">
        <v>842</v>
      </c>
      <c r="O82" s="420" t="s">
        <v>23</v>
      </c>
      <c r="AB82" s="251"/>
      <c r="AC82" s="251"/>
      <c r="AD82" s="251"/>
      <c r="AE82" s="252"/>
      <c r="AF82" s="524"/>
      <c r="AG82" s="524"/>
      <c r="AH82" s="251"/>
      <c r="AI82" s="251"/>
      <c r="AJ82" s="251"/>
      <c r="AK82" s="247">
        <f>IF(AK83=0,0,AK81*1000/AK83)</f>
        <v>0</v>
      </c>
      <c r="AL82" s="221"/>
      <c r="AM82" s="221"/>
      <c r="AN82" s="251"/>
      <c r="AO82" s="251"/>
      <c r="AP82" s="251"/>
      <c r="AQ82" s="252"/>
      <c r="AR82" s="524"/>
      <c r="AS82" s="524"/>
    </row>
    <row r="83" spans="13:45" ht="11.4">
      <c r="M83" s="639" t="str">
        <f>M81 &amp; ".V"</f>
        <v>GRLIFEK47.V</v>
      </c>
      <c r="N83" s="531" t="s">
        <v>245</v>
      </c>
      <c r="O83" s="420" t="s">
        <v>289</v>
      </c>
      <c r="AB83" s="251"/>
      <c r="AC83" s="251"/>
      <c r="AD83" s="251"/>
      <c r="AE83" s="524"/>
      <c r="AF83" s="524"/>
      <c r="AG83" s="524"/>
      <c r="AH83" s="251"/>
      <c r="AI83" s="251"/>
      <c r="AJ83" s="251"/>
      <c r="AK83" s="247">
        <f>AL83+AM83</f>
        <v>0</v>
      </c>
      <c r="AL83" s="221"/>
      <c r="AM83" s="221"/>
      <c r="AN83" s="251"/>
      <c r="AO83" s="251"/>
      <c r="AP83" s="251"/>
      <c r="AQ83" s="524"/>
      <c r="AR83" s="524"/>
      <c r="AS83" s="524"/>
    </row>
    <row r="84" spans="13:45" ht="11.4">
      <c r="M84" s="639" t="s">
        <v>2323</v>
      </c>
      <c r="N84" s="559" t="s">
        <v>2324</v>
      </c>
      <c r="O84" s="420" t="s">
        <v>195</v>
      </c>
      <c r="AB84" s="251"/>
      <c r="AC84" s="251"/>
      <c r="AD84" s="251"/>
      <c r="AE84" s="252"/>
      <c r="AF84" s="524"/>
      <c r="AG84" s="524"/>
      <c r="AH84" s="251"/>
      <c r="AI84" s="251"/>
      <c r="AJ84" s="251"/>
      <c r="AK84" s="247">
        <f>AL84+AM84</f>
        <v>0</v>
      </c>
      <c r="AL84" s="244">
        <f>AL85*AL86/1000</f>
        <v>0</v>
      </c>
      <c r="AM84" s="244">
        <f>AM85*AM86/1000</f>
        <v>0</v>
      </c>
      <c r="AN84" s="251"/>
      <c r="AO84" s="251"/>
      <c r="AP84" s="251"/>
      <c r="AQ84" s="252"/>
      <c r="AR84" s="524"/>
      <c r="AS84" s="524"/>
    </row>
    <row r="85" spans="13:45" ht="11.4">
      <c r="M85" s="639" t="str">
        <f>M84 &amp; ".P"</f>
        <v>GRLIFEK41.P</v>
      </c>
      <c r="N85" s="531" t="s">
        <v>842</v>
      </c>
      <c r="O85" s="420" t="s">
        <v>23</v>
      </c>
      <c r="AB85" s="251"/>
      <c r="AC85" s="251"/>
      <c r="AD85" s="251"/>
      <c r="AE85" s="252"/>
      <c r="AF85" s="524"/>
      <c r="AG85" s="524"/>
      <c r="AH85" s="251"/>
      <c r="AI85" s="251"/>
      <c r="AJ85" s="251"/>
      <c r="AK85" s="247">
        <f>IF(AK86=0,0,AK84*1000/AK86)</f>
        <v>0</v>
      </c>
      <c r="AL85" s="221"/>
      <c r="AM85" s="221"/>
      <c r="AN85" s="251"/>
      <c r="AO85" s="251"/>
      <c r="AP85" s="251"/>
      <c r="AQ85" s="252"/>
      <c r="AR85" s="524"/>
      <c r="AS85" s="524"/>
    </row>
    <row r="86" spans="13:45" ht="11.4">
      <c r="M86" s="639" t="str">
        <f>M84 &amp; ".V"</f>
        <v>GRLIFEK41.V</v>
      </c>
      <c r="N86" s="531" t="s">
        <v>245</v>
      </c>
      <c r="O86" s="420" t="s">
        <v>289</v>
      </c>
      <c r="AB86" s="251"/>
      <c r="AC86" s="251"/>
      <c r="AD86" s="251"/>
      <c r="AE86" s="524"/>
      <c r="AF86" s="524"/>
      <c r="AG86" s="524"/>
      <c r="AH86" s="251"/>
      <c r="AI86" s="251"/>
      <c r="AJ86" s="251"/>
      <c r="AK86" s="247">
        <f>AL86+AM86</f>
        <v>0</v>
      </c>
      <c r="AL86" s="221"/>
      <c r="AM86" s="221"/>
      <c r="AN86" s="251"/>
      <c r="AO86" s="251"/>
      <c r="AP86" s="251"/>
      <c r="AQ86" s="524"/>
      <c r="AR86" s="524"/>
      <c r="AS86" s="524"/>
    </row>
    <row r="87" spans="13:45" ht="11.4">
      <c r="M87" s="639" t="s">
        <v>2325</v>
      </c>
      <c r="N87" s="559" t="s">
        <v>2326</v>
      </c>
      <c r="O87" s="420" t="s">
        <v>195</v>
      </c>
      <c r="AB87" s="251"/>
      <c r="AC87" s="251"/>
      <c r="AD87" s="251"/>
      <c r="AE87" s="252"/>
      <c r="AF87" s="524"/>
      <c r="AG87" s="524"/>
      <c r="AH87" s="251"/>
      <c r="AI87" s="251"/>
      <c r="AJ87" s="251"/>
      <c r="AK87" s="247">
        <f>AL87+AM87</f>
        <v>0</v>
      </c>
      <c r="AL87" s="244">
        <f>AL88*AL89/1000</f>
        <v>0</v>
      </c>
      <c r="AM87" s="244">
        <f>AM88*AM89/1000</f>
        <v>0</v>
      </c>
      <c r="AN87" s="251"/>
      <c r="AO87" s="251"/>
      <c r="AP87" s="251"/>
      <c r="AQ87" s="252"/>
      <c r="AR87" s="524"/>
      <c r="AS87" s="524"/>
    </row>
    <row r="88" spans="13:45" ht="11.4">
      <c r="M88" s="639" t="str">
        <f>M87 &amp; ".P"</f>
        <v>GRLIFEA10PV.P</v>
      </c>
      <c r="N88" s="531" t="s">
        <v>842</v>
      </c>
      <c r="O88" s="420" t="s">
        <v>23</v>
      </c>
      <c r="AB88" s="251"/>
      <c r="AC88" s="251"/>
      <c r="AD88" s="251"/>
      <c r="AE88" s="252"/>
      <c r="AF88" s="524"/>
      <c r="AG88" s="524"/>
      <c r="AH88" s="251"/>
      <c r="AI88" s="251"/>
      <c r="AJ88" s="251"/>
      <c r="AK88" s="247">
        <f>IF(AK89=0,0,AK87*1000/AK89)</f>
        <v>0</v>
      </c>
      <c r="AL88" s="221"/>
      <c r="AM88" s="221"/>
      <c r="AN88" s="251"/>
      <c r="AO88" s="251"/>
      <c r="AP88" s="251"/>
      <c r="AQ88" s="252"/>
      <c r="AR88" s="524"/>
      <c r="AS88" s="524"/>
    </row>
    <row r="89" spans="13:45" ht="11.4">
      <c r="M89" s="639" t="str">
        <f>M87 &amp; ".V"</f>
        <v>GRLIFEA10PV.V</v>
      </c>
      <c r="N89" s="531" t="s">
        <v>245</v>
      </c>
      <c r="O89" s="420" t="s">
        <v>289</v>
      </c>
      <c r="AB89" s="251"/>
      <c r="AC89" s="251"/>
      <c r="AD89" s="251"/>
      <c r="AE89" s="524"/>
      <c r="AF89" s="524"/>
      <c r="AG89" s="524"/>
      <c r="AH89" s="251"/>
      <c r="AI89" s="251"/>
      <c r="AJ89" s="251"/>
      <c r="AK89" s="247">
        <f>AL89+AM89</f>
        <v>0</v>
      </c>
      <c r="AL89" s="221"/>
      <c r="AM89" s="221"/>
      <c r="AN89" s="251"/>
      <c r="AO89" s="251"/>
      <c r="AP89" s="251"/>
      <c r="AQ89" s="524"/>
      <c r="AR89" s="524"/>
      <c r="AS89" s="524"/>
    </row>
    <row r="90" spans="13:45" ht="11.4">
      <c r="M90" s="561" t="s">
        <v>1356</v>
      </c>
      <c r="N90" s="559" t="s">
        <v>307</v>
      </c>
      <c r="O90" s="420" t="s">
        <v>195</v>
      </c>
      <c r="AB90" s="251"/>
      <c r="AC90" s="251"/>
      <c r="AD90" s="251"/>
      <c r="AE90" s="252"/>
      <c r="AF90" s="524"/>
      <c r="AG90" s="524"/>
      <c r="AH90" s="251"/>
      <c r="AI90" s="251"/>
      <c r="AJ90" s="251"/>
      <c r="AK90" s="247">
        <f>AL90+AM90</f>
        <v>0</v>
      </c>
      <c r="AL90" s="221"/>
      <c r="AM90" s="221"/>
      <c r="AN90" s="251"/>
      <c r="AO90" s="251"/>
      <c r="AP90" s="251"/>
      <c r="AQ90" s="252"/>
      <c r="AR90" s="524"/>
      <c r="AS90" s="524"/>
    </row>
    <row r="91" spans="13:45" ht="11.4">
      <c r="M91" s="560"/>
      <c r="N91" s="533"/>
      <c r="O91" s="422"/>
      <c r="AB91" s="251"/>
      <c r="AC91" s="251"/>
      <c r="AD91" s="251"/>
      <c r="AE91" s="261"/>
      <c r="AF91" s="261"/>
      <c r="AG91" s="261"/>
      <c r="AH91" s="251"/>
      <c r="AI91" s="251"/>
      <c r="AJ91" s="251"/>
      <c r="AK91" s="261"/>
      <c r="AL91" s="261"/>
      <c r="AM91" s="261"/>
      <c r="AN91" s="251"/>
      <c r="AO91" s="251"/>
      <c r="AP91" s="251"/>
      <c r="AQ91" s="261"/>
      <c r="AR91" s="261"/>
      <c r="AS91" s="261"/>
    </row>
    <row r="92" spans="13:45" ht="11.4">
      <c r="M92" s="561" t="s">
        <v>1997</v>
      </c>
      <c r="N92" s="567" t="s">
        <v>1906</v>
      </c>
      <c r="O92" s="420" t="s">
        <v>195</v>
      </c>
      <c r="AB92" s="251"/>
      <c r="AC92" s="251"/>
      <c r="AD92" s="251"/>
      <c r="AE92" s="247">
        <f>AF92+AG92</f>
        <v>0</v>
      </c>
      <c r="AF92" s="244">
        <f>SUMIF(ХВС.Р!$AO$93:$AO$344,ХВС.Р!$AO$92,ХВС.Р!AF$93:AF$344)</f>
        <v>0</v>
      </c>
      <c r="AG92" s="244">
        <f>SUMIF(ХВС.Р!$AO$93:$AO$344,ХВС.Р!$AO$92,ХВС.Р!AG$93:AG$344)</f>
        <v>0</v>
      </c>
      <c r="AH92" s="251"/>
      <c r="AI92" s="251"/>
      <c r="AJ92" s="251"/>
      <c r="AK92" s="247"/>
      <c r="AL92" s="244"/>
      <c r="AM92" s="244"/>
      <c r="AN92" s="251"/>
      <c r="AO92" s="251"/>
      <c r="AP92" s="251"/>
      <c r="AQ92" s="247"/>
      <c r="AR92" s="244"/>
      <c r="AS92" s="244"/>
    </row>
    <row r="93" spans="13:45" ht="11.4">
      <c r="M93" s="560"/>
      <c r="N93" s="533"/>
      <c r="O93" s="422"/>
      <c r="AB93" s="251"/>
      <c r="AC93" s="251"/>
      <c r="AD93" s="251"/>
      <c r="AE93" s="261"/>
      <c r="AF93" s="261"/>
      <c r="AG93" s="261"/>
      <c r="AH93" s="251"/>
      <c r="AI93" s="251"/>
      <c r="AJ93" s="251"/>
      <c r="AK93" s="261"/>
      <c r="AL93" s="261"/>
      <c r="AM93" s="261"/>
      <c r="AN93" s="251"/>
      <c r="AO93" s="251"/>
      <c r="AP93" s="251"/>
      <c r="AQ93" s="261"/>
      <c r="AR93" s="261"/>
      <c r="AS93" s="261"/>
    </row>
    <row r="94" spans="13:45" ht="11.4">
      <c r="M94" s="561" t="s">
        <v>2001</v>
      </c>
      <c r="N94" s="559" t="s">
        <v>1917</v>
      </c>
      <c r="O94" s="420" t="s">
        <v>195</v>
      </c>
      <c r="AB94" s="251"/>
      <c r="AC94" s="251"/>
      <c r="AD94" s="251"/>
      <c r="AE94" s="252"/>
      <c r="AF94" s="524"/>
      <c r="AG94" s="524"/>
      <c r="AH94" s="251"/>
      <c r="AI94" s="251"/>
      <c r="AJ94" s="251"/>
      <c r="AK94" s="247">
        <f>AL94+AM94</f>
        <v>0</v>
      </c>
      <c r="AL94" s="244">
        <f>AL95*AL96/1000</f>
        <v>0</v>
      </c>
      <c r="AM94" s="244">
        <f>AM95*AM96/1000</f>
        <v>0</v>
      </c>
      <c r="AN94" s="251"/>
      <c r="AO94" s="251"/>
      <c r="AP94" s="251"/>
      <c r="AQ94" s="252"/>
      <c r="AR94" s="524"/>
      <c r="AS94" s="524"/>
    </row>
    <row r="95" spans="13:45" ht="11.4">
      <c r="M95" s="562" t="str">
        <f>M94 &amp; ".P"</f>
        <v>AGRP.P</v>
      </c>
      <c r="N95" s="531" t="s">
        <v>842</v>
      </c>
      <c r="O95" s="420" t="s">
        <v>23</v>
      </c>
      <c r="AB95" s="251"/>
      <c r="AC95" s="251"/>
      <c r="AD95" s="251"/>
      <c r="AE95" s="252"/>
      <c r="AF95" s="524"/>
      <c r="AG95" s="524"/>
      <c r="AH95" s="251"/>
      <c r="AI95" s="251"/>
      <c r="AJ95" s="251"/>
      <c r="AK95" s="247">
        <f>IF(AK96=0,0,AK94*1000/AK96)</f>
        <v>0</v>
      </c>
      <c r="AL95" s="221"/>
      <c r="AM95" s="221"/>
      <c r="AN95" s="251"/>
      <c r="AO95" s="251"/>
      <c r="AP95" s="251"/>
      <c r="AQ95" s="252"/>
      <c r="AR95" s="524"/>
      <c r="AS95" s="524"/>
    </row>
    <row r="96" spans="13:45" ht="11.4">
      <c r="M96" s="562" t="str">
        <f>M94 &amp; ".V"</f>
        <v>AGRP.V</v>
      </c>
      <c r="N96" s="531" t="s">
        <v>245</v>
      </c>
      <c r="O96" s="420" t="s">
        <v>289</v>
      </c>
      <c r="AB96" s="251"/>
      <c r="AC96" s="251"/>
      <c r="AD96" s="251"/>
      <c r="AE96" s="524"/>
      <c r="AF96" s="524"/>
      <c r="AG96" s="524"/>
      <c r="AH96" s="251"/>
      <c r="AI96" s="251"/>
      <c r="AJ96" s="251"/>
      <c r="AK96" s="247">
        <f>AL96+AM96</f>
        <v>0</v>
      </c>
      <c r="AL96" s="221"/>
      <c r="AM96" s="221"/>
      <c r="AN96" s="251"/>
      <c r="AO96" s="251"/>
      <c r="AP96" s="251"/>
      <c r="AQ96" s="524"/>
      <c r="AR96" s="524"/>
      <c r="AS96" s="524"/>
    </row>
    <row r="97" spans="13:45" ht="11.4">
      <c r="M97" s="561" t="s">
        <v>2002</v>
      </c>
      <c r="N97" s="559" t="s">
        <v>1918</v>
      </c>
      <c r="O97" s="420" t="s">
        <v>195</v>
      </c>
      <c r="AB97" s="251"/>
      <c r="AC97" s="251"/>
      <c r="AD97" s="251"/>
      <c r="AE97" s="252"/>
      <c r="AF97" s="524"/>
      <c r="AG97" s="524"/>
      <c r="AH97" s="251"/>
      <c r="AI97" s="251"/>
      <c r="AJ97" s="251"/>
      <c r="AK97" s="247">
        <f>AL97+AM97</f>
        <v>0</v>
      </c>
      <c r="AL97" s="244">
        <f>AL98*AL99/1000</f>
        <v>0</v>
      </c>
      <c r="AM97" s="244">
        <f>AM98*AM99/1000</f>
        <v>0</v>
      </c>
      <c r="AN97" s="251"/>
      <c r="AO97" s="251"/>
      <c r="AP97" s="251"/>
      <c r="AQ97" s="252"/>
      <c r="AR97" s="524"/>
      <c r="AS97" s="524"/>
    </row>
    <row r="98" spans="13:45" ht="11.4">
      <c r="M98" s="562" t="str">
        <f>M97 &amp; ".P"</f>
        <v>AGRE.P</v>
      </c>
      <c r="N98" s="531" t="s">
        <v>842</v>
      </c>
      <c r="O98" s="420" t="s">
        <v>23</v>
      </c>
      <c r="AB98" s="251"/>
      <c r="AC98" s="251"/>
      <c r="AD98" s="251"/>
      <c r="AE98" s="252"/>
      <c r="AF98" s="524"/>
      <c r="AG98" s="524"/>
      <c r="AH98" s="251"/>
      <c r="AI98" s="251"/>
      <c r="AJ98" s="251"/>
      <c r="AK98" s="247">
        <f>IF(AK99=0,0,AK97*1000/AK99)</f>
        <v>0</v>
      </c>
      <c r="AL98" s="221"/>
      <c r="AM98" s="221"/>
      <c r="AN98" s="251"/>
      <c r="AO98" s="251"/>
      <c r="AP98" s="251"/>
      <c r="AQ98" s="252"/>
      <c r="AR98" s="524"/>
      <c r="AS98" s="524"/>
    </row>
    <row r="99" spans="13:45" ht="11.4">
      <c r="M99" s="562" t="str">
        <f>M97 &amp; ".V"</f>
        <v>AGRE.V</v>
      </c>
      <c r="N99" s="531" t="s">
        <v>245</v>
      </c>
      <c r="O99" s="420" t="s">
        <v>289</v>
      </c>
      <c r="AB99" s="251"/>
      <c r="AC99" s="251"/>
      <c r="AD99" s="251"/>
      <c r="AE99" s="524"/>
      <c r="AF99" s="524"/>
      <c r="AG99" s="524"/>
      <c r="AH99" s="251"/>
      <c r="AI99" s="251"/>
      <c r="AJ99" s="251"/>
      <c r="AK99" s="247">
        <f>AL99+AM99</f>
        <v>0</v>
      </c>
      <c r="AL99" s="221"/>
      <c r="AM99" s="221"/>
      <c r="AN99" s="251"/>
      <c r="AO99" s="251"/>
      <c r="AP99" s="251"/>
      <c r="AQ99" s="524"/>
      <c r="AR99" s="524"/>
      <c r="AS99" s="524"/>
    </row>
    <row r="100" spans="13:45" ht="11.4">
      <c r="M100" s="561" t="s">
        <v>2037</v>
      </c>
      <c r="N100" s="559" t="s">
        <v>1919</v>
      </c>
      <c r="O100" s="420" t="s">
        <v>195</v>
      </c>
      <c r="AB100" s="251"/>
      <c r="AC100" s="251"/>
      <c r="AD100" s="251"/>
      <c r="AE100" s="252"/>
      <c r="AF100" s="524"/>
      <c r="AG100" s="524"/>
      <c r="AH100" s="251"/>
      <c r="AI100" s="251"/>
      <c r="AJ100" s="251"/>
      <c r="AK100" s="247">
        <f>AL100+AM100</f>
        <v>0</v>
      </c>
      <c r="AL100" s="244">
        <f>AL101*AL102/1000</f>
        <v>0</v>
      </c>
      <c r="AM100" s="244">
        <f>AM101*AM102/1000</f>
        <v>0</v>
      </c>
      <c r="AN100" s="251"/>
      <c r="AO100" s="251"/>
      <c r="AP100" s="251"/>
      <c r="AQ100" s="252"/>
      <c r="AR100" s="524"/>
      <c r="AS100" s="524"/>
    </row>
    <row r="101" spans="13:45" ht="11.4">
      <c r="M101" s="562" t="str">
        <f>M100 &amp; ".P"</f>
        <v>ALOX.P</v>
      </c>
      <c r="N101" s="531" t="s">
        <v>842</v>
      </c>
      <c r="O101" s="420" t="s">
        <v>23</v>
      </c>
      <c r="AB101" s="251"/>
      <c r="AC101" s="251"/>
      <c r="AD101" s="251"/>
      <c r="AE101" s="252"/>
      <c r="AF101" s="524"/>
      <c r="AG101" s="524"/>
      <c r="AH101" s="251"/>
      <c r="AI101" s="251"/>
      <c r="AJ101" s="251"/>
      <c r="AK101" s="247">
        <f>IF(AK102=0,0,AK100*1000/AK102)</f>
        <v>0</v>
      </c>
      <c r="AL101" s="221"/>
      <c r="AM101" s="221"/>
      <c r="AN101" s="251"/>
      <c r="AO101" s="251"/>
      <c r="AP101" s="251"/>
      <c r="AQ101" s="252"/>
      <c r="AR101" s="524"/>
      <c r="AS101" s="524"/>
    </row>
    <row r="102" spans="13:45" ht="11.4">
      <c r="M102" s="562" t="str">
        <f>M100 &amp; ".V"</f>
        <v>ALOX.V</v>
      </c>
      <c r="N102" s="531" t="s">
        <v>245</v>
      </c>
      <c r="O102" s="420" t="s">
        <v>289</v>
      </c>
      <c r="AB102" s="251"/>
      <c r="AC102" s="251"/>
      <c r="AD102" s="251"/>
      <c r="AE102" s="524"/>
      <c r="AF102" s="524"/>
      <c r="AG102" s="524"/>
      <c r="AH102" s="251"/>
      <c r="AI102" s="251"/>
      <c r="AJ102" s="251"/>
      <c r="AK102" s="247">
        <f>AL102+AM102</f>
        <v>0</v>
      </c>
      <c r="AL102" s="221"/>
      <c r="AM102" s="221"/>
      <c r="AN102" s="251"/>
      <c r="AO102" s="251"/>
      <c r="AP102" s="251"/>
      <c r="AQ102" s="524"/>
      <c r="AR102" s="524"/>
      <c r="AS102" s="524"/>
    </row>
    <row r="103" spans="13:45" ht="11.4">
      <c r="M103" s="561" t="s">
        <v>2038</v>
      </c>
      <c r="N103" s="559" t="s">
        <v>1920</v>
      </c>
      <c r="O103" s="420" t="s">
        <v>195</v>
      </c>
      <c r="AB103" s="251"/>
      <c r="AC103" s="251"/>
      <c r="AD103" s="251"/>
      <c r="AE103" s="252"/>
      <c r="AF103" s="524"/>
      <c r="AG103" s="524"/>
      <c r="AH103" s="251"/>
      <c r="AI103" s="251"/>
      <c r="AJ103" s="251"/>
      <c r="AK103" s="247">
        <f>AL103+AM103</f>
        <v>0</v>
      </c>
      <c r="AL103" s="244">
        <f>AL104*AL105/1000</f>
        <v>0</v>
      </c>
      <c r="AM103" s="244">
        <f>AM104*AM105/1000</f>
        <v>0</v>
      </c>
      <c r="AN103" s="251"/>
      <c r="AO103" s="251"/>
      <c r="AP103" s="251"/>
      <c r="AQ103" s="252"/>
      <c r="AR103" s="524"/>
      <c r="AS103" s="524"/>
    </row>
    <row r="104" spans="13:45" ht="11.4">
      <c r="M104" s="562" t="str">
        <f>M103 &amp; ".P"</f>
        <v>ALS.P</v>
      </c>
      <c r="N104" s="531" t="s">
        <v>842</v>
      </c>
      <c r="O104" s="420" t="s">
        <v>23</v>
      </c>
      <c r="AB104" s="251"/>
      <c r="AC104" s="251"/>
      <c r="AD104" s="251"/>
      <c r="AE104" s="252"/>
      <c r="AF104" s="524"/>
      <c r="AG104" s="524"/>
      <c r="AH104" s="251"/>
      <c r="AI104" s="251"/>
      <c r="AJ104" s="251"/>
      <c r="AK104" s="247">
        <f>IF(AK105=0,0,AK103*1000/AK105)</f>
        <v>0</v>
      </c>
      <c r="AL104" s="221"/>
      <c r="AM104" s="221"/>
      <c r="AN104" s="251"/>
      <c r="AO104" s="251"/>
      <c r="AP104" s="251"/>
      <c r="AQ104" s="252"/>
      <c r="AR104" s="524"/>
      <c r="AS104" s="524"/>
    </row>
    <row r="105" spans="13:45" ht="11.4">
      <c r="M105" s="562" t="str">
        <f>M103 &amp; ".V"</f>
        <v>ALS.V</v>
      </c>
      <c r="N105" s="531" t="s">
        <v>245</v>
      </c>
      <c r="O105" s="420" t="s">
        <v>289</v>
      </c>
      <c r="AB105" s="251"/>
      <c r="AC105" s="251"/>
      <c r="AD105" s="251"/>
      <c r="AE105" s="524"/>
      <c r="AF105" s="524"/>
      <c r="AG105" s="524"/>
      <c r="AH105" s="251"/>
      <c r="AI105" s="251"/>
      <c r="AJ105" s="251"/>
      <c r="AK105" s="247">
        <f>AL105+AM105</f>
        <v>0</v>
      </c>
      <c r="AL105" s="221"/>
      <c r="AM105" s="221"/>
      <c r="AN105" s="251"/>
      <c r="AO105" s="251"/>
      <c r="AP105" s="251"/>
      <c r="AQ105" s="524"/>
      <c r="AR105" s="524"/>
      <c r="AS105" s="524"/>
    </row>
    <row r="106" spans="13:45" ht="11.4">
      <c r="M106" s="561" t="s">
        <v>2003</v>
      </c>
      <c r="N106" s="559" t="s">
        <v>1921</v>
      </c>
      <c r="O106" s="420" t="s">
        <v>195</v>
      </c>
      <c r="AB106" s="251"/>
      <c r="AC106" s="251"/>
      <c r="AD106" s="251"/>
      <c r="AE106" s="252"/>
      <c r="AF106" s="524"/>
      <c r="AG106" s="524"/>
      <c r="AH106" s="251"/>
      <c r="AI106" s="251"/>
      <c r="AJ106" s="251"/>
      <c r="AK106" s="247">
        <f>AL106+AM106</f>
        <v>0</v>
      </c>
      <c r="AL106" s="244">
        <f>AL107*AL108/1000</f>
        <v>0</v>
      </c>
      <c r="AM106" s="244">
        <f>AM107*AM108/1000</f>
        <v>0</v>
      </c>
      <c r="AN106" s="251"/>
      <c r="AO106" s="251"/>
      <c r="AP106" s="251"/>
      <c r="AQ106" s="252"/>
      <c r="AR106" s="524"/>
      <c r="AS106" s="524"/>
    </row>
    <row r="107" spans="13:45" ht="11.4">
      <c r="M107" s="562" t="str">
        <f>M106 &amp; ".P"</f>
        <v>AM.P</v>
      </c>
      <c r="N107" s="531" t="s">
        <v>842</v>
      </c>
      <c r="O107" s="420" t="s">
        <v>23</v>
      </c>
      <c r="AB107" s="251"/>
      <c r="AC107" s="251"/>
      <c r="AD107" s="251"/>
      <c r="AE107" s="252"/>
      <c r="AF107" s="524"/>
      <c r="AG107" s="524"/>
      <c r="AH107" s="251"/>
      <c r="AI107" s="251"/>
      <c r="AJ107" s="251"/>
      <c r="AK107" s="247">
        <f>IF(AK108=0,0,AK106*1000/AK108)</f>
        <v>0</v>
      </c>
      <c r="AL107" s="221"/>
      <c r="AM107" s="221"/>
      <c r="AN107" s="251"/>
      <c r="AO107" s="251"/>
      <c r="AP107" s="251"/>
      <c r="AQ107" s="252"/>
      <c r="AR107" s="524"/>
      <c r="AS107" s="524"/>
    </row>
    <row r="108" spans="13:45" ht="11.4">
      <c r="M108" s="562" t="str">
        <f>M106 &amp; ".V"</f>
        <v>AM.V</v>
      </c>
      <c r="N108" s="531" t="s">
        <v>245</v>
      </c>
      <c r="O108" s="420" t="s">
        <v>289</v>
      </c>
      <c r="AB108" s="251"/>
      <c r="AC108" s="251"/>
      <c r="AD108" s="251"/>
      <c r="AE108" s="524"/>
      <c r="AF108" s="524"/>
      <c r="AG108" s="524"/>
      <c r="AH108" s="251"/>
      <c r="AI108" s="251"/>
      <c r="AJ108" s="251"/>
      <c r="AK108" s="247">
        <f>AL108+AM108</f>
        <v>0</v>
      </c>
      <c r="AL108" s="221"/>
      <c r="AM108" s="221"/>
      <c r="AN108" s="251"/>
      <c r="AO108" s="251"/>
      <c r="AP108" s="251"/>
      <c r="AQ108" s="524"/>
      <c r="AR108" s="524"/>
      <c r="AS108" s="524"/>
    </row>
    <row r="109" spans="13:45" ht="11.4">
      <c r="M109" s="561" t="s">
        <v>2004</v>
      </c>
      <c r="N109" s="559" t="s">
        <v>1922</v>
      </c>
      <c r="O109" s="420" t="s">
        <v>195</v>
      </c>
      <c r="AB109" s="251"/>
      <c r="AC109" s="251"/>
      <c r="AD109" s="251"/>
      <c r="AE109" s="252"/>
      <c r="AF109" s="524"/>
      <c r="AG109" s="524"/>
      <c r="AH109" s="251"/>
      <c r="AI109" s="251"/>
      <c r="AJ109" s="251"/>
      <c r="AK109" s="247">
        <f>AL109+AM109</f>
        <v>0</v>
      </c>
      <c r="AL109" s="244">
        <f>AL110*AL111/1000</f>
        <v>0</v>
      </c>
      <c r="AM109" s="244">
        <f>AM110*AM111/1000</f>
        <v>0</v>
      </c>
      <c r="AN109" s="251"/>
      <c r="AO109" s="251"/>
      <c r="AP109" s="251"/>
      <c r="AQ109" s="252"/>
      <c r="AR109" s="524"/>
      <c r="AS109" s="524"/>
    </row>
    <row r="110" spans="13:45" ht="11.4">
      <c r="M110" s="562" t="str">
        <f>M109 &amp; ".P"</f>
        <v>AMW.P</v>
      </c>
      <c r="N110" s="531" t="s">
        <v>842</v>
      </c>
      <c r="O110" s="420" t="s">
        <v>23</v>
      </c>
      <c r="AB110" s="251"/>
      <c r="AC110" s="251"/>
      <c r="AD110" s="251"/>
      <c r="AE110" s="252"/>
      <c r="AF110" s="524"/>
      <c r="AG110" s="524"/>
      <c r="AH110" s="251"/>
      <c r="AI110" s="251"/>
      <c r="AJ110" s="251"/>
      <c r="AK110" s="247">
        <f>IF(AK111=0,0,AK109*1000/AK111)</f>
        <v>0</v>
      </c>
      <c r="AL110" s="221"/>
      <c r="AM110" s="221"/>
      <c r="AN110" s="251"/>
      <c r="AO110" s="251"/>
      <c r="AP110" s="251"/>
      <c r="AQ110" s="252"/>
      <c r="AR110" s="524"/>
      <c r="AS110" s="524"/>
    </row>
    <row r="111" spans="13:45" ht="11.4">
      <c r="M111" s="562" t="str">
        <f>M109 &amp; ".V"</f>
        <v>AMW.V</v>
      </c>
      <c r="N111" s="531" t="s">
        <v>245</v>
      </c>
      <c r="O111" s="420" t="s">
        <v>289</v>
      </c>
      <c r="AB111" s="251"/>
      <c r="AC111" s="251"/>
      <c r="AD111" s="251"/>
      <c r="AE111" s="524"/>
      <c r="AF111" s="524"/>
      <c r="AG111" s="524"/>
      <c r="AH111" s="251"/>
      <c r="AI111" s="251"/>
      <c r="AJ111" s="251"/>
      <c r="AK111" s="247">
        <f>AL111+AM111</f>
        <v>0</v>
      </c>
      <c r="AL111" s="221"/>
      <c r="AM111" s="221"/>
      <c r="AN111" s="251"/>
      <c r="AO111" s="251"/>
      <c r="AP111" s="251"/>
      <c r="AQ111" s="524"/>
      <c r="AR111" s="524"/>
      <c r="AS111" s="524"/>
    </row>
    <row r="112" spans="13:45" ht="11.4">
      <c r="M112" s="561" t="s">
        <v>2005</v>
      </c>
      <c r="N112" s="559" t="s">
        <v>1923</v>
      </c>
      <c r="O112" s="420" t="s">
        <v>195</v>
      </c>
      <c r="AB112" s="251"/>
      <c r="AC112" s="251"/>
      <c r="AD112" s="251"/>
      <c r="AE112" s="252"/>
      <c r="AF112" s="524"/>
      <c r="AG112" s="524"/>
      <c r="AH112" s="251"/>
      <c r="AI112" s="251"/>
      <c r="AJ112" s="251"/>
      <c r="AK112" s="247">
        <f>AL112+AM112</f>
        <v>0</v>
      </c>
      <c r="AL112" s="244">
        <f>AL113*AL114/1000</f>
        <v>0</v>
      </c>
      <c r="AM112" s="244">
        <f>AM113*AM114/1000</f>
        <v>0</v>
      </c>
      <c r="AN112" s="251"/>
      <c r="AO112" s="251"/>
      <c r="AP112" s="251"/>
      <c r="AQ112" s="252"/>
      <c r="AR112" s="524"/>
      <c r="AS112" s="524"/>
    </row>
    <row r="113" spans="13:45" ht="11.4">
      <c r="M113" s="562" t="str">
        <f>M112 &amp; ".P"</f>
        <v>AMN.P</v>
      </c>
      <c r="N113" s="531" t="s">
        <v>842</v>
      </c>
      <c r="O113" s="420" t="s">
        <v>23</v>
      </c>
      <c r="AB113" s="251"/>
      <c r="AC113" s="251"/>
      <c r="AD113" s="251"/>
      <c r="AE113" s="252"/>
      <c r="AF113" s="524"/>
      <c r="AG113" s="524"/>
      <c r="AH113" s="251"/>
      <c r="AI113" s="251"/>
      <c r="AJ113" s="251"/>
      <c r="AK113" s="247">
        <f>IF(AK114=0,0,AK112*1000/AK114)</f>
        <v>0</v>
      </c>
      <c r="AL113" s="221"/>
      <c r="AM113" s="221"/>
      <c r="AN113" s="251"/>
      <c r="AO113" s="251"/>
      <c r="AP113" s="251"/>
      <c r="AQ113" s="252"/>
      <c r="AR113" s="524"/>
      <c r="AS113" s="524"/>
    </row>
    <row r="114" spans="13:45" ht="11.4">
      <c r="M114" s="562" t="str">
        <f>M112 &amp; ".V"</f>
        <v>AMN.V</v>
      </c>
      <c r="N114" s="531" t="s">
        <v>245</v>
      </c>
      <c r="O114" s="420" t="s">
        <v>289</v>
      </c>
      <c r="AB114" s="251"/>
      <c r="AC114" s="251"/>
      <c r="AD114" s="251"/>
      <c r="AE114" s="524"/>
      <c r="AF114" s="524"/>
      <c r="AG114" s="524"/>
      <c r="AH114" s="251"/>
      <c r="AI114" s="251"/>
      <c r="AJ114" s="251"/>
      <c r="AK114" s="247">
        <f>AL114+AM114</f>
        <v>0</v>
      </c>
      <c r="AL114" s="221"/>
      <c r="AM114" s="221"/>
      <c r="AN114" s="251"/>
      <c r="AO114" s="251"/>
      <c r="AP114" s="251"/>
      <c r="AQ114" s="524"/>
      <c r="AR114" s="524"/>
      <c r="AS114" s="524"/>
    </row>
    <row r="115" spans="13:45" ht="11.4">
      <c r="M115" s="561" t="s">
        <v>2039</v>
      </c>
      <c r="N115" s="559" t="s">
        <v>1924</v>
      </c>
      <c r="O115" s="420" t="s">
        <v>195</v>
      </c>
      <c r="AB115" s="251"/>
      <c r="AC115" s="251"/>
      <c r="AD115" s="251"/>
      <c r="AE115" s="252"/>
      <c r="AF115" s="524"/>
      <c r="AG115" s="524"/>
      <c r="AH115" s="251"/>
      <c r="AI115" s="251"/>
      <c r="AJ115" s="251"/>
      <c r="AK115" s="247">
        <f>AL115+AM115</f>
        <v>0</v>
      </c>
      <c r="AL115" s="244">
        <f>AL116*AL117/1000</f>
        <v>0</v>
      </c>
      <c r="AM115" s="244">
        <f>AM116*AM117/1000</f>
        <v>0</v>
      </c>
      <c r="AN115" s="251"/>
      <c r="AO115" s="251"/>
      <c r="AP115" s="251"/>
      <c r="AQ115" s="252"/>
      <c r="AR115" s="524"/>
      <c r="AS115" s="524"/>
    </row>
    <row r="116" spans="13:45" ht="11.4">
      <c r="M116" s="562" t="str">
        <f>M115 &amp; ".P"</f>
        <v>AMNCL.P</v>
      </c>
      <c r="N116" s="531" t="s">
        <v>842</v>
      </c>
      <c r="O116" s="420" t="s">
        <v>23</v>
      </c>
      <c r="AB116" s="251"/>
      <c r="AC116" s="251"/>
      <c r="AD116" s="251"/>
      <c r="AE116" s="252"/>
      <c r="AF116" s="524"/>
      <c r="AG116" s="524"/>
      <c r="AH116" s="251"/>
      <c r="AI116" s="251"/>
      <c r="AJ116" s="251"/>
      <c r="AK116" s="247">
        <f>IF(AK117=0,0,AK115*1000/AK117)</f>
        <v>0</v>
      </c>
      <c r="AL116" s="221"/>
      <c r="AM116" s="221"/>
      <c r="AN116" s="251"/>
      <c r="AO116" s="251"/>
      <c r="AP116" s="251"/>
      <c r="AQ116" s="252"/>
      <c r="AR116" s="524"/>
      <c r="AS116" s="524"/>
    </row>
    <row r="117" spans="13:45" ht="11.4">
      <c r="M117" s="562" t="str">
        <f>M115 &amp; ".V"</f>
        <v>AMNCL.V</v>
      </c>
      <c r="N117" s="531" t="s">
        <v>245</v>
      </c>
      <c r="O117" s="420" t="s">
        <v>289</v>
      </c>
      <c r="AB117" s="251"/>
      <c r="AC117" s="251"/>
      <c r="AD117" s="251"/>
      <c r="AE117" s="524"/>
      <c r="AF117" s="524"/>
      <c r="AG117" s="524"/>
      <c r="AH117" s="251"/>
      <c r="AI117" s="251"/>
      <c r="AJ117" s="251"/>
      <c r="AK117" s="247">
        <f>AL117+AM117</f>
        <v>0</v>
      </c>
      <c r="AL117" s="221"/>
      <c r="AM117" s="221"/>
      <c r="AN117" s="251"/>
      <c r="AO117" s="251"/>
      <c r="AP117" s="251"/>
      <c r="AQ117" s="524"/>
      <c r="AR117" s="524"/>
      <c r="AS117" s="524"/>
    </row>
    <row r="118" spans="13:45" ht="11.4">
      <c r="M118" s="561" t="s">
        <v>2040</v>
      </c>
      <c r="N118" s="559" t="s">
        <v>1925</v>
      </c>
      <c r="O118" s="420" t="s">
        <v>195</v>
      </c>
      <c r="AB118" s="251"/>
      <c r="AC118" s="251"/>
      <c r="AD118" s="251"/>
      <c r="AE118" s="252"/>
      <c r="AF118" s="524"/>
      <c r="AG118" s="524"/>
      <c r="AH118" s="251"/>
      <c r="AI118" s="251"/>
      <c r="AJ118" s="251"/>
      <c r="AK118" s="247">
        <f>AL118+AM118</f>
        <v>0</v>
      </c>
      <c r="AL118" s="244">
        <f>AL119*AL120/1000</f>
        <v>0</v>
      </c>
      <c r="AM118" s="244">
        <f>AM119*AM120/1000</f>
        <v>0</v>
      </c>
      <c r="AN118" s="251"/>
      <c r="AO118" s="251"/>
      <c r="AP118" s="251"/>
      <c r="AQ118" s="252"/>
      <c r="AR118" s="524"/>
      <c r="AS118" s="524"/>
    </row>
    <row r="119" spans="13:45" ht="11.4">
      <c r="M119" s="562" t="str">
        <f>M118 &amp; ".P"</f>
        <v>BACL.P</v>
      </c>
      <c r="N119" s="531" t="s">
        <v>842</v>
      </c>
      <c r="O119" s="420" t="s">
        <v>23</v>
      </c>
      <c r="AB119" s="251"/>
      <c r="AC119" s="251"/>
      <c r="AD119" s="251"/>
      <c r="AE119" s="252"/>
      <c r="AF119" s="524"/>
      <c r="AG119" s="524"/>
      <c r="AH119" s="251"/>
      <c r="AI119" s="251"/>
      <c r="AJ119" s="251"/>
      <c r="AK119" s="247">
        <f>IF(AK120=0,0,AK118*1000/AK120)</f>
        <v>0</v>
      </c>
      <c r="AL119" s="221"/>
      <c r="AM119" s="221"/>
      <c r="AN119" s="251"/>
      <c r="AO119" s="251"/>
      <c r="AP119" s="251"/>
      <c r="AQ119" s="252"/>
      <c r="AR119" s="524"/>
      <c r="AS119" s="524"/>
    </row>
    <row r="120" spans="13:45" ht="11.4">
      <c r="M120" s="562" t="str">
        <f>M118 &amp; ".V"</f>
        <v>BACL.V</v>
      </c>
      <c r="N120" s="531" t="s">
        <v>245</v>
      </c>
      <c r="O120" s="420" t="s">
        <v>289</v>
      </c>
      <c r="AB120" s="251"/>
      <c r="AC120" s="251"/>
      <c r="AD120" s="251"/>
      <c r="AE120" s="524"/>
      <c r="AF120" s="524"/>
      <c r="AG120" s="524"/>
      <c r="AH120" s="251"/>
      <c r="AI120" s="251"/>
      <c r="AJ120" s="251"/>
      <c r="AK120" s="247">
        <f>AL120+AM120</f>
        <v>0</v>
      </c>
      <c r="AL120" s="221"/>
      <c r="AM120" s="221"/>
      <c r="AN120" s="251"/>
      <c r="AO120" s="251"/>
      <c r="AP120" s="251"/>
      <c r="AQ120" s="524"/>
      <c r="AR120" s="524"/>
      <c r="AS120" s="524"/>
    </row>
    <row r="121" spans="13:45" ht="11.4">
      <c r="M121" s="561" t="s">
        <v>2006</v>
      </c>
      <c r="N121" s="559" t="s">
        <v>1926</v>
      </c>
      <c r="O121" s="420" t="s">
        <v>195</v>
      </c>
      <c r="AB121" s="251"/>
      <c r="AC121" s="251"/>
      <c r="AD121" s="251"/>
      <c r="AE121" s="252"/>
      <c r="AF121" s="524"/>
      <c r="AG121" s="524"/>
      <c r="AH121" s="251"/>
      <c r="AI121" s="251"/>
      <c r="AJ121" s="251"/>
      <c r="AK121" s="247">
        <f>AL121+AM121</f>
        <v>0</v>
      </c>
      <c r="AL121" s="244">
        <f>AL122*AL123/1000</f>
        <v>0</v>
      </c>
      <c r="AM121" s="244">
        <f>AM122*AM123/1000</f>
        <v>0</v>
      </c>
      <c r="AN121" s="251"/>
      <c r="AO121" s="251"/>
      <c r="AP121" s="251"/>
      <c r="AQ121" s="252"/>
      <c r="AR121" s="524"/>
      <c r="AS121" s="524"/>
    </row>
    <row r="122" spans="13:45" ht="11.4">
      <c r="M122" s="562" t="str">
        <f>M121 &amp; ".P"</f>
        <v>BIOX.P</v>
      </c>
      <c r="N122" s="531" t="s">
        <v>842</v>
      </c>
      <c r="O122" s="420" t="s">
        <v>23</v>
      </c>
      <c r="AB122" s="251"/>
      <c r="AC122" s="251"/>
      <c r="AD122" s="251"/>
      <c r="AE122" s="252"/>
      <c r="AF122" s="524"/>
      <c r="AG122" s="524"/>
      <c r="AH122" s="251"/>
      <c r="AI122" s="251"/>
      <c r="AJ122" s="251"/>
      <c r="AK122" s="247">
        <f>IF(AK123=0,0,AK121*1000/AK123)</f>
        <v>0</v>
      </c>
      <c r="AL122" s="221"/>
      <c r="AM122" s="221"/>
      <c r="AN122" s="251"/>
      <c r="AO122" s="251"/>
      <c r="AP122" s="251"/>
      <c r="AQ122" s="252"/>
      <c r="AR122" s="524"/>
      <c r="AS122" s="524"/>
    </row>
    <row r="123" spans="13:45" ht="11.4">
      <c r="M123" s="562" t="str">
        <f>M121 &amp; ".V"</f>
        <v>BIOX.V</v>
      </c>
      <c r="N123" s="531" t="s">
        <v>245</v>
      </c>
      <c r="O123" s="420" t="s">
        <v>289</v>
      </c>
      <c r="AB123" s="251"/>
      <c r="AC123" s="251"/>
      <c r="AD123" s="251"/>
      <c r="AE123" s="524"/>
      <c r="AF123" s="524"/>
      <c r="AG123" s="524"/>
      <c r="AH123" s="251"/>
      <c r="AI123" s="251"/>
      <c r="AJ123" s="251"/>
      <c r="AK123" s="247">
        <f>AL123+AM123</f>
        <v>0</v>
      </c>
      <c r="AL123" s="221"/>
      <c r="AM123" s="221"/>
      <c r="AN123" s="251"/>
      <c r="AO123" s="251"/>
      <c r="AP123" s="251"/>
      <c r="AQ123" s="524"/>
      <c r="AR123" s="524"/>
      <c r="AS123" s="524"/>
    </row>
    <row r="124" spans="13:45" ht="11.4">
      <c r="M124" s="561" t="s">
        <v>2007</v>
      </c>
      <c r="N124" s="559" t="s">
        <v>1927</v>
      </c>
      <c r="O124" s="420" t="s">
        <v>195</v>
      </c>
      <c r="AB124" s="251"/>
      <c r="AC124" s="251"/>
      <c r="AD124" s="251"/>
      <c r="AE124" s="252"/>
      <c r="AF124" s="524"/>
      <c r="AG124" s="524"/>
      <c r="AH124" s="251"/>
      <c r="AI124" s="251"/>
      <c r="AJ124" s="251"/>
      <c r="AK124" s="247">
        <f>AL124+AM124</f>
        <v>0</v>
      </c>
      <c r="AL124" s="244">
        <f>AL125*AL126/1000</f>
        <v>0</v>
      </c>
      <c r="AM124" s="244">
        <f>AM125*AM126/1000</f>
        <v>0</v>
      </c>
      <c r="AN124" s="251"/>
      <c r="AO124" s="251"/>
      <c r="AP124" s="251"/>
      <c r="AQ124" s="252"/>
      <c r="AR124" s="524"/>
      <c r="AS124" s="524"/>
    </row>
    <row r="125" spans="13:45" ht="11.4">
      <c r="M125" s="562" t="str">
        <f>M124 &amp; ".P"</f>
        <v>BRFNL.P</v>
      </c>
      <c r="N125" s="531" t="s">
        <v>842</v>
      </c>
      <c r="O125" s="420" t="s">
        <v>23</v>
      </c>
      <c r="AB125" s="251"/>
      <c r="AC125" s="251"/>
      <c r="AD125" s="251"/>
      <c r="AE125" s="252"/>
      <c r="AF125" s="524"/>
      <c r="AG125" s="524"/>
      <c r="AH125" s="251"/>
      <c r="AI125" s="251"/>
      <c r="AJ125" s="251"/>
      <c r="AK125" s="247">
        <f>IF(AK126=0,0,AK124*1000/AK126)</f>
        <v>0</v>
      </c>
      <c r="AL125" s="221"/>
      <c r="AM125" s="221"/>
      <c r="AN125" s="251"/>
      <c r="AO125" s="251"/>
      <c r="AP125" s="251"/>
      <c r="AQ125" s="252"/>
      <c r="AR125" s="524"/>
      <c r="AS125" s="524"/>
    </row>
    <row r="126" spans="13:45" ht="11.4">
      <c r="M126" s="562" t="str">
        <f>M124 &amp; ".V"</f>
        <v>BRFNL.V</v>
      </c>
      <c r="N126" s="531" t="s">
        <v>245</v>
      </c>
      <c r="O126" s="420" t="s">
        <v>289</v>
      </c>
      <c r="AB126" s="251"/>
      <c r="AC126" s="251"/>
      <c r="AD126" s="251"/>
      <c r="AE126" s="524"/>
      <c r="AF126" s="524"/>
      <c r="AG126" s="524"/>
      <c r="AH126" s="251"/>
      <c r="AI126" s="251"/>
      <c r="AJ126" s="251"/>
      <c r="AK126" s="247">
        <f>AL126+AM126</f>
        <v>0</v>
      </c>
      <c r="AL126" s="221"/>
      <c r="AM126" s="221"/>
      <c r="AN126" s="251"/>
      <c r="AO126" s="251"/>
      <c r="AP126" s="251"/>
      <c r="AQ126" s="524"/>
      <c r="AR126" s="524"/>
      <c r="AS126" s="524"/>
    </row>
    <row r="127" spans="13:45" ht="11.4">
      <c r="M127" s="561" t="s">
        <v>2008</v>
      </c>
      <c r="N127" s="559" t="s">
        <v>1928</v>
      </c>
      <c r="O127" s="420" t="s">
        <v>195</v>
      </c>
      <c r="AB127" s="251"/>
      <c r="AC127" s="251"/>
      <c r="AD127" s="251"/>
      <c r="AE127" s="252"/>
      <c r="AF127" s="524"/>
      <c r="AG127" s="524"/>
      <c r="AH127" s="251"/>
      <c r="AI127" s="251"/>
      <c r="AJ127" s="251"/>
      <c r="AK127" s="247">
        <f>AL127+AM127</f>
        <v>0</v>
      </c>
      <c r="AL127" s="244">
        <f>AL128*AL129/1000</f>
        <v>0</v>
      </c>
      <c r="AM127" s="244">
        <f>AM128*AM129/1000</f>
        <v>0</v>
      </c>
      <c r="AN127" s="251"/>
      <c r="AO127" s="251"/>
      <c r="AP127" s="251"/>
      <c r="AQ127" s="252"/>
      <c r="AR127" s="524"/>
      <c r="AS127" s="524"/>
    </row>
    <row r="128" spans="13:45" ht="11.4">
      <c r="M128" s="562" t="str">
        <f>M127 &amp; ".P"</f>
        <v>HDOX.P</v>
      </c>
      <c r="N128" s="531" t="s">
        <v>842</v>
      </c>
      <c r="O128" s="420" t="s">
        <v>23</v>
      </c>
      <c r="AB128" s="251"/>
      <c r="AC128" s="251"/>
      <c r="AD128" s="251"/>
      <c r="AE128" s="252"/>
      <c r="AF128" s="524"/>
      <c r="AG128" s="524"/>
      <c r="AH128" s="251"/>
      <c r="AI128" s="251"/>
      <c r="AJ128" s="251"/>
      <c r="AK128" s="247">
        <f>IF(AK129=0,0,AK127*1000/AK129)</f>
        <v>0</v>
      </c>
      <c r="AL128" s="221"/>
      <c r="AM128" s="221"/>
      <c r="AN128" s="251"/>
      <c r="AO128" s="251"/>
      <c r="AP128" s="251"/>
      <c r="AQ128" s="252"/>
      <c r="AR128" s="524"/>
      <c r="AS128" s="524"/>
    </row>
    <row r="129" spans="13:45" ht="11.4">
      <c r="M129" s="562" t="str">
        <f>M127 &amp; ".V"</f>
        <v>HDOX.V</v>
      </c>
      <c r="N129" s="531" t="s">
        <v>245</v>
      </c>
      <c r="O129" s="420" t="s">
        <v>289</v>
      </c>
      <c r="AB129" s="251"/>
      <c r="AC129" s="251"/>
      <c r="AD129" s="251"/>
      <c r="AE129" s="524"/>
      <c r="AF129" s="524"/>
      <c r="AG129" s="524"/>
      <c r="AH129" s="251"/>
      <c r="AI129" s="251"/>
      <c r="AJ129" s="251"/>
      <c r="AK129" s="247">
        <f>AL129+AM129</f>
        <v>0</v>
      </c>
      <c r="AL129" s="221"/>
      <c r="AM129" s="221"/>
      <c r="AN129" s="251"/>
      <c r="AO129" s="251"/>
      <c r="AP129" s="251"/>
      <c r="AQ129" s="524"/>
      <c r="AR129" s="524"/>
      <c r="AS129" s="524"/>
    </row>
    <row r="130" spans="13:45" ht="11.4">
      <c r="M130" s="561" t="s">
        <v>2009</v>
      </c>
      <c r="N130" s="559" t="s">
        <v>1929</v>
      </c>
      <c r="O130" s="420" t="s">
        <v>195</v>
      </c>
      <c r="AB130" s="251"/>
      <c r="AC130" s="251"/>
      <c r="AD130" s="251"/>
      <c r="AE130" s="252"/>
      <c r="AF130" s="524"/>
      <c r="AG130" s="524"/>
      <c r="AH130" s="251"/>
      <c r="AI130" s="251"/>
      <c r="AJ130" s="251"/>
      <c r="AK130" s="247">
        <f>AL130+AM130</f>
        <v>0</v>
      </c>
      <c r="AL130" s="244">
        <f>AL131*AL132/1000</f>
        <v>0</v>
      </c>
      <c r="AM130" s="244">
        <f>AM131*AM132/1000</f>
        <v>0</v>
      </c>
      <c r="AN130" s="251"/>
      <c r="AO130" s="251"/>
      <c r="AP130" s="251"/>
      <c r="AQ130" s="252"/>
      <c r="AR130" s="524"/>
      <c r="AS130" s="524"/>
    </row>
    <row r="131" spans="13:45" ht="11.4">
      <c r="M131" s="562" t="str">
        <f>M130 &amp; ".P"</f>
        <v>GEXN.P</v>
      </c>
      <c r="N131" s="531" t="s">
        <v>842</v>
      </c>
      <c r="O131" s="420" t="s">
        <v>23</v>
      </c>
      <c r="AB131" s="251"/>
      <c r="AC131" s="251"/>
      <c r="AD131" s="251"/>
      <c r="AE131" s="252"/>
      <c r="AF131" s="524"/>
      <c r="AG131" s="524"/>
      <c r="AH131" s="251"/>
      <c r="AI131" s="251"/>
      <c r="AJ131" s="251"/>
      <c r="AK131" s="247">
        <f>IF(AK132=0,0,AK130*1000/AK132)</f>
        <v>0</v>
      </c>
      <c r="AL131" s="221"/>
      <c r="AM131" s="221"/>
      <c r="AN131" s="251"/>
      <c r="AO131" s="251"/>
      <c r="AP131" s="251"/>
      <c r="AQ131" s="252"/>
      <c r="AR131" s="524"/>
      <c r="AS131" s="524"/>
    </row>
    <row r="132" spans="13:45" ht="11.4">
      <c r="M132" s="562" t="str">
        <f>M130 &amp; ".V"</f>
        <v>GEXN.V</v>
      </c>
      <c r="N132" s="531" t="s">
        <v>245</v>
      </c>
      <c r="O132" s="420" t="s">
        <v>289</v>
      </c>
      <c r="AB132" s="251"/>
      <c r="AC132" s="251"/>
      <c r="AD132" s="251"/>
      <c r="AE132" s="524"/>
      <c r="AF132" s="524"/>
      <c r="AG132" s="524"/>
      <c r="AH132" s="251"/>
      <c r="AI132" s="251"/>
      <c r="AJ132" s="251"/>
      <c r="AK132" s="247">
        <f>AL132+AM132</f>
        <v>0</v>
      </c>
      <c r="AL132" s="221"/>
      <c r="AM132" s="221"/>
      <c r="AN132" s="251"/>
      <c r="AO132" s="251"/>
      <c r="AP132" s="251"/>
      <c r="AQ132" s="524"/>
      <c r="AR132" s="524"/>
      <c r="AS132" s="524"/>
    </row>
    <row r="133" spans="13:45" ht="11.4">
      <c r="M133" s="561" t="s">
        <v>2041</v>
      </c>
      <c r="N133" s="559" t="s">
        <v>1930</v>
      </c>
      <c r="O133" s="420" t="s">
        <v>195</v>
      </c>
      <c r="AB133" s="251"/>
      <c r="AC133" s="251"/>
      <c r="AD133" s="251"/>
      <c r="AE133" s="252"/>
      <c r="AF133" s="524"/>
      <c r="AG133" s="524"/>
      <c r="AH133" s="251"/>
      <c r="AI133" s="251"/>
      <c r="AJ133" s="251"/>
      <c r="AK133" s="247">
        <f>AL133+AM133</f>
        <v>0</v>
      </c>
      <c r="AL133" s="244">
        <f>AL134*AL135/1000</f>
        <v>0</v>
      </c>
      <c r="AM133" s="244">
        <f>AM134*AM135/1000</f>
        <v>0</v>
      </c>
      <c r="AN133" s="251"/>
      <c r="AO133" s="251"/>
      <c r="AP133" s="251"/>
      <c r="AQ133" s="252"/>
      <c r="AR133" s="524"/>
      <c r="AS133" s="524"/>
    </row>
    <row r="134" spans="13:45" ht="11.4">
      <c r="M134" s="562" t="str">
        <f>M133 &amp; ".P"</f>
        <v>HDOXCL.P</v>
      </c>
      <c r="N134" s="531" t="s">
        <v>842</v>
      </c>
      <c r="O134" s="420" t="s">
        <v>23</v>
      </c>
      <c r="AB134" s="251"/>
      <c r="AC134" s="251"/>
      <c r="AD134" s="251"/>
      <c r="AE134" s="252"/>
      <c r="AF134" s="524"/>
      <c r="AG134" s="524"/>
      <c r="AH134" s="251"/>
      <c r="AI134" s="251"/>
      <c r="AJ134" s="251"/>
      <c r="AK134" s="247">
        <f>IF(AK135=0,0,AK133*1000/AK135)</f>
        <v>0</v>
      </c>
      <c r="AL134" s="221"/>
      <c r="AM134" s="221"/>
      <c r="AN134" s="251"/>
      <c r="AO134" s="251"/>
      <c r="AP134" s="251"/>
      <c r="AQ134" s="252"/>
      <c r="AR134" s="524"/>
      <c r="AS134" s="524"/>
    </row>
    <row r="135" spans="13:45" ht="11.4">
      <c r="M135" s="562" t="str">
        <f>M133 &amp; ".V"</f>
        <v>HDOXCL.V</v>
      </c>
      <c r="N135" s="531" t="s">
        <v>245</v>
      </c>
      <c r="O135" s="420" t="s">
        <v>289</v>
      </c>
      <c r="AB135" s="251"/>
      <c r="AC135" s="251"/>
      <c r="AD135" s="251"/>
      <c r="AE135" s="524"/>
      <c r="AF135" s="524"/>
      <c r="AG135" s="524"/>
      <c r="AH135" s="251"/>
      <c r="AI135" s="251"/>
      <c r="AJ135" s="251"/>
      <c r="AK135" s="247">
        <f>AL135+AM135</f>
        <v>0</v>
      </c>
      <c r="AL135" s="221"/>
      <c r="AM135" s="221"/>
      <c r="AN135" s="251"/>
      <c r="AO135" s="251"/>
      <c r="AP135" s="251"/>
      <c r="AQ135" s="524"/>
      <c r="AR135" s="524"/>
      <c r="AS135" s="524"/>
    </row>
    <row r="136" spans="13:45" ht="11.4">
      <c r="M136" s="561" t="s">
        <v>2042</v>
      </c>
      <c r="N136" s="559" t="s">
        <v>1931</v>
      </c>
      <c r="O136" s="420" t="s">
        <v>195</v>
      </c>
      <c r="AB136" s="251"/>
      <c r="AC136" s="251"/>
      <c r="AD136" s="251"/>
      <c r="AE136" s="252"/>
      <c r="AF136" s="524"/>
      <c r="AG136" s="524"/>
      <c r="AH136" s="251"/>
      <c r="AI136" s="251"/>
      <c r="AJ136" s="251"/>
      <c r="AK136" s="247">
        <f>AL136+AM136</f>
        <v>0</v>
      </c>
      <c r="AL136" s="244">
        <f>AL137*AL138/1000</f>
        <v>0</v>
      </c>
      <c r="AM136" s="244">
        <f>AM137*AM138/1000</f>
        <v>0</v>
      </c>
      <c r="AN136" s="251"/>
      <c r="AO136" s="251"/>
      <c r="AP136" s="251"/>
      <c r="AQ136" s="252"/>
      <c r="AR136" s="524"/>
      <c r="AS136" s="524"/>
    </row>
    <row r="137" spans="13:45" ht="11.4">
      <c r="M137" s="562" t="str">
        <f>M136 &amp; ".P"</f>
        <v>HDCLCA.P</v>
      </c>
      <c r="N137" s="531" t="s">
        <v>842</v>
      </c>
      <c r="O137" s="420" t="s">
        <v>23</v>
      </c>
      <c r="AB137" s="251"/>
      <c r="AC137" s="251"/>
      <c r="AD137" s="251"/>
      <c r="AE137" s="252"/>
      <c r="AF137" s="524"/>
      <c r="AG137" s="524"/>
      <c r="AH137" s="251"/>
      <c r="AI137" s="251"/>
      <c r="AJ137" s="251"/>
      <c r="AK137" s="247">
        <f>IF(AK138=0,0,AK136*1000/AK138)</f>
        <v>0</v>
      </c>
      <c r="AL137" s="221"/>
      <c r="AM137" s="221"/>
      <c r="AN137" s="251"/>
      <c r="AO137" s="251"/>
      <c r="AP137" s="251"/>
      <c r="AQ137" s="252"/>
      <c r="AR137" s="524"/>
      <c r="AS137" s="524"/>
    </row>
    <row r="138" spans="13:45" ht="11.4">
      <c r="M138" s="562" t="str">
        <f>M136 &amp; ".V"</f>
        <v>HDCLCA.V</v>
      </c>
      <c r="N138" s="531" t="s">
        <v>245</v>
      </c>
      <c r="O138" s="420" t="s">
        <v>289</v>
      </c>
      <c r="AB138" s="251"/>
      <c r="AC138" s="251"/>
      <c r="AD138" s="251"/>
      <c r="AE138" s="524"/>
      <c r="AF138" s="524"/>
      <c r="AG138" s="524"/>
      <c r="AH138" s="251"/>
      <c r="AI138" s="251"/>
      <c r="AJ138" s="251"/>
      <c r="AK138" s="247">
        <f>AL138+AM138</f>
        <v>0</v>
      </c>
      <c r="AL138" s="221"/>
      <c r="AM138" s="221"/>
      <c r="AN138" s="251"/>
      <c r="AO138" s="251"/>
      <c r="AP138" s="251"/>
      <c r="AQ138" s="524"/>
      <c r="AR138" s="524"/>
      <c r="AS138" s="524"/>
    </row>
    <row r="139" spans="13:45" ht="11.4">
      <c r="M139" s="561" t="s">
        <v>2043</v>
      </c>
      <c r="N139" s="559" t="s">
        <v>1932</v>
      </c>
      <c r="O139" s="420" t="s">
        <v>195</v>
      </c>
      <c r="AB139" s="251"/>
      <c r="AC139" s="251"/>
      <c r="AD139" s="251"/>
      <c r="AE139" s="252"/>
      <c r="AF139" s="524"/>
      <c r="AG139" s="524"/>
      <c r="AH139" s="251"/>
      <c r="AI139" s="251"/>
      <c r="AJ139" s="251"/>
      <c r="AK139" s="247">
        <f>AL139+AM139</f>
        <v>0</v>
      </c>
      <c r="AL139" s="244">
        <f>AL140*AL141/1000</f>
        <v>0</v>
      </c>
      <c r="AM139" s="244">
        <f>AM140*AM141/1000</f>
        <v>0</v>
      </c>
      <c r="AN139" s="251"/>
      <c r="AO139" s="251"/>
      <c r="AP139" s="251"/>
      <c r="AQ139" s="252"/>
      <c r="AR139" s="524"/>
      <c r="AS139" s="524"/>
    </row>
    <row r="140" spans="13:45" ht="11.4">
      <c r="M140" s="562" t="str">
        <f>M139 &amp; ".P"</f>
        <v>HPCLCA.P</v>
      </c>
      <c r="N140" s="531" t="s">
        <v>842</v>
      </c>
      <c r="O140" s="420" t="s">
        <v>23</v>
      </c>
      <c r="AB140" s="251"/>
      <c r="AC140" s="251"/>
      <c r="AD140" s="251"/>
      <c r="AE140" s="252"/>
      <c r="AF140" s="524"/>
      <c r="AG140" s="524"/>
      <c r="AH140" s="251"/>
      <c r="AI140" s="251"/>
      <c r="AJ140" s="251"/>
      <c r="AK140" s="247">
        <f>IF(AK141=0,0,AK139*1000/AK141)</f>
        <v>0</v>
      </c>
      <c r="AL140" s="221"/>
      <c r="AM140" s="221"/>
      <c r="AN140" s="251"/>
      <c r="AO140" s="251"/>
      <c r="AP140" s="251"/>
      <c r="AQ140" s="252"/>
      <c r="AR140" s="524"/>
      <c r="AS140" s="524"/>
    </row>
    <row r="141" spans="13:45" ht="11.4">
      <c r="M141" s="562" t="str">
        <f>M139 &amp; ".V"</f>
        <v>HPCLCA.V</v>
      </c>
      <c r="N141" s="531" t="s">
        <v>245</v>
      </c>
      <c r="O141" s="420" t="s">
        <v>289</v>
      </c>
      <c r="AB141" s="251"/>
      <c r="AC141" s="251"/>
      <c r="AD141" s="251"/>
      <c r="AE141" s="524"/>
      <c r="AF141" s="524"/>
      <c r="AG141" s="524"/>
      <c r="AH141" s="251"/>
      <c r="AI141" s="251"/>
      <c r="AJ141" s="251"/>
      <c r="AK141" s="247">
        <f>AL141+AM141</f>
        <v>0</v>
      </c>
      <c r="AL141" s="221"/>
      <c r="AM141" s="221"/>
      <c r="AN141" s="251"/>
      <c r="AO141" s="251"/>
      <c r="AP141" s="251"/>
      <c r="AQ141" s="524"/>
      <c r="AR141" s="524"/>
      <c r="AS141" s="524"/>
    </row>
    <row r="142" spans="13:45" ht="11.4">
      <c r="M142" s="561" t="s">
        <v>2044</v>
      </c>
      <c r="N142" s="559" t="s">
        <v>1933</v>
      </c>
      <c r="O142" s="420" t="s">
        <v>195</v>
      </c>
      <c r="AB142" s="251"/>
      <c r="AC142" s="251"/>
      <c r="AD142" s="251"/>
      <c r="AE142" s="252"/>
      <c r="AF142" s="524"/>
      <c r="AG142" s="524"/>
      <c r="AH142" s="251"/>
      <c r="AI142" s="251"/>
      <c r="AJ142" s="251"/>
      <c r="AK142" s="247">
        <f>AL142+AM142</f>
        <v>0</v>
      </c>
      <c r="AL142" s="244">
        <f>AL143*AL144/1000</f>
        <v>0</v>
      </c>
      <c r="AM142" s="244">
        <f>AM143*AM144/1000</f>
        <v>0</v>
      </c>
      <c r="AN142" s="251"/>
      <c r="AO142" s="251"/>
      <c r="AP142" s="251"/>
      <c r="AQ142" s="252"/>
      <c r="AR142" s="524"/>
      <c r="AS142" s="524"/>
    </row>
    <row r="143" spans="13:45" ht="11.4">
      <c r="M143" s="562" t="str">
        <f>M142 &amp; ".P"</f>
        <v>HPCLNA.P</v>
      </c>
      <c r="N143" s="531" t="s">
        <v>842</v>
      </c>
      <c r="O143" s="420" t="s">
        <v>23</v>
      </c>
      <c r="AB143" s="251"/>
      <c r="AC143" s="251"/>
      <c r="AD143" s="251"/>
      <c r="AE143" s="252"/>
      <c r="AF143" s="524"/>
      <c r="AG143" s="524"/>
      <c r="AH143" s="251"/>
      <c r="AI143" s="251"/>
      <c r="AJ143" s="251"/>
      <c r="AK143" s="247">
        <f>IF(AK144=0,0,AK142*1000/AK144)</f>
        <v>0</v>
      </c>
      <c r="AL143" s="221"/>
      <c r="AM143" s="221"/>
      <c r="AN143" s="251"/>
      <c r="AO143" s="251"/>
      <c r="AP143" s="251"/>
      <c r="AQ143" s="252"/>
      <c r="AR143" s="524"/>
      <c r="AS143" s="524"/>
    </row>
    <row r="144" spans="13:45" ht="11.4">
      <c r="M144" s="562" t="str">
        <f>M142 &amp; ".V"</f>
        <v>HPCLNA.V</v>
      </c>
      <c r="N144" s="531" t="s">
        <v>245</v>
      </c>
      <c r="O144" s="420" t="s">
        <v>289</v>
      </c>
      <c r="AB144" s="251"/>
      <c r="AC144" s="251"/>
      <c r="AD144" s="251"/>
      <c r="AE144" s="524"/>
      <c r="AF144" s="524"/>
      <c r="AG144" s="524"/>
      <c r="AH144" s="251"/>
      <c r="AI144" s="251"/>
      <c r="AJ144" s="251"/>
      <c r="AK144" s="247">
        <f>AL144+AM144</f>
        <v>0</v>
      </c>
      <c r="AL144" s="221"/>
      <c r="AM144" s="221"/>
      <c r="AN144" s="251"/>
      <c r="AO144" s="251"/>
      <c r="AP144" s="251"/>
      <c r="AQ144" s="524"/>
      <c r="AR144" s="524"/>
      <c r="AS144" s="524"/>
    </row>
    <row r="145" spans="13:45" ht="11.4">
      <c r="M145" s="561" t="s">
        <v>2045</v>
      </c>
      <c r="N145" s="559" t="s">
        <v>1934</v>
      </c>
      <c r="O145" s="420" t="s">
        <v>195</v>
      </c>
      <c r="AB145" s="251"/>
      <c r="AC145" s="251"/>
      <c r="AD145" s="251"/>
      <c r="AE145" s="252"/>
      <c r="AF145" s="524"/>
      <c r="AG145" s="524"/>
      <c r="AH145" s="251"/>
      <c r="AI145" s="251"/>
      <c r="AJ145" s="251"/>
      <c r="AK145" s="247">
        <f>AL145+AM145</f>
        <v>0</v>
      </c>
      <c r="AL145" s="244">
        <f>AL146*AL147/1000</f>
        <v>0</v>
      </c>
      <c r="AM145" s="244">
        <f>AM146*AM147/1000</f>
        <v>0</v>
      </c>
      <c r="AN145" s="251"/>
      <c r="AO145" s="251"/>
      <c r="AP145" s="251"/>
      <c r="AQ145" s="252"/>
      <c r="AR145" s="524"/>
      <c r="AS145" s="524"/>
    </row>
    <row r="146" spans="13:45" ht="11.4">
      <c r="M146" s="562" t="str">
        <f>M145 &amp; ".P"</f>
        <v>GLC.P</v>
      </c>
      <c r="N146" s="531" t="s">
        <v>842</v>
      </c>
      <c r="O146" s="420" t="s">
        <v>23</v>
      </c>
      <c r="AB146" s="251"/>
      <c r="AC146" s="251"/>
      <c r="AD146" s="251"/>
      <c r="AE146" s="252"/>
      <c r="AF146" s="524"/>
      <c r="AG146" s="524"/>
      <c r="AH146" s="251"/>
      <c r="AI146" s="251"/>
      <c r="AJ146" s="251"/>
      <c r="AK146" s="247">
        <f>IF(AK147=0,0,AK145*1000/AK147)</f>
        <v>0</v>
      </c>
      <c r="AL146" s="221"/>
      <c r="AM146" s="221"/>
      <c r="AN146" s="251"/>
      <c r="AO146" s="251"/>
      <c r="AP146" s="251"/>
      <c r="AQ146" s="252"/>
      <c r="AR146" s="524"/>
      <c r="AS146" s="524"/>
    </row>
    <row r="147" spans="13:45" ht="11.4">
      <c r="M147" s="562" t="str">
        <f>M145 &amp; ".V"</f>
        <v>GLC.V</v>
      </c>
      <c r="N147" s="531" t="s">
        <v>245</v>
      </c>
      <c r="O147" s="420" t="s">
        <v>289</v>
      </c>
      <c r="AB147" s="251"/>
      <c r="AC147" s="251"/>
      <c r="AD147" s="251"/>
      <c r="AE147" s="524"/>
      <c r="AF147" s="524"/>
      <c r="AG147" s="524"/>
      <c r="AH147" s="251"/>
      <c r="AI147" s="251"/>
      <c r="AJ147" s="251"/>
      <c r="AK147" s="247">
        <f>AL147+AM147</f>
        <v>0</v>
      </c>
      <c r="AL147" s="221"/>
      <c r="AM147" s="221"/>
      <c r="AN147" s="251"/>
      <c r="AO147" s="251"/>
      <c r="AP147" s="251"/>
      <c r="AQ147" s="524"/>
      <c r="AR147" s="524"/>
      <c r="AS147" s="524"/>
    </row>
    <row r="148" spans="13:45" ht="11.4">
      <c r="M148" s="561" t="s">
        <v>2010</v>
      </c>
      <c r="N148" s="559" t="s">
        <v>1935</v>
      </c>
      <c r="O148" s="420" t="s">
        <v>195</v>
      </c>
      <c r="AB148" s="251"/>
      <c r="AC148" s="251"/>
      <c r="AD148" s="251"/>
      <c r="AE148" s="252"/>
      <c r="AF148" s="524"/>
      <c r="AG148" s="524"/>
      <c r="AH148" s="251"/>
      <c r="AI148" s="251"/>
      <c r="AJ148" s="251"/>
      <c r="AK148" s="247">
        <f>AL148+AM148</f>
        <v>0</v>
      </c>
      <c r="AL148" s="244">
        <f>AL149*AL150/1000</f>
        <v>0</v>
      </c>
      <c r="AM148" s="244">
        <f>AM149*AM150/1000</f>
        <v>0</v>
      </c>
      <c r="AN148" s="251"/>
      <c r="AO148" s="251"/>
      <c r="AP148" s="251"/>
      <c r="AQ148" s="252"/>
      <c r="AR148" s="524"/>
      <c r="AS148" s="524"/>
    </row>
    <row r="149" spans="13:45" ht="11.4">
      <c r="M149" s="562" t="str">
        <f>M148 &amp; ".P"</f>
        <v>DFNLCD.P</v>
      </c>
      <c r="N149" s="531" t="s">
        <v>842</v>
      </c>
      <c r="O149" s="420" t="s">
        <v>23</v>
      </c>
      <c r="AB149" s="251"/>
      <c r="AC149" s="251"/>
      <c r="AD149" s="251"/>
      <c r="AE149" s="252"/>
      <c r="AF149" s="524"/>
      <c r="AG149" s="524"/>
      <c r="AH149" s="251"/>
      <c r="AI149" s="251"/>
      <c r="AJ149" s="251"/>
      <c r="AK149" s="247">
        <f>IF(AK150=0,0,AK148*1000/AK150)</f>
        <v>0</v>
      </c>
      <c r="AL149" s="221"/>
      <c r="AM149" s="221"/>
      <c r="AN149" s="251"/>
      <c r="AO149" s="251"/>
      <c r="AP149" s="251"/>
      <c r="AQ149" s="252"/>
      <c r="AR149" s="524"/>
      <c r="AS149" s="524"/>
    </row>
    <row r="150" spans="13:45" ht="11.4">
      <c r="M150" s="562" t="str">
        <f>M148 &amp; ".V"</f>
        <v>DFNLCD.V</v>
      </c>
      <c r="N150" s="531" t="s">
        <v>245</v>
      </c>
      <c r="O150" s="420" t="s">
        <v>289</v>
      </c>
      <c r="AB150" s="251"/>
      <c r="AC150" s="251"/>
      <c r="AD150" s="251"/>
      <c r="AE150" s="524"/>
      <c r="AF150" s="524"/>
      <c r="AG150" s="524"/>
      <c r="AH150" s="251"/>
      <c r="AI150" s="251"/>
      <c r="AJ150" s="251"/>
      <c r="AK150" s="247">
        <f>AL150+AM150</f>
        <v>0</v>
      </c>
      <c r="AL150" s="221"/>
      <c r="AM150" s="221"/>
      <c r="AN150" s="251"/>
      <c r="AO150" s="251"/>
      <c r="AP150" s="251"/>
      <c r="AQ150" s="524"/>
      <c r="AR150" s="524"/>
      <c r="AS150" s="524"/>
    </row>
    <row r="151" spans="13:45" ht="11.4">
      <c r="M151" s="561" t="s">
        <v>2011</v>
      </c>
      <c r="N151" s="559" t="s">
        <v>1936</v>
      </c>
      <c r="O151" s="420" t="s">
        <v>195</v>
      </c>
      <c r="AB151" s="251"/>
      <c r="AC151" s="251"/>
      <c r="AD151" s="251"/>
      <c r="AE151" s="252"/>
      <c r="AF151" s="524"/>
      <c r="AG151" s="524"/>
      <c r="AH151" s="251"/>
      <c r="AI151" s="251"/>
      <c r="AJ151" s="251"/>
      <c r="AK151" s="247">
        <f>AL151+AM151</f>
        <v>0</v>
      </c>
      <c r="AL151" s="244">
        <f>AL152*AL153/1000</f>
        <v>0</v>
      </c>
      <c r="AM151" s="244">
        <f>AM152*AM153/1000</f>
        <v>0</v>
      </c>
      <c r="AN151" s="251"/>
      <c r="AO151" s="251"/>
      <c r="AP151" s="251"/>
      <c r="AQ151" s="252"/>
      <c r="AR151" s="524"/>
      <c r="AS151" s="524"/>
    </row>
    <row r="152" spans="13:45" ht="11.4">
      <c r="M152" s="562" t="str">
        <f>M151 &amp; ".P"</f>
        <v>DFNLCN.P</v>
      </c>
      <c r="N152" s="531" t="s">
        <v>842</v>
      </c>
      <c r="O152" s="420" t="s">
        <v>23</v>
      </c>
      <c r="AB152" s="251"/>
      <c r="AC152" s="251"/>
      <c r="AD152" s="251"/>
      <c r="AE152" s="252"/>
      <c r="AF152" s="524"/>
      <c r="AG152" s="524"/>
      <c r="AH152" s="251"/>
      <c r="AI152" s="251"/>
      <c r="AJ152" s="251"/>
      <c r="AK152" s="247">
        <f>IF(AK153=0,0,AK151*1000/AK153)</f>
        <v>0</v>
      </c>
      <c r="AL152" s="221"/>
      <c r="AM152" s="221"/>
      <c r="AN152" s="251"/>
      <c r="AO152" s="251"/>
      <c r="AP152" s="251"/>
      <c r="AQ152" s="252"/>
      <c r="AR152" s="524"/>
      <c r="AS152" s="524"/>
    </row>
    <row r="153" spans="13:45" ht="11.4">
      <c r="M153" s="562" t="str">
        <f>M151 &amp; ".V"</f>
        <v>DFNLCN.V</v>
      </c>
      <c r="N153" s="531" t="s">
        <v>245</v>
      </c>
      <c r="O153" s="420" t="s">
        <v>289</v>
      </c>
      <c r="AB153" s="251"/>
      <c r="AC153" s="251"/>
      <c r="AD153" s="251"/>
      <c r="AE153" s="524"/>
      <c r="AF153" s="524"/>
      <c r="AG153" s="524"/>
      <c r="AH153" s="251"/>
      <c r="AI153" s="251"/>
      <c r="AJ153" s="251"/>
      <c r="AK153" s="247">
        <f>AL153+AM153</f>
        <v>0</v>
      </c>
      <c r="AL153" s="221"/>
      <c r="AM153" s="221"/>
      <c r="AN153" s="251"/>
      <c r="AO153" s="251"/>
      <c r="AP153" s="251"/>
      <c r="AQ153" s="524"/>
      <c r="AR153" s="524"/>
      <c r="AS153" s="524"/>
    </row>
    <row r="154" spans="13:45" ht="11.4">
      <c r="M154" s="561" t="s">
        <v>1998</v>
      </c>
      <c r="N154" s="559" t="s">
        <v>1937</v>
      </c>
      <c r="O154" s="420" t="s">
        <v>195</v>
      </c>
      <c r="AB154" s="251"/>
      <c r="AC154" s="251"/>
      <c r="AD154" s="251"/>
      <c r="AE154" s="252"/>
      <c r="AF154" s="524"/>
      <c r="AG154" s="524"/>
      <c r="AH154" s="251"/>
      <c r="AI154" s="251"/>
      <c r="AJ154" s="251"/>
      <c r="AK154" s="247">
        <f>AL154+AM154</f>
        <v>0</v>
      </c>
      <c r="AL154" s="244">
        <f>AL155*AL156/1000</f>
        <v>0</v>
      </c>
      <c r="AM154" s="244">
        <f>AM155*AM156/1000</f>
        <v>0</v>
      </c>
      <c r="AN154" s="251"/>
      <c r="AO154" s="251"/>
      <c r="AP154" s="251"/>
      <c r="AQ154" s="252"/>
      <c r="AR154" s="524"/>
      <c r="AS154" s="524"/>
    </row>
    <row r="155" spans="13:45" ht="11.4">
      <c r="M155" s="562" t="str">
        <f>M154 &amp; ".P"</f>
        <v>FES.P</v>
      </c>
      <c r="N155" s="531" t="s">
        <v>842</v>
      </c>
      <c r="O155" s="420" t="s">
        <v>23</v>
      </c>
      <c r="AB155" s="251"/>
      <c r="AC155" s="251"/>
      <c r="AD155" s="251"/>
      <c r="AE155" s="252"/>
      <c r="AF155" s="524"/>
      <c r="AG155" s="524"/>
      <c r="AH155" s="251"/>
      <c r="AI155" s="251"/>
      <c r="AJ155" s="251"/>
      <c r="AK155" s="247">
        <f>IF(AK156=0,0,AK154*1000/AK156)</f>
        <v>0</v>
      </c>
      <c r="AL155" s="221"/>
      <c r="AM155" s="221"/>
      <c r="AN155" s="251"/>
      <c r="AO155" s="251"/>
      <c r="AP155" s="251"/>
      <c r="AQ155" s="252"/>
      <c r="AR155" s="524"/>
      <c r="AS155" s="524"/>
    </row>
    <row r="156" spans="13:45" ht="11.4">
      <c r="M156" s="562" t="str">
        <f>M154 &amp; ".V"</f>
        <v>FES.V</v>
      </c>
      <c r="N156" s="531" t="s">
        <v>245</v>
      </c>
      <c r="O156" s="420" t="s">
        <v>289</v>
      </c>
      <c r="AB156" s="251"/>
      <c r="AC156" s="251"/>
      <c r="AD156" s="251"/>
      <c r="AE156" s="524"/>
      <c r="AF156" s="524"/>
      <c r="AG156" s="524"/>
      <c r="AH156" s="251"/>
      <c r="AI156" s="251"/>
      <c r="AJ156" s="251"/>
      <c r="AK156" s="247">
        <f>AL156+AM156</f>
        <v>0</v>
      </c>
      <c r="AL156" s="221"/>
      <c r="AM156" s="221"/>
      <c r="AN156" s="251"/>
      <c r="AO156" s="251"/>
      <c r="AP156" s="251"/>
      <c r="AQ156" s="524"/>
      <c r="AR156" s="524"/>
      <c r="AS156" s="524"/>
    </row>
    <row r="157" spans="13:45" ht="11.4">
      <c r="M157" s="561" t="s">
        <v>2046</v>
      </c>
      <c r="N157" s="559" t="s">
        <v>1938</v>
      </c>
      <c r="O157" s="420" t="s">
        <v>195</v>
      </c>
      <c r="AB157" s="251"/>
      <c r="AC157" s="251"/>
      <c r="AD157" s="251"/>
      <c r="AE157" s="252"/>
      <c r="AF157" s="524"/>
      <c r="AG157" s="524"/>
      <c r="AH157" s="251"/>
      <c r="AI157" s="251"/>
      <c r="AJ157" s="251"/>
      <c r="AK157" s="247">
        <f>AL157+AM157</f>
        <v>0</v>
      </c>
      <c r="AL157" s="244">
        <f>AL158*AL159/1000</f>
        <v>0</v>
      </c>
      <c r="AM157" s="244">
        <f>AM158*AM159/1000</f>
        <v>0</v>
      </c>
      <c r="AN157" s="251"/>
      <c r="AO157" s="251"/>
      <c r="AP157" s="251"/>
      <c r="AQ157" s="252"/>
      <c r="AR157" s="524"/>
      <c r="AS157" s="524"/>
    </row>
    <row r="158" spans="13:45" ht="11.4">
      <c r="M158" s="562" t="str">
        <f>M157 &amp; ".P"</f>
        <v>FECL.P</v>
      </c>
      <c r="N158" s="531" t="s">
        <v>842</v>
      </c>
      <c r="O158" s="420" t="s">
        <v>23</v>
      </c>
      <c r="AB158" s="251"/>
      <c r="AC158" s="251"/>
      <c r="AD158" s="251"/>
      <c r="AE158" s="252"/>
      <c r="AF158" s="524"/>
      <c r="AG158" s="524"/>
      <c r="AH158" s="251"/>
      <c r="AI158" s="251"/>
      <c r="AJ158" s="251"/>
      <c r="AK158" s="247">
        <f>IF(AK159=0,0,AK157*1000/AK159)</f>
        <v>0</v>
      </c>
      <c r="AL158" s="221"/>
      <c r="AM158" s="221"/>
      <c r="AN158" s="251"/>
      <c r="AO158" s="251"/>
      <c r="AP158" s="251"/>
      <c r="AQ158" s="252"/>
      <c r="AR158" s="524"/>
      <c r="AS158" s="524"/>
    </row>
    <row r="159" spans="13:45" ht="11.4">
      <c r="M159" s="562" t="str">
        <f>M157 &amp; ".V"</f>
        <v>FECL.V</v>
      </c>
      <c r="N159" s="531" t="s">
        <v>245</v>
      </c>
      <c r="O159" s="420" t="s">
        <v>289</v>
      </c>
      <c r="AB159" s="251"/>
      <c r="AC159" s="251"/>
      <c r="AD159" s="251"/>
      <c r="AE159" s="524"/>
      <c r="AF159" s="524"/>
      <c r="AG159" s="524"/>
      <c r="AH159" s="251"/>
      <c r="AI159" s="251"/>
      <c r="AJ159" s="251"/>
      <c r="AK159" s="247">
        <f>AL159+AM159</f>
        <v>0</v>
      </c>
      <c r="AL159" s="221"/>
      <c r="AM159" s="221"/>
      <c r="AN159" s="251"/>
      <c r="AO159" s="251"/>
      <c r="AP159" s="251"/>
      <c r="AQ159" s="524"/>
      <c r="AR159" s="524"/>
      <c r="AS159" s="524"/>
    </row>
    <row r="160" spans="13:45" ht="11.4">
      <c r="M160" s="561" t="s">
        <v>2047</v>
      </c>
      <c r="N160" s="559" t="s">
        <v>1939</v>
      </c>
      <c r="O160" s="420" t="s">
        <v>195</v>
      </c>
      <c r="AB160" s="251"/>
      <c r="AC160" s="251"/>
      <c r="AD160" s="251"/>
      <c r="AE160" s="252"/>
      <c r="AF160" s="524"/>
      <c r="AG160" s="524"/>
      <c r="AH160" s="251"/>
      <c r="AI160" s="251"/>
      <c r="AJ160" s="251"/>
      <c r="AK160" s="247">
        <f>AL160+AM160</f>
        <v>0</v>
      </c>
      <c r="AL160" s="244">
        <f>AL161*AL162/1000</f>
        <v>0</v>
      </c>
      <c r="AM160" s="244">
        <f>AM161*AM162/1000</f>
        <v>0</v>
      </c>
      <c r="AN160" s="251"/>
      <c r="AO160" s="251"/>
      <c r="AP160" s="251"/>
      <c r="AQ160" s="252"/>
      <c r="AR160" s="524"/>
      <c r="AS160" s="524"/>
    </row>
    <row r="161" spans="13:45" ht="11.4">
      <c r="M161" s="562" t="str">
        <f>M160 &amp; ".P"</f>
        <v>LIMENP.P</v>
      </c>
      <c r="N161" s="531" t="s">
        <v>842</v>
      </c>
      <c r="O161" s="420" t="s">
        <v>23</v>
      </c>
      <c r="AB161" s="251"/>
      <c r="AC161" s="251"/>
      <c r="AD161" s="251"/>
      <c r="AE161" s="252"/>
      <c r="AF161" s="524"/>
      <c r="AG161" s="524"/>
      <c r="AH161" s="251"/>
      <c r="AI161" s="251"/>
      <c r="AJ161" s="251"/>
      <c r="AK161" s="247">
        <f>IF(AK162=0,0,AK160*1000/AK162)</f>
        <v>0</v>
      </c>
      <c r="AL161" s="221"/>
      <c r="AM161" s="221"/>
      <c r="AN161" s="251"/>
      <c r="AO161" s="251"/>
      <c r="AP161" s="251"/>
      <c r="AQ161" s="252"/>
      <c r="AR161" s="524"/>
      <c r="AS161" s="524"/>
    </row>
    <row r="162" spans="13:45" ht="11.4">
      <c r="M162" s="562" t="str">
        <f>M160 &amp; ".V"</f>
        <v>LIMENP.V</v>
      </c>
      <c r="N162" s="531" t="s">
        <v>245</v>
      </c>
      <c r="O162" s="420" t="s">
        <v>289</v>
      </c>
      <c r="AB162" s="251"/>
      <c r="AC162" s="251"/>
      <c r="AD162" s="251"/>
      <c r="AE162" s="524"/>
      <c r="AF162" s="524"/>
      <c r="AG162" s="524"/>
      <c r="AH162" s="251"/>
      <c r="AI162" s="251"/>
      <c r="AJ162" s="251"/>
      <c r="AK162" s="247">
        <f>AL162+AM162</f>
        <v>0</v>
      </c>
      <c r="AL162" s="221"/>
      <c r="AM162" s="221"/>
      <c r="AN162" s="251"/>
      <c r="AO162" s="251"/>
      <c r="AP162" s="251"/>
      <c r="AQ162" s="524"/>
      <c r="AR162" s="524"/>
      <c r="AS162" s="524"/>
    </row>
    <row r="163" spans="13:45" ht="11.4">
      <c r="M163" s="561" t="s">
        <v>2048</v>
      </c>
      <c r="N163" s="559" t="s">
        <v>1940</v>
      </c>
      <c r="O163" s="420" t="s">
        <v>195</v>
      </c>
      <c r="AB163" s="251"/>
      <c r="AC163" s="251"/>
      <c r="AD163" s="251"/>
      <c r="AE163" s="252"/>
      <c r="AF163" s="524"/>
      <c r="AG163" s="524"/>
      <c r="AH163" s="251"/>
      <c r="AI163" s="251"/>
      <c r="AJ163" s="251"/>
      <c r="AK163" s="247">
        <f>AL163+AM163</f>
        <v>0</v>
      </c>
      <c r="AL163" s="244">
        <f>AL164*AL165/1000</f>
        <v>0</v>
      </c>
      <c r="AM163" s="244">
        <f>AM164*AM165/1000</f>
        <v>0</v>
      </c>
      <c r="AN163" s="251"/>
      <c r="AO163" s="251"/>
      <c r="AP163" s="251"/>
      <c r="AQ163" s="252"/>
      <c r="AR163" s="524"/>
      <c r="AS163" s="524"/>
    </row>
    <row r="164" spans="13:45" ht="11.4">
      <c r="M164" s="562" t="str">
        <f>M163 &amp; ".P"</f>
        <v>LIMENH.P</v>
      </c>
      <c r="N164" s="531" t="s">
        <v>842</v>
      </c>
      <c r="O164" s="420" t="s">
        <v>23</v>
      </c>
      <c r="AB164" s="251"/>
      <c r="AC164" s="251"/>
      <c r="AD164" s="251"/>
      <c r="AE164" s="252"/>
      <c r="AF164" s="524"/>
      <c r="AG164" s="524"/>
      <c r="AH164" s="251"/>
      <c r="AI164" s="251"/>
      <c r="AJ164" s="251"/>
      <c r="AK164" s="247">
        <f>IF(AK165=0,0,AK163*1000/AK165)</f>
        <v>0</v>
      </c>
      <c r="AL164" s="221"/>
      <c r="AM164" s="221"/>
      <c r="AN164" s="251"/>
      <c r="AO164" s="251"/>
      <c r="AP164" s="251"/>
      <c r="AQ164" s="252"/>
      <c r="AR164" s="524"/>
      <c r="AS164" s="524"/>
    </row>
    <row r="165" spans="13:45" ht="11.4">
      <c r="M165" s="562" t="str">
        <f>M163 &amp; ".V"</f>
        <v>LIMENH.V</v>
      </c>
      <c r="N165" s="531" t="s">
        <v>245</v>
      </c>
      <c r="O165" s="420" t="s">
        <v>289</v>
      </c>
      <c r="AB165" s="251"/>
      <c r="AC165" s="251"/>
      <c r="AD165" s="251"/>
      <c r="AE165" s="524"/>
      <c r="AF165" s="524"/>
      <c r="AG165" s="524"/>
      <c r="AH165" s="251"/>
      <c r="AI165" s="251"/>
      <c r="AJ165" s="251"/>
      <c r="AK165" s="247">
        <f>AL165+AM165</f>
        <v>0</v>
      </c>
      <c r="AL165" s="221"/>
      <c r="AM165" s="221"/>
      <c r="AN165" s="251"/>
      <c r="AO165" s="251"/>
      <c r="AP165" s="251"/>
      <c r="AQ165" s="524"/>
      <c r="AR165" s="524"/>
      <c r="AS165" s="524"/>
    </row>
    <row r="166" spans="13:45" ht="11.4">
      <c r="M166" s="561" t="s">
        <v>2049</v>
      </c>
      <c r="N166" s="559" t="s">
        <v>1941</v>
      </c>
      <c r="O166" s="420" t="s">
        <v>195</v>
      </c>
      <c r="AB166" s="251"/>
      <c r="AC166" s="251"/>
      <c r="AD166" s="251"/>
      <c r="AE166" s="252"/>
      <c r="AF166" s="524"/>
      <c r="AG166" s="524"/>
      <c r="AH166" s="251"/>
      <c r="AI166" s="251"/>
      <c r="AJ166" s="251"/>
      <c r="AK166" s="247">
        <f>AL166+AM166</f>
        <v>0</v>
      </c>
      <c r="AL166" s="244">
        <f>AL167*AL168/1000</f>
        <v>0</v>
      </c>
      <c r="AM166" s="244">
        <f>AM167*AM168/1000</f>
        <v>0</v>
      </c>
      <c r="AN166" s="251"/>
      <c r="AO166" s="251"/>
      <c r="AP166" s="251"/>
      <c r="AQ166" s="252"/>
      <c r="AR166" s="524"/>
      <c r="AS166" s="524"/>
    </row>
    <row r="167" spans="13:45" ht="11.4">
      <c r="M167" s="562" t="str">
        <f>M166 &amp; ".P"</f>
        <v>LIMECL.P</v>
      </c>
      <c r="N167" s="531" t="s">
        <v>842</v>
      </c>
      <c r="O167" s="420" t="s">
        <v>23</v>
      </c>
      <c r="AB167" s="251"/>
      <c r="AC167" s="251"/>
      <c r="AD167" s="251"/>
      <c r="AE167" s="252"/>
      <c r="AF167" s="524"/>
      <c r="AG167" s="524"/>
      <c r="AH167" s="251"/>
      <c r="AI167" s="251"/>
      <c r="AJ167" s="251"/>
      <c r="AK167" s="247">
        <f>IF(AK168=0,0,AK166*1000/AK168)</f>
        <v>0</v>
      </c>
      <c r="AL167" s="221"/>
      <c r="AM167" s="221"/>
      <c r="AN167" s="251"/>
      <c r="AO167" s="251"/>
      <c r="AP167" s="251"/>
      <c r="AQ167" s="252"/>
      <c r="AR167" s="524"/>
      <c r="AS167" s="524"/>
    </row>
    <row r="168" spans="13:45" ht="11.4">
      <c r="M168" s="562" t="str">
        <f>M166 &amp; ".V"</f>
        <v>LIMECL.V</v>
      </c>
      <c r="N168" s="531" t="s">
        <v>245</v>
      </c>
      <c r="O168" s="420" t="s">
        <v>289</v>
      </c>
      <c r="AB168" s="251"/>
      <c r="AC168" s="251"/>
      <c r="AD168" s="251"/>
      <c r="AE168" s="524"/>
      <c r="AF168" s="524"/>
      <c r="AG168" s="524"/>
      <c r="AH168" s="251"/>
      <c r="AI168" s="251"/>
      <c r="AJ168" s="251"/>
      <c r="AK168" s="247">
        <f>AL168+AM168</f>
        <v>0</v>
      </c>
      <c r="AL168" s="221"/>
      <c r="AM168" s="221"/>
      <c r="AN168" s="251"/>
      <c r="AO168" s="251"/>
      <c r="AP168" s="251"/>
      <c r="AQ168" s="524"/>
      <c r="AR168" s="524"/>
      <c r="AS168" s="524"/>
    </row>
    <row r="169" spans="13:45" ht="11.4">
      <c r="M169" s="561" t="s">
        <v>2050</v>
      </c>
      <c r="N169" s="559" t="s">
        <v>1942</v>
      </c>
      <c r="O169" s="420" t="s">
        <v>195</v>
      </c>
      <c r="AB169" s="251"/>
      <c r="AC169" s="251"/>
      <c r="AD169" s="251"/>
      <c r="AE169" s="252"/>
      <c r="AF169" s="524"/>
      <c r="AG169" s="524"/>
      <c r="AH169" s="251"/>
      <c r="AI169" s="251"/>
      <c r="AJ169" s="251"/>
      <c r="AK169" s="247">
        <f>AL169+AM169</f>
        <v>0</v>
      </c>
      <c r="AL169" s="244">
        <f>AL170*AL171/1000</f>
        <v>0</v>
      </c>
      <c r="AM169" s="244">
        <f>AM170*AM171/1000</f>
        <v>0</v>
      </c>
      <c r="AN169" s="251"/>
      <c r="AO169" s="251"/>
      <c r="AP169" s="251"/>
      <c r="AQ169" s="252"/>
      <c r="AR169" s="524"/>
      <c r="AS169" s="524"/>
    </row>
    <row r="170" spans="13:45" ht="11.4">
      <c r="M170" s="562" t="str">
        <f>M169 &amp; ".P"</f>
        <v>KN.P</v>
      </c>
      <c r="N170" s="531" t="s">
        <v>842</v>
      </c>
      <c r="O170" s="420" t="s">
        <v>23</v>
      </c>
      <c r="AB170" s="251"/>
      <c r="AC170" s="251"/>
      <c r="AD170" s="251"/>
      <c r="AE170" s="252"/>
      <c r="AF170" s="524"/>
      <c r="AG170" s="524"/>
      <c r="AH170" s="251"/>
      <c r="AI170" s="251"/>
      <c r="AJ170" s="251"/>
      <c r="AK170" s="247">
        <f>IF(AK171=0,0,AK169*1000/AK171)</f>
        <v>0</v>
      </c>
      <c r="AL170" s="221"/>
      <c r="AM170" s="221"/>
      <c r="AN170" s="251"/>
      <c r="AO170" s="251"/>
      <c r="AP170" s="251"/>
      <c r="AQ170" s="252"/>
      <c r="AR170" s="524"/>
      <c r="AS170" s="524"/>
    </row>
    <row r="171" spans="13:45" ht="11.4">
      <c r="M171" s="562" t="str">
        <f>M169 &amp; ".V"</f>
        <v>KN.V</v>
      </c>
      <c r="N171" s="531" t="s">
        <v>245</v>
      </c>
      <c r="O171" s="420" t="s">
        <v>289</v>
      </c>
      <c r="AB171" s="251"/>
      <c r="AC171" s="251"/>
      <c r="AD171" s="251"/>
      <c r="AE171" s="524"/>
      <c r="AF171" s="524"/>
      <c r="AG171" s="524"/>
      <c r="AH171" s="251"/>
      <c r="AI171" s="251"/>
      <c r="AJ171" s="251"/>
      <c r="AK171" s="247">
        <f>AL171+AM171</f>
        <v>0</v>
      </c>
      <c r="AL171" s="221"/>
      <c r="AM171" s="221"/>
      <c r="AN171" s="251"/>
      <c r="AO171" s="251"/>
      <c r="AP171" s="251"/>
      <c r="AQ171" s="524"/>
      <c r="AR171" s="524"/>
      <c r="AS171" s="524"/>
    </row>
    <row r="172" spans="13:45" ht="11.4">
      <c r="M172" s="561" t="s">
        <v>2051</v>
      </c>
      <c r="N172" s="559" t="s">
        <v>1943</v>
      </c>
      <c r="O172" s="420" t="s">
        <v>195</v>
      </c>
      <c r="AB172" s="251"/>
      <c r="AC172" s="251"/>
      <c r="AD172" s="251"/>
      <c r="AE172" s="252"/>
      <c r="AF172" s="524"/>
      <c r="AG172" s="524"/>
      <c r="AH172" s="251"/>
      <c r="AI172" s="251"/>
      <c r="AJ172" s="251"/>
      <c r="AK172" s="247">
        <f>AL172+AM172</f>
        <v>0</v>
      </c>
      <c r="AL172" s="244">
        <f>AL173*AL174/1000</f>
        <v>0</v>
      </c>
      <c r="AM172" s="244">
        <f>AM173*AM174/1000</f>
        <v>0</v>
      </c>
      <c r="AN172" s="251"/>
      <c r="AO172" s="251"/>
      <c r="AP172" s="251"/>
      <c r="AQ172" s="252"/>
      <c r="AR172" s="524"/>
      <c r="AS172" s="524"/>
    </row>
    <row r="173" spans="13:45" ht="11.4">
      <c r="M173" s="562" t="str">
        <f>M172 &amp; ".P"</f>
        <v>KCR.P</v>
      </c>
      <c r="N173" s="531" t="s">
        <v>842</v>
      </c>
      <c r="O173" s="420" t="s">
        <v>23</v>
      </c>
      <c r="AB173" s="251"/>
      <c r="AC173" s="251"/>
      <c r="AD173" s="251"/>
      <c r="AE173" s="252"/>
      <c r="AF173" s="524"/>
      <c r="AG173" s="524"/>
      <c r="AH173" s="251"/>
      <c r="AI173" s="251"/>
      <c r="AJ173" s="251"/>
      <c r="AK173" s="247">
        <f>IF(AK174=0,0,AK172*1000/AK174)</f>
        <v>0</v>
      </c>
      <c r="AL173" s="221"/>
      <c r="AM173" s="221"/>
      <c r="AN173" s="251"/>
      <c r="AO173" s="251"/>
      <c r="AP173" s="251"/>
      <c r="AQ173" s="252"/>
      <c r="AR173" s="524"/>
      <c r="AS173" s="524"/>
    </row>
    <row r="174" spans="13:45" ht="11.4">
      <c r="M174" s="562" t="str">
        <f>M172 &amp; ".V"</f>
        <v>KCR.V</v>
      </c>
      <c r="N174" s="531" t="s">
        <v>245</v>
      </c>
      <c r="O174" s="420" t="s">
        <v>289</v>
      </c>
      <c r="AB174" s="251"/>
      <c r="AC174" s="251"/>
      <c r="AD174" s="251"/>
      <c r="AE174" s="524"/>
      <c r="AF174" s="524"/>
      <c r="AG174" s="524"/>
      <c r="AH174" s="251"/>
      <c r="AI174" s="251"/>
      <c r="AJ174" s="251"/>
      <c r="AK174" s="247">
        <f>AL174+AM174</f>
        <v>0</v>
      </c>
      <c r="AL174" s="221"/>
      <c r="AM174" s="221"/>
      <c r="AN174" s="251"/>
      <c r="AO174" s="251"/>
      <c r="AP174" s="251"/>
      <c r="AQ174" s="524"/>
      <c r="AR174" s="524"/>
      <c r="AS174" s="524"/>
    </row>
    <row r="175" spans="13:45" ht="11.4">
      <c r="M175" s="561" t="s">
        <v>2052</v>
      </c>
      <c r="N175" s="559" t="s">
        <v>1944</v>
      </c>
      <c r="O175" s="420" t="s">
        <v>195</v>
      </c>
      <c r="AB175" s="251"/>
      <c r="AC175" s="251"/>
      <c r="AD175" s="251"/>
      <c r="AE175" s="252"/>
      <c r="AF175" s="524"/>
      <c r="AG175" s="524"/>
      <c r="AH175" s="251"/>
      <c r="AI175" s="251"/>
      <c r="AJ175" s="251"/>
      <c r="AK175" s="247">
        <f>AL175+AM175</f>
        <v>0</v>
      </c>
      <c r="AL175" s="244">
        <f>AL176*AL177/1000</f>
        <v>0</v>
      </c>
      <c r="AM175" s="244">
        <f>AM176*AM177/1000</f>
        <v>0</v>
      </c>
      <c r="AN175" s="251"/>
      <c r="AO175" s="251"/>
      <c r="AP175" s="251"/>
      <c r="AQ175" s="252"/>
      <c r="AR175" s="524"/>
      <c r="AS175" s="524"/>
    </row>
    <row r="176" spans="13:45" ht="11.4">
      <c r="M176" s="562" t="str">
        <f>M175 &amp; ".P"</f>
        <v>KI.P</v>
      </c>
      <c r="N176" s="531" t="s">
        <v>842</v>
      </c>
      <c r="O176" s="420" t="s">
        <v>23</v>
      </c>
      <c r="AB176" s="251"/>
      <c r="AC176" s="251"/>
      <c r="AD176" s="251"/>
      <c r="AE176" s="252"/>
      <c r="AF176" s="524"/>
      <c r="AG176" s="524"/>
      <c r="AH176" s="251"/>
      <c r="AI176" s="251"/>
      <c r="AJ176" s="251"/>
      <c r="AK176" s="247">
        <f>IF(AK177=0,0,AK175*1000/AK177)</f>
        <v>0</v>
      </c>
      <c r="AL176" s="221"/>
      <c r="AM176" s="221"/>
      <c r="AN176" s="251"/>
      <c r="AO176" s="251"/>
      <c r="AP176" s="251"/>
      <c r="AQ176" s="252"/>
      <c r="AR176" s="524"/>
      <c r="AS176" s="524"/>
    </row>
    <row r="177" spans="13:45" ht="11.4">
      <c r="M177" s="562" t="str">
        <f>M175 &amp; ".V"</f>
        <v>KI.V</v>
      </c>
      <c r="N177" s="531" t="s">
        <v>245</v>
      </c>
      <c r="O177" s="420" t="s">
        <v>289</v>
      </c>
      <c r="AB177" s="251"/>
      <c r="AC177" s="251"/>
      <c r="AD177" s="251"/>
      <c r="AE177" s="524"/>
      <c r="AF177" s="524"/>
      <c r="AG177" s="524"/>
      <c r="AH177" s="251"/>
      <c r="AI177" s="251"/>
      <c r="AJ177" s="251"/>
      <c r="AK177" s="247">
        <f>AL177+AM177</f>
        <v>0</v>
      </c>
      <c r="AL177" s="221"/>
      <c r="AM177" s="221"/>
      <c r="AN177" s="251"/>
      <c r="AO177" s="251"/>
      <c r="AP177" s="251"/>
      <c r="AQ177" s="524"/>
      <c r="AR177" s="524"/>
      <c r="AS177" s="524"/>
    </row>
    <row r="178" spans="13:45" ht="11.4">
      <c r="M178" s="561" t="s">
        <v>2053</v>
      </c>
      <c r="N178" s="559" t="s">
        <v>1945</v>
      </c>
      <c r="O178" s="420" t="s">
        <v>195</v>
      </c>
      <c r="AB178" s="251"/>
      <c r="AC178" s="251"/>
      <c r="AD178" s="251"/>
      <c r="AE178" s="252"/>
      <c r="AF178" s="524"/>
      <c r="AG178" s="524"/>
      <c r="AH178" s="251"/>
      <c r="AI178" s="251"/>
      <c r="AJ178" s="251"/>
      <c r="AK178" s="247">
        <f>AL178+AM178</f>
        <v>0</v>
      </c>
      <c r="AL178" s="244">
        <f>AL179*AL180/1000</f>
        <v>0</v>
      </c>
      <c r="AM178" s="244">
        <f>AM179*AM180/1000</f>
        <v>0</v>
      </c>
      <c r="AN178" s="251"/>
      <c r="AO178" s="251"/>
      <c r="AP178" s="251"/>
      <c r="AQ178" s="252"/>
      <c r="AR178" s="524"/>
      <c r="AS178" s="524"/>
    </row>
    <row r="179" spans="13:45" ht="11.4">
      <c r="M179" s="562" t="str">
        <f>M178 &amp; ".P"</f>
        <v>KMN.P</v>
      </c>
      <c r="N179" s="531" t="s">
        <v>842</v>
      </c>
      <c r="O179" s="420" t="s">
        <v>23</v>
      </c>
      <c r="AB179" s="251"/>
      <c r="AC179" s="251"/>
      <c r="AD179" s="251"/>
      <c r="AE179" s="252"/>
      <c r="AF179" s="524"/>
      <c r="AG179" s="524"/>
      <c r="AH179" s="251"/>
      <c r="AI179" s="251"/>
      <c r="AJ179" s="251"/>
      <c r="AK179" s="247">
        <f>IF(AK180=0,0,AK178*1000/AK180)</f>
        <v>0</v>
      </c>
      <c r="AL179" s="221"/>
      <c r="AM179" s="221"/>
      <c r="AN179" s="251"/>
      <c r="AO179" s="251"/>
      <c r="AP179" s="251"/>
      <c r="AQ179" s="252"/>
      <c r="AR179" s="524"/>
      <c r="AS179" s="524"/>
    </row>
    <row r="180" spans="13:45" ht="11.4">
      <c r="M180" s="562" t="str">
        <f>M178 &amp; ".V"</f>
        <v>KMN.V</v>
      </c>
      <c r="N180" s="531" t="s">
        <v>245</v>
      </c>
      <c r="O180" s="420" t="s">
        <v>289</v>
      </c>
      <c r="AB180" s="251"/>
      <c r="AC180" s="251"/>
      <c r="AD180" s="251"/>
      <c r="AE180" s="524"/>
      <c r="AF180" s="524"/>
      <c r="AG180" s="524"/>
      <c r="AH180" s="251"/>
      <c r="AI180" s="251"/>
      <c r="AJ180" s="251"/>
      <c r="AK180" s="247">
        <f>AL180+AM180</f>
        <v>0</v>
      </c>
      <c r="AL180" s="221"/>
      <c r="AM180" s="221"/>
      <c r="AN180" s="251"/>
      <c r="AO180" s="251"/>
      <c r="AP180" s="251"/>
      <c r="AQ180" s="524"/>
      <c r="AR180" s="524"/>
      <c r="AS180" s="524"/>
    </row>
    <row r="181" spans="13:45" ht="11.4">
      <c r="M181" s="561" t="s">
        <v>2054</v>
      </c>
      <c r="N181" s="559" t="s">
        <v>1946</v>
      </c>
      <c r="O181" s="420" t="s">
        <v>195</v>
      </c>
      <c r="AB181" s="251"/>
      <c r="AC181" s="251"/>
      <c r="AD181" s="251"/>
      <c r="AE181" s="252"/>
      <c r="AF181" s="524"/>
      <c r="AG181" s="524"/>
      <c r="AH181" s="251"/>
      <c r="AI181" s="251"/>
      <c r="AJ181" s="251"/>
      <c r="AK181" s="247">
        <f>AL181+AM181</f>
        <v>0</v>
      </c>
      <c r="AL181" s="244">
        <f>AL182*AL183/1000</f>
        <v>0</v>
      </c>
      <c r="AM181" s="244">
        <f>AM182*AM183/1000</f>
        <v>0</v>
      </c>
      <c r="AN181" s="251"/>
      <c r="AO181" s="251"/>
      <c r="AP181" s="251"/>
      <c r="AQ181" s="252"/>
      <c r="AR181" s="524"/>
      <c r="AS181" s="524"/>
    </row>
    <row r="182" spans="13:45" ht="11.4">
      <c r="M182" s="562" t="str">
        <f>M181 &amp; ".P"</f>
        <v>KP.P</v>
      </c>
      <c r="N182" s="531" t="s">
        <v>842</v>
      </c>
      <c r="O182" s="420" t="s">
        <v>23</v>
      </c>
      <c r="AB182" s="251"/>
      <c r="AC182" s="251"/>
      <c r="AD182" s="251"/>
      <c r="AE182" s="252"/>
      <c r="AF182" s="524"/>
      <c r="AG182" s="524"/>
      <c r="AH182" s="251"/>
      <c r="AI182" s="251"/>
      <c r="AJ182" s="251"/>
      <c r="AK182" s="247">
        <f>IF(AK183=0,0,AK181*1000/AK183)</f>
        <v>0</v>
      </c>
      <c r="AL182" s="221"/>
      <c r="AM182" s="221"/>
      <c r="AN182" s="251"/>
      <c r="AO182" s="251"/>
      <c r="AP182" s="251"/>
      <c r="AQ182" s="252"/>
      <c r="AR182" s="524"/>
      <c r="AS182" s="524"/>
    </row>
    <row r="183" spans="13:45" ht="11.4">
      <c r="M183" s="562" t="str">
        <f>M181 &amp; ".V"</f>
        <v>KP.V</v>
      </c>
      <c r="N183" s="531" t="s">
        <v>245</v>
      </c>
      <c r="O183" s="420" t="s">
        <v>289</v>
      </c>
      <c r="AB183" s="251"/>
      <c r="AC183" s="251"/>
      <c r="AD183" s="251"/>
      <c r="AE183" s="524"/>
      <c r="AF183" s="524"/>
      <c r="AG183" s="524"/>
      <c r="AH183" s="251"/>
      <c r="AI183" s="251"/>
      <c r="AJ183" s="251"/>
      <c r="AK183" s="247">
        <f>AL183+AM183</f>
        <v>0</v>
      </c>
      <c r="AL183" s="221"/>
      <c r="AM183" s="221"/>
      <c r="AN183" s="251"/>
      <c r="AO183" s="251"/>
      <c r="AP183" s="251"/>
      <c r="AQ183" s="524"/>
      <c r="AR183" s="524"/>
      <c r="AS183" s="524"/>
    </row>
    <row r="184" spans="13:45" ht="11.4">
      <c r="M184" s="561" t="s">
        <v>2055</v>
      </c>
      <c r="N184" s="559" t="s">
        <v>1947</v>
      </c>
      <c r="O184" s="420" t="s">
        <v>195</v>
      </c>
      <c r="AB184" s="251"/>
      <c r="AC184" s="251"/>
      <c r="AD184" s="251"/>
      <c r="AE184" s="252"/>
      <c r="AF184" s="524"/>
      <c r="AG184" s="524"/>
      <c r="AH184" s="251"/>
      <c r="AI184" s="251"/>
      <c r="AJ184" s="251"/>
      <c r="AK184" s="247">
        <f>AL184+AM184</f>
        <v>0</v>
      </c>
      <c r="AL184" s="244">
        <f>AL185*AL186/1000</f>
        <v>0</v>
      </c>
      <c r="AM184" s="244">
        <f>AM185*AM186/1000</f>
        <v>0</v>
      </c>
      <c r="AN184" s="251"/>
      <c r="AO184" s="251"/>
      <c r="AP184" s="251"/>
      <c r="AQ184" s="252"/>
      <c r="AR184" s="524"/>
      <c r="AS184" s="524"/>
    </row>
    <row r="185" spans="13:45" ht="11.4">
      <c r="M185" s="562" t="str">
        <f>M184 &amp; ".P"</f>
        <v>HCL.P</v>
      </c>
      <c r="N185" s="531" t="s">
        <v>842</v>
      </c>
      <c r="O185" s="420" t="s">
        <v>23</v>
      </c>
      <c r="AB185" s="251"/>
      <c r="AC185" s="251"/>
      <c r="AD185" s="251"/>
      <c r="AE185" s="252"/>
      <c r="AF185" s="524"/>
      <c r="AG185" s="524"/>
      <c r="AH185" s="251"/>
      <c r="AI185" s="251"/>
      <c r="AJ185" s="251"/>
      <c r="AK185" s="247">
        <f>IF(AK186=0,0,AK184*1000/AK186)</f>
        <v>0</v>
      </c>
      <c r="AL185" s="221"/>
      <c r="AM185" s="221"/>
      <c r="AN185" s="251"/>
      <c r="AO185" s="251"/>
      <c r="AP185" s="251"/>
      <c r="AQ185" s="252"/>
      <c r="AR185" s="524"/>
      <c r="AS185" s="524"/>
    </row>
    <row r="186" spans="13:45" ht="11.4">
      <c r="M186" s="562" t="str">
        <f>M184 &amp; ".V"</f>
        <v>HCL.V</v>
      </c>
      <c r="N186" s="531" t="s">
        <v>245</v>
      </c>
      <c r="O186" s="420" t="s">
        <v>289</v>
      </c>
      <c r="AB186" s="251"/>
      <c r="AC186" s="251"/>
      <c r="AD186" s="251"/>
      <c r="AE186" s="524"/>
      <c r="AF186" s="524"/>
      <c r="AG186" s="524"/>
      <c r="AH186" s="251"/>
      <c r="AI186" s="251"/>
      <c r="AJ186" s="251"/>
      <c r="AK186" s="247">
        <f>AL186+AM186</f>
        <v>0</v>
      </c>
      <c r="AL186" s="221"/>
      <c r="AM186" s="221"/>
      <c r="AN186" s="251"/>
      <c r="AO186" s="251"/>
      <c r="AP186" s="251"/>
      <c r="AQ186" s="524"/>
      <c r="AR186" s="524"/>
      <c r="AS186" s="524"/>
    </row>
    <row r="187" spans="13:45" ht="11.4">
      <c r="M187" s="561" t="s">
        <v>2056</v>
      </c>
      <c r="N187" s="559" t="s">
        <v>1948</v>
      </c>
      <c r="O187" s="420" t="s">
        <v>195</v>
      </c>
      <c r="AB187" s="251"/>
      <c r="AC187" s="251"/>
      <c r="AD187" s="251"/>
      <c r="AE187" s="252"/>
      <c r="AF187" s="524"/>
      <c r="AG187" s="524"/>
      <c r="AH187" s="251"/>
      <c r="AI187" s="251"/>
      <c r="AJ187" s="251"/>
      <c r="AK187" s="247">
        <f>AL187+AM187</f>
        <v>0</v>
      </c>
      <c r="AL187" s="244">
        <f>AL188*AL189/1000</f>
        <v>0</v>
      </c>
      <c r="AM187" s="244">
        <f>AM188*AM189/1000</f>
        <v>0</v>
      </c>
      <c r="AN187" s="251"/>
      <c r="AO187" s="251"/>
      <c r="AP187" s="251"/>
      <c r="AQ187" s="252"/>
      <c r="AR187" s="524"/>
      <c r="AS187" s="524"/>
    </row>
    <row r="188" spans="13:45" ht="11.4">
      <c r="M188" s="562" t="str">
        <f>M187 &amp; ".P"</f>
        <v>KNA.P</v>
      </c>
      <c r="N188" s="531" t="s">
        <v>842</v>
      </c>
      <c r="O188" s="420" t="s">
        <v>23</v>
      </c>
      <c r="AB188" s="251"/>
      <c r="AC188" s="251"/>
      <c r="AD188" s="251"/>
      <c r="AE188" s="252"/>
      <c r="AF188" s="524"/>
      <c r="AG188" s="524"/>
      <c r="AH188" s="251"/>
      <c r="AI188" s="251"/>
      <c r="AJ188" s="251"/>
      <c r="AK188" s="247">
        <f>IF(AK189=0,0,AK187*1000/AK189)</f>
        <v>0</v>
      </c>
      <c r="AL188" s="221"/>
      <c r="AM188" s="221"/>
      <c r="AN188" s="251"/>
      <c r="AO188" s="251"/>
      <c r="AP188" s="251"/>
      <c r="AQ188" s="252"/>
      <c r="AR188" s="524"/>
      <c r="AS188" s="524"/>
    </row>
    <row r="189" spans="13:45" ht="11.4">
      <c r="M189" s="562" t="str">
        <f>M187 &amp; ".V"</f>
        <v>KNA.V</v>
      </c>
      <c r="N189" s="531" t="s">
        <v>245</v>
      </c>
      <c r="O189" s="420" t="s">
        <v>289</v>
      </c>
      <c r="AB189" s="251"/>
      <c r="AC189" s="251"/>
      <c r="AD189" s="251"/>
      <c r="AE189" s="524"/>
      <c r="AF189" s="524"/>
      <c r="AG189" s="524"/>
      <c r="AH189" s="251"/>
      <c r="AI189" s="251"/>
      <c r="AJ189" s="251"/>
      <c r="AK189" s="247">
        <f>AL189+AM189</f>
        <v>0</v>
      </c>
      <c r="AL189" s="221"/>
      <c r="AM189" s="221"/>
      <c r="AN189" s="251"/>
      <c r="AO189" s="251"/>
      <c r="AP189" s="251"/>
      <c r="AQ189" s="524"/>
      <c r="AR189" s="524"/>
      <c r="AS189" s="524"/>
    </row>
    <row r="190" spans="13:45" ht="11.4">
      <c r="M190" s="561" t="s">
        <v>2057</v>
      </c>
      <c r="N190" s="559" t="s">
        <v>1949</v>
      </c>
      <c r="O190" s="420" t="s">
        <v>195</v>
      </c>
      <c r="AB190" s="251"/>
      <c r="AC190" s="251"/>
      <c r="AD190" s="251"/>
      <c r="AE190" s="252"/>
      <c r="AF190" s="524"/>
      <c r="AG190" s="524"/>
      <c r="AH190" s="251"/>
      <c r="AI190" s="251"/>
      <c r="AJ190" s="251"/>
      <c r="AK190" s="247">
        <f>AL190+AM190</f>
        <v>0</v>
      </c>
      <c r="AL190" s="244">
        <f>AL191*AL192/1000</f>
        <v>0</v>
      </c>
      <c r="AM190" s="244">
        <f>AM191*AM192/1000</f>
        <v>0</v>
      </c>
      <c r="AN190" s="251"/>
      <c r="AO190" s="251"/>
      <c r="AP190" s="251"/>
      <c r="AQ190" s="252"/>
      <c r="AR190" s="524"/>
      <c r="AS190" s="524"/>
    </row>
    <row r="191" spans="13:45" ht="11.4">
      <c r="M191" s="562" t="str">
        <f>M190 &amp; ".P"</f>
        <v>CAC.P</v>
      </c>
      <c r="N191" s="531" t="s">
        <v>842</v>
      </c>
      <c r="O191" s="420" t="s">
        <v>23</v>
      </c>
      <c r="AB191" s="251"/>
      <c r="AC191" s="251"/>
      <c r="AD191" s="251"/>
      <c r="AE191" s="252"/>
      <c r="AF191" s="524"/>
      <c r="AG191" s="524"/>
      <c r="AH191" s="251"/>
      <c r="AI191" s="251"/>
      <c r="AJ191" s="251"/>
      <c r="AK191" s="247">
        <f>IF(AK192=0,0,AK190*1000/AK192)</f>
        <v>0</v>
      </c>
      <c r="AL191" s="221"/>
      <c r="AM191" s="221"/>
      <c r="AN191" s="251"/>
      <c r="AO191" s="251"/>
      <c r="AP191" s="251"/>
      <c r="AQ191" s="252"/>
      <c r="AR191" s="524"/>
      <c r="AS191" s="524"/>
    </row>
    <row r="192" spans="13:45" ht="11.4">
      <c r="M192" s="562" t="str">
        <f>M190 &amp; ".V"</f>
        <v>CAC.V</v>
      </c>
      <c r="N192" s="531" t="s">
        <v>245</v>
      </c>
      <c r="O192" s="420" t="s">
        <v>289</v>
      </c>
      <c r="AB192" s="251"/>
      <c r="AC192" s="251"/>
      <c r="AD192" s="251"/>
      <c r="AE192" s="524"/>
      <c r="AF192" s="524"/>
      <c r="AG192" s="524"/>
      <c r="AH192" s="251"/>
      <c r="AI192" s="251"/>
      <c r="AJ192" s="251"/>
      <c r="AK192" s="247">
        <f>AL192+AM192</f>
        <v>0</v>
      </c>
      <c r="AL192" s="221"/>
      <c r="AM192" s="221"/>
      <c r="AN192" s="251"/>
      <c r="AO192" s="251"/>
      <c r="AP192" s="251"/>
      <c r="AQ192" s="524"/>
      <c r="AR192" s="524"/>
      <c r="AS192" s="524"/>
    </row>
    <row r="193" spans="13:45" ht="11.4">
      <c r="M193" s="561" t="s">
        <v>2058</v>
      </c>
      <c r="N193" s="559" t="s">
        <v>1950</v>
      </c>
      <c r="O193" s="420" t="s">
        <v>195</v>
      </c>
      <c r="AB193" s="251"/>
      <c r="AC193" s="251"/>
      <c r="AD193" s="251"/>
      <c r="AE193" s="252"/>
      <c r="AF193" s="524"/>
      <c r="AG193" s="524"/>
      <c r="AH193" s="251"/>
      <c r="AI193" s="251"/>
      <c r="AJ193" s="251"/>
      <c r="AK193" s="247">
        <f>AL193+AM193</f>
        <v>0</v>
      </c>
      <c r="AL193" s="244">
        <f>AL194*AL195/1000</f>
        <v>0</v>
      </c>
      <c r="AM193" s="244">
        <f>AM194*AM195/1000</f>
        <v>0</v>
      </c>
      <c r="AN193" s="251"/>
      <c r="AO193" s="251"/>
      <c r="AP193" s="251"/>
      <c r="AQ193" s="252"/>
      <c r="AR193" s="524"/>
      <c r="AS193" s="524"/>
    </row>
    <row r="194" spans="13:45" ht="11.4">
      <c r="M194" s="562" t="str">
        <f>M193 &amp; ".P"</f>
        <v>CACL.P</v>
      </c>
      <c r="N194" s="531" t="s">
        <v>842</v>
      </c>
      <c r="O194" s="420" t="s">
        <v>23</v>
      </c>
      <c r="AB194" s="251"/>
      <c r="AC194" s="251"/>
      <c r="AD194" s="251"/>
      <c r="AE194" s="252"/>
      <c r="AF194" s="524"/>
      <c r="AG194" s="524"/>
      <c r="AH194" s="251"/>
      <c r="AI194" s="251"/>
      <c r="AJ194" s="251"/>
      <c r="AK194" s="247">
        <f>IF(AK195=0,0,AK193*1000/AK195)</f>
        <v>0</v>
      </c>
      <c r="AL194" s="221"/>
      <c r="AM194" s="221"/>
      <c r="AN194" s="251"/>
      <c r="AO194" s="251"/>
      <c r="AP194" s="251"/>
      <c r="AQ194" s="252"/>
      <c r="AR194" s="524"/>
      <c r="AS194" s="524"/>
    </row>
    <row r="195" spans="13:45" ht="11.4">
      <c r="M195" s="562" t="str">
        <f>M193 &amp; ".V"</f>
        <v>CACL.V</v>
      </c>
      <c r="N195" s="531" t="s">
        <v>245</v>
      </c>
      <c r="O195" s="420" t="s">
        <v>289</v>
      </c>
      <c r="AB195" s="251"/>
      <c r="AC195" s="251"/>
      <c r="AD195" s="251"/>
      <c r="AE195" s="524"/>
      <c r="AF195" s="524"/>
      <c r="AG195" s="524"/>
      <c r="AH195" s="251"/>
      <c r="AI195" s="251"/>
      <c r="AJ195" s="251"/>
      <c r="AK195" s="247">
        <f>AL195+AM195</f>
        <v>0</v>
      </c>
      <c r="AL195" s="221"/>
      <c r="AM195" s="221"/>
      <c r="AN195" s="251"/>
      <c r="AO195" s="251"/>
      <c r="AP195" s="251"/>
      <c r="AQ195" s="524"/>
      <c r="AR195" s="524"/>
      <c r="AS195" s="524"/>
    </row>
    <row r="196" spans="13:45" ht="11.4">
      <c r="M196" s="561" t="s">
        <v>2059</v>
      </c>
      <c r="N196" s="559" t="s">
        <v>1951</v>
      </c>
      <c r="O196" s="420" t="s">
        <v>195</v>
      </c>
      <c r="AB196" s="251"/>
      <c r="AC196" s="251"/>
      <c r="AD196" s="251"/>
      <c r="AE196" s="252"/>
      <c r="AF196" s="524"/>
      <c r="AG196" s="524"/>
      <c r="AH196" s="251"/>
      <c r="AI196" s="251"/>
      <c r="AJ196" s="251"/>
      <c r="AK196" s="247">
        <f>AL196+AM196</f>
        <v>0</v>
      </c>
      <c r="AL196" s="244">
        <f>AL197*AL198/1000</f>
        <v>0</v>
      </c>
      <c r="AM196" s="244">
        <f>AM197*AM198/1000</f>
        <v>0</v>
      </c>
      <c r="AN196" s="251"/>
      <c r="AO196" s="251"/>
      <c r="AP196" s="251"/>
      <c r="AQ196" s="252"/>
      <c r="AR196" s="524"/>
      <c r="AS196" s="524"/>
    </row>
    <row r="197" spans="13:45" ht="11.4">
      <c r="M197" s="562" t="str">
        <f>M196 &amp; ".P"</f>
        <v>CAHPCL.P</v>
      </c>
      <c r="N197" s="531" t="s">
        <v>842</v>
      </c>
      <c r="O197" s="420" t="s">
        <v>23</v>
      </c>
      <c r="AB197" s="251"/>
      <c r="AC197" s="251"/>
      <c r="AD197" s="251"/>
      <c r="AE197" s="252"/>
      <c r="AF197" s="524"/>
      <c r="AG197" s="524"/>
      <c r="AH197" s="251"/>
      <c r="AI197" s="251"/>
      <c r="AJ197" s="251"/>
      <c r="AK197" s="247">
        <f>IF(AK198=0,0,AK196*1000/AK198)</f>
        <v>0</v>
      </c>
      <c r="AL197" s="221"/>
      <c r="AM197" s="221"/>
      <c r="AN197" s="251"/>
      <c r="AO197" s="251"/>
      <c r="AP197" s="251"/>
      <c r="AQ197" s="252"/>
      <c r="AR197" s="524"/>
      <c r="AS197" s="524"/>
    </row>
    <row r="198" spans="13:45" ht="11.4">
      <c r="M198" s="562" t="str">
        <f>M196 &amp; ".V"</f>
        <v>CAHPCL.V</v>
      </c>
      <c r="N198" s="531" t="s">
        <v>245</v>
      </c>
      <c r="O198" s="420" t="s">
        <v>289</v>
      </c>
      <c r="AB198" s="251"/>
      <c r="AC198" s="251"/>
      <c r="AD198" s="251"/>
      <c r="AE198" s="524"/>
      <c r="AF198" s="524"/>
      <c r="AG198" s="524"/>
      <c r="AH198" s="251"/>
      <c r="AI198" s="251"/>
      <c r="AJ198" s="251"/>
      <c r="AK198" s="247">
        <f>AL198+AM198</f>
        <v>0</v>
      </c>
      <c r="AL198" s="221"/>
      <c r="AM198" s="221"/>
      <c r="AN198" s="251"/>
      <c r="AO198" s="251"/>
      <c r="AP198" s="251"/>
      <c r="AQ198" s="524"/>
      <c r="AR198" s="524"/>
      <c r="AS198" s="524"/>
    </row>
    <row r="199" spans="13:45" ht="11.4">
      <c r="M199" s="561" t="s">
        <v>2060</v>
      </c>
      <c r="N199" s="559" t="s">
        <v>1952</v>
      </c>
      <c r="O199" s="420" t="s">
        <v>195</v>
      </c>
      <c r="AB199" s="251"/>
      <c r="AC199" s="251"/>
      <c r="AD199" s="251"/>
      <c r="AE199" s="252"/>
      <c r="AF199" s="524"/>
      <c r="AG199" s="524"/>
      <c r="AH199" s="251"/>
      <c r="AI199" s="251"/>
      <c r="AJ199" s="251"/>
      <c r="AK199" s="247">
        <f>AL199+AM199</f>
        <v>0</v>
      </c>
      <c r="AL199" s="244">
        <f>AL200*AL201/1000</f>
        <v>0</v>
      </c>
      <c r="AM199" s="244">
        <f>AM200*AM201/1000</f>
        <v>0</v>
      </c>
      <c r="AN199" s="251"/>
      <c r="AO199" s="251"/>
      <c r="AP199" s="251"/>
      <c r="AQ199" s="252"/>
      <c r="AR199" s="524"/>
      <c r="AS199" s="524"/>
    </row>
    <row r="200" spans="13:45" ht="11.4">
      <c r="M200" s="562" t="str">
        <f>M199 &amp; ".P"</f>
        <v>SAND.P</v>
      </c>
      <c r="N200" s="531" t="s">
        <v>842</v>
      </c>
      <c r="O200" s="420" t="s">
        <v>23</v>
      </c>
      <c r="AB200" s="251"/>
      <c r="AC200" s="251"/>
      <c r="AD200" s="251"/>
      <c r="AE200" s="252"/>
      <c r="AF200" s="524"/>
      <c r="AG200" s="524"/>
      <c r="AH200" s="251"/>
      <c r="AI200" s="251"/>
      <c r="AJ200" s="251"/>
      <c r="AK200" s="247">
        <f>IF(AK201=0,0,AK199*1000/AK201)</f>
        <v>0</v>
      </c>
      <c r="AL200" s="221"/>
      <c r="AM200" s="221"/>
      <c r="AN200" s="251"/>
      <c r="AO200" s="251"/>
      <c r="AP200" s="251"/>
      <c r="AQ200" s="252"/>
      <c r="AR200" s="524"/>
      <c r="AS200" s="524"/>
    </row>
    <row r="201" spans="13:45" ht="11.4">
      <c r="M201" s="562" t="str">
        <f>M199 &amp; ".V"</f>
        <v>SAND.V</v>
      </c>
      <c r="N201" s="531" t="s">
        <v>245</v>
      </c>
      <c r="O201" s="420" t="s">
        <v>289</v>
      </c>
      <c r="AB201" s="251"/>
      <c r="AC201" s="251"/>
      <c r="AD201" s="251"/>
      <c r="AE201" s="524"/>
      <c r="AF201" s="524"/>
      <c r="AG201" s="524"/>
      <c r="AH201" s="251"/>
      <c r="AI201" s="251"/>
      <c r="AJ201" s="251"/>
      <c r="AK201" s="247">
        <f>AL201+AM201</f>
        <v>0</v>
      </c>
      <c r="AL201" s="221"/>
      <c r="AM201" s="221"/>
      <c r="AN201" s="251"/>
      <c r="AO201" s="251"/>
      <c r="AP201" s="251"/>
      <c r="AQ201" s="524"/>
      <c r="AR201" s="524"/>
      <c r="AS201" s="524"/>
    </row>
    <row r="202" spans="13:45" ht="11.4">
      <c r="M202" s="561" t="s">
        <v>2061</v>
      </c>
      <c r="N202" s="559" t="s">
        <v>1953</v>
      </c>
      <c r="O202" s="420" t="s">
        <v>195</v>
      </c>
      <c r="AB202" s="251"/>
      <c r="AC202" s="251"/>
      <c r="AD202" s="251"/>
      <c r="AE202" s="252"/>
      <c r="AF202" s="524"/>
      <c r="AG202" s="524"/>
      <c r="AH202" s="251"/>
      <c r="AI202" s="251"/>
      <c r="AJ202" s="251"/>
      <c r="AK202" s="247">
        <f>AL202+AM202</f>
        <v>0</v>
      </c>
      <c r="AL202" s="244">
        <f>AL203*AL204/1000</f>
        <v>0</v>
      </c>
      <c r="AM202" s="244">
        <f>AM203*AM204/1000</f>
        <v>0</v>
      </c>
      <c r="AN202" s="251"/>
      <c r="AO202" s="251"/>
      <c r="AP202" s="251"/>
      <c r="AQ202" s="252"/>
      <c r="AR202" s="524"/>
      <c r="AS202" s="524"/>
    </row>
    <row r="203" spans="13:45" ht="11.4">
      <c r="M203" s="562" t="str">
        <f>M202 &amp; ".P"</f>
        <v>ACIDN.P</v>
      </c>
      <c r="N203" s="531" t="s">
        <v>842</v>
      </c>
      <c r="O203" s="420" t="s">
        <v>23</v>
      </c>
      <c r="AB203" s="251"/>
      <c r="AC203" s="251"/>
      <c r="AD203" s="251"/>
      <c r="AE203" s="252"/>
      <c r="AF203" s="524"/>
      <c r="AG203" s="524"/>
      <c r="AH203" s="251"/>
      <c r="AI203" s="251"/>
      <c r="AJ203" s="251"/>
      <c r="AK203" s="247">
        <f>IF(AK204=0,0,AK202*1000/AK204)</f>
        <v>0</v>
      </c>
      <c r="AL203" s="221"/>
      <c r="AM203" s="221"/>
      <c r="AN203" s="251"/>
      <c r="AO203" s="251"/>
      <c r="AP203" s="251"/>
      <c r="AQ203" s="252"/>
      <c r="AR203" s="524"/>
      <c r="AS203" s="524"/>
    </row>
    <row r="204" spans="13:45" ht="11.4">
      <c r="M204" s="562" t="str">
        <f>M202 &amp; ".V"</f>
        <v>ACIDN.V</v>
      </c>
      <c r="N204" s="531" t="s">
        <v>245</v>
      </c>
      <c r="O204" s="420" t="s">
        <v>289</v>
      </c>
      <c r="AB204" s="251"/>
      <c r="AC204" s="251"/>
      <c r="AD204" s="251"/>
      <c r="AE204" s="524"/>
      <c r="AF204" s="524"/>
      <c r="AG204" s="524"/>
      <c r="AH204" s="251"/>
      <c r="AI204" s="251"/>
      <c r="AJ204" s="251"/>
      <c r="AK204" s="247">
        <f>AL204+AM204</f>
        <v>0</v>
      </c>
      <c r="AL204" s="221"/>
      <c r="AM204" s="221"/>
      <c r="AN204" s="251"/>
      <c r="AO204" s="251"/>
      <c r="AP204" s="251"/>
      <c r="AQ204" s="524"/>
      <c r="AR204" s="524"/>
      <c r="AS204" s="524"/>
    </row>
    <row r="205" spans="13:45" ht="11.4">
      <c r="M205" s="561" t="s">
        <v>2062</v>
      </c>
      <c r="N205" s="559" t="s">
        <v>1954</v>
      </c>
      <c r="O205" s="420" t="s">
        <v>195</v>
      </c>
      <c r="AB205" s="251"/>
      <c r="AC205" s="251"/>
      <c r="AD205" s="251"/>
      <c r="AE205" s="252"/>
      <c r="AF205" s="524"/>
      <c r="AG205" s="524"/>
      <c r="AH205" s="251"/>
      <c r="AI205" s="251"/>
      <c r="AJ205" s="251"/>
      <c r="AK205" s="247">
        <f>AL205+AM205</f>
        <v>0</v>
      </c>
      <c r="AL205" s="244">
        <f>AL206*AL207/1000</f>
        <v>0</v>
      </c>
      <c r="AM205" s="244">
        <f>AM206*AM207/1000</f>
        <v>0</v>
      </c>
      <c r="AN205" s="251"/>
      <c r="AO205" s="251"/>
      <c r="AP205" s="251"/>
      <c r="AQ205" s="252"/>
      <c r="AR205" s="524"/>
      <c r="AS205" s="524"/>
    </row>
    <row r="206" spans="13:45" ht="11.4">
      <c r="M206" s="562" t="str">
        <f>M205 &amp; ".P"</f>
        <v>ACIDA.P</v>
      </c>
      <c r="N206" s="531" t="s">
        <v>842</v>
      </c>
      <c r="O206" s="420" t="s">
        <v>23</v>
      </c>
      <c r="AB206" s="251"/>
      <c r="AC206" s="251"/>
      <c r="AD206" s="251"/>
      <c r="AE206" s="252"/>
      <c r="AF206" s="524"/>
      <c r="AG206" s="524"/>
      <c r="AH206" s="251"/>
      <c r="AI206" s="251"/>
      <c r="AJ206" s="251"/>
      <c r="AK206" s="247">
        <f>IF(AK207=0,0,AK205*1000/AK207)</f>
        <v>0</v>
      </c>
      <c r="AL206" s="221"/>
      <c r="AM206" s="221"/>
      <c r="AN206" s="251"/>
      <c r="AO206" s="251"/>
      <c r="AP206" s="251"/>
      <c r="AQ206" s="252"/>
      <c r="AR206" s="524"/>
      <c r="AS206" s="524"/>
    </row>
    <row r="207" spans="13:45" ht="11.4">
      <c r="M207" s="562" t="str">
        <f>M205 &amp; ".V"</f>
        <v>ACIDA.V</v>
      </c>
      <c r="N207" s="531" t="s">
        <v>245</v>
      </c>
      <c r="O207" s="420" t="s">
        <v>289</v>
      </c>
      <c r="AB207" s="251"/>
      <c r="AC207" s="251"/>
      <c r="AD207" s="251"/>
      <c r="AE207" s="524"/>
      <c r="AF207" s="524"/>
      <c r="AG207" s="524"/>
      <c r="AH207" s="251"/>
      <c r="AI207" s="251"/>
      <c r="AJ207" s="251"/>
      <c r="AK207" s="247">
        <f>AL207+AM207</f>
        <v>0</v>
      </c>
      <c r="AL207" s="221"/>
      <c r="AM207" s="221"/>
      <c r="AN207" s="251"/>
      <c r="AO207" s="251"/>
      <c r="AP207" s="251"/>
      <c r="AQ207" s="524"/>
      <c r="AR207" s="524"/>
      <c r="AS207" s="524"/>
    </row>
    <row r="208" spans="13:45" ht="11.4">
      <c r="M208" s="561" t="s">
        <v>2063</v>
      </c>
      <c r="N208" s="559" t="s">
        <v>1955</v>
      </c>
      <c r="O208" s="420" t="s">
        <v>195</v>
      </c>
      <c r="AB208" s="251"/>
      <c r="AC208" s="251"/>
      <c r="AD208" s="251"/>
      <c r="AE208" s="252"/>
      <c r="AF208" s="524"/>
      <c r="AG208" s="524"/>
      <c r="AH208" s="251"/>
      <c r="AI208" s="251"/>
      <c r="AJ208" s="251"/>
      <c r="AK208" s="247">
        <f>AL208+AM208</f>
        <v>0</v>
      </c>
      <c r="AL208" s="244">
        <f>AL209*AL210/1000</f>
        <v>0</v>
      </c>
      <c r="AM208" s="244">
        <f>AM209*AM210/1000</f>
        <v>0</v>
      </c>
      <c r="AN208" s="251"/>
      <c r="AO208" s="251"/>
      <c r="AP208" s="251"/>
      <c r="AQ208" s="252"/>
      <c r="AR208" s="524"/>
      <c r="AS208" s="524"/>
    </row>
    <row r="209" spans="13:45" ht="11.4">
      <c r="M209" s="562" t="str">
        <f>M208 &amp; ".P"</f>
        <v>ACIDL.P</v>
      </c>
      <c r="N209" s="531" t="s">
        <v>842</v>
      </c>
      <c r="O209" s="420" t="s">
        <v>23</v>
      </c>
      <c r="AB209" s="251"/>
      <c r="AC209" s="251"/>
      <c r="AD209" s="251"/>
      <c r="AE209" s="252"/>
      <c r="AF209" s="524"/>
      <c r="AG209" s="524"/>
      <c r="AH209" s="251"/>
      <c r="AI209" s="251"/>
      <c r="AJ209" s="251"/>
      <c r="AK209" s="247">
        <f>IF(AK210=0,0,AK208*1000/AK210)</f>
        <v>0</v>
      </c>
      <c r="AL209" s="221"/>
      <c r="AM209" s="221"/>
      <c r="AN209" s="251"/>
      <c r="AO209" s="251"/>
      <c r="AP209" s="251"/>
      <c r="AQ209" s="252"/>
      <c r="AR209" s="524"/>
      <c r="AS209" s="524"/>
    </row>
    <row r="210" spans="13:45" ht="11.4">
      <c r="M210" s="562" t="str">
        <f>M208 &amp; ".V"</f>
        <v>ACIDL.V</v>
      </c>
      <c r="N210" s="531" t="s">
        <v>245</v>
      </c>
      <c r="O210" s="420" t="s">
        <v>289</v>
      </c>
      <c r="AB210" s="251"/>
      <c r="AC210" s="251"/>
      <c r="AD210" s="251"/>
      <c r="AE210" s="524"/>
      <c r="AF210" s="524"/>
      <c r="AG210" s="524"/>
      <c r="AH210" s="251"/>
      <c r="AI210" s="251"/>
      <c r="AJ210" s="251"/>
      <c r="AK210" s="247">
        <f>AL210+AM210</f>
        <v>0</v>
      </c>
      <c r="AL210" s="221"/>
      <c r="AM210" s="221"/>
      <c r="AN210" s="251"/>
      <c r="AO210" s="251"/>
      <c r="AP210" s="251"/>
      <c r="AQ210" s="524"/>
      <c r="AR210" s="524"/>
      <c r="AS210" s="524"/>
    </row>
    <row r="211" spans="13:45" ht="11.4">
      <c r="M211" s="561" t="s">
        <v>2064</v>
      </c>
      <c r="N211" s="559" t="s">
        <v>1956</v>
      </c>
      <c r="O211" s="420" t="s">
        <v>195</v>
      </c>
      <c r="AB211" s="251"/>
      <c r="AC211" s="251"/>
      <c r="AD211" s="251"/>
      <c r="AE211" s="252"/>
      <c r="AF211" s="524"/>
      <c r="AG211" s="524"/>
      <c r="AH211" s="251"/>
      <c r="AI211" s="251"/>
      <c r="AJ211" s="251"/>
      <c r="AK211" s="247">
        <f>AL211+AM211</f>
        <v>0</v>
      </c>
      <c r="AL211" s="244">
        <f>AL212*AL213/1000</f>
        <v>0</v>
      </c>
      <c r="AM211" s="244">
        <f>AM212*AM213/1000</f>
        <v>0</v>
      </c>
      <c r="AN211" s="251"/>
      <c r="AO211" s="251"/>
      <c r="AP211" s="251"/>
      <c r="AQ211" s="252"/>
      <c r="AR211" s="524"/>
      <c r="AS211" s="524"/>
    </row>
    <row r="212" spans="13:45" ht="11.4">
      <c r="M212" s="562" t="str">
        <f>M211 &amp; ".P"</f>
        <v>AURIN.P</v>
      </c>
      <c r="N212" s="531" t="s">
        <v>842</v>
      </c>
      <c r="O212" s="420" t="s">
        <v>23</v>
      </c>
      <c r="AB212" s="251"/>
      <c r="AC212" s="251"/>
      <c r="AD212" s="251"/>
      <c r="AE212" s="252"/>
      <c r="AF212" s="524"/>
      <c r="AG212" s="524"/>
      <c r="AH212" s="251"/>
      <c r="AI212" s="251"/>
      <c r="AJ212" s="251"/>
      <c r="AK212" s="247">
        <f>IF(AK213=0,0,AK211*1000/AK213)</f>
        <v>0</v>
      </c>
      <c r="AL212" s="221"/>
      <c r="AM212" s="221"/>
      <c r="AN212" s="251"/>
      <c r="AO212" s="251"/>
      <c r="AP212" s="251"/>
      <c r="AQ212" s="252"/>
      <c r="AR212" s="524"/>
      <c r="AS212" s="524"/>
    </row>
    <row r="213" spans="13:45" ht="11.4">
      <c r="M213" s="562" t="str">
        <f>M211 &amp; ".V"</f>
        <v>AURIN.V</v>
      </c>
      <c r="N213" s="531" t="s">
        <v>245</v>
      </c>
      <c r="O213" s="420" t="s">
        <v>289</v>
      </c>
      <c r="AB213" s="251"/>
      <c r="AC213" s="251"/>
      <c r="AD213" s="251"/>
      <c r="AE213" s="524"/>
      <c r="AF213" s="524"/>
      <c r="AG213" s="524"/>
      <c r="AH213" s="251"/>
      <c r="AI213" s="251"/>
      <c r="AJ213" s="251"/>
      <c r="AK213" s="247">
        <f>AL213+AM213</f>
        <v>0</v>
      </c>
      <c r="AL213" s="221"/>
      <c r="AM213" s="221"/>
      <c r="AN213" s="251"/>
      <c r="AO213" s="251"/>
      <c r="AP213" s="251"/>
      <c r="AQ213" s="524"/>
      <c r="AR213" s="524"/>
      <c r="AS213" s="524"/>
    </row>
    <row r="214" spans="13:45" ht="11.4">
      <c r="M214" s="561" t="s">
        <v>2065</v>
      </c>
      <c r="N214" s="559" t="s">
        <v>1957</v>
      </c>
      <c r="O214" s="420" t="s">
        <v>195</v>
      </c>
      <c r="AB214" s="251"/>
      <c r="AC214" s="251"/>
      <c r="AD214" s="251"/>
      <c r="AE214" s="252"/>
      <c r="AF214" s="524"/>
      <c r="AG214" s="524"/>
      <c r="AH214" s="251"/>
      <c r="AI214" s="251"/>
      <c r="AJ214" s="251"/>
      <c r="AK214" s="247">
        <f>AL214+AM214</f>
        <v>0</v>
      </c>
      <c r="AL214" s="244">
        <f>AL215*AL216/1000</f>
        <v>0</v>
      </c>
      <c r="AM214" s="244">
        <f>AM215*AM216/1000</f>
        <v>0</v>
      </c>
      <c r="AN214" s="251"/>
      <c r="AO214" s="251"/>
      <c r="AP214" s="251"/>
      <c r="AQ214" s="252"/>
      <c r="AR214" s="524"/>
      <c r="AS214" s="524"/>
    </row>
    <row r="215" spans="13:45" ht="11.4">
      <c r="M215" s="562" t="str">
        <f>M214 &amp; ".P"</f>
        <v>ACIDS.P</v>
      </c>
      <c r="N215" s="531" t="s">
        <v>842</v>
      </c>
      <c r="O215" s="420" t="s">
        <v>23</v>
      </c>
      <c r="AB215" s="251"/>
      <c r="AC215" s="251"/>
      <c r="AD215" s="251"/>
      <c r="AE215" s="252"/>
      <c r="AF215" s="524"/>
      <c r="AG215" s="524"/>
      <c r="AH215" s="251"/>
      <c r="AI215" s="251"/>
      <c r="AJ215" s="251"/>
      <c r="AK215" s="247">
        <f>IF(AK216=0,0,AK214*1000/AK216)</f>
        <v>0</v>
      </c>
      <c r="AL215" s="221"/>
      <c r="AM215" s="221"/>
      <c r="AN215" s="251"/>
      <c r="AO215" s="251"/>
      <c r="AP215" s="251"/>
      <c r="AQ215" s="252"/>
      <c r="AR215" s="524"/>
      <c r="AS215" s="524"/>
    </row>
    <row r="216" spans="13:45" ht="11.4">
      <c r="M216" s="562" t="str">
        <f>M214 &amp; ".V"</f>
        <v>ACIDS.V</v>
      </c>
      <c r="N216" s="531" t="s">
        <v>245</v>
      </c>
      <c r="O216" s="420" t="s">
        <v>289</v>
      </c>
      <c r="AB216" s="251"/>
      <c r="AC216" s="251"/>
      <c r="AD216" s="251"/>
      <c r="AE216" s="524"/>
      <c r="AF216" s="524"/>
      <c r="AG216" s="524"/>
      <c r="AH216" s="251"/>
      <c r="AI216" s="251"/>
      <c r="AJ216" s="251"/>
      <c r="AK216" s="247">
        <f>AL216+AM216</f>
        <v>0</v>
      </c>
      <c r="AL216" s="221"/>
      <c r="AM216" s="221"/>
      <c r="AN216" s="251"/>
      <c r="AO216" s="251"/>
      <c r="AP216" s="251"/>
      <c r="AQ216" s="524"/>
      <c r="AR216" s="524"/>
      <c r="AS216" s="524"/>
    </row>
    <row r="217" spans="13:45" ht="11.4">
      <c r="M217" s="561" t="s">
        <v>2066</v>
      </c>
      <c r="N217" s="559" t="s">
        <v>1958</v>
      </c>
      <c r="O217" s="420" t="s">
        <v>195</v>
      </c>
      <c r="AB217" s="251"/>
      <c r="AC217" s="251"/>
      <c r="AD217" s="251"/>
      <c r="AE217" s="252"/>
      <c r="AF217" s="524"/>
      <c r="AG217" s="524"/>
      <c r="AH217" s="251"/>
      <c r="AI217" s="251"/>
      <c r="AJ217" s="251"/>
      <c r="AK217" s="247">
        <f>AL217+AM217</f>
        <v>0</v>
      </c>
      <c r="AL217" s="244">
        <f>AL218*AL219/1000</f>
        <v>0</v>
      </c>
      <c r="AM217" s="244">
        <f>AM218*AM219/1000</f>
        <v>0</v>
      </c>
      <c r="AN217" s="251"/>
      <c r="AO217" s="251"/>
      <c r="AP217" s="251"/>
      <c r="AQ217" s="252"/>
      <c r="AR217" s="524"/>
      <c r="AS217" s="524"/>
    </row>
    <row r="218" spans="13:45" ht="11.4">
      <c r="M218" s="562" t="str">
        <f>M217 &amp; ".P"</f>
        <v>ADIDCL.P</v>
      </c>
      <c r="N218" s="531" t="s">
        <v>842</v>
      </c>
      <c r="O218" s="420" t="s">
        <v>23</v>
      </c>
      <c r="AB218" s="251"/>
      <c r="AC218" s="251"/>
      <c r="AD218" s="251"/>
      <c r="AE218" s="252"/>
      <c r="AF218" s="524"/>
      <c r="AG218" s="524"/>
      <c r="AH218" s="251"/>
      <c r="AI218" s="251"/>
      <c r="AJ218" s="251"/>
      <c r="AK218" s="247">
        <f>IF(AK219=0,0,AK217*1000/AK219)</f>
        <v>0</v>
      </c>
      <c r="AL218" s="221"/>
      <c r="AM218" s="221"/>
      <c r="AN218" s="251"/>
      <c r="AO218" s="251"/>
      <c r="AP218" s="251"/>
      <c r="AQ218" s="252"/>
      <c r="AR218" s="524"/>
      <c r="AS218" s="524"/>
    </row>
    <row r="219" spans="13:45" ht="11.4">
      <c r="M219" s="562" t="str">
        <f>M217 &amp; ".V"</f>
        <v>ADIDCL.V</v>
      </c>
      <c r="N219" s="531" t="s">
        <v>245</v>
      </c>
      <c r="O219" s="420" t="s">
        <v>289</v>
      </c>
      <c r="AB219" s="251"/>
      <c r="AC219" s="251"/>
      <c r="AD219" s="251"/>
      <c r="AE219" s="524"/>
      <c r="AF219" s="524"/>
      <c r="AG219" s="524"/>
      <c r="AH219" s="251"/>
      <c r="AI219" s="251"/>
      <c r="AJ219" s="251"/>
      <c r="AK219" s="247">
        <f>AL219+AM219</f>
        <v>0</v>
      </c>
      <c r="AL219" s="221"/>
      <c r="AM219" s="221"/>
      <c r="AN219" s="251"/>
      <c r="AO219" s="251"/>
      <c r="AP219" s="251"/>
      <c r="AQ219" s="524"/>
      <c r="AR219" s="524"/>
      <c r="AS219" s="524"/>
    </row>
    <row r="220" spans="13:45" ht="11.4">
      <c r="M220" s="561" t="s">
        <v>2067</v>
      </c>
      <c r="N220" s="559" t="s">
        <v>1959</v>
      </c>
      <c r="O220" s="420" t="s">
        <v>195</v>
      </c>
      <c r="AB220" s="251"/>
      <c r="AC220" s="251"/>
      <c r="AD220" s="251"/>
      <c r="AE220" s="252"/>
      <c r="AF220" s="524"/>
      <c r="AG220" s="524"/>
      <c r="AH220" s="251"/>
      <c r="AI220" s="251"/>
      <c r="AJ220" s="251"/>
      <c r="AK220" s="247">
        <f>AL220+AM220</f>
        <v>0</v>
      </c>
      <c r="AL220" s="244">
        <f>AL221*AL222/1000</f>
        <v>0</v>
      </c>
      <c r="AM220" s="244">
        <f>AM221*AM222/1000</f>
        <v>0</v>
      </c>
      <c r="AN220" s="251"/>
      <c r="AO220" s="251"/>
      <c r="AP220" s="251"/>
      <c r="AQ220" s="252"/>
      <c r="AR220" s="524"/>
      <c r="AS220" s="524"/>
    </row>
    <row r="221" spans="13:45" ht="11.4">
      <c r="M221" s="562" t="str">
        <f>M220 &amp; ".P"</f>
        <v>ACIDAC.P</v>
      </c>
      <c r="N221" s="531" t="s">
        <v>842</v>
      </c>
      <c r="O221" s="420" t="s">
        <v>23</v>
      </c>
      <c r="AB221" s="251"/>
      <c r="AC221" s="251"/>
      <c r="AD221" s="251"/>
      <c r="AE221" s="252"/>
      <c r="AF221" s="524"/>
      <c r="AG221" s="524"/>
      <c r="AH221" s="251"/>
      <c r="AI221" s="251"/>
      <c r="AJ221" s="251"/>
      <c r="AK221" s="247">
        <f>IF(AK222=0,0,AK220*1000/AK222)</f>
        <v>0</v>
      </c>
      <c r="AL221" s="221"/>
      <c r="AM221" s="221"/>
      <c r="AN221" s="251"/>
      <c r="AO221" s="251"/>
      <c r="AP221" s="251"/>
      <c r="AQ221" s="252"/>
      <c r="AR221" s="524"/>
      <c r="AS221" s="524"/>
    </row>
    <row r="222" spans="13:45" ht="11.4">
      <c r="M222" s="562" t="str">
        <f>M220 &amp; ".V"</f>
        <v>ACIDAC.V</v>
      </c>
      <c r="N222" s="531" t="s">
        <v>245</v>
      </c>
      <c r="O222" s="420" t="s">
        <v>289</v>
      </c>
      <c r="AB222" s="251"/>
      <c r="AC222" s="251"/>
      <c r="AD222" s="251"/>
      <c r="AE222" s="524"/>
      <c r="AF222" s="524"/>
      <c r="AG222" s="524"/>
      <c r="AH222" s="251"/>
      <c r="AI222" s="251"/>
      <c r="AJ222" s="251"/>
      <c r="AK222" s="247">
        <f>AL222+AM222</f>
        <v>0</v>
      </c>
      <c r="AL222" s="221"/>
      <c r="AM222" s="221"/>
      <c r="AN222" s="251"/>
      <c r="AO222" s="251"/>
      <c r="AP222" s="251"/>
      <c r="AQ222" s="524"/>
      <c r="AR222" s="524"/>
      <c r="AS222" s="524"/>
    </row>
    <row r="223" spans="13:45" ht="11.4">
      <c r="M223" s="561" t="s">
        <v>2068</v>
      </c>
      <c r="N223" s="559" t="s">
        <v>1960</v>
      </c>
      <c r="O223" s="420" t="s">
        <v>195</v>
      </c>
      <c r="AB223" s="251"/>
      <c r="AC223" s="251"/>
      <c r="AD223" s="251"/>
      <c r="AE223" s="252"/>
      <c r="AF223" s="524"/>
      <c r="AG223" s="524"/>
      <c r="AH223" s="251"/>
      <c r="AI223" s="251"/>
      <c r="AJ223" s="251"/>
      <c r="AK223" s="247">
        <f>AL223+AM223</f>
        <v>0</v>
      </c>
      <c r="AL223" s="244">
        <f>AL224*AL225/1000</f>
        <v>0</v>
      </c>
      <c r="AM223" s="244">
        <f>AM224*AM225/1000</f>
        <v>0</v>
      </c>
      <c r="AN223" s="251"/>
      <c r="AO223" s="251"/>
      <c r="AP223" s="251"/>
      <c r="AQ223" s="252"/>
      <c r="AR223" s="524"/>
      <c r="AS223" s="524"/>
    </row>
    <row r="224" spans="13:45" ht="11.4">
      <c r="M224" s="562" t="str">
        <f>M223 &amp; ".P"</f>
        <v>ACIDOX.P</v>
      </c>
      <c r="N224" s="531" t="s">
        <v>842</v>
      </c>
      <c r="O224" s="420" t="s">
        <v>23</v>
      </c>
      <c r="AB224" s="251"/>
      <c r="AC224" s="251"/>
      <c r="AD224" s="251"/>
      <c r="AE224" s="252"/>
      <c r="AF224" s="524"/>
      <c r="AG224" s="524"/>
      <c r="AH224" s="251"/>
      <c r="AI224" s="251"/>
      <c r="AJ224" s="251"/>
      <c r="AK224" s="247">
        <f>IF(AK225=0,0,AK223*1000/AK225)</f>
        <v>0</v>
      </c>
      <c r="AL224" s="221"/>
      <c r="AM224" s="221"/>
      <c r="AN224" s="251"/>
      <c r="AO224" s="251"/>
      <c r="AP224" s="251"/>
      <c r="AQ224" s="252"/>
      <c r="AR224" s="524"/>
      <c r="AS224" s="524"/>
    </row>
    <row r="225" spans="13:45" ht="11.4">
      <c r="M225" s="562" t="str">
        <f>M223 &amp; ".V"</f>
        <v>ACIDOX.V</v>
      </c>
      <c r="N225" s="531" t="s">
        <v>245</v>
      </c>
      <c r="O225" s="420" t="s">
        <v>289</v>
      </c>
      <c r="AB225" s="251"/>
      <c r="AC225" s="251"/>
      <c r="AD225" s="251"/>
      <c r="AE225" s="524"/>
      <c r="AF225" s="524"/>
      <c r="AG225" s="524"/>
      <c r="AH225" s="251"/>
      <c r="AI225" s="251"/>
      <c r="AJ225" s="251"/>
      <c r="AK225" s="247">
        <f>AL225+AM225</f>
        <v>0</v>
      </c>
      <c r="AL225" s="221"/>
      <c r="AM225" s="221"/>
      <c r="AN225" s="251"/>
      <c r="AO225" s="251"/>
      <c r="AP225" s="251"/>
      <c r="AQ225" s="524"/>
      <c r="AR225" s="524"/>
      <c r="AS225" s="524"/>
    </row>
    <row r="226" spans="13:45" ht="11.4">
      <c r="M226" s="561" t="s">
        <v>2069</v>
      </c>
      <c r="N226" s="559" t="s">
        <v>1961</v>
      </c>
      <c r="O226" s="420" t="s">
        <v>195</v>
      </c>
      <c r="AB226" s="251"/>
      <c r="AC226" s="251"/>
      <c r="AD226" s="251"/>
      <c r="AE226" s="252"/>
      <c r="AF226" s="524"/>
      <c r="AG226" s="524"/>
      <c r="AH226" s="251"/>
      <c r="AI226" s="251"/>
      <c r="AJ226" s="251"/>
      <c r="AK226" s="247">
        <f>AL226+AM226</f>
        <v>0</v>
      </c>
      <c r="AL226" s="244">
        <f>AL227*AL228/1000</f>
        <v>0</v>
      </c>
      <c r="AM226" s="244">
        <f>AM227*AM228/1000</f>
        <v>0</v>
      </c>
      <c r="AN226" s="251"/>
      <c r="AO226" s="251"/>
      <c r="AP226" s="251"/>
      <c r="AQ226" s="252"/>
      <c r="AR226" s="524"/>
      <c r="AS226" s="524"/>
    </row>
    <row r="227" spans="13:45" ht="11.4">
      <c r="M227" s="562" t="str">
        <f>M226 &amp; ".P"</f>
        <v>STARCH.P</v>
      </c>
      <c r="N227" s="531" t="s">
        <v>842</v>
      </c>
      <c r="O227" s="420" t="s">
        <v>23</v>
      </c>
      <c r="AB227" s="251"/>
      <c r="AC227" s="251"/>
      <c r="AD227" s="251"/>
      <c r="AE227" s="252"/>
      <c r="AF227" s="524"/>
      <c r="AG227" s="524"/>
      <c r="AH227" s="251"/>
      <c r="AI227" s="251"/>
      <c r="AJ227" s="251"/>
      <c r="AK227" s="247">
        <f>IF(AK228=0,0,AK226*1000/AK228)</f>
        <v>0</v>
      </c>
      <c r="AL227" s="221"/>
      <c r="AM227" s="221"/>
      <c r="AN227" s="251"/>
      <c r="AO227" s="251"/>
      <c r="AP227" s="251"/>
      <c r="AQ227" s="252"/>
      <c r="AR227" s="524"/>
      <c r="AS227" s="524"/>
    </row>
    <row r="228" spans="13:45" ht="11.4">
      <c r="M228" s="562" t="str">
        <f>M226 &amp; ".V"</f>
        <v>STARCH.V</v>
      </c>
      <c r="N228" s="531" t="s">
        <v>245</v>
      </c>
      <c r="O228" s="420" t="s">
        <v>289</v>
      </c>
      <c r="AB228" s="251"/>
      <c r="AC228" s="251"/>
      <c r="AD228" s="251"/>
      <c r="AE228" s="524"/>
      <c r="AF228" s="524"/>
      <c r="AG228" s="524"/>
      <c r="AH228" s="251"/>
      <c r="AI228" s="251"/>
      <c r="AJ228" s="251"/>
      <c r="AK228" s="247">
        <f>AL228+AM228</f>
        <v>0</v>
      </c>
      <c r="AL228" s="221"/>
      <c r="AM228" s="221"/>
      <c r="AN228" s="251"/>
      <c r="AO228" s="251"/>
      <c r="AP228" s="251"/>
      <c r="AQ228" s="524"/>
      <c r="AR228" s="524"/>
      <c r="AS228" s="524"/>
    </row>
    <row r="229" spans="13:45" ht="11.4">
      <c r="M229" s="561" t="s">
        <v>2070</v>
      </c>
      <c r="N229" s="559" t="s">
        <v>1962</v>
      </c>
      <c r="O229" s="420" t="s">
        <v>195</v>
      </c>
      <c r="AB229" s="251"/>
      <c r="AC229" s="251"/>
      <c r="AD229" s="251"/>
      <c r="AE229" s="252"/>
      <c r="AF229" s="524"/>
      <c r="AG229" s="524"/>
      <c r="AH229" s="251"/>
      <c r="AI229" s="251"/>
      <c r="AJ229" s="251"/>
      <c r="AK229" s="247">
        <f>AL229+AM229</f>
        <v>0</v>
      </c>
      <c r="AL229" s="244">
        <f>AL230*AL231/1000</f>
        <v>0</v>
      </c>
      <c r="AM229" s="244">
        <f>AM230*AM231/1000</f>
        <v>0</v>
      </c>
      <c r="AN229" s="251"/>
      <c r="AO229" s="251"/>
      <c r="AP229" s="251"/>
      <c r="AQ229" s="252"/>
      <c r="AR229" s="524"/>
      <c r="AS229" s="524"/>
    </row>
    <row r="230" spans="13:45" ht="11.4">
      <c r="M230" s="562" t="str">
        <f>M229 &amp; ".P"</f>
        <v>LANTN.P</v>
      </c>
      <c r="N230" s="531" t="s">
        <v>842</v>
      </c>
      <c r="O230" s="420" t="s">
        <v>23</v>
      </c>
      <c r="AB230" s="251"/>
      <c r="AC230" s="251"/>
      <c r="AD230" s="251"/>
      <c r="AE230" s="252"/>
      <c r="AF230" s="524"/>
      <c r="AG230" s="524"/>
      <c r="AH230" s="251"/>
      <c r="AI230" s="251"/>
      <c r="AJ230" s="251"/>
      <c r="AK230" s="247">
        <f>IF(AK231=0,0,AK229*1000/AK231)</f>
        <v>0</v>
      </c>
      <c r="AL230" s="221"/>
      <c r="AM230" s="221"/>
      <c r="AN230" s="251"/>
      <c r="AO230" s="251"/>
      <c r="AP230" s="251"/>
      <c r="AQ230" s="252"/>
      <c r="AR230" s="524"/>
      <c r="AS230" s="524"/>
    </row>
    <row r="231" spans="13:45" ht="11.4">
      <c r="M231" s="562" t="str">
        <f>M229 &amp; ".V"</f>
        <v>LANTN.V</v>
      </c>
      <c r="N231" s="531" t="s">
        <v>245</v>
      </c>
      <c r="O231" s="420" t="s">
        <v>289</v>
      </c>
      <c r="AB231" s="251"/>
      <c r="AC231" s="251"/>
      <c r="AD231" s="251"/>
      <c r="AE231" s="524"/>
      <c r="AF231" s="524"/>
      <c r="AG231" s="524"/>
      <c r="AH231" s="251"/>
      <c r="AI231" s="251"/>
      <c r="AJ231" s="251"/>
      <c r="AK231" s="247">
        <f>AL231+AM231</f>
        <v>0</v>
      </c>
      <c r="AL231" s="221"/>
      <c r="AM231" s="221"/>
      <c r="AN231" s="251"/>
      <c r="AO231" s="251"/>
      <c r="AP231" s="251"/>
      <c r="AQ231" s="524"/>
      <c r="AR231" s="524"/>
      <c r="AS231" s="524"/>
    </row>
    <row r="232" spans="13:45" ht="11.4">
      <c r="M232" s="561" t="s">
        <v>2071</v>
      </c>
      <c r="N232" s="559" t="s">
        <v>1963</v>
      </c>
      <c r="O232" s="420" t="s">
        <v>195</v>
      </c>
      <c r="AB232" s="251"/>
      <c r="AC232" s="251"/>
      <c r="AD232" s="251"/>
      <c r="AE232" s="252"/>
      <c r="AF232" s="524"/>
      <c r="AG232" s="524"/>
      <c r="AH232" s="251"/>
      <c r="AI232" s="251"/>
      <c r="AJ232" s="251"/>
      <c r="AK232" s="247">
        <f>AL232+AM232</f>
        <v>0</v>
      </c>
      <c r="AL232" s="244">
        <f>AL233*AL234/1000</f>
        <v>0</v>
      </c>
      <c r="AM232" s="244">
        <f>AM233*AM234/1000</f>
        <v>0</v>
      </c>
      <c r="AN232" s="251"/>
      <c r="AO232" s="251"/>
      <c r="AP232" s="251"/>
      <c r="AQ232" s="252"/>
      <c r="AR232" s="524"/>
      <c r="AS232" s="524"/>
    </row>
    <row r="233" spans="13:45" ht="11.4">
      <c r="M233" s="562" t="str">
        <f>M232 &amp; ".P"</f>
        <v>MGS.P</v>
      </c>
      <c r="N233" s="531" t="s">
        <v>842</v>
      </c>
      <c r="O233" s="420" t="s">
        <v>23</v>
      </c>
      <c r="AB233" s="251"/>
      <c r="AC233" s="251"/>
      <c r="AD233" s="251"/>
      <c r="AE233" s="252"/>
      <c r="AF233" s="524"/>
      <c r="AG233" s="524"/>
      <c r="AH233" s="251"/>
      <c r="AI233" s="251"/>
      <c r="AJ233" s="251"/>
      <c r="AK233" s="247">
        <f>IF(AK234=0,0,AK232*1000/AK234)</f>
        <v>0</v>
      </c>
      <c r="AL233" s="221"/>
      <c r="AM233" s="221"/>
      <c r="AN233" s="251"/>
      <c r="AO233" s="251"/>
      <c r="AP233" s="251"/>
      <c r="AQ233" s="252"/>
      <c r="AR233" s="524"/>
      <c r="AS233" s="524"/>
    </row>
    <row r="234" spans="13:45" ht="11.4">
      <c r="M234" s="562" t="str">
        <f>M232 &amp; ".V"</f>
        <v>MGS.V</v>
      </c>
      <c r="N234" s="531" t="s">
        <v>245</v>
      </c>
      <c r="O234" s="420" t="s">
        <v>289</v>
      </c>
      <c r="AB234" s="251"/>
      <c r="AC234" s="251"/>
      <c r="AD234" s="251"/>
      <c r="AE234" s="524"/>
      <c r="AF234" s="524"/>
      <c r="AG234" s="524"/>
      <c r="AH234" s="251"/>
      <c r="AI234" s="251"/>
      <c r="AJ234" s="251"/>
      <c r="AK234" s="247">
        <f>AL234+AM234</f>
        <v>0</v>
      </c>
      <c r="AL234" s="221"/>
      <c r="AM234" s="221"/>
      <c r="AN234" s="251"/>
      <c r="AO234" s="251"/>
      <c r="AP234" s="251"/>
      <c r="AQ234" s="524"/>
      <c r="AR234" s="524"/>
      <c r="AS234" s="524"/>
    </row>
    <row r="235" spans="13:45" ht="20.399999999999999">
      <c r="M235" s="639" t="s">
        <v>2329</v>
      </c>
      <c r="N235" s="559" t="s">
        <v>2330</v>
      </c>
      <c r="O235" s="420" t="s">
        <v>195</v>
      </c>
      <c r="AB235" s="251"/>
      <c r="AC235" s="251"/>
      <c r="AD235" s="251"/>
      <c r="AE235" s="252"/>
      <c r="AF235" s="524"/>
      <c r="AG235" s="524"/>
      <c r="AH235" s="251"/>
      <c r="AI235" s="251"/>
      <c r="AJ235" s="251"/>
      <c r="AK235" s="247">
        <f>AL235+AM235</f>
        <v>0</v>
      </c>
      <c r="AL235" s="244">
        <f>AL236*AL237/1000</f>
        <v>0</v>
      </c>
      <c r="AM235" s="244">
        <f>AM236*AM237/1000</f>
        <v>0</v>
      </c>
      <c r="AN235" s="251"/>
      <c r="AO235" s="251"/>
      <c r="AP235" s="251"/>
      <c r="AQ235" s="252"/>
      <c r="AR235" s="524"/>
      <c r="AS235" s="524"/>
    </row>
    <row r="236" spans="13:45" ht="11.4">
      <c r="M236" s="639" t="str">
        <f>M235 &amp; ".P"</f>
        <v>FLOSPERSE.P</v>
      </c>
      <c r="N236" s="531" t="s">
        <v>842</v>
      </c>
      <c r="O236" s="420" t="s">
        <v>23</v>
      </c>
      <c r="AB236" s="251"/>
      <c r="AC236" s="251"/>
      <c r="AD236" s="251"/>
      <c r="AE236" s="252"/>
      <c r="AF236" s="524"/>
      <c r="AG236" s="524"/>
      <c r="AH236" s="251"/>
      <c r="AI236" s="251"/>
      <c r="AJ236" s="251"/>
      <c r="AK236" s="247">
        <f>IF(AK237=0,0,AK235*1000/AK237)</f>
        <v>0</v>
      </c>
      <c r="AL236" s="221"/>
      <c r="AM236" s="221"/>
      <c r="AN236" s="251"/>
      <c r="AO236" s="251"/>
      <c r="AP236" s="251"/>
      <c r="AQ236" s="252"/>
      <c r="AR236" s="524"/>
      <c r="AS236" s="524"/>
    </row>
    <row r="237" spans="13:45" ht="11.4">
      <c r="M237" s="639" t="str">
        <f>M235 &amp; ".V"</f>
        <v>FLOSPERSE.V</v>
      </c>
      <c r="N237" s="531" t="s">
        <v>245</v>
      </c>
      <c r="O237" s="420" t="s">
        <v>289</v>
      </c>
      <c r="AB237" s="251"/>
      <c r="AC237" s="251"/>
      <c r="AD237" s="251"/>
      <c r="AE237" s="524"/>
      <c r="AF237" s="524"/>
      <c r="AG237" s="524"/>
      <c r="AH237" s="251"/>
      <c r="AI237" s="251"/>
      <c r="AJ237" s="251"/>
      <c r="AK237" s="247">
        <f>AL237+AM237</f>
        <v>0</v>
      </c>
      <c r="AL237" s="221"/>
      <c r="AM237" s="221"/>
      <c r="AN237" s="251"/>
      <c r="AO237" s="251"/>
      <c r="AP237" s="251"/>
      <c r="AQ237" s="524"/>
      <c r="AR237" s="524"/>
      <c r="AS237" s="524"/>
    </row>
    <row r="238" spans="13:45" ht="11.4">
      <c r="M238" s="561" t="s">
        <v>2072</v>
      </c>
      <c r="N238" s="559" t="s">
        <v>1964</v>
      </c>
      <c r="O238" s="420" t="s">
        <v>195</v>
      </c>
      <c r="AB238" s="251"/>
      <c r="AC238" s="251"/>
      <c r="AD238" s="251"/>
      <c r="AE238" s="252"/>
      <c r="AF238" s="524"/>
      <c r="AG238" s="524"/>
      <c r="AH238" s="251"/>
      <c r="AI238" s="251"/>
      <c r="AJ238" s="251"/>
      <c r="AK238" s="247">
        <f>AL238+AM238</f>
        <v>0</v>
      </c>
      <c r="AL238" s="244">
        <f>AL239*AL240/1000</f>
        <v>0</v>
      </c>
      <c r="AM238" s="244">
        <f>AM239*AM240/1000</f>
        <v>0</v>
      </c>
      <c r="AN238" s="251"/>
      <c r="AO238" s="251"/>
      <c r="AP238" s="251"/>
      <c r="AQ238" s="252"/>
      <c r="AR238" s="524"/>
      <c r="AS238" s="524"/>
    </row>
    <row r="239" spans="13:45" ht="11.4">
      <c r="M239" s="562" t="str">
        <f>M238 &amp; ".P"</f>
        <v>NATR.P</v>
      </c>
      <c r="N239" s="531" t="s">
        <v>842</v>
      </c>
      <c r="O239" s="420" t="s">
        <v>23</v>
      </c>
      <c r="AB239" s="251"/>
      <c r="AC239" s="251"/>
      <c r="AD239" s="251"/>
      <c r="AE239" s="252"/>
      <c r="AF239" s="524"/>
      <c r="AG239" s="524"/>
      <c r="AH239" s="251"/>
      <c r="AI239" s="251"/>
      <c r="AJ239" s="251"/>
      <c r="AK239" s="247">
        <f>IF(AK240=0,0,AK238*1000/AK240)</f>
        <v>0</v>
      </c>
      <c r="AL239" s="221"/>
      <c r="AM239" s="221"/>
      <c r="AN239" s="251"/>
      <c r="AO239" s="251"/>
      <c r="AP239" s="251"/>
      <c r="AQ239" s="252"/>
      <c r="AR239" s="524"/>
      <c r="AS239" s="524"/>
    </row>
    <row r="240" spans="13:45" ht="11.4">
      <c r="M240" s="562" t="str">
        <f>M238 &amp; ".V"</f>
        <v>NATR.V</v>
      </c>
      <c r="N240" s="531" t="s">
        <v>245</v>
      </c>
      <c r="O240" s="420" t="s">
        <v>289</v>
      </c>
      <c r="AB240" s="251"/>
      <c r="AC240" s="251"/>
      <c r="AD240" s="251"/>
      <c r="AE240" s="524"/>
      <c r="AF240" s="524"/>
      <c r="AG240" s="524"/>
      <c r="AH240" s="251"/>
      <c r="AI240" s="251"/>
      <c r="AJ240" s="251"/>
      <c r="AK240" s="247">
        <f>AL240+AM240</f>
        <v>0</v>
      </c>
      <c r="AL240" s="221"/>
      <c r="AM240" s="221"/>
      <c r="AN240" s="251"/>
      <c r="AO240" s="251"/>
      <c r="AP240" s="251"/>
      <c r="AQ240" s="524"/>
      <c r="AR240" s="524"/>
      <c r="AS240" s="524"/>
    </row>
    <row r="241" spans="13:45" ht="11.4">
      <c r="M241" s="561" t="s">
        <v>2074</v>
      </c>
      <c r="N241" s="559" t="s">
        <v>1965</v>
      </c>
      <c r="O241" s="420" t="s">
        <v>195</v>
      </c>
      <c r="AB241" s="251"/>
      <c r="AC241" s="251"/>
      <c r="AD241" s="251"/>
      <c r="AE241" s="252"/>
      <c r="AF241" s="524"/>
      <c r="AG241" s="524"/>
      <c r="AH241" s="251"/>
      <c r="AI241" s="251"/>
      <c r="AJ241" s="251"/>
      <c r="AK241" s="247">
        <f>AL241+AM241</f>
        <v>0</v>
      </c>
      <c r="AL241" s="244">
        <f>AL242*AL243/1000</f>
        <v>0</v>
      </c>
      <c r="AM241" s="244">
        <f>AM242*AM243/1000</f>
        <v>0</v>
      </c>
      <c r="AN241" s="251"/>
      <c r="AO241" s="251"/>
      <c r="AP241" s="251"/>
      <c r="AQ241" s="252"/>
      <c r="AR241" s="524"/>
      <c r="AS241" s="524"/>
    </row>
    <row r="242" spans="13:45" ht="11.4">
      <c r="M242" s="562" t="str">
        <f>M241 &amp; ".P"</f>
        <v>NAHDOX.P</v>
      </c>
      <c r="N242" s="531" t="s">
        <v>842</v>
      </c>
      <c r="O242" s="420" t="s">
        <v>23</v>
      </c>
      <c r="AB242" s="251"/>
      <c r="AC242" s="251"/>
      <c r="AD242" s="251"/>
      <c r="AE242" s="252"/>
      <c r="AF242" s="524"/>
      <c r="AG242" s="524"/>
      <c r="AH242" s="251"/>
      <c r="AI242" s="251"/>
      <c r="AJ242" s="251"/>
      <c r="AK242" s="247">
        <f>IF(AK243=0,0,AK241*1000/AK243)</f>
        <v>0</v>
      </c>
      <c r="AL242" s="221"/>
      <c r="AM242" s="221"/>
      <c r="AN242" s="251"/>
      <c r="AO242" s="251"/>
      <c r="AP242" s="251"/>
      <c r="AQ242" s="252"/>
      <c r="AR242" s="524"/>
      <c r="AS242" s="524"/>
    </row>
    <row r="243" spans="13:45" ht="11.4">
      <c r="M243" s="562" t="str">
        <f>M241 &amp; ".V"</f>
        <v>NAHDOX.V</v>
      </c>
      <c r="N243" s="531" t="s">
        <v>245</v>
      </c>
      <c r="O243" s="420" t="s">
        <v>289</v>
      </c>
      <c r="AB243" s="251"/>
      <c r="AC243" s="251"/>
      <c r="AD243" s="251"/>
      <c r="AE243" s="524"/>
      <c r="AF243" s="524"/>
      <c r="AG243" s="524"/>
      <c r="AH243" s="251"/>
      <c r="AI243" s="251"/>
      <c r="AJ243" s="251"/>
      <c r="AK243" s="247">
        <f>AL243+AM243</f>
        <v>0</v>
      </c>
      <c r="AL243" s="221"/>
      <c r="AM243" s="221"/>
      <c r="AN243" s="251"/>
      <c r="AO243" s="251"/>
      <c r="AP243" s="251"/>
      <c r="AQ243" s="524"/>
      <c r="AR243" s="524"/>
      <c r="AS243" s="524"/>
    </row>
    <row r="244" spans="13:45" ht="11.4">
      <c r="M244" s="561" t="s">
        <v>2073</v>
      </c>
      <c r="N244" s="559" t="s">
        <v>1966</v>
      </c>
      <c r="O244" s="420" t="s">
        <v>195</v>
      </c>
      <c r="AB244" s="251"/>
      <c r="AC244" s="251"/>
      <c r="AD244" s="251"/>
      <c r="AE244" s="252"/>
      <c r="AF244" s="524"/>
      <c r="AG244" s="524"/>
      <c r="AH244" s="251"/>
      <c r="AI244" s="251"/>
      <c r="AJ244" s="251"/>
      <c r="AK244" s="247">
        <f>AL244+AM244</f>
        <v>0</v>
      </c>
      <c r="AL244" s="244">
        <f>AL245*AL246/1000</f>
        <v>0</v>
      </c>
      <c r="AM244" s="244">
        <f>AM245*AM246/1000</f>
        <v>0</v>
      </c>
      <c r="AN244" s="251"/>
      <c r="AO244" s="251"/>
      <c r="AP244" s="251"/>
      <c r="AQ244" s="252"/>
      <c r="AR244" s="524"/>
      <c r="AS244" s="524"/>
    </row>
    <row r="245" spans="13:45" ht="11.4">
      <c r="M245" s="562" t="str">
        <f>M244 &amp; ".P"</f>
        <v>NASLC.P</v>
      </c>
      <c r="N245" s="531" t="s">
        <v>842</v>
      </c>
      <c r="O245" s="420" t="s">
        <v>23</v>
      </c>
      <c r="AB245" s="251"/>
      <c r="AC245" s="251"/>
      <c r="AD245" s="251"/>
      <c r="AE245" s="252"/>
      <c r="AF245" s="524"/>
      <c r="AG245" s="524"/>
      <c r="AH245" s="251"/>
      <c r="AI245" s="251"/>
      <c r="AJ245" s="251"/>
      <c r="AK245" s="247">
        <f>IF(AK246=0,0,AK244*1000/AK246)</f>
        <v>0</v>
      </c>
      <c r="AL245" s="221"/>
      <c r="AM245" s="221"/>
      <c r="AN245" s="251"/>
      <c r="AO245" s="251"/>
      <c r="AP245" s="251"/>
      <c r="AQ245" s="252"/>
      <c r="AR245" s="524"/>
      <c r="AS245" s="524"/>
    </row>
    <row r="246" spans="13:45" ht="11.4">
      <c r="M246" s="562" t="str">
        <f>M244 &amp; ".V"</f>
        <v>NASLC.V</v>
      </c>
      <c r="N246" s="531" t="s">
        <v>245</v>
      </c>
      <c r="O246" s="420" t="s">
        <v>289</v>
      </c>
      <c r="AB246" s="251"/>
      <c r="AC246" s="251"/>
      <c r="AD246" s="251"/>
      <c r="AE246" s="524"/>
      <c r="AF246" s="524"/>
      <c r="AG246" s="524"/>
      <c r="AH246" s="251"/>
      <c r="AI246" s="251"/>
      <c r="AJ246" s="251"/>
      <c r="AK246" s="247">
        <f>AL246+AM246</f>
        <v>0</v>
      </c>
      <c r="AL246" s="221"/>
      <c r="AM246" s="221"/>
      <c r="AN246" s="251"/>
      <c r="AO246" s="251"/>
      <c r="AP246" s="251"/>
      <c r="AQ246" s="524"/>
      <c r="AR246" s="524"/>
      <c r="AS246" s="524"/>
    </row>
    <row r="247" spans="13:45" ht="11.4">
      <c r="M247" s="561" t="s">
        <v>2075</v>
      </c>
      <c r="N247" s="559" t="s">
        <v>1967</v>
      </c>
      <c r="O247" s="420" t="s">
        <v>195</v>
      </c>
      <c r="AB247" s="251"/>
      <c r="AC247" s="251"/>
      <c r="AD247" s="251"/>
      <c r="AE247" s="252"/>
      <c r="AF247" s="524"/>
      <c r="AG247" s="524"/>
      <c r="AH247" s="251"/>
      <c r="AI247" s="251"/>
      <c r="AJ247" s="251"/>
      <c r="AK247" s="247">
        <f>AL247+AM247</f>
        <v>0</v>
      </c>
      <c r="AL247" s="244">
        <f>AL248*AL249/1000</f>
        <v>0</v>
      </c>
      <c r="AM247" s="244">
        <f>AM248*AM249/1000</f>
        <v>0</v>
      </c>
      <c r="AN247" s="251"/>
      <c r="AO247" s="251"/>
      <c r="AP247" s="251"/>
      <c r="AQ247" s="252"/>
      <c r="AR247" s="524"/>
      <c r="AS247" s="524"/>
    </row>
    <row r="248" spans="13:45" ht="11.4">
      <c r="M248" s="562" t="str">
        <f>M247 &amp; ".P"</f>
        <v>NAS.P</v>
      </c>
      <c r="N248" s="531" t="s">
        <v>842</v>
      </c>
      <c r="O248" s="420" t="s">
        <v>23</v>
      </c>
      <c r="AB248" s="251"/>
      <c r="AC248" s="251"/>
      <c r="AD248" s="251"/>
      <c r="AE248" s="252"/>
      <c r="AF248" s="524"/>
      <c r="AG248" s="524"/>
      <c r="AH248" s="251"/>
      <c r="AI248" s="251"/>
      <c r="AJ248" s="251"/>
      <c r="AK248" s="247">
        <f>IF(AK249=0,0,AK247*1000/AK249)</f>
        <v>0</v>
      </c>
      <c r="AL248" s="221"/>
      <c r="AM248" s="221"/>
      <c r="AN248" s="251"/>
      <c r="AO248" s="251"/>
      <c r="AP248" s="251"/>
      <c r="AQ248" s="252"/>
      <c r="AR248" s="524"/>
      <c r="AS248" s="524"/>
    </row>
    <row r="249" spans="13:45" ht="11.4">
      <c r="M249" s="562" t="str">
        <f>M247 &amp; ".V"</f>
        <v>NAS.V</v>
      </c>
      <c r="N249" s="531" t="s">
        <v>245</v>
      </c>
      <c r="O249" s="420" t="s">
        <v>289</v>
      </c>
      <c r="AB249" s="251"/>
      <c r="AC249" s="251"/>
      <c r="AD249" s="251"/>
      <c r="AE249" s="524"/>
      <c r="AF249" s="524"/>
      <c r="AG249" s="524"/>
      <c r="AH249" s="251"/>
      <c r="AI249" s="251"/>
      <c r="AJ249" s="251"/>
      <c r="AK249" s="247">
        <f>AL249+AM249</f>
        <v>0</v>
      </c>
      <c r="AL249" s="221"/>
      <c r="AM249" s="221"/>
      <c r="AN249" s="251"/>
      <c r="AO249" s="251"/>
      <c r="AP249" s="251"/>
      <c r="AQ249" s="524"/>
      <c r="AR249" s="524"/>
      <c r="AS249" s="524"/>
    </row>
    <row r="250" spans="13:45" ht="11.4">
      <c r="M250" s="561" t="s">
        <v>2076</v>
      </c>
      <c r="N250" s="559" t="s">
        <v>1968</v>
      </c>
      <c r="O250" s="420" t="s">
        <v>195</v>
      </c>
      <c r="AB250" s="251"/>
      <c r="AC250" s="251"/>
      <c r="AD250" s="251"/>
      <c r="AE250" s="252"/>
      <c r="AF250" s="524"/>
      <c r="AG250" s="524"/>
      <c r="AH250" s="251"/>
      <c r="AI250" s="251"/>
      <c r="AJ250" s="251"/>
      <c r="AK250" s="247">
        <f>AL250+AM250</f>
        <v>0</v>
      </c>
      <c r="AL250" s="244">
        <f>AL251*AL252/1000</f>
        <v>0</v>
      </c>
      <c r="AM250" s="244">
        <f>AM251*AM252/1000</f>
        <v>0</v>
      </c>
      <c r="AN250" s="251"/>
      <c r="AO250" s="251"/>
      <c r="AP250" s="251"/>
      <c r="AQ250" s="252"/>
      <c r="AR250" s="524"/>
      <c r="AS250" s="524"/>
    </row>
    <row r="251" spans="13:45" ht="11.4">
      <c r="M251" s="562" t="str">
        <f>M250 &amp; ".P"</f>
        <v>NAC.P</v>
      </c>
      <c r="N251" s="531" t="s">
        <v>842</v>
      </c>
      <c r="O251" s="420" t="s">
        <v>23</v>
      </c>
      <c r="AB251" s="251"/>
      <c r="AC251" s="251"/>
      <c r="AD251" s="251"/>
      <c r="AE251" s="252"/>
      <c r="AF251" s="524"/>
      <c r="AG251" s="524"/>
      <c r="AH251" s="251"/>
      <c r="AI251" s="251"/>
      <c r="AJ251" s="251"/>
      <c r="AK251" s="247">
        <f>IF(AK252=0,0,AK250*1000/AK252)</f>
        <v>0</v>
      </c>
      <c r="AL251" s="221"/>
      <c r="AM251" s="221"/>
      <c r="AN251" s="251"/>
      <c r="AO251" s="251"/>
      <c r="AP251" s="251"/>
      <c r="AQ251" s="252"/>
      <c r="AR251" s="524"/>
      <c r="AS251" s="524"/>
    </row>
    <row r="252" spans="13:45" ht="11.4">
      <c r="M252" s="562" t="str">
        <f>M250 &amp; ".V"</f>
        <v>NAC.V</v>
      </c>
      <c r="N252" s="531" t="s">
        <v>245</v>
      </c>
      <c r="O252" s="420" t="s">
        <v>289</v>
      </c>
      <c r="AB252" s="251"/>
      <c r="AC252" s="251"/>
      <c r="AD252" s="251"/>
      <c r="AE252" s="524"/>
      <c r="AF252" s="524"/>
      <c r="AG252" s="524"/>
      <c r="AH252" s="251"/>
      <c r="AI252" s="251"/>
      <c r="AJ252" s="251"/>
      <c r="AK252" s="247">
        <f>AL252+AM252</f>
        <v>0</v>
      </c>
      <c r="AL252" s="221"/>
      <c r="AM252" s="221"/>
      <c r="AN252" s="251"/>
      <c r="AO252" s="251"/>
      <c r="AP252" s="251"/>
      <c r="AQ252" s="524"/>
      <c r="AR252" s="524"/>
      <c r="AS252" s="524"/>
    </row>
    <row r="253" spans="13:45" ht="11.4">
      <c r="M253" s="561" t="s">
        <v>2077</v>
      </c>
      <c r="N253" s="559" t="s">
        <v>1969</v>
      </c>
      <c r="O253" s="420" t="s">
        <v>195</v>
      </c>
      <c r="AB253" s="251"/>
      <c r="AC253" s="251"/>
      <c r="AD253" s="251"/>
      <c r="AE253" s="252"/>
      <c r="AF253" s="524"/>
      <c r="AG253" s="524"/>
      <c r="AH253" s="251"/>
      <c r="AI253" s="251"/>
      <c r="AJ253" s="251"/>
      <c r="AK253" s="247">
        <f>AL253+AM253</f>
        <v>0</v>
      </c>
      <c r="AL253" s="244">
        <f>AL254*AL255/1000</f>
        <v>0</v>
      </c>
      <c r="AM253" s="244">
        <f>AM254*AM255/1000</f>
        <v>0</v>
      </c>
      <c r="AN253" s="251"/>
      <c r="AO253" s="251"/>
      <c r="AP253" s="251"/>
      <c r="AQ253" s="252"/>
      <c r="AR253" s="524"/>
      <c r="AS253" s="524"/>
    </row>
    <row r="254" spans="13:45" ht="11.4">
      <c r="M254" s="562" t="str">
        <f>M253 &amp; ".P"</f>
        <v>NAAC.P</v>
      </c>
      <c r="N254" s="531" t="s">
        <v>842</v>
      </c>
      <c r="O254" s="420" t="s">
        <v>23</v>
      </c>
      <c r="AB254" s="251"/>
      <c r="AC254" s="251"/>
      <c r="AD254" s="251"/>
      <c r="AE254" s="252"/>
      <c r="AF254" s="524"/>
      <c r="AG254" s="524"/>
      <c r="AH254" s="251"/>
      <c r="AI254" s="251"/>
      <c r="AJ254" s="251"/>
      <c r="AK254" s="247">
        <f>IF(AK255=0,0,AK253*1000/AK255)</f>
        <v>0</v>
      </c>
      <c r="AL254" s="221"/>
      <c r="AM254" s="221"/>
      <c r="AN254" s="251"/>
      <c r="AO254" s="251"/>
      <c r="AP254" s="251"/>
      <c r="AQ254" s="252"/>
      <c r="AR254" s="524"/>
      <c r="AS254" s="524"/>
    </row>
    <row r="255" spans="13:45" ht="11.4">
      <c r="M255" s="562" t="str">
        <f>M253 &amp; ".V"</f>
        <v>NAAC.V</v>
      </c>
      <c r="N255" s="531" t="s">
        <v>245</v>
      </c>
      <c r="O255" s="420" t="s">
        <v>289</v>
      </c>
      <c r="AB255" s="251"/>
      <c r="AC255" s="251"/>
      <c r="AD255" s="251"/>
      <c r="AE255" s="524"/>
      <c r="AF255" s="524"/>
      <c r="AG255" s="524"/>
      <c r="AH255" s="251"/>
      <c r="AI255" s="251"/>
      <c r="AJ255" s="251"/>
      <c r="AK255" s="247">
        <f>AL255+AM255</f>
        <v>0</v>
      </c>
      <c r="AL255" s="221"/>
      <c r="AM255" s="221"/>
      <c r="AN255" s="251"/>
      <c r="AO255" s="251"/>
      <c r="AP255" s="251"/>
      <c r="AQ255" s="524"/>
      <c r="AR255" s="524"/>
      <c r="AS255" s="524"/>
    </row>
    <row r="256" spans="13:45" ht="11.4">
      <c r="M256" s="561" t="s">
        <v>2027</v>
      </c>
      <c r="N256" s="559" t="s">
        <v>1970</v>
      </c>
      <c r="O256" s="420" t="s">
        <v>195</v>
      </c>
      <c r="AB256" s="251"/>
      <c r="AC256" s="251"/>
      <c r="AD256" s="251"/>
      <c r="AE256" s="252"/>
      <c r="AF256" s="524"/>
      <c r="AG256" s="524"/>
      <c r="AH256" s="251"/>
      <c r="AI256" s="251"/>
      <c r="AJ256" s="251"/>
      <c r="AK256" s="247">
        <f>AL256+AM256</f>
        <v>0</v>
      </c>
      <c r="AL256" s="244">
        <f>AL257*AL258/1000</f>
        <v>0</v>
      </c>
      <c r="AM256" s="244">
        <f>AM257*AM258/1000</f>
        <v>0</v>
      </c>
      <c r="AN256" s="251"/>
      <c r="AO256" s="251"/>
      <c r="AP256" s="251"/>
      <c r="AQ256" s="252"/>
      <c r="AR256" s="524"/>
      <c r="AS256" s="524"/>
    </row>
    <row r="257" spans="13:45" ht="11.4">
      <c r="M257" s="562" t="str">
        <f>M256 &amp; ".P"</f>
        <v>NACL.P</v>
      </c>
      <c r="N257" s="531" t="s">
        <v>842</v>
      </c>
      <c r="O257" s="420" t="s">
        <v>23</v>
      </c>
      <c r="AB257" s="251"/>
      <c r="AC257" s="251"/>
      <c r="AD257" s="251"/>
      <c r="AE257" s="252"/>
      <c r="AF257" s="524"/>
      <c r="AG257" s="524"/>
      <c r="AH257" s="251"/>
      <c r="AI257" s="251"/>
      <c r="AJ257" s="251"/>
      <c r="AK257" s="247">
        <f>IF(AK258=0,0,AK256*1000/AK258)</f>
        <v>0</v>
      </c>
      <c r="AL257" s="221"/>
      <c r="AM257" s="221"/>
      <c r="AN257" s="251"/>
      <c r="AO257" s="251"/>
      <c r="AP257" s="251"/>
      <c r="AQ257" s="252"/>
      <c r="AR257" s="524"/>
      <c r="AS257" s="524"/>
    </row>
    <row r="258" spans="13:45" ht="11.4">
      <c r="M258" s="562" t="str">
        <f>M256 &amp; ".V"</f>
        <v>NACL.V</v>
      </c>
      <c r="N258" s="531" t="s">
        <v>245</v>
      </c>
      <c r="O258" s="420" t="s">
        <v>289</v>
      </c>
      <c r="AB258" s="251"/>
      <c r="AC258" s="251"/>
      <c r="AD258" s="251"/>
      <c r="AE258" s="524"/>
      <c r="AF258" s="524"/>
      <c r="AG258" s="524"/>
      <c r="AH258" s="251"/>
      <c r="AI258" s="251"/>
      <c r="AJ258" s="251"/>
      <c r="AK258" s="247">
        <f>AL258+AM258</f>
        <v>0</v>
      </c>
      <c r="AL258" s="221"/>
      <c r="AM258" s="221"/>
      <c r="AN258" s="251"/>
      <c r="AO258" s="251"/>
      <c r="AP258" s="251"/>
      <c r="AQ258" s="524"/>
      <c r="AR258" s="524"/>
      <c r="AS258" s="524"/>
    </row>
    <row r="259" spans="13:45" ht="11.4">
      <c r="M259" s="638" t="s">
        <v>2327</v>
      </c>
      <c r="N259" s="559" t="s">
        <v>2328</v>
      </c>
      <c r="O259" s="420" t="s">
        <v>195</v>
      </c>
      <c r="AB259" s="251"/>
      <c r="AC259" s="251"/>
      <c r="AD259" s="251"/>
      <c r="AE259" s="252"/>
      <c r="AF259" s="524"/>
      <c r="AG259" s="524"/>
      <c r="AH259" s="251"/>
      <c r="AI259" s="251"/>
      <c r="AJ259" s="251"/>
      <c r="AK259" s="247">
        <f>AL259+AM259</f>
        <v>0</v>
      </c>
      <c r="AL259" s="244">
        <f>AL260*AL261/1000</f>
        <v>0</v>
      </c>
      <c r="AM259" s="244">
        <f>AM260*AM261/1000</f>
        <v>0</v>
      </c>
      <c r="AN259" s="251"/>
      <c r="AO259" s="251"/>
      <c r="AP259" s="251"/>
      <c r="AQ259" s="252"/>
      <c r="AR259" s="524"/>
      <c r="AS259" s="524"/>
    </row>
    <row r="260" spans="13:45" ht="11.4">
      <c r="M260" s="639" t="str">
        <f>M259 &amp; ".P"</f>
        <v>FLOFOAM.P</v>
      </c>
      <c r="N260" s="531" t="s">
        <v>842</v>
      </c>
      <c r="O260" s="420" t="s">
        <v>23</v>
      </c>
      <c r="AB260" s="251"/>
      <c r="AC260" s="251"/>
      <c r="AD260" s="251"/>
      <c r="AE260" s="252"/>
      <c r="AF260" s="524"/>
      <c r="AG260" s="524"/>
      <c r="AH260" s="251"/>
      <c r="AI260" s="251"/>
      <c r="AJ260" s="251"/>
      <c r="AK260" s="247">
        <f>IF(AK261=0,0,AK259*1000/AK261)</f>
        <v>0</v>
      </c>
      <c r="AL260" s="221"/>
      <c r="AM260" s="221"/>
      <c r="AN260" s="251"/>
      <c r="AO260" s="251"/>
      <c r="AP260" s="251"/>
      <c r="AQ260" s="252"/>
      <c r="AR260" s="524"/>
      <c r="AS260" s="524"/>
    </row>
    <row r="261" spans="13:45" ht="11.4">
      <c r="M261" s="639" t="str">
        <f>M259 &amp; ".V"</f>
        <v>FLOFOAM.V</v>
      </c>
      <c r="N261" s="531" t="s">
        <v>245</v>
      </c>
      <c r="O261" s="420" t="s">
        <v>289</v>
      </c>
      <c r="AB261" s="251"/>
      <c r="AC261" s="251"/>
      <c r="AD261" s="251"/>
      <c r="AE261" s="524"/>
      <c r="AF261" s="524"/>
      <c r="AG261" s="524"/>
      <c r="AH261" s="251"/>
      <c r="AI261" s="251"/>
      <c r="AJ261" s="251"/>
      <c r="AK261" s="247">
        <f>AL261+AM261</f>
        <v>0</v>
      </c>
      <c r="AL261" s="221"/>
      <c r="AM261" s="221"/>
      <c r="AN261" s="251"/>
      <c r="AO261" s="251"/>
      <c r="AP261" s="251"/>
      <c r="AQ261" s="524"/>
      <c r="AR261" s="524"/>
      <c r="AS261" s="524"/>
    </row>
    <row r="262" spans="13:45" ht="11.4">
      <c r="M262" s="561" t="s">
        <v>2026</v>
      </c>
      <c r="N262" s="559" t="s">
        <v>1971</v>
      </c>
      <c r="O262" s="420" t="s">
        <v>195</v>
      </c>
      <c r="AB262" s="251"/>
      <c r="AC262" s="251"/>
      <c r="AD262" s="251"/>
      <c r="AE262" s="252"/>
      <c r="AF262" s="524"/>
      <c r="AG262" s="524"/>
      <c r="AH262" s="251"/>
      <c r="AI262" s="251"/>
      <c r="AJ262" s="251"/>
      <c r="AK262" s="247">
        <f>AL262+AM262</f>
        <v>0</v>
      </c>
      <c r="AL262" s="244">
        <f>AL263*AL264/1000</f>
        <v>0</v>
      </c>
      <c r="AM262" s="244">
        <f>AM263*AM264/1000</f>
        <v>0</v>
      </c>
      <c r="AN262" s="251"/>
      <c r="AO262" s="251"/>
      <c r="AP262" s="251"/>
      <c r="AQ262" s="252"/>
      <c r="AR262" s="524"/>
      <c r="AS262" s="524"/>
    </row>
    <row r="263" spans="13:45" ht="11.4">
      <c r="M263" s="562" t="str">
        <f>M262 &amp; ".P"</f>
        <v>RGRS.P</v>
      </c>
      <c r="N263" s="531" t="s">
        <v>842</v>
      </c>
      <c r="O263" s="420" t="s">
        <v>23</v>
      </c>
      <c r="AB263" s="251"/>
      <c r="AC263" s="251"/>
      <c r="AD263" s="251"/>
      <c r="AE263" s="252"/>
      <c r="AF263" s="524"/>
      <c r="AG263" s="524"/>
      <c r="AH263" s="251"/>
      <c r="AI263" s="251"/>
      <c r="AJ263" s="251"/>
      <c r="AK263" s="247">
        <f>IF(AK264=0,0,AK262*1000/AK264)</f>
        <v>0</v>
      </c>
      <c r="AL263" s="221"/>
      <c r="AM263" s="221"/>
      <c r="AN263" s="251"/>
      <c r="AO263" s="251"/>
      <c r="AP263" s="251"/>
      <c r="AQ263" s="252"/>
      <c r="AR263" s="524"/>
      <c r="AS263" s="524"/>
    </row>
    <row r="264" spans="13:45" ht="11.4">
      <c r="M264" s="562" t="str">
        <f>M262 &amp; ".V"</f>
        <v>RGRS.V</v>
      </c>
      <c r="N264" s="531" t="s">
        <v>245</v>
      </c>
      <c r="O264" s="420" t="s">
        <v>289</v>
      </c>
      <c r="AB264" s="251"/>
      <c r="AC264" s="251"/>
      <c r="AD264" s="251"/>
      <c r="AE264" s="524"/>
      <c r="AF264" s="524"/>
      <c r="AG264" s="524"/>
      <c r="AH264" s="251"/>
      <c r="AI264" s="251"/>
      <c r="AJ264" s="251"/>
      <c r="AK264" s="247">
        <f>AL264+AM264</f>
        <v>0</v>
      </c>
      <c r="AL264" s="221"/>
      <c r="AM264" s="221"/>
      <c r="AN264" s="251"/>
      <c r="AO264" s="251"/>
      <c r="AP264" s="251"/>
      <c r="AQ264" s="524"/>
      <c r="AR264" s="524"/>
      <c r="AS264" s="524"/>
    </row>
    <row r="265" spans="13:45" ht="11.4">
      <c r="M265" s="561" t="s">
        <v>2025</v>
      </c>
      <c r="N265" s="559" t="s">
        <v>1972</v>
      </c>
      <c r="O265" s="420" t="s">
        <v>195</v>
      </c>
      <c r="AB265" s="251"/>
      <c r="AC265" s="251"/>
      <c r="AD265" s="251"/>
      <c r="AE265" s="252"/>
      <c r="AF265" s="524"/>
      <c r="AG265" s="524"/>
      <c r="AH265" s="251"/>
      <c r="AI265" s="251"/>
      <c r="AJ265" s="251"/>
      <c r="AK265" s="247">
        <f>AL265+AM265</f>
        <v>0</v>
      </c>
      <c r="AL265" s="244">
        <f>AL266*AL267/1000</f>
        <v>0</v>
      </c>
      <c r="AM265" s="244">
        <f>AM266*AM267/1000</f>
        <v>0</v>
      </c>
      <c r="AN265" s="251"/>
      <c r="AO265" s="251"/>
      <c r="AP265" s="251"/>
      <c r="AQ265" s="252"/>
      <c r="AR265" s="524"/>
      <c r="AS265" s="524"/>
    </row>
    <row r="266" spans="13:45" ht="11.4">
      <c r="M266" s="562" t="str">
        <f>M265 &amp; ".P"</f>
        <v>RNSL.P</v>
      </c>
      <c r="N266" s="531" t="s">
        <v>842</v>
      </c>
      <c r="O266" s="420" t="s">
        <v>23</v>
      </c>
      <c r="AB266" s="251"/>
      <c r="AC266" s="251"/>
      <c r="AD266" s="251"/>
      <c r="AE266" s="252"/>
      <c r="AF266" s="524"/>
      <c r="AG266" s="524"/>
      <c r="AH266" s="251"/>
      <c r="AI266" s="251"/>
      <c r="AJ266" s="251"/>
      <c r="AK266" s="247">
        <f>IF(AK267=0,0,AK265*1000/AK267)</f>
        <v>0</v>
      </c>
      <c r="AL266" s="221"/>
      <c r="AM266" s="221"/>
      <c r="AN266" s="251"/>
      <c r="AO266" s="251"/>
      <c r="AP266" s="251"/>
      <c r="AQ266" s="252"/>
      <c r="AR266" s="524"/>
      <c r="AS266" s="524"/>
    </row>
    <row r="267" spans="13:45" ht="11.4">
      <c r="M267" s="562" t="str">
        <f>M265 &amp; ".V"</f>
        <v>RNSL.V</v>
      </c>
      <c r="N267" s="531" t="s">
        <v>245</v>
      </c>
      <c r="O267" s="420" t="s">
        <v>289</v>
      </c>
      <c r="AB267" s="251"/>
      <c r="AC267" s="251"/>
      <c r="AD267" s="251"/>
      <c r="AE267" s="524"/>
      <c r="AF267" s="524"/>
      <c r="AG267" s="524"/>
      <c r="AH267" s="251"/>
      <c r="AI267" s="251"/>
      <c r="AJ267" s="251"/>
      <c r="AK267" s="247">
        <f>AL267+AM267</f>
        <v>0</v>
      </c>
      <c r="AL267" s="221"/>
      <c r="AM267" s="221"/>
      <c r="AN267" s="251"/>
      <c r="AO267" s="251"/>
      <c r="AP267" s="251"/>
      <c r="AQ267" s="524"/>
      <c r="AR267" s="524"/>
      <c r="AS267" s="524"/>
    </row>
    <row r="268" spans="13:45" ht="11.4">
      <c r="M268" s="561" t="s">
        <v>2078</v>
      </c>
      <c r="N268" s="559" t="s">
        <v>1973</v>
      </c>
      <c r="O268" s="420" t="s">
        <v>195</v>
      </c>
      <c r="AB268" s="251"/>
      <c r="AC268" s="251"/>
      <c r="AD268" s="251"/>
      <c r="AE268" s="252"/>
      <c r="AF268" s="524"/>
      <c r="AG268" s="524"/>
      <c r="AH268" s="251"/>
      <c r="AI268" s="251"/>
      <c r="AJ268" s="251"/>
      <c r="AK268" s="247">
        <f>AL268+AM268</f>
        <v>0</v>
      </c>
      <c r="AL268" s="244">
        <f>AL269*AL270/1000</f>
        <v>0</v>
      </c>
      <c r="AM268" s="244">
        <f>AM269*AM270/1000</f>
        <v>0</v>
      </c>
      <c r="AN268" s="251"/>
      <c r="AO268" s="251"/>
      <c r="AP268" s="251"/>
      <c r="AQ268" s="252"/>
      <c r="AR268" s="524"/>
      <c r="AS268" s="524"/>
    </row>
    <row r="269" spans="13:45" ht="11.4">
      <c r="M269" s="562" t="str">
        <f>M268 &amp; ".P"</f>
        <v>PBAC.P</v>
      </c>
      <c r="N269" s="531" t="s">
        <v>842</v>
      </c>
      <c r="O269" s="420" t="s">
        <v>23</v>
      </c>
      <c r="AB269" s="251"/>
      <c r="AC269" s="251"/>
      <c r="AD269" s="251"/>
      <c r="AE269" s="252"/>
      <c r="AF269" s="524"/>
      <c r="AG269" s="524"/>
      <c r="AH269" s="251"/>
      <c r="AI269" s="251"/>
      <c r="AJ269" s="251"/>
      <c r="AK269" s="247">
        <f>IF(AK270=0,0,AK268*1000/AK270)</f>
        <v>0</v>
      </c>
      <c r="AL269" s="221"/>
      <c r="AM269" s="221"/>
      <c r="AN269" s="251"/>
      <c r="AO269" s="251"/>
      <c r="AP269" s="251"/>
      <c r="AQ269" s="252"/>
      <c r="AR269" s="524"/>
      <c r="AS269" s="524"/>
    </row>
    <row r="270" spans="13:45" ht="11.4">
      <c r="M270" s="562" t="str">
        <f>M268 &amp; ".V"</f>
        <v>PBAC.V</v>
      </c>
      <c r="N270" s="531" t="s">
        <v>245</v>
      </c>
      <c r="O270" s="420" t="s">
        <v>289</v>
      </c>
      <c r="AB270" s="251"/>
      <c r="AC270" s="251"/>
      <c r="AD270" s="251"/>
      <c r="AE270" s="524"/>
      <c r="AF270" s="524"/>
      <c r="AG270" s="524"/>
      <c r="AH270" s="251"/>
      <c r="AI270" s="251"/>
      <c r="AJ270" s="251"/>
      <c r="AK270" s="247">
        <f>AL270+AM270</f>
        <v>0</v>
      </c>
      <c r="AL270" s="221"/>
      <c r="AM270" s="221"/>
      <c r="AN270" s="251"/>
      <c r="AO270" s="251"/>
      <c r="AP270" s="251"/>
      <c r="AQ270" s="524"/>
      <c r="AR270" s="524"/>
      <c r="AS270" s="524"/>
    </row>
    <row r="271" spans="13:45" ht="11.4">
      <c r="M271" s="561" t="s">
        <v>2079</v>
      </c>
      <c r="N271" s="559" t="s">
        <v>1974</v>
      </c>
      <c r="O271" s="420" t="s">
        <v>195</v>
      </c>
      <c r="AB271" s="251"/>
      <c r="AC271" s="251"/>
      <c r="AD271" s="251"/>
      <c r="AE271" s="252"/>
      <c r="AF271" s="524"/>
      <c r="AG271" s="524"/>
      <c r="AH271" s="251"/>
      <c r="AI271" s="251"/>
      <c r="AJ271" s="251"/>
      <c r="AK271" s="247">
        <f>AL271+AM271</f>
        <v>0</v>
      </c>
      <c r="AL271" s="244">
        <f>AL272*AL273/1000</f>
        <v>0</v>
      </c>
      <c r="AM271" s="244">
        <f>AM272*AM273/1000</f>
        <v>0</v>
      </c>
      <c r="AN271" s="251"/>
      <c r="AO271" s="251"/>
      <c r="AP271" s="251"/>
      <c r="AQ271" s="252"/>
      <c r="AR271" s="524"/>
      <c r="AS271" s="524"/>
    </row>
    <row r="272" spans="13:45" ht="11.4">
      <c r="M272" s="562" t="str">
        <f>M271 &amp; ".P"</f>
        <v>AGN.P</v>
      </c>
      <c r="N272" s="531" t="s">
        <v>842</v>
      </c>
      <c r="O272" s="420" t="s">
        <v>23</v>
      </c>
      <c r="AB272" s="251"/>
      <c r="AC272" s="251"/>
      <c r="AD272" s="251"/>
      <c r="AE272" s="252"/>
      <c r="AF272" s="524"/>
      <c r="AG272" s="524"/>
      <c r="AH272" s="251"/>
      <c r="AI272" s="251"/>
      <c r="AJ272" s="251"/>
      <c r="AK272" s="247">
        <f>IF(AK273=0,0,AK271*1000/AK273)</f>
        <v>0</v>
      </c>
      <c r="AL272" s="221"/>
      <c r="AM272" s="221"/>
      <c r="AN272" s="251"/>
      <c r="AO272" s="251"/>
      <c r="AP272" s="251"/>
      <c r="AQ272" s="252"/>
      <c r="AR272" s="524"/>
      <c r="AS272" s="524"/>
    </row>
    <row r="273" spans="13:45" ht="11.4">
      <c r="M273" s="562" t="str">
        <f>M271 &amp; ".V"</f>
        <v>AGN.V</v>
      </c>
      <c r="N273" s="531" t="s">
        <v>245</v>
      </c>
      <c r="O273" s="420" t="s">
        <v>289</v>
      </c>
      <c r="AB273" s="251"/>
      <c r="AC273" s="251"/>
      <c r="AD273" s="251"/>
      <c r="AE273" s="524"/>
      <c r="AF273" s="524"/>
      <c r="AG273" s="524"/>
      <c r="AH273" s="251"/>
      <c r="AI273" s="251"/>
      <c r="AJ273" s="251"/>
      <c r="AK273" s="247">
        <f>AL273+AM273</f>
        <v>0</v>
      </c>
      <c r="AL273" s="221"/>
      <c r="AM273" s="221"/>
      <c r="AN273" s="251"/>
      <c r="AO273" s="251"/>
      <c r="AP273" s="251"/>
      <c r="AQ273" s="524"/>
      <c r="AR273" s="524"/>
      <c r="AS273" s="524"/>
    </row>
    <row r="274" spans="13:45" ht="11.4">
      <c r="M274" s="561" t="s">
        <v>2080</v>
      </c>
      <c r="N274" s="559" t="s">
        <v>1975</v>
      </c>
      <c r="O274" s="420" t="s">
        <v>195</v>
      </c>
      <c r="AB274" s="251"/>
      <c r="AC274" s="251"/>
      <c r="AD274" s="251"/>
      <c r="AE274" s="252"/>
      <c r="AF274" s="524"/>
      <c r="AG274" s="524"/>
      <c r="AH274" s="251"/>
      <c r="AI274" s="251"/>
      <c r="AJ274" s="251"/>
      <c r="AK274" s="247">
        <f>AL274+AM274</f>
        <v>0</v>
      </c>
      <c r="AL274" s="244">
        <f>AL275*AL276/1000</f>
        <v>0</v>
      </c>
      <c r="AM274" s="244">
        <f>AM275*AM276/1000</f>
        <v>0</v>
      </c>
      <c r="AN274" s="251"/>
      <c r="AO274" s="251"/>
      <c r="AP274" s="251"/>
      <c r="AQ274" s="252"/>
      <c r="AR274" s="524"/>
      <c r="AS274" s="524"/>
    </row>
    <row r="275" spans="13:45" ht="11.4">
      <c r="M275" s="562" t="str">
        <f>M274 &amp; ".P"</f>
        <v>AGS.P</v>
      </c>
      <c r="N275" s="531" t="s">
        <v>842</v>
      </c>
      <c r="O275" s="420" t="s">
        <v>23</v>
      </c>
      <c r="AB275" s="251"/>
      <c r="AC275" s="251"/>
      <c r="AD275" s="251"/>
      <c r="AE275" s="252"/>
      <c r="AF275" s="524"/>
      <c r="AG275" s="524"/>
      <c r="AH275" s="251"/>
      <c r="AI275" s="251"/>
      <c r="AJ275" s="251"/>
      <c r="AK275" s="247">
        <f>IF(AK276=0,0,AK274*1000/AK276)</f>
        <v>0</v>
      </c>
      <c r="AL275" s="221"/>
      <c r="AM275" s="221"/>
      <c r="AN275" s="251"/>
      <c r="AO275" s="251"/>
      <c r="AP275" s="251"/>
      <c r="AQ275" s="252"/>
      <c r="AR275" s="524"/>
      <c r="AS275" s="524"/>
    </row>
    <row r="276" spans="13:45" ht="11.4">
      <c r="M276" s="562" t="str">
        <f>M274 &amp; ".V"</f>
        <v>AGS.V</v>
      </c>
      <c r="N276" s="531" t="s">
        <v>245</v>
      </c>
      <c r="O276" s="420" t="s">
        <v>289</v>
      </c>
      <c r="AB276" s="251"/>
      <c r="AC276" s="251"/>
      <c r="AD276" s="251"/>
      <c r="AE276" s="524"/>
      <c r="AF276" s="524"/>
      <c r="AG276" s="524"/>
      <c r="AH276" s="251"/>
      <c r="AI276" s="251"/>
      <c r="AJ276" s="251"/>
      <c r="AK276" s="247">
        <f>AL276+AM276</f>
        <v>0</v>
      </c>
      <c r="AL276" s="221"/>
      <c r="AM276" s="221"/>
      <c r="AN276" s="251"/>
      <c r="AO276" s="251"/>
      <c r="AP276" s="251"/>
      <c r="AQ276" s="524"/>
      <c r="AR276" s="524"/>
      <c r="AS276" s="524"/>
    </row>
    <row r="277" spans="13:45" ht="11.4">
      <c r="M277" s="561" t="s">
        <v>2018</v>
      </c>
      <c r="N277" s="559" t="s">
        <v>1976</v>
      </c>
      <c r="O277" s="420" t="s">
        <v>195</v>
      </c>
      <c r="AB277" s="251"/>
      <c r="AC277" s="251"/>
      <c r="AD277" s="251"/>
      <c r="AE277" s="252"/>
      <c r="AF277" s="524"/>
      <c r="AG277" s="524"/>
      <c r="AH277" s="251"/>
      <c r="AI277" s="251"/>
      <c r="AJ277" s="251"/>
      <c r="AK277" s="247">
        <f>AL277+AM277</f>
        <v>0</v>
      </c>
      <c r="AL277" s="244">
        <f>AL278*AL279/1000</f>
        <v>0</v>
      </c>
      <c r="AM277" s="244">
        <f>AM278*AM279/1000</f>
        <v>0</v>
      </c>
      <c r="AN277" s="251"/>
      <c r="AO277" s="251"/>
      <c r="AP277" s="251"/>
      <c r="AQ277" s="252"/>
      <c r="AR277" s="524"/>
      <c r="AS277" s="524"/>
    </row>
    <row r="278" spans="13:45" ht="11.4">
      <c r="M278" s="562" t="str">
        <f>M277 &amp; ".P"</f>
        <v>SODACA.P</v>
      </c>
      <c r="N278" s="531" t="s">
        <v>842</v>
      </c>
      <c r="O278" s="420" t="s">
        <v>23</v>
      </c>
      <c r="AB278" s="251"/>
      <c r="AC278" s="251"/>
      <c r="AD278" s="251"/>
      <c r="AE278" s="252"/>
      <c r="AF278" s="524"/>
      <c r="AG278" s="524"/>
      <c r="AH278" s="251"/>
      <c r="AI278" s="251"/>
      <c r="AJ278" s="251"/>
      <c r="AK278" s="247">
        <f>IF(AK279=0,0,AK277*1000/AK279)</f>
        <v>0</v>
      </c>
      <c r="AL278" s="221"/>
      <c r="AM278" s="221"/>
      <c r="AN278" s="251"/>
      <c r="AO278" s="251"/>
      <c r="AP278" s="251"/>
      <c r="AQ278" s="252"/>
      <c r="AR278" s="524"/>
      <c r="AS278" s="524"/>
    </row>
    <row r="279" spans="13:45" ht="11.4">
      <c r="M279" s="562" t="str">
        <f>M277 &amp; ".V"</f>
        <v>SODACA.V</v>
      </c>
      <c r="N279" s="531" t="s">
        <v>245</v>
      </c>
      <c r="O279" s="420" t="s">
        <v>289</v>
      </c>
      <c r="AB279" s="251"/>
      <c r="AC279" s="251"/>
      <c r="AD279" s="251"/>
      <c r="AE279" s="524"/>
      <c r="AF279" s="524"/>
      <c r="AG279" s="524"/>
      <c r="AH279" s="251"/>
      <c r="AI279" s="251"/>
      <c r="AJ279" s="251"/>
      <c r="AK279" s="247">
        <f>AL279+AM279</f>
        <v>0</v>
      </c>
      <c r="AL279" s="221"/>
      <c r="AM279" s="221"/>
      <c r="AN279" s="251"/>
      <c r="AO279" s="251"/>
      <c r="AP279" s="251"/>
      <c r="AQ279" s="524"/>
      <c r="AR279" s="524"/>
      <c r="AS279" s="524"/>
    </row>
    <row r="280" spans="13:45" ht="11.4">
      <c r="M280" s="561" t="s">
        <v>2019</v>
      </c>
      <c r="N280" s="559" t="s">
        <v>1977</v>
      </c>
      <c r="O280" s="420" t="s">
        <v>195</v>
      </c>
      <c r="AB280" s="251"/>
      <c r="AC280" s="251"/>
      <c r="AD280" s="251"/>
      <c r="AE280" s="252"/>
      <c r="AF280" s="524"/>
      <c r="AG280" s="524"/>
      <c r="AH280" s="251"/>
      <c r="AI280" s="251"/>
      <c r="AJ280" s="251"/>
      <c r="AK280" s="247">
        <f>AL280+AM280</f>
        <v>0</v>
      </c>
      <c r="AL280" s="244">
        <f>AL281*AL282/1000</f>
        <v>0</v>
      </c>
      <c r="AM280" s="244">
        <f>AM281*AM282/1000</f>
        <v>0</v>
      </c>
      <c r="AN280" s="251"/>
      <c r="AO280" s="251"/>
      <c r="AP280" s="251"/>
      <c r="AQ280" s="252"/>
      <c r="AR280" s="524"/>
      <c r="AS280" s="524"/>
    </row>
    <row r="281" spans="13:45" ht="11.4">
      <c r="M281" s="562" t="str">
        <f>M280 &amp; ".P"</f>
        <v>SODACS.P</v>
      </c>
      <c r="N281" s="531" t="s">
        <v>842</v>
      </c>
      <c r="O281" s="420" t="s">
        <v>23</v>
      </c>
      <c r="AB281" s="251"/>
      <c r="AC281" s="251"/>
      <c r="AD281" s="251"/>
      <c r="AE281" s="252"/>
      <c r="AF281" s="524"/>
      <c r="AG281" s="524"/>
      <c r="AH281" s="251"/>
      <c r="AI281" s="251"/>
      <c r="AJ281" s="251"/>
      <c r="AK281" s="247">
        <f>IF(AK282=0,0,AK280*1000/AK282)</f>
        <v>0</v>
      </c>
      <c r="AL281" s="221"/>
      <c r="AM281" s="221"/>
      <c r="AN281" s="251"/>
      <c r="AO281" s="251"/>
      <c r="AP281" s="251"/>
      <c r="AQ281" s="252"/>
      <c r="AR281" s="524"/>
      <c r="AS281" s="524"/>
    </row>
    <row r="282" spans="13:45" ht="11.4">
      <c r="M282" s="562" t="str">
        <f>M280 &amp; ".V"</f>
        <v>SODACS.V</v>
      </c>
      <c r="N282" s="531" t="s">
        <v>245</v>
      </c>
      <c r="O282" s="420" t="s">
        <v>289</v>
      </c>
      <c r="AB282" s="251"/>
      <c r="AC282" s="251"/>
      <c r="AD282" s="251"/>
      <c r="AE282" s="524"/>
      <c r="AF282" s="524"/>
      <c r="AG282" s="524"/>
      <c r="AH282" s="251"/>
      <c r="AI282" s="251"/>
      <c r="AJ282" s="251"/>
      <c r="AK282" s="247">
        <f>AL282+AM282</f>
        <v>0</v>
      </c>
      <c r="AL282" s="221"/>
      <c r="AM282" s="221"/>
      <c r="AN282" s="251"/>
      <c r="AO282" s="251"/>
      <c r="AP282" s="251"/>
      <c r="AQ282" s="524"/>
      <c r="AR282" s="524"/>
      <c r="AS282" s="524"/>
    </row>
    <row r="283" spans="13:45" ht="11.4">
      <c r="M283" s="561" t="s">
        <v>2017</v>
      </c>
      <c r="N283" s="559" t="s">
        <v>2016</v>
      </c>
      <c r="O283" s="420" t="s">
        <v>195</v>
      </c>
      <c r="AB283" s="251"/>
      <c r="AC283" s="251"/>
      <c r="AD283" s="251"/>
      <c r="AE283" s="252"/>
      <c r="AF283" s="524"/>
      <c r="AG283" s="524"/>
      <c r="AH283" s="251"/>
      <c r="AI283" s="251"/>
      <c r="AJ283" s="251"/>
      <c r="AK283" s="247">
        <f>AL283+AM283</f>
        <v>0</v>
      </c>
      <c r="AL283" s="244">
        <f>AL284*AL285/1000</f>
        <v>0</v>
      </c>
      <c r="AM283" s="244">
        <f>AM284*AM285/1000</f>
        <v>0</v>
      </c>
      <c r="AN283" s="251"/>
      <c r="AO283" s="251"/>
      <c r="AP283" s="251"/>
      <c r="AQ283" s="252"/>
      <c r="AR283" s="524"/>
      <c r="AS283" s="524"/>
    </row>
    <row r="284" spans="13:45" ht="11.4">
      <c r="M284" s="562" t="str">
        <f>M283 &amp; ".P"</f>
        <v>SALT1G.P</v>
      </c>
      <c r="N284" s="531" t="s">
        <v>842</v>
      </c>
      <c r="O284" s="420" t="s">
        <v>23</v>
      </c>
      <c r="AB284" s="251"/>
      <c r="AC284" s="251"/>
      <c r="AD284" s="251"/>
      <c r="AE284" s="252"/>
      <c r="AF284" s="524"/>
      <c r="AG284" s="524"/>
      <c r="AH284" s="251"/>
      <c r="AI284" s="251"/>
      <c r="AJ284" s="251"/>
      <c r="AK284" s="247">
        <f>IF(AK285=0,0,AK283*1000/AK285)</f>
        <v>0</v>
      </c>
      <c r="AL284" s="221"/>
      <c r="AM284" s="221"/>
      <c r="AN284" s="251"/>
      <c r="AO284" s="251"/>
      <c r="AP284" s="251"/>
      <c r="AQ284" s="252"/>
      <c r="AR284" s="524"/>
      <c r="AS284" s="524"/>
    </row>
    <row r="285" spans="13:45" ht="11.4">
      <c r="M285" s="562" t="str">
        <f>M283 &amp; ".V"</f>
        <v>SALT1G.V</v>
      </c>
      <c r="N285" s="531" t="s">
        <v>245</v>
      </c>
      <c r="O285" s="420" t="s">
        <v>289</v>
      </c>
      <c r="AB285" s="251"/>
      <c r="AC285" s="251"/>
      <c r="AD285" s="251"/>
      <c r="AE285" s="524"/>
      <c r="AF285" s="524"/>
      <c r="AG285" s="524"/>
      <c r="AH285" s="251"/>
      <c r="AI285" s="251"/>
      <c r="AJ285" s="251"/>
      <c r="AK285" s="247">
        <f>AL285+AM285</f>
        <v>0</v>
      </c>
      <c r="AL285" s="221"/>
      <c r="AM285" s="221"/>
      <c r="AN285" s="251"/>
      <c r="AO285" s="251"/>
      <c r="AP285" s="251"/>
      <c r="AQ285" s="524"/>
      <c r="AR285" s="524"/>
      <c r="AS285" s="524"/>
    </row>
    <row r="286" spans="13:45" ht="11.4">
      <c r="M286" s="561" t="s">
        <v>2014</v>
      </c>
      <c r="N286" s="559" t="s">
        <v>1978</v>
      </c>
      <c r="O286" s="420" t="s">
        <v>195</v>
      </c>
      <c r="AB286" s="251"/>
      <c r="AC286" s="251"/>
      <c r="AD286" s="251"/>
      <c r="AE286" s="252"/>
      <c r="AF286" s="524"/>
      <c r="AG286" s="524"/>
      <c r="AH286" s="251"/>
      <c r="AI286" s="251"/>
      <c r="AJ286" s="251"/>
      <c r="AK286" s="247">
        <f>AL286+AM286</f>
        <v>0</v>
      </c>
      <c r="AL286" s="244">
        <f>AL287*AL288/1000</f>
        <v>0</v>
      </c>
      <c r="AM286" s="244">
        <f>AM287*AM288/1000</f>
        <v>0</v>
      </c>
      <c r="AN286" s="251"/>
      <c r="AO286" s="251"/>
      <c r="AP286" s="251"/>
      <c r="AQ286" s="252"/>
      <c r="AR286" s="524"/>
      <c r="AS286" s="524"/>
    </row>
    <row r="287" spans="13:45" ht="11.4">
      <c r="M287" s="562" t="str">
        <f>M286 &amp; ".P"</f>
        <v>SALT.P</v>
      </c>
      <c r="N287" s="531" t="s">
        <v>842</v>
      </c>
      <c r="O287" s="420" t="s">
        <v>23</v>
      </c>
      <c r="AB287" s="251"/>
      <c r="AC287" s="251"/>
      <c r="AD287" s="251"/>
      <c r="AE287" s="252"/>
      <c r="AF287" s="524"/>
      <c r="AG287" s="524"/>
      <c r="AH287" s="251"/>
      <c r="AI287" s="251"/>
      <c r="AJ287" s="251"/>
      <c r="AK287" s="247">
        <f>IF(AK288=0,0,AK286*1000/AK288)</f>
        <v>0</v>
      </c>
      <c r="AL287" s="221"/>
      <c r="AM287" s="221"/>
      <c r="AN287" s="251"/>
      <c r="AO287" s="251"/>
      <c r="AP287" s="251"/>
      <c r="AQ287" s="252"/>
      <c r="AR287" s="524"/>
      <c r="AS287" s="524"/>
    </row>
    <row r="288" spans="13:45" ht="11.4">
      <c r="M288" s="562" t="str">
        <f>M286 &amp; ".V"</f>
        <v>SALT.V</v>
      </c>
      <c r="N288" s="531" t="s">
        <v>245</v>
      </c>
      <c r="O288" s="420" t="s">
        <v>289</v>
      </c>
      <c r="AB288" s="251"/>
      <c r="AC288" s="251"/>
      <c r="AD288" s="251"/>
      <c r="AE288" s="524"/>
      <c r="AF288" s="524"/>
      <c r="AG288" s="524"/>
      <c r="AH288" s="251"/>
      <c r="AI288" s="251"/>
      <c r="AJ288" s="251"/>
      <c r="AK288" s="247">
        <f>AL288+AM288</f>
        <v>0</v>
      </c>
      <c r="AL288" s="221"/>
      <c r="AM288" s="221"/>
      <c r="AN288" s="251"/>
      <c r="AO288" s="251"/>
      <c r="AP288" s="251"/>
      <c r="AQ288" s="524"/>
      <c r="AR288" s="524"/>
      <c r="AS288" s="524"/>
    </row>
    <row r="289" spans="13:45" ht="11.4">
      <c r="M289" s="561" t="s">
        <v>2024</v>
      </c>
      <c r="N289" s="559" t="s">
        <v>1979</v>
      </c>
      <c r="O289" s="420" t="s">
        <v>195</v>
      </c>
      <c r="AB289" s="251"/>
      <c r="AC289" s="251"/>
      <c r="AD289" s="251"/>
      <c r="AE289" s="252"/>
      <c r="AF289" s="524"/>
      <c r="AG289" s="524"/>
      <c r="AH289" s="251"/>
      <c r="AI289" s="251"/>
      <c r="AJ289" s="251"/>
      <c r="AK289" s="247">
        <f>AL289+AM289</f>
        <v>0</v>
      </c>
      <c r="AL289" s="244">
        <f>AL290*AL291/1000</f>
        <v>0</v>
      </c>
      <c r="AM289" s="244">
        <f>AM290*AM291/1000</f>
        <v>0</v>
      </c>
      <c r="AN289" s="251"/>
      <c r="AO289" s="251"/>
      <c r="AP289" s="251"/>
      <c r="AQ289" s="252"/>
      <c r="AR289" s="524"/>
      <c r="AS289" s="524"/>
    </row>
    <row r="290" spans="13:45" ht="11.4">
      <c r="M290" s="562" t="str">
        <f>M289 &amp; ".P"</f>
        <v>SALTPL.P</v>
      </c>
      <c r="N290" s="531" t="s">
        <v>842</v>
      </c>
      <c r="O290" s="420" t="s">
        <v>23</v>
      </c>
      <c r="AB290" s="251"/>
      <c r="AC290" s="251"/>
      <c r="AD290" s="251"/>
      <c r="AE290" s="252"/>
      <c r="AF290" s="524"/>
      <c r="AG290" s="524"/>
      <c r="AH290" s="251"/>
      <c r="AI290" s="251"/>
      <c r="AJ290" s="251"/>
      <c r="AK290" s="247">
        <f>IF(AK291=0,0,AK289*1000/AK291)</f>
        <v>0</v>
      </c>
      <c r="AL290" s="221"/>
      <c r="AM290" s="221"/>
      <c r="AN290" s="251"/>
      <c r="AO290" s="251"/>
      <c r="AP290" s="251"/>
      <c r="AQ290" s="252"/>
      <c r="AR290" s="524"/>
      <c r="AS290" s="524"/>
    </row>
    <row r="291" spans="13:45" ht="11.4">
      <c r="M291" s="562" t="str">
        <f>M289 &amp; ".V"</f>
        <v>SALTPL.V</v>
      </c>
      <c r="N291" s="531" t="s">
        <v>245</v>
      </c>
      <c r="O291" s="420" t="s">
        <v>289</v>
      </c>
      <c r="AB291" s="251"/>
      <c r="AC291" s="251"/>
      <c r="AD291" s="251"/>
      <c r="AE291" s="524"/>
      <c r="AF291" s="524"/>
      <c r="AG291" s="524"/>
      <c r="AH291" s="251"/>
      <c r="AI291" s="251"/>
      <c r="AJ291" s="251"/>
      <c r="AK291" s="247">
        <f>AL291+AM291</f>
        <v>0</v>
      </c>
      <c r="AL291" s="221"/>
      <c r="AM291" s="221"/>
      <c r="AN291" s="251"/>
      <c r="AO291" s="251"/>
      <c r="AP291" s="251"/>
      <c r="AQ291" s="524"/>
      <c r="AR291" s="524"/>
      <c r="AS291" s="524"/>
    </row>
    <row r="292" spans="13:45" ht="11.4">
      <c r="M292" s="561" t="s">
        <v>2023</v>
      </c>
      <c r="N292" s="559" t="s">
        <v>1980</v>
      </c>
      <c r="O292" s="420" t="s">
        <v>195</v>
      </c>
      <c r="AB292" s="251"/>
      <c r="AC292" s="251"/>
      <c r="AD292" s="251"/>
      <c r="AE292" s="252"/>
      <c r="AF292" s="524"/>
      <c r="AG292" s="524"/>
      <c r="AH292" s="251"/>
      <c r="AI292" s="251"/>
      <c r="AJ292" s="251"/>
      <c r="AK292" s="247">
        <f>AL292+AM292</f>
        <v>0</v>
      </c>
      <c r="AL292" s="244">
        <f>AL293*AL294/1000</f>
        <v>0</v>
      </c>
      <c r="AM292" s="244">
        <f>AM293*AM294/1000</f>
        <v>0</v>
      </c>
      <c r="AN292" s="251"/>
      <c r="AO292" s="251"/>
      <c r="AP292" s="251"/>
      <c r="AQ292" s="252"/>
      <c r="AR292" s="524"/>
      <c r="AS292" s="524"/>
    </row>
    <row r="293" spans="13:45" ht="11.4">
      <c r="M293" s="562" t="str">
        <f>M292 &amp; ".P"</f>
        <v>SALTTH.P</v>
      </c>
      <c r="N293" s="531" t="s">
        <v>842</v>
      </c>
      <c r="O293" s="420" t="s">
        <v>23</v>
      </c>
      <c r="AB293" s="251"/>
      <c r="AC293" s="251"/>
      <c r="AD293" s="251"/>
      <c r="AE293" s="252"/>
      <c r="AF293" s="524"/>
      <c r="AG293" s="524"/>
      <c r="AH293" s="251"/>
      <c r="AI293" s="251"/>
      <c r="AJ293" s="251"/>
      <c r="AK293" s="247">
        <f>IF(AK294=0,0,AK292*1000/AK294)</f>
        <v>0</v>
      </c>
      <c r="AL293" s="221"/>
      <c r="AM293" s="221"/>
      <c r="AN293" s="251"/>
      <c r="AO293" s="251"/>
      <c r="AP293" s="251"/>
      <c r="AQ293" s="252"/>
      <c r="AR293" s="524"/>
      <c r="AS293" s="524"/>
    </row>
    <row r="294" spans="13:45" ht="11.4">
      <c r="M294" s="562" t="str">
        <f>M292 &amp; ".V"</f>
        <v>SALTTH.V</v>
      </c>
      <c r="N294" s="531" t="s">
        <v>245</v>
      </c>
      <c r="O294" s="420" t="s">
        <v>289</v>
      </c>
      <c r="AB294" s="251"/>
      <c r="AC294" s="251"/>
      <c r="AD294" s="251"/>
      <c r="AE294" s="524"/>
      <c r="AF294" s="524"/>
      <c r="AG294" s="524"/>
      <c r="AH294" s="251"/>
      <c r="AI294" s="251"/>
      <c r="AJ294" s="251"/>
      <c r="AK294" s="247">
        <f>AL294+AM294</f>
        <v>0</v>
      </c>
      <c r="AL294" s="221"/>
      <c r="AM294" s="221"/>
      <c r="AN294" s="251"/>
      <c r="AO294" s="251"/>
      <c r="AP294" s="251"/>
      <c r="AQ294" s="524"/>
      <c r="AR294" s="524"/>
      <c r="AS294" s="524"/>
    </row>
    <row r="295" spans="13:45" ht="11.4">
      <c r="M295" s="561" t="s">
        <v>2022</v>
      </c>
      <c r="N295" s="559" t="s">
        <v>1981</v>
      </c>
      <c r="O295" s="420" t="s">
        <v>195</v>
      </c>
      <c r="AB295" s="251"/>
      <c r="AC295" s="251"/>
      <c r="AD295" s="251"/>
      <c r="AE295" s="252"/>
      <c r="AF295" s="524"/>
      <c r="AG295" s="524"/>
      <c r="AH295" s="251"/>
      <c r="AI295" s="251"/>
      <c r="AJ295" s="251"/>
      <c r="AK295" s="247">
        <f>AL295+AM295</f>
        <v>0</v>
      </c>
      <c r="AL295" s="244">
        <f>AL296*AL297/1000</f>
        <v>0</v>
      </c>
      <c r="AM295" s="244">
        <f>AM296*AM297/1000</f>
        <v>0</v>
      </c>
      <c r="AN295" s="251"/>
      <c r="AO295" s="251"/>
      <c r="AP295" s="251"/>
      <c r="AQ295" s="252"/>
      <c r="AR295" s="524"/>
      <c r="AS295" s="524"/>
    </row>
    <row r="296" spans="13:45" ht="11.4">
      <c r="M296" s="562" t="str">
        <f>M295 &amp; ".P"</f>
        <v>SALTEX.P</v>
      </c>
      <c r="N296" s="531" t="s">
        <v>842</v>
      </c>
      <c r="O296" s="420" t="s">
        <v>23</v>
      </c>
      <c r="AB296" s="251"/>
      <c r="AC296" s="251"/>
      <c r="AD296" s="251"/>
      <c r="AE296" s="252"/>
      <c r="AF296" s="524"/>
      <c r="AG296" s="524"/>
      <c r="AH296" s="251"/>
      <c r="AI296" s="251"/>
      <c r="AJ296" s="251"/>
      <c r="AK296" s="247">
        <f>IF(AK297=0,0,AK295*1000/AK297)</f>
        <v>0</v>
      </c>
      <c r="AL296" s="221"/>
      <c r="AM296" s="221"/>
      <c r="AN296" s="251"/>
      <c r="AO296" s="251"/>
      <c r="AP296" s="251"/>
      <c r="AQ296" s="252"/>
      <c r="AR296" s="524"/>
      <c r="AS296" s="524"/>
    </row>
    <row r="297" spans="13:45" ht="11.4">
      <c r="M297" s="562" t="str">
        <f>M295 &amp; ".V"</f>
        <v>SALTEX.V</v>
      </c>
      <c r="N297" s="531" t="s">
        <v>245</v>
      </c>
      <c r="O297" s="420" t="s">
        <v>289</v>
      </c>
      <c r="AB297" s="251"/>
      <c r="AC297" s="251"/>
      <c r="AD297" s="251"/>
      <c r="AE297" s="524"/>
      <c r="AF297" s="524"/>
      <c r="AG297" s="524"/>
      <c r="AH297" s="251"/>
      <c r="AI297" s="251"/>
      <c r="AJ297" s="251"/>
      <c r="AK297" s="247">
        <f>AL297+AM297</f>
        <v>0</v>
      </c>
      <c r="AL297" s="221"/>
      <c r="AM297" s="221"/>
      <c r="AN297" s="251"/>
      <c r="AO297" s="251"/>
      <c r="AP297" s="251"/>
      <c r="AQ297" s="524"/>
      <c r="AR297" s="524"/>
      <c r="AS297" s="524"/>
    </row>
    <row r="298" spans="13:45" ht="11.4">
      <c r="M298" s="561" t="s">
        <v>2015</v>
      </c>
      <c r="N298" s="559" t="s">
        <v>1982</v>
      </c>
      <c r="O298" s="420" t="s">
        <v>195</v>
      </c>
      <c r="AB298" s="251"/>
      <c r="AC298" s="251"/>
      <c r="AD298" s="251"/>
      <c r="AE298" s="252"/>
      <c r="AF298" s="524"/>
      <c r="AG298" s="524"/>
      <c r="AH298" s="251"/>
      <c r="AI298" s="251"/>
      <c r="AJ298" s="251"/>
      <c r="AK298" s="247">
        <f>AL298+AM298</f>
        <v>0</v>
      </c>
      <c r="AL298" s="244">
        <f>AL299*AL300/1000</f>
        <v>0</v>
      </c>
      <c r="AM298" s="244">
        <f>AM299*AM300/1000</f>
        <v>0</v>
      </c>
      <c r="AN298" s="251"/>
      <c r="AO298" s="251"/>
      <c r="AP298" s="251"/>
      <c r="AQ298" s="252"/>
      <c r="AR298" s="524"/>
      <c r="AS298" s="524"/>
    </row>
    <row r="299" spans="13:45" ht="11.4">
      <c r="M299" s="562" t="str">
        <f>M298 &amp; ".P"</f>
        <v>C2H5OH.P</v>
      </c>
      <c r="N299" s="531" t="s">
        <v>842</v>
      </c>
      <c r="O299" s="420" t="s">
        <v>23</v>
      </c>
      <c r="AB299" s="251"/>
      <c r="AC299" s="251"/>
      <c r="AD299" s="251"/>
      <c r="AE299" s="252"/>
      <c r="AF299" s="524"/>
      <c r="AG299" s="524"/>
      <c r="AH299" s="251"/>
      <c r="AI299" s="251"/>
      <c r="AJ299" s="251"/>
      <c r="AK299" s="247">
        <f>IF(AK300=0,0,AK298*1000/AK300)</f>
        <v>0</v>
      </c>
      <c r="AL299" s="221"/>
      <c r="AM299" s="221"/>
      <c r="AN299" s="251"/>
      <c r="AO299" s="251"/>
      <c r="AP299" s="251"/>
      <c r="AQ299" s="252"/>
      <c r="AR299" s="524"/>
      <c r="AS299" s="524"/>
    </row>
    <row r="300" spans="13:45" ht="11.4">
      <c r="M300" s="562" t="str">
        <f>M298 &amp; ".V"</f>
        <v>C2H5OH.V</v>
      </c>
      <c r="N300" s="531" t="s">
        <v>245</v>
      </c>
      <c r="O300" s="420" t="s">
        <v>289</v>
      </c>
      <c r="AB300" s="251"/>
      <c r="AC300" s="251"/>
      <c r="AD300" s="251"/>
      <c r="AE300" s="524"/>
      <c r="AF300" s="524"/>
      <c r="AG300" s="524"/>
      <c r="AH300" s="251"/>
      <c r="AI300" s="251"/>
      <c r="AJ300" s="251"/>
      <c r="AK300" s="247">
        <f>AL300+AM300</f>
        <v>0</v>
      </c>
      <c r="AL300" s="221"/>
      <c r="AM300" s="221"/>
      <c r="AN300" s="251"/>
      <c r="AO300" s="251"/>
      <c r="AP300" s="251"/>
      <c r="AQ300" s="524"/>
      <c r="AR300" s="524"/>
      <c r="AS300" s="524"/>
    </row>
    <row r="301" spans="13:45" ht="11.4">
      <c r="M301" s="561" t="s">
        <v>2035</v>
      </c>
      <c r="N301" s="559" t="s">
        <v>1983</v>
      </c>
      <c r="O301" s="420" t="s">
        <v>195</v>
      </c>
      <c r="AB301" s="251"/>
      <c r="AC301" s="251"/>
      <c r="AD301" s="251"/>
      <c r="AE301" s="252"/>
      <c r="AF301" s="524"/>
      <c r="AG301" s="524"/>
      <c r="AH301" s="251"/>
      <c r="AI301" s="251"/>
      <c r="AJ301" s="251"/>
      <c r="AK301" s="247">
        <f>AL301+AM301</f>
        <v>0</v>
      </c>
      <c r="AL301" s="244">
        <f>AL302*AL303/1000</f>
        <v>0</v>
      </c>
      <c r="AM301" s="244">
        <f>AM302*AM303/1000</f>
        <v>0</v>
      </c>
      <c r="AN301" s="251"/>
      <c r="AO301" s="251"/>
      <c r="AP301" s="251"/>
      <c r="AQ301" s="252"/>
      <c r="AR301" s="524"/>
      <c r="AS301" s="524"/>
    </row>
    <row r="302" spans="13:45" ht="11.4">
      <c r="M302" s="562" t="str">
        <f>M301 &amp; ".P"</f>
        <v>SFAL1G.P</v>
      </c>
      <c r="N302" s="531" t="s">
        <v>842</v>
      </c>
      <c r="O302" s="420" t="s">
        <v>23</v>
      </c>
      <c r="AB302" s="251"/>
      <c r="AC302" s="251"/>
      <c r="AD302" s="251"/>
      <c r="AE302" s="252"/>
      <c r="AF302" s="524"/>
      <c r="AG302" s="524"/>
      <c r="AH302" s="251"/>
      <c r="AI302" s="251"/>
      <c r="AJ302" s="251"/>
      <c r="AK302" s="247">
        <f>IF(AK303=0,0,AK301*1000/AK303)</f>
        <v>0</v>
      </c>
      <c r="AL302" s="221"/>
      <c r="AM302" s="221"/>
      <c r="AN302" s="251"/>
      <c r="AO302" s="251"/>
      <c r="AP302" s="251"/>
      <c r="AQ302" s="252"/>
      <c r="AR302" s="524"/>
      <c r="AS302" s="524"/>
    </row>
    <row r="303" spans="13:45" ht="11.4">
      <c r="M303" s="562" t="str">
        <f>M301 &amp; ".V"</f>
        <v>SFAL1G.V</v>
      </c>
      <c r="N303" s="531" t="s">
        <v>245</v>
      </c>
      <c r="O303" s="420" t="s">
        <v>289</v>
      </c>
      <c r="AB303" s="251"/>
      <c r="AC303" s="251"/>
      <c r="AD303" s="251"/>
      <c r="AE303" s="524"/>
      <c r="AF303" s="524"/>
      <c r="AG303" s="524"/>
      <c r="AH303" s="251"/>
      <c r="AI303" s="251"/>
      <c r="AJ303" s="251"/>
      <c r="AK303" s="247">
        <f>AL303+AM303</f>
        <v>0</v>
      </c>
      <c r="AL303" s="221"/>
      <c r="AM303" s="221"/>
      <c r="AN303" s="251"/>
      <c r="AO303" s="251"/>
      <c r="AP303" s="251"/>
      <c r="AQ303" s="524"/>
      <c r="AR303" s="524"/>
      <c r="AS303" s="524"/>
    </row>
    <row r="304" spans="13:45" ht="11.4">
      <c r="M304" s="561" t="s">
        <v>2034</v>
      </c>
      <c r="N304" s="559" t="s">
        <v>1984</v>
      </c>
      <c r="O304" s="420" t="s">
        <v>195</v>
      </c>
      <c r="AB304" s="251"/>
      <c r="AC304" s="251"/>
      <c r="AD304" s="251"/>
      <c r="AE304" s="252"/>
      <c r="AF304" s="524"/>
      <c r="AG304" s="524"/>
      <c r="AH304" s="251"/>
      <c r="AI304" s="251"/>
      <c r="AJ304" s="251"/>
      <c r="AK304" s="247">
        <f>AL304+AM304</f>
        <v>0</v>
      </c>
      <c r="AL304" s="244">
        <f>AL305*AL306/1000</f>
        <v>0</v>
      </c>
      <c r="AM304" s="244">
        <f>AM305*AM306/1000</f>
        <v>0</v>
      </c>
      <c r="AN304" s="251"/>
      <c r="AO304" s="251"/>
      <c r="AP304" s="251"/>
      <c r="AQ304" s="252"/>
      <c r="AR304" s="524"/>
      <c r="AS304" s="524"/>
    </row>
    <row r="305" spans="13:45" ht="11.4">
      <c r="M305" s="562" t="str">
        <f>M304 &amp; ".P"</f>
        <v>SFALLQD.P</v>
      </c>
      <c r="N305" s="531" t="s">
        <v>842</v>
      </c>
      <c r="O305" s="420" t="s">
        <v>23</v>
      </c>
      <c r="AB305" s="251"/>
      <c r="AC305" s="251"/>
      <c r="AD305" s="251"/>
      <c r="AE305" s="252"/>
      <c r="AF305" s="524"/>
      <c r="AG305" s="524"/>
      <c r="AH305" s="251"/>
      <c r="AI305" s="251"/>
      <c r="AJ305" s="251"/>
      <c r="AK305" s="247">
        <f>IF(AK306=0,0,AK304*1000/AK306)</f>
        <v>0</v>
      </c>
      <c r="AL305" s="221"/>
      <c r="AM305" s="221"/>
      <c r="AN305" s="251"/>
      <c r="AO305" s="251"/>
      <c r="AP305" s="251"/>
      <c r="AQ305" s="252"/>
      <c r="AR305" s="524"/>
      <c r="AS305" s="524"/>
    </row>
    <row r="306" spans="13:45" ht="11.4">
      <c r="M306" s="562" t="str">
        <f>M304 &amp; ".V"</f>
        <v>SFALLQD.V</v>
      </c>
      <c r="N306" s="531" t="s">
        <v>245</v>
      </c>
      <c r="O306" s="420" t="s">
        <v>289</v>
      </c>
      <c r="AB306" s="251"/>
      <c r="AC306" s="251"/>
      <c r="AD306" s="251"/>
      <c r="AE306" s="524"/>
      <c r="AF306" s="524"/>
      <c r="AG306" s="524"/>
      <c r="AH306" s="251"/>
      <c r="AI306" s="251"/>
      <c r="AJ306" s="251"/>
      <c r="AK306" s="247">
        <f>AL306+AM306</f>
        <v>0</v>
      </c>
      <c r="AL306" s="221"/>
      <c r="AM306" s="221"/>
      <c r="AN306" s="251"/>
      <c r="AO306" s="251"/>
      <c r="AP306" s="251"/>
      <c r="AQ306" s="524"/>
      <c r="AR306" s="524"/>
      <c r="AS306" s="524"/>
    </row>
    <row r="307" spans="13:45" ht="11.4">
      <c r="M307" s="561" t="s">
        <v>2033</v>
      </c>
      <c r="N307" s="559" t="s">
        <v>1985</v>
      </c>
      <c r="O307" s="420" t="s">
        <v>195</v>
      </c>
      <c r="AB307" s="251"/>
      <c r="AC307" s="251"/>
      <c r="AD307" s="251"/>
      <c r="AE307" s="252"/>
      <c r="AF307" s="524"/>
      <c r="AG307" s="524"/>
      <c r="AH307" s="251"/>
      <c r="AI307" s="251"/>
      <c r="AJ307" s="251"/>
      <c r="AK307" s="247">
        <f>AL307+AM307</f>
        <v>0</v>
      </c>
      <c r="AL307" s="244">
        <f>AL308*AL309/1000</f>
        <v>0</v>
      </c>
      <c r="AM307" s="244">
        <f>AM308*AM309/1000</f>
        <v>0</v>
      </c>
      <c r="AN307" s="251"/>
      <c r="AO307" s="251"/>
      <c r="AP307" s="251"/>
      <c r="AQ307" s="252"/>
      <c r="AR307" s="524"/>
      <c r="AS307" s="524"/>
    </row>
    <row r="308" spans="13:45" ht="11.4">
      <c r="M308" s="562" t="str">
        <f>M307 &amp; ".P"</f>
        <v>SFALT.P</v>
      </c>
      <c r="N308" s="531" t="s">
        <v>842</v>
      </c>
      <c r="O308" s="420" t="s">
        <v>23</v>
      </c>
      <c r="AB308" s="251"/>
      <c r="AC308" s="251"/>
      <c r="AD308" s="251"/>
      <c r="AE308" s="252"/>
      <c r="AF308" s="524"/>
      <c r="AG308" s="524"/>
      <c r="AH308" s="251"/>
      <c r="AI308" s="251"/>
      <c r="AJ308" s="251"/>
      <c r="AK308" s="247">
        <f>IF(AK309=0,0,AK307*1000/AK309)</f>
        <v>0</v>
      </c>
      <c r="AL308" s="221"/>
      <c r="AM308" s="221"/>
      <c r="AN308" s="251"/>
      <c r="AO308" s="251"/>
      <c r="AP308" s="251"/>
      <c r="AQ308" s="252"/>
      <c r="AR308" s="524"/>
      <c r="AS308" s="524"/>
    </row>
    <row r="309" spans="13:45" ht="11.4">
      <c r="M309" s="562" t="str">
        <f>M307 &amp; ".V"</f>
        <v>SFALT.V</v>
      </c>
      <c r="N309" s="531" t="s">
        <v>245</v>
      </c>
      <c r="O309" s="420" t="s">
        <v>289</v>
      </c>
      <c r="AB309" s="251"/>
      <c r="AC309" s="251"/>
      <c r="AD309" s="251"/>
      <c r="AE309" s="524"/>
      <c r="AF309" s="524"/>
      <c r="AG309" s="524"/>
      <c r="AH309" s="251"/>
      <c r="AI309" s="251"/>
      <c r="AJ309" s="251"/>
      <c r="AK309" s="247">
        <f>AL309+AM309</f>
        <v>0</v>
      </c>
      <c r="AL309" s="221"/>
      <c r="AM309" s="221"/>
      <c r="AN309" s="251"/>
      <c r="AO309" s="251"/>
      <c r="AP309" s="251"/>
      <c r="AQ309" s="524"/>
      <c r="AR309" s="524"/>
      <c r="AS309" s="524"/>
    </row>
    <row r="310" spans="13:45" ht="11.4">
      <c r="M310" s="561" t="s">
        <v>2032</v>
      </c>
      <c r="N310" s="559" t="s">
        <v>1986</v>
      </c>
      <c r="O310" s="420" t="s">
        <v>195</v>
      </c>
      <c r="AB310" s="251"/>
      <c r="AC310" s="251"/>
      <c r="AD310" s="251"/>
      <c r="AE310" s="252"/>
      <c r="AF310" s="524"/>
      <c r="AG310" s="524"/>
      <c r="AH310" s="251"/>
      <c r="AI310" s="251"/>
      <c r="AJ310" s="251"/>
      <c r="AK310" s="247">
        <f>AL310+AM310</f>
        <v>0</v>
      </c>
      <c r="AL310" s="244">
        <f>AL311*AL312/1000</f>
        <v>0</v>
      </c>
      <c r="AM310" s="244">
        <f>AM311*AM312/1000</f>
        <v>0</v>
      </c>
      <c r="AN310" s="251"/>
      <c r="AO310" s="251"/>
      <c r="AP310" s="251"/>
      <c r="AQ310" s="252"/>
      <c r="AR310" s="524"/>
      <c r="AS310" s="524"/>
    </row>
    <row r="311" spans="13:45" ht="11.4">
      <c r="M311" s="562" t="str">
        <f>M310 &amp; ".P"</f>
        <v>SFAMN.P</v>
      </c>
      <c r="N311" s="531" t="s">
        <v>842</v>
      </c>
      <c r="O311" s="420" t="s">
        <v>23</v>
      </c>
      <c r="AB311" s="251"/>
      <c r="AC311" s="251"/>
      <c r="AD311" s="251"/>
      <c r="AE311" s="252"/>
      <c r="AF311" s="524"/>
      <c r="AG311" s="524"/>
      <c r="AH311" s="251"/>
      <c r="AI311" s="251"/>
      <c r="AJ311" s="251"/>
      <c r="AK311" s="247">
        <f>IF(AK312=0,0,AK310*1000/AK312)</f>
        <v>0</v>
      </c>
      <c r="AL311" s="221"/>
      <c r="AM311" s="221"/>
      <c r="AN311" s="251"/>
      <c r="AO311" s="251"/>
      <c r="AP311" s="251"/>
      <c r="AQ311" s="252"/>
      <c r="AR311" s="524"/>
      <c r="AS311" s="524"/>
    </row>
    <row r="312" spans="13:45" ht="11.4">
      <c r="M312" s="562" t="str">
        <f>M310 &amp; ".V"</f>
        <v>SFAMN.V</v>
      </c>
      <c r="N312" s="531" t="s">
        <v>245</v>
      </c>
      <c r="O312" s="420" t="s">
        <v>289</v>
      </c>
      <c r="AB312" s="251"/>
      <c r="AC312" s="251"/>
      <c r="AD312" s="251"/>
      <c r="AE312" s="524"/>
      <c r="AF312" s="524"/>
      <c r="AG312" s="524"/>
      <c r="AH312" s="251"/>
      <c r="AI312" s="251"/>
      <c r="AJ312" s="251"/>
      <c r="AK312" s="247">
        <f>AL312+AM312</f>
        <v>0</v>
      </c>
      <c r="AL312" s="221"/>
      <c r="AM312" s="221"/>
      <c r="AN312" s="251"/>
      <c r="AO312" s="251"/>
      <c r="AP312" s="251"/>
      <c r="AQ312" s="524"/>
      <c r="AR312" s="524"/>
      <c r="AS312" s="524"/>
    </row>
    <row r="313" spans="13:45" ht="11.4">
      <c r="M313" s="561" t="s">
        <v>2031</v>
      </c>
      <c r="N313" s="559" t="s">
        <v>1987</v>
      </c>
      <c r="O313" s="420" t="s">
        <v>195</v>
      </c>
      <c r="AB313" s="251"/>
      <c r="AC313" s="251"/>
      <c r="AD313" s="251"/>
      <c r="AE313" s="252"/>
      <c r="AF313" s="524"/>
      <c r="AG313" s="524"/>
      <c r="AH313" s="251"/>
      <c r="AI313" s="251"/>
      <c r="AJ313" s="251"/>
      <c r="AK313" s="247">
        <f>AL313+AM313</f>
        <v>0</v>
      </c>
      <c r="AL313" s="244">
        <f>AL314*AL315/1000</f>
        <v>0</v>
      </c>
      <c r="AM313" s="244">
        <f>AM314*AM315/1000</f>
        <v>0</v>
      </c>
      <c r="AN313" s="251"/>
      <c r="AO313" s="251"/>
      <c r="AP313" s="251"/>
      <c r="AQ313" s="252"/>
      <c r="AR313" s="524"/>
      <c r="AS313" s="524"/>
    </row>
    <row r="314" spans="13:45" ht="11.4">
      <c r="M314" s="562" t="str">
        <f>M313 &amp; ".P"</f>
        <v>TM.P</v>
      </c>
      <c r="N314" s="531" t="s">
        <v>842</v>
      </c>
      <c r="O314" s="420" t="s">
        <v>23</v>
      </c>
      <c r="AB314" s="251"/>
      <c r="AC314" s="251"/>
      <c r="AD314" s="251"/>
      <c r="AE314" s="252"/>
      <c r="AF314" s="524"/>
      <c r="AG314" s="524"/>
      <c r="AH314" s="251"/>
      <c r="AI314" s="251"/>
      <c r="AJ314" s="251"/>
      <c r="AK314" s="247">
        <f>IF(AK315=0,0,AK313*1000/AK315)</f>
        <v>0</v>
      </c>
      <c r="AL314" s="221"/>
      <c r="AM314" s="221"/>
      <c r="AN314" s="251"/>
      <c r="AO314" s="251"/>
      <c r="AP314" s="251"/>
      <c r="AQ314" s="252"/>
      <c r="AR314" s="524"/>
      <c r="AS314" s="524"/>
    </row>
    <row r="315" spans="13:45" ht="11.4">
      <c r="M315" s="562" t="str">
        <f>M313 &amp; ".V"</f>
        <v>TM.V</v>
      </c>
      <c r="N315" s="531" t="s">
        <v>245</v>
      </c>
      <c r="O315" s="420" t="s">
        <v>289</v>
      </c>
      <c r="AB315" s="251"/>
      <c r="AC315" s="251"/>
      <c r="AD315" s="251"/>
      <c r="AE315" s="524"/>
      <c r="AF315" s="524"/>
      <c r="AG315" s="524"/>
      <c r="AH315" s="251"/>
      <c r="AI315" s="251"/>
      <c r="AJ315" s="251"/>
      <c r="AK315" s="247">
        <f>AL315+AM315</f>
        <v>0</v>
      </c>
      <c r="AL315" s="221"/>
      <c r="AM315" s="221"/>
      <c r="AN315" s="251"/>
      <c r="AO315" s="251"/>
      <c r="AP315" s="251"/>
      <c r="AQ315" s="524"/>
      <c r="AR315" s="524"/>
      <c r="AS315" s="524"/>
    </row>
    <row r="316" spans="13:45" ht="11.4">
      <c r="M316" s="561" t="s">
        <v>2030</v>
      </c>
      <c r="N316" s="559" t="s">
        <v>1988</v>
      </c>
      <c r="O316" s="420" t="s">
        <v>195</v>
      </c>
      <c r="AB316" s="251"/>
      <c r="AC316" s="251"/>
      <c r="AD316" s="251"/>
      <c r="AE316" s="252"/>
      <c r="AF316" s="524"/>
      <c r="AG316" s="524"/>
      <c r="AH316" s="251"/>
      <c r="AI316" s="251"/>
      <c r="AJ316" s="251"/>
      <c r="AK316" s="247">
        <f>AL316+AM316</f>
        <v>0</v>
      </c>
      <c r="AL316" s="244">
        <f>AL317*AL318/1000</f>
        <v>0</v>
      </c>
      <c r="AM316" s="244">
        <f>AM317*AM318/1000</f>
        <v>0</v>
      </c>
      <c r="AN316" s="251"/>
      <c r="AO316" s="251"/>
      <c r="AP316" s="251"/>
      <c r="AQ316" s="252"/>
      <c r="AR316" s="524"/>
      <c r="AS316" s="524"/>
    </row>
    <row r="317" spans="13:45" ht="11.4">
      <c r="M317" s="562" t="str">
        <f>M316 &amp; ".P"</f>
        <v>TSFNA.P</v>
      </c>
      <c r="N317" s="531" t="s">
        <v>842</v>
      </c>
      <c r="O317" s="420" t="s">
        <v>23</v>
      </c>
      <c r="AB317" s="251"/>
      <c r="AC317" s="251"/>
      <c r="AD317" s="251"/>
      <c r="AE317" s="252"/>
      <c r="AF317" s="524"/>
      <c r="AG317" s="524"/>
      <c r="AH317" s="251"/>
      <c r="AI317" s="251"/>
      <c r="AJ317" s="251"/>
      <c r="AK317" s="247">
        <f>IF(AK318=0,0,AK316*1000/AK318)</f>
        <v>0</v>
      </c>
      <c r="AL317" s="221"/>
      <c r="AM317" s="221"/>
      <c r="AN317" s="251"/>
      <c r="AO317" s="251"/>
      <c r="AP317" s="251"/>
      <c r="AQ317" s="252"/>
      <c r="AR317" s="524"/>
      <c r="AS317" s="524"/>
    </row>
    <row r="318" spans="13:45" ht="11.4">
      <c r="M318" s="562" t="str">
        <f>M316 &amp; ".V"</f>
        <v>TSFNA.V</v>
      </c>
      <c r="N318" s="531" t="s">
        <v>245</v>
      </c>
      <c r="O318" s="420" t="s">
        <v>289</v>
      </c>
      <c r="AB318" s="251"/>
      <c r="AC318" s="251"/>
      <c r="AD318" s="251"/>
      <c r="AE318" s="524"/>
      <c r="AF318" s="524"/>
      <c r="AG318" s="524"/>
      <c r="AH318" s="251"/>
      <c r="AI318" s="251"/>
      <c r="AJ318" s="251"/>
      <c r="AK318" s="247">
        <f>AL318+AM318</f>
        <v>0</v>
      </c>
      <c r="AL318" s="221"/>
      <c r="AM318" s="221"/>
      <c r="AN318" s="251"/>
      <c r="AO318" s="251"/>
      <c r="AP318" s="251"/>
      <c r="AQ318" s="524"/>
      <c r="AR318" s="524"/>
      <c r="AS318" s="524"/>
    </row>
    <row r="319" spans="13:45" ht="11.4">
      <c r="M319" s="639" t="s">
        <v>2331</v>
      </c>
      <c r="N319" s="559" t="s">
        <v>2332</v>
      </c>
      <c r="O319" s="420" t="s">
        <v>195</v>
      </c>
      <c r="AB319" s="251"/>
      <c r="AC319" s="251"/>
      <c r="AD319" s="251"/>
      <c r="AE319" s="252"/>
      <c r="AF319" s="524"/>
      <c r="AG319" s="524"/>
      <c r="AH319" s="251"/>
      <c r="AI319" s="251"/>
      <c r="AJ319" s="251"/>
      <c r="AK319" s="247">
        <f>AL319+AM319</f>
        <v>0</v>
      </c>
      <c r="AL319" s="244">
        <f>AL320*AL321/1000</f>
        <v>0</v>
      </c>
      <c r="AM319" s="244">
        <f>AM320*AM321/1000</f>
        <v>0</v>
      </c>
      <c r="AN319" s="251"/>
      <c r="AO319" s="251"/>
      <c r="AP319" s="251"/>
      <c r="AQ319" s="252"/>
      <c r="AR319" s="524"/>
      <c r="AS319" s="524"/>
    </row>
    <row r="320" spans="13:45" ht="11.4">
      <c r="M320" s="639" t="str">
        <f>M319 &amp; ".P"</f>
        <v>CARBONPWDRD.P</v>
      </c>
      <c r="N320" s="531" t="s">
        <v>842</v>
      </c>
      <c r="O320" s="420" t="s">
        <v>23</v>
      </c>
      <c r="AB320" s="251"/>
      <c r="AC320" s="251"/>
      <c r="AD320" s="251"/>
      <c r="AE320" s="252"/>
      <c r="AF320" s="524"/>
      <c r="AG320" s="524"/>
      <c r="AH320" s="251"/>
      <c r="AI320" s="251"/>
      <c r="AJ320" s="251"/>
      <c r="AK320" s="247">
        <f>IF(AK321=0,0,AK319*1000/AK321)</f>
        <v>0</v>
      </c>
      <c r="AL320" s="221"/>
      <c r="AM320" s="221"/>
      <c r="AN320" s="251"/>
      <c r="AO320" s="251"/>
      <c r="AP320" s="251"/>
      <c r="AQ320" s="252"/>
      <c r="AR320" s="524"/>
      <c r="AS320" s="524"/>
    </row>
    <row r="321" spans="13:45" ht="11.4">
      <c r="M321" s="639" t="str">
        <f>M319 &amp; ".V"</f>
        <v>CARBONPWDRD.V</v>
      </c>
      <c r="N321" s="531" t="s">
        <v>245</v>
      </c>
      <c r="O321" s="420" t="s">
        <v>289</v>
      </c>
      <c r="AB321" s="251"/>
      <c r="AC321" s="251"/>
      <c r="AD321" s="251"/>
      <c r="AE321" s="524"/>
      <c r="AF321" s="524"/>
      <c r="AG321" s="524"/>
      <c r="AH321" s="251"/>
      <c r="AI321" s="251"/>
      <c r="AJ321" s="251"/>
      <c r="AK321" s="247">
        <f>AL321+AM321</f>
        <v>0</v>
      </c>
      <c r="AL321" s="221"/>
      <c r="AM321" s="221"/>
      <c r="AN321" s="251"/>
      <c r="AO321" s="251"/>
      <c r="AP321" s="251"/>
      <c r="AQ321" s="524"/>
      <c r="AR321" s="524"/>
      <c r="AS321" s="524"/>
    </row>
    <row r="322" spans="13:45" ht="11.4">
      <c r="M322" s="561" t="s">
        <v>2021</v>
      </c>
      <c r="N322" s="559" t="s">
        <v>1989</v>
      </c>
      <c r="O322" s="420" t="s">
        <v>195</v>
      </c>
      <c r="AB322" s="251"/>
      <c r="AC322" s="251"/>
      <c r="AD322" s="251"/>
      <c r="AE322" s="252"/>
      <c r="AF322" s="524"/>
      <c r="AG322" s="524"/>
      <c r="AH322" s="251"/>
      <c r="AI322" s="251"/>
      <c r="AJ322" s="251"/>
      <c r="AK322" s="247">
        <f>AL322+AM322</f>
        <v>0</v>
      </c>
      <c r="AL322" s="244">
        <f>AL323*AL324/1000</f>
        <v>0</v>
      </c>
      <c r="AM322" s="244">
        <f>AM323*AM324/1000</f>
        <v>0</v>
      </c>
      <c r="AN322" s="251"/>
      <c r="AO322" s="251"/>
      <c r="AP322" s="251"/>
      <c r="AQ322" s="252"/>
      <c r="AR322" s="524"/>
      <c r="AS322" s="524"/>
    </row>
    <row r="323" spans="13:45" ht="11.4">
      <c r="M323" s="562" t="str">
        <f>M322 &amp; ".P"</f>
        <v>CCL4.P</v>
      </c>
      <c r="N323" s="531" t="s">
        <v>842</v>
      </c>
      <c r="O323" s="420" t="s">
        <v>23</v>
      </c>
      <c r="AB323" s="251"/>
      <c r="AC323" s="251"/>
      <c r="AD323" s="251"/>
      <c r="AE323" s="252"/>
      <c r="AF323" s="524"/>
      <c r="AG323" s="524"/>
      <c r="AH323" s="251"/>
      <c r="AI323" s="251"/>
      <c r="AJ323" s="251"/>
      <c r="AK323" s="247">
        <f>IF(AK324=0,0,AK322*1000/AK324)</f>
        <v>0</v>
      </c>
      <c r="AL323" s="221"/>
      <c r="AM323" s="221"/>
      <c r="AN323" s="251"/>
      <c r="AO323" s="251"/>
      <c r="AP323" s="251"/>
      <c r="AQ323" s="252"/>
      <c r="AR323" s="524"/>
      <c r="AS323" s="524"/>
    </row>
    <row r="324" spans="13:45" ht="11.4">
      <c r="M324" s="562" t="str">
        <f>M322 &amp; ".V"</f>
        <v>CCL4.V</v>
      </c>
      <c r="N324" s="531" t="s">
        <v>245</v>
      </c>
      <c r="O324" s="420" t="s">
        <v>289</v>
      </c>
      <c r="AB324" s="251"/>
      <c r="AC324" s="251"/>
      <c r="AD324" s="251"/>
      <c r="AE324" s="524"/>
      <c r="AF324" s="524"/>
      <c r="AG324" s="524"/>
      <c r="AH324" s="251"/>
      <c r="AI324" s="251"/>
      <c r="AJ324" s="251"/>
      <c r="AK324" s="247">
        <f>AL324+AM324</f>
        <v>0</v>
      </c>
      <c r="AL324" s="221"/>
      <c r="AM324" s="221"/>
      <c r="AN324" s="251"/>
      <c r="AO324" s="251"/>
      <c r="AP324" s="251"/>
      <c r="AQ324" s="524"/>
      <c r="AR324" s="524"/>
      <c r="AS324" s="524"/>
    </row>
    <row r="325" spans="13:45" ht="11.4">
      <c r="M325" s="561" t="s">
        <v>2013</v>
      </c>
      <c r="N325" s="559" t="s">
        <v>1990</v>
      </c>
      <c r="O325" s="420" t="s">
        <v>195</v>
      </c>
      <c r="AB325" s="251"/>
      <c r="AC325" s="251"/>
      <c r="AD325" s="251"/>
      <c r="AE325" s="252"/>
      <c r="AF325" s="524"/>
      <c r="AG325" s="524"/>
      <c r="AH325" s="251"/>
      <c r="AI325" s="251"/>
      <c r="AJ325" s="251"/>
      <c r="AK325" s="247">
        <f>AL325+AM325</f>
        <v>0</v>
      </c>
      <c r="AL325" s="244">
        <f>AL326*AL327/1000</f>
        <v>0</v>
      </c>
      <c r="AM325" s="244">
        <f>AM326*AM327/1000</f>
        <v>0</v>
      </c>
      <c r="AN325" s="251"/>
      <c r="AO325" s="251"/>
      <c r="AP325" s="251"/>
      <c r="AQ325" s="252"/>
      <c r="AR325" s="524"/>
      <c r="AS325" s="524"/>
    </row>
    <row r="326" spans="13:45" ht="11.4">
      <c r="M326" s="562" t="str">
        <f>M325 &amp; ".P"</f>
        <v>FFTLN.P</v>
      </c>
      <c r="N326" s="531" t="s">
        <v>842</v>
      </c>
      <c r="O326" s="420" t="s">
        <v>23</v>
      </c>
      <c r="AB326" s="251"/>
      <c r="AC326" s="251"/>
      <c r="AD326" s="251"/>
      <c r="AE326" s="252"/>
      <c r="AF326" s="524"/>
      <c r="AG326" s="524"/>
      <c r="AH326" s="251"/>
      <c r="AI326" s="251"/>
      <c r="AJ326" s="251"/>
      <c r="AK326" s="247">
        <f>IF(AK327=0,0,AK325*1000/AK327)</f>
        <v>0</v>
      </c>
      <c r="AL326" s="221"/>
      <c r="AM326" s="221"/>
      <c r="AN326" s="251"/>
      <c r="AO326" s="251"/>
      <c r="AP326" s="251"/>
      <c r="AQ326" s="252"/>
      <c r="AR326" s="524"/>
      <c r="AS326" s="524"/>
    </row>
    <row r="327" spans="13:45" ht="11.4">
      <c r="M327" s="562" t="str">
        <f>M325 &amp; ".V"</f>
        <v>FFTLN.V</v>
      </c>
      <c r="N327" s="531" t="s">
        <v>245</v>
      </c>
      <c r="O327" s="420" t="s">
        <v>289</v>
      </c>
      <c r="AB327" s="251"/>
      <c r="AC327" s="251"/>
      <c r="AD327" s="251"/>
      <c r="AE327" s="524"/>
      <c r="AF327" s="524"/>
      <c r="AG327" s="524"/>
      <c r="AH327" s="251"/>
      <c r="AI327" s="251"/>
      <c r="AJ327" s="251"/>
      <c r="AK327" s="247">
        <f>AL327+AM327</f>
        <v>0</v>
      </c>
      <c r="AL327" s="221"/>
      <c r="AM327" s="221"/>
      <c r="AN327" s="251"/>
      <c r="AO327" s="251"/>
      <c r="AP327" s="251"/>
      <c r="AQ327" s="524"/>
      <c r="AR327" s="524"/>
      <c r="AS327" s="524"/>
    </row>
    <row r="328" spans="13:45" ht="11.4">
      <c r="M328" s="561" t="s">
        <v>1068</v>
      </c>
      <c r="N328" s="559" t="s">
        <v>1991</v>
      </c>
      <c r="O328" s="420" t="s">
        <v>195</v>
      </c>
      <c r="AB328" s="251"/>
      <c r="AC328" s="251"/>
      <c r="AD328" s="251"/>
      <c r="AE328" s="252"/>
      <c r="AF328" s="524"/>
      <c r="AG328" s="524"/>
      <c r="AH328" s="251"/>
      <c r="AI328" s="251"/>
      <c r="AJ328" s="251"/>
      <c r="AK328" s="247">
        <f>AL328+AM328</f>
        <v>0</v>
      </c>
      <c r="AL328" s="244">
        <f>AL329*AL330/1000</f>
        <v>0</v>
      </c>
      <c r="AM328" s="244">
        <f>AM329*AM330/1000</f>
        <v>0</v>
      </c>
      <c r="AN328" s="251"/>
      <c r="AO328" s="251"/>
      <c r="AP328" s="251"/>
      <c r="AQ328" s="252"/>
      <c r="AR328" s="524"/>
      <c r="AS328" s="524"/>
    </row>
    <row r="329" spans="13:45" ht="11.4">
      <c r="M329" s="562" t="str">
        <f>M328 &amp; ".P"</f>
        <v>CL.P</v>
      </c>
      <c r="N329" s="531" t="s">
        <v>842</v>
      </c>
      <c r="O329" s="420" t="s">
        <v>23</v>
      </c>
      <c r="AB329" s="251"/>
      <c r="AC329" s="251"/>
      <c r="AD329" s="251"/>
      <c r="AE329" s="252"/>
      <c r="AF329" s="524"/>
      <c r="AG329" s="524"/>
      <c r="AH329" s="251"/>
      <c r="AI329" s="251"/>
      <c r="AJ329" s="251"/>
      <c r="AK329" s="247">
        <f>IF(AK330=0,0,AK328*1000/AK330)</f>
        <v>0</v>
      </c>
      <c r="AL329" s="221"/>
      <c r="AM329" s="221"/>
      <c r="AN329" s="251"/>
      <c r="AO329" s="251"/>
      <c r="AP329" s="251"/>
      <c r="AQ329" s="252"/>
      <c r="AR329" s="524"/>
      <c r="AS329" s="524"/>
    </row>
    <row r="330" spans="13:45" ht="11.4">
      <c r="M330" s="562" t="str">
        <f>M328 &amp; ".V"</f>
        <v>CL.V</v>
      </c>
      <c r="N330" s="531" t="s">
        <v>245</v>
      </c>
      <c r="O330" s="420" t="s">
        <v>289</v>
      </c>
      <c r="AB330" s="251"/>
      <c r="AC330" s="251"/>
      <c r="AD330" s="251"/>
      <c r="AE330" s="524"/>
      <c r="AF330" s="524"/>
      <c r="AG330" s="524"/>
      <c r="AH330" s="251"/>
      <c r="AI330" s="251"/>
      <c r="AJ330" s="251"/>
      <c r="AK330" s="247">
        <f>AL330+AM330</f>
        <v>0</v>
      </c>
      <c r="AL330" s="221"/>
      <c r="AM330" s="221"/>
      <c r="AN330" s="251"/>
      <c r="AO330" s="251"/>
      <c r="AP330" s="251"/>
      <c r="AQ330" s="524"/>
      <c r="AR330" s="524"/>
      <c r="AS330" s="524"/>
    </row>
    <row r="331" spans="13:45" ht="11.4">
      <c r="M331" s="561" t="s">
        <v>2020</v>
      </c>
      <c r="N331" s="559" t="s">
        <v>1992</v>
      </c>
      <c r="O331" s="420" t="s">
        <v>195</v>
      </c>
      <c r="AB331" s="251"/>
      <c r="AC331" s="251"/>
      <c r="AD331" s="251"/>
      <c r="AE331" s="252"/>
      <c r="AF331" s="524"/>
      <c r="AG331" s="524"/>
      <c r="AH331" s="251"/>
      <c r="AI331" s="251"/>
      <c r="AJ331" s="251"/>
      <c r="AK331" s="247">
        <f>AL331+AM331</f>
        <v>0</v>
      </c>
      <c r="AL331" s="244">
        <f>AL332*AL333/1000</f>
        <v>0</v>
      </c>
      <c r="AM331" s="244">
        <f>AM332*AM333/1000</f>
        <v>0</v>
      </c>
      <c r="AN331" s="251"/>
      <c r="AO331" s="251"/>
      <c r="AP331" s="251"/>
      <c r="AQ331" s="252"/>
      <c r="AR331" s="524"/>
      <c r="AS331" s="524"/>
    </row>
    <row r="332" spans="13:45" ht="11.4">
      <c r="M332" s="562" t="str">
        <f>M331 &amp; ".P"</f>
        <v>CLLIQ.P</v>
      </c>
      <c r="N332" s="531" t="s">
        <v>842</v>
      </c>
      <c r="O332" s="420" t="s">
        <v>23</v>
      </c>
      <c r="AB332" s="251"/>
      <c r="AC332" s="251"/>
      <c r="AD332" s="251"/>
      <c r="AE332" s="252"/>
      <c r="AF332" s="524"/>
      <c r="AG332" s="524"/>
      <c r="AH332" s="251"/>
      <c r="AI332" s="251"/>
      <c r="AJ332" s="251"/>
      <c r="AK332" s="247">
        <f>IF(AK333=0,0,AK331*1000/AK333)</f>
        <v>0</v>
      </c>
      <c r="AL332" s="221"/>
      <c r="AM332" s="221"/>
      <c r="AN332" s="251"/>
      <c r="AO332" s="251"/>
      <c r="AP332" s="251"/>
      <c r="AQ332" s="252"/>
      <c r="AR332" s="524"/>
      <c r="AS332" s="524"/>
    </row>
    <row r="333" spans="13:45" ht="11.4">
      <c r="M333" s="562" t="str">
        <f>M331 &amp; ".V"</f>
        <v>CLLIQ.V</v>
      </c>
      <c r="N333" s="531" t="s">
        <v>245</v>
      </c>
      <c r="O333" s="420" t="s">
        <v>289</v>
      </c>
      <c r="AB333" s="251"/>
      <c r="AC333" s="251"/>
      <c r="AD333" s="251"/>
      <c r="AE333" s="524"/>
      <c r="AF333" s="524"/>
      <c r="AG333" s="524"/>
      <c r="AH333" s="251"/>
      <c r="AI333" s="251"/>
      <c r="AJ333" s="251"/>
      <c r="AK333" s="247">
        <f>AL333+AM333</f>
        <v>0</v>
      </c>
      <c r="AL333" s="221"/>
      <c r="AM333" s="221"/>
      <c r="AN333" s="251"/>
      <c r="AO333" s="251"/>
      <c r="AP333" s="251"/>
      <c r="AQ333" s="524"/>
      <c r="AR333" s="524"/>
      <c r="AS333" s="524"/>
    </row>
    <row r="334" spans="13:45" ht="11.4">
      <c r="M334" s="561" t="s">
        <v>2012</v>
      </c>
      <c r="N334" s="559" t="s">
        <v>1993</v>
      </c>
      <c r="O334" s="420" t="s">
        <v>195</v>
      </c>
      <c r="AB334" s="251"/>
      <c r="AC334" s="251"/>
      <c r="AD334" s="251"/>
      <c r="AE334" s="252"/>
      <c r="AF334" s="524"/>
      <c r="AG334" s="524"/>
      <c r="AH334" s="251"/>
      <c r="AI334" s="251"/>
      <c r="AJ334" s="251"/>
      <c r="AK334" s="247">
        <f>AL334+AM334</f>
        <v>0</v>
      </c>
      <c r="AL334" s="244">
        <f>AL335*AL336/1000</f>
        <v>0</v>
      </c>
      <c r="AM334" s="244">
        <f>AM335*AM336/1000</f>
        <v>0</v>
      </c>
      <c r="AN334" s="251"/>
      <c r="AO334" s="251"/>
      <c r="AP334" s="251"/>
      <c r="AQ334" s="252"/>
      <c r="AR334" s="524"/>
      <c r="AS334" s="524"/>
    </row>
    <row r="335" spans="13:45" ht="11.4">
      <c r="M335" s="562" t="str">
        <f>M334 &amp; ".P"</f>
        <v>CLAMN.P</v>
      </c>
      <c r="N335" s="531" t="s">
        <v>842</v>
      </c>
      <c r="O335" s="420" t="s">
        <v>23</v>
      </c>
      <c r="AB335" s="251"/>
      <c r="AC335" s="251"/>
      <c r="AD335" s="251"/>
      <c r="AE335" s="252"/>
      <c r="AF335" s="524"/>
      <c r="AG335" s="524"/>
      <c r="AH335" s="251"/>
      <c r="AI335" s="251"/>
      <c r="AJ335" s="251"/>
      <c r="AK335" s="247">
        <f>IF(AK336=0,0,AK334*1000/AK336)</f>
        <v>0</v>
      </c>
      <c r="AL335" s="221"/>
      <c r="AM335" s="221"/>
      <c r="AN335" s="251"/>
      <c r="AO335" s="251"/>
      <c r="AP335" s="251"/>
      <c r="AQ335" s="252"/>
      <c r="AR335" s="524"/>
      <c r="AS335" s="524"/>
    </row>
    <row r="336" spans="13:45" ht="11.4">
      <c r="M336" s="562" t="str">
        <f>M334 &amp; ".V"</f>
        <v>CLAMN.V</v>
      </c>
      <c r="N336" s="531" t="s">
        <v>245</v>
      </c>
      <c r="O336" s="420" t="s">
        <v>289</v>
      </c>
      <c r="AB336" s="251"/>
      <c r="AC336" s="251"/>
      <c r="AD336" s="251"/>
      <c r="AE336" s="524"/>
      <c r="AF336" s="524"/>
      <c r="AG336" s="524"/>
      <c r="AH336" s="251"/>
      <c r="AI336" s="251"/>
      <c r="AJ336" s="251"/>
      <c r="AK336" s="247">
        <f>AL336+AM336</f>
        <v>0</v>
      </c>
      <c r="AL336" s="221"/>
      <c r="AM336" s="221"/>
      <c r="AN336" s="251"/>
      <c r="AO336" s="251"/>
      <c r="AP336" s="251"/>
      <c r="AQ336" s="524"/>
      <c r="AR336" s="524"/>
      <c r="AS336" s="524"/>
    </row>
    <row r="337" spans="13:45" ht="11.4">
      <c r="M337" s="561" t="s">
        <v>2028</v>
      </c>
      <c r="N337" s="559" t="s">
        <v>1994</v>
      </c>
      <c r="O337" s="420" t="s">
        <v>195</v>
      </c>
      <c r="AB337" s="251"/>
      <c r="AC337" s="251"/>
      <c r="AD337" s="251"/>
      <c r="AE337" s="252"/>
      <c r="AF337" s="524"/>
      <c r="AG337" s="524"/>
      <c r="AH337" s="251"/>
      <c r="AI337" s="251"/>
      <c r="AJ337" s="251"/>
      <c r="AK337" s="247">
        <f>AL337+AM337</f>
        <v>0</v>
      </c>
      <c r="AL337" s="244">
        <f>AL338*AL339/1000</f>
        <v>0</v>
      </c>
      <c r="AM337" s="244">
        <f>AM338*AM339/1000</f>
        <v>0</v>
      </c>
      <c r="AN337" s="251"/>
      <c r="AO337" s="251"/>
      <c r="AP337" s="251"/>
      <c r="AQ337" s="252"/>
      <c r="AR337" s="524"/>
      <c r="AS337" s="524"/>
    </row>
    <row r="338" spans="13:45" ht="11.4">
      <c r="M338" s="562" t="str">
        <f>M337 &amp; ".P"</f>
        <v>CLFRM.P</v>
      </c>
      <c r="N338" s="531" t="s">
        <v>842</v>
      </c>
      <c r="O338" s="420" t="s">
        <v>23</v>
      </c>
      <c r="AB338" s="251"/>
      <c r="AC338" s="251"/>
      <c r="AD338" s="251"/>
      <c r="AE338" s="252"/>
      <c r="AF338" s="524"/>
      <c r="AG338" s="524"/>
      <c r="AH338" s="251"/>
      <c r="AI338" s="251"/>
      <c r="AJ338" s="251"/>
      <c r="AK338" s="247">
        <f>IF(AK339=0,0,AK337*1000/AK339)</f>
        <v>0</v>
      </c>
      <c r="AL338" s="221"/>
      <c r="AM338" s="221"/>
      <c r="AN338" s="251"/>
      <c r="AO338" s="251"/>
      <c r="AP338" s="251"/>
      <c r="AQ338" s="252"/>
      <c r="AR338" s="524"/>
      <c r="AS338" s="524"/>
    </row>
    <row r="339" spans="13:45" ht="11.4">
      <c r="M339" s="562" t="str">
        <f>M337 &amp; ".V"</f>
        <v>CLFRM.V</v>
      </c>
      <c r="N339" s="531" t="s">
        <v>245</v>
      </c>
      <c r="O339" s="420" t="s">
        <v>289</v>
      </c>
      <c r="AB339" s="251"/>
      <c r="AC339" s="251"/>
      <c r="AD339" s="251"/>
      <c r="AE339" s="524"/>
      <c r="AF339" s="524"/>
      <c r="AG339" s="524"/>
      <c r="AH339" s="251"/>
      <c r="AI339" s="251"/>
      <c r="AJ339" s="251"/>
      <c r="AK339" s="247">
        <f>AL339+AM339</f>
        <v>0</v>
      </c>
      <c r="AL339" s="221"/>
      <c r="AM339" s="221"/>
      <c r="AN339" s="251"/>
      <c r="AO339" s="251"/>
      <c r="AP339" s="251"/>
      <c r="AQ339" s="524"/>
      <c r="AR339" s="524"/>
      <c r="AS339" s="524"/>
    </row>
    <row r="340" spans="13:45" ht="11.4">
      <c r="M340" s="561" t="s">
        <v>2029</v>
      </c>
      <c r="N340" s="559" t="s">
        <v>1995</v>
      </c>
      <c r="O340" s="420" t="s">
        <v>195</v>
      </c>
      <c r="AB340" s="251"/>
      <c r="AC340" s="251"/>
      <c r="AD340" s="251"/>
      <c r="AE340" s="252"/>
      <c r="AF340" s="524"/>
      <c r="AG340" s="524"/>
      <c r="AH340" s="251"/>
      <c r="AI340" s="251"/>
      <c r="AJ340" s="251"/>
      <c r="AK340" s="247">
        <f>AL340+AM340</f>
        <v>0</v>
      </c>
      <c r="AL340" s="244">
        <f>AL341*AL342/1000</f>
        <v>0</v>
      </c>
      <c r="AM340" s="244">
        <f>AM341*AM342/1000</f>
        <v>0</v>
      </c>
      <c r="AN340" s="251"/>
      <c r="AO340" s="251"/>
      <c r="AP340" s="251"/>
      <c r="AQ340" s="252"/>
      <c r="AR340" s="524"/>
      <c r="AS340" s="524"/>
    </row>
    <row r="341" spans="13:45" ht="11.4">
      <c r="M341" s="562" t="str">
        <f>M340 &amp; ".P"</f>
        <v>ETHL.P</v>
      </c>
      <c r="N341" s="531" t="s">
        <v>842</v>
      </c>
      <c r="O341" s="420" t="s">
        <v>23</v>
      </c>
      <c r="AB341" s="251"/>
      <c r="AC341" s="251"/>
      <c r="AD341" s="251"/>
      <c r="AE341" s="252"/>
      <c r="AF341" s="524"/>
      <c r="AG341" s="524"/>
      <c r="AH341" s="251"/>
      <c r="AI341" s="251"/>
      <c r="AJ341" s="251"/>
      <c r="AK341" s="247">
        <f>IF(AK342=0,0,AK340*1000/AK342)</f>
        <v>0</v>
      </c>
      <c r="AL341" s="221"/>
      <c r="AM341" s="221"/>
      <c r="AN341" s="251"/>
      <c r="AO341" s="251"/>
      <c r="AP341" s="251"/>
      <c r="AQ341" s="252"/>
      <c r="AR341" s="524"/>
      <c r="AS341" s="524"/>
    </row>
    <row r="342" spans="13:45" ht="11.4">
      <c r="M342" s="562" t="str">
        <f>M340 &amp; ".V"</f>
        <v>ETHL.V</v>
      </c>
      <c r="N342" s="531" t="s">
        <v>245</v>
      </c>
      <c r="O342" s="420" t="s">
        <v>289</v>
      </c>
      <c r="AB342" s="251"/>
      <c r="AC342" s="251"/>
      <c r="AD342" s="251"/>
      <c r="AE342" s="524"/>
      <c r="AF342" s="524"/>
      <c r="AG342" s="524"/>
      <c r="AH342" s="251"/>
      <c r="AI342" s="251"/>
      <c r="AJ342" s="251"/>
      <c r="AK342" s="247">
        <f>AL342+AM342</f>
        <v>0</v>
      </c>
      <c r="AL342" s="221"/>
      <c r="AM342" s="221"/>
      <c r="AN342" s="251"/>
      <c r="AO342" s="251"/>
      <c r="AP342" s="251"/>
      <c r="AQ342" s="524"/>
      <c r="AR342" s="524"/>
      <c r="AS342" s="524"/>
    </row>
    <row r="343" spans="13:45" ht="11.4">
      <c r="M343" s="564" t="s">
        <v>1356</v>
      </c>
      <c r="N343" s="565" t="s">
        <v>307</v>
      </c>
      <c r="O343" s="418" t="s">
        <v>195</v>
      </c>
      <c r="AB343" s="251"/>
      <c r="AC343" s="251"/>
      <c r="AD343" s="251"/>
      <c r="AE343" s="252"/>
      <c r="AF343" s="524"/>
      <c r="AG343" s="524"/>
      <c r="AH343" s="251"/>
      <c r="AI343" s="251"/>
      <c r="AJ343" s="251"/>
      <c r="AK343" s="247">
        <f>AL343+AM343</f>
        <v>0</v>
      </c>
      <c r="AL343" s="221"/>
      <c r="AM343" s="221"/>
      <c r="AN343" s="251"/>
      <c r="AO343" s="251"/>
      <c r="AP343" s="251"/>
      <c r="AQ343" s="252"/>
      <c r="AR343" s="524"/>
      <c r="AS343" s="524"/>
    </row>
    <row r="344" spans="13:45" ht="11.4">
      <c r="M344" s="560"/>
      <c r="N344" s="533"/>
      <c r="O344" s="166"/>
      <c r="AB344" s="251"/>
      <c r="AC344" s="251"/>
      <c r="AD344" s="251"/>
      <c r="AE344" s="266"/>
      <c r="AF344" s="266"/>
      <c r="AG344" s="266"/>
      <c r="AH344" s="251"/>
      <c r="AI344" s="251"/>
      <c r="AJ344" s="251"/>
      <c r="AK344" s="266"/>
      <c r="AL344" s="266"/>
      <c r="AM344" s="266"/>
      <c r="AN344" s="251"/>
      <c r="AO344" s="251"/>
      <c r="AP344" s="251"/>
      <c r="AQ344" s="266"/>
      <c r="AR344" s="266"/>
      <c r="AS344" s="266"/>
    </row>
    <row r="345" spans="13:45" ht="11.4">
      <c r="M345" s="560"/>
      <c r="N345" s="533"/>
      <c r="O345" s="166"/>
      <c r="AB345" s="251"/>
      <c r="AC345" s="251"/>
      <c r="AD345" s="251"/>
      <c r="AE345" s="261"/>
      <c r="AF345" s="261"/>
      <c r="AG345" s="261"/>
      <c r="AH345" s="251"/>
      <c r="AI345" s="251"/>
      <c r="AJ345" s="251"/>
      <c r="AK345" s="261"/>
      <c r="AL345" s="261"/>
      <c r="AM345" s="261"/>
      <c r="AN345" s="251"/>
      <c r="AO345" s="251"/>
      <c r="AP345" s="251"/>
      <c r="AQ345" s="261"/>
      <c r="AR345" s="261"/>
      <c r="AS345" s="261"/>
    </row>
    <row r="346" spans="13:45" ht="11.4">
      <c r="M346" s="561" t="s">
        <v>1356</v>
      </c>
      <c r="N346" s="567" t="s">
        <v>169</v>
      </c>
      <c r="O346" s="163" t="s">
        <v>195</v>
      </c>
      <c r="AB346" s="251"/>
      <c r="AC346" s="251"/>
      <c r="AD346" s="251"/>
      <c r="AE346" s="252"/>
      <c r="AF346" s="524"/>
      <c r="AG346" s="524"/>
      <c r="AH346" s="251"/>
      <c r="AI346" s="251"/>
      <c r="AJ346" s="251"/>
      <c r="AK346" s="247">
        <f>AL346+AM346</f>
        <v>0</v>
      </c>
      <c r="AL346" s="221"/>
      <c r="AM346" s="221"/>
      <c r="AN346" s="251"/>
      <c r="AO346" s="251"/>
      <c r="AP346" s="251"/>
      <c r="AQ346" s="252"/>
      <c r="AR346" s="524"/>
      <c r="AS346" s="524"/>
    </row>
    <row r="347" spans="13:45" ht="11.4">
      <c r="M347" s="560"/>
      <c r="N347" s="533"/>
      <c r="O347" s="166"/>
      <c r="AB347" s="251"/>
      <c r="AC347" s="251"/>
      <c r="AD347" s="251"/>
      <c r="AE347" s="266"/>
      <c r="AF347" s="266"/>
      <c r="AG347" s="266"/>
      <c r="AH347" s="251"/>
      <c r="AI347" s="251"/>
      <c r="AJ347" s="251"/>
      <c r="AK347" s="266"/>
      <c r="AL347" s="266"/>
      <c r="AM347" s="266"/>
      <c r="AN347" s="251"/>
      <c r="AO347" s="251"/>
      <c r="AP347" s="251"/>
      <c r="AQ347" s="266"/>
      <c r="AR347" s="266"/>
      <c r="AS347" s="266"/>
    </row>
    <row r="348" spans="13:45" ht="11.4">
      <c r="M348" s="566" t="s">
        <v>607</v>
      </c>
      <c r="N348" s="501" t="s">
        <v>1712</v>
      </c>
      <c r="O348" s="163" t="s">
        <v>1026</v>
      </c>
      <c r="AB348" s="251"/>
      <c r="AC348" s="251"/>
      <c r="AD348" s="251"/>
      <c r="AE348" s="252">
        <f>SUMIF(ХВС.РО!$AS$15:$AT$15,AE$15,ХВС.РО!$AS$240:$AT$240)</f>
        <v>0</v>
      </c>
      <c r="AF348" s="252">
        <f>SUMIF(ХВС.РО!$AS$15:$AT$15,AF$15,ХВС.РО!$AS$240:$AT$240)</f>
        <v>0</v>
      </c>
      <c r="AG348" s="252">
        <f>SUMIF(ХВС.РО!$AS$15:$AT$15,AG$15,ХВС.РО!$AS$240:$AT$240)</f>
        <v>0</v>
      </c>
      <c r="AH348" s="251"/>
      <c r="AI348" s="251"/>
      <c r="AJ348" s="251"/>
      <c r="AK348" s="252"/>
      <c r="AL348" s="252"/>
      <c r="AM348" s="252"/>
      <c r="AN348" s="251"/>
      <c r="AO348" s="251"/>
      <c r="AP348" s="251"/>
      <c r="AQ348" s="252"/>
      <c r="AR348" s="252"/>
      <c r="AS348" s="252"/>
    </row>
    <row r="349" spans="13:45" ht="11.4">
      <c r="M349" s="560"/>
      <c r="N349" s="533"/>
      <c r="O349" s="166"/>
      <c r="AB349" s="251"/>
      <c r="AC349" s="251"/>
      <c r="AD349" s="251"/>
      <c r="AE349" s="261"/>
      <c r="AF349" s="261"/>
      <c r="AG349" s="261"/>
      <c r="AH349" s="251"/>
      <c r="AI349" s="251"/>
      <c r="AJ349" s="251"/>
      <c r="AK349" s="261"/>
      <c r="AL349" s="261"/>
      <c r="AM349" s="261"/>
      <c r="AN349" s="251"/>
      <c r="AO349" s="251"/>
      <c r="AP349" s="251"/>
      <c r="AQ349" s="261"/>
      <c r="AR349" s="261"/>
      <c r="AS349" s="261"/>
    </row>
  </sheetData>
  <sheetProtection formatColumns="0" formatRows="0"/>
  <mergeCells count="18">
    <mergeCell ref="AB2:AD2"/>
    <mergeCell ref="AB14:AD14"/>
    <mergeCell ref="AB18:AD18"/>
    <mergeCell ref="M19:M20"/>
    <mergeCell ref="N19:N20"/>
    <mergeCell ref="O19:O20"/>
    <mergeCell ref="AB19:AD19"/>
    <mergeCell ref="AB22:AD22"/>
    <mergeCell ref="AK14:AM14"/>
    <mergeCell ref="AK15:AM15"/>
    <mergeCell ref="AK16:AM16"/>
    <mergeCell ref="AK17:AM17"/>
    <mergeCell ref="AK18:AM18"/>
    <mergeCell ref="AK19:AM19"/>
    <mergeCell ref="AK20:AM20"/>
    <mergeCell ref="AK21:AM21"/>
    <mergeCell ref="AB20:AD20"/>
    <mergeCell ref="AB21:AD21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4">
    <tabColor indexed="47"/>
  </sheetPr>
  <dimension ref="A2:CL364"/>
  <sheetViews>
    <sheetView showGridLines="0" zoomScale="85" zoomScaleNormal="85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33" width="8.75" style="2" customWidth="1"/>
    <col min="34" max="90" width="2.75" style="2" customWidth="1"/>
    <col min="91" max="91" width="3.625" style="2" customWidth="1"/>
    <col min="92" max="92" width="5.75" style="2" customWidth="1"/>
    <col min="93" max="93" width="17.75" style="2" customWidth="1"/>
    <col min="94" max="95" width="5.75" style="2" customWidth="1"/>
    <col min="96" max="96" width="17.75" style="2" customWidth="1"/>
    <col min="97" max="98" width="9.125" style="2"/>
    <col min="99" max="99" width="17.75" style="2" customWidth="1"/>
    <col min="100" max="101" width="9.125" style="2"/>
    <col min="102" max="102" width="17.75" style="2" customWidth="1"/>
    <col min="103" max="16384" width="9.125" style="2"/>
  </cols>
  <sheetData>
    <row r="2" spans="28:79" ht="11.25" customHeight="1">
      <c r="AB2" s="916" t="s">
        <v>19</v>
      </c>
      <c r="AC2" s="916"/>
      <c r="AD2" s="916"/>
      <c r="AE2" s="31"/>
      <c r="AF2" s="31"/>
      <c r="AG2" s="31"/>
    </row>
    <row r="3" spans="28:79" customFormat="1" ht="11.25" customHeight="1">
      <c r="AE3" s="31"/>
      <c r="AF3" s="31"/>
      <c r="AG3" s="31"/>
    </row>
    <row r="4" spans="28:79" customFormat="1" ht="11.25" customHeight="1">
      <c r="AE4" s="31"/>
      <c r="AF4" s="31"/>
      <c r="AG4" s="31"/>
    </row>
    <row r="5" spans="28:79" ht="11.25" customHeight="1">
      <c r="AB5" s="157"/>
      <c r="AC5" s="157"/>
      <c r="AD5" s="157"/>
      <c r="AE5" s="31"/>
      <c r="AF5" s="31"/>
      <c r="AG5" s="31"/>
    </row>
    <row r="6" spans="28:79" ht="11.25" customHeight="1">
      <c r="AB6" s="157">
        <v>12</v>
      </c>
      <c r="AC6" s="157">
        <v>6</v>
      </c>
      <c r="AD6" s="157">
        <v>6</v>
      </c>
      <c r="AE6" s="31"/>
      <c r="AF6" s="31"/>
      <c r="AG6" s="31"/>
    </row>
    <row r="7" spans="28:79" ht="11.25" customHeight="1">
      <c r="AB7" s="147"/>
      <c r="AC7" s="147"/>
      <c r="AD7" s="147"/>
      <c r="AE7" s="31"/>
      <c r="AF7" s="31"/>
      <c r="AG7" s="31"/>
    </row>
    <row r="8" spans="28:79" customFormat="1" ht="11.25" customHeight="1">
      <c r="AB8" s="172"/>
      <c r="AC8" s="172"/>
      <c r="AD8" s="172"/>
      <c r="AE8" s="31"/>
      <c r="AF8" s="31"/>
      <c r="AG8" s="31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</row>
    <row r="9" spans="28:79" customFormat="1" ht="11.25" customHeight="1">
      <c r="AB9" s="143" t="s">
        <v>275</v>
      </c>
      <c r="AC9" s="143" t="s">
        <v>194</v>
      </c>
      <c r="AD9" s="143" t="s">
        <v>609</v>
      </c>
      <c r="AE9" s="31"/>
      <c r="AF9" s="31"/>
      <c r="AG9" s="31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</row>
    <row r="10" spans="28:79" customFormat="1" ht="11.25" customHeight="1">
      <c r="AB10" s="215"/>
      <c r="AC10" s="215"/>
      <c r="AD10" s="215"/>
      <c r="AE10" s="31"/>
      <c r="AF10" s="31"/>
      <c r="AG10" s="31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</row>
    <row r="11" spans="28:79" customFormat="1" ht="11.25" customHeight="1">
      <c r="AB11" s="143"/>
      <c r="AC11" s="143"/>
      <c r="AD11" s="143"/>
      <c r="AE11" s="31"/>
      <c r="AF11" s="31"/>
      <c r="AG11" s="31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</row>
    <row r="12" spans="28:79" customFormat="1" ht="11.25" customHeight="1">
      <c r="AB12" s="147"/>
      <c r="AC12" s="147"/>
      <c r="AD12" s="147"/>
      <c r="AE12" s="31"/>
      <c r="AF12" s="31"/>
      <c r="AG12" s="31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</row>
    <row r="13" spans="28:79" customFormat="1" ht="11.25" customHeight="1">
      <c r="AB13" s="214" t="s">
        <v>20</v>
      </c>
      <c r="AC13" s="214" t="s">
        <v>273</v>
      </c>
      <c r="AD13" s="214" t="s">
        <v>274</v>
      </c>
      <c r="AE13" s="31"/>
      <c r="AF13" s="31"/>
      <c r="AG13" s="31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</row>
    <row r="14" spans="28:79" ht="11.25" customHeight="1">
      <c r="AB14" s="919"/>
      <c r="AC14" s="920"/>
      <c r="AD14" s="920"/>
      <c r="AE14" s="31"/>
      <c r="AF14" s="31"/>
      <c r="AG14" s="31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</row>
    <row r="15" spans="28:79" ht="11.25" customHeight="1">
      <c r="AB15" s="167" t="str">
        <f>AB17 &amp; "_" &amp; AB9</f>
        <v>0_Y</v>
      </c>
      <c r="AC15" s="167" t="str">
        <f>AC17 &amp; "_" &amp; AC9</f>
        <v>0_I</v>
      </c>
      <c r="AD15" s="167" t="str">
        <f>AD17 &amp; "_" &amp; AD9</f>
        <v>0_II</v>
      </c>
      <c r="AE15" s="31"/>
      <c r="AF15" s="31"/>
      <c r="AG15" s="31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20"/>
    </row>
    <row r="16" spans="28:79" customFormat="1" ht="11.25" customHeight="1">
      <c r="AB16" s="158"/>
      <c r="AC16" s="158"/>
      <c r="AD16" s="158"/>
      <c r="AE16" s="31"/>
      <c r="AF16" s="31"/>
      <c r="AG16" s="31"/>
    </row>
    <row r="17" spans="12:80" customFormat="1" ht="11.25" customHeight="1">
      <c r="AB17" s="167">
        <f>AB19</f>
        <v>0</v>
      </c>
      <c r="AC17" s="167">
        <f>AB19</f>
        <v>0</v>
      </c>
      <c r="AD17" s="167">
        <f>AB19</f>
        <v>0</v>
      </c>
      <c r="AE17" s="31"/>
      <c r="AF17" s="31"/>
      <c r="AG17" s="31"/>
    </row>
    <row r="18" spans="12:80" customFormat="1" ht="11.25" customHeight="1">
      <c r="AB18" s="918" t="s">
        <v>134</v>
      </c>
      <c r="AC18" s="918"/>
      <c r="AD18" s="918"/>
      <c r="AE18" s="31"/>
      <c r="AF18" s="31"/>
      <c r="AG18" s="31"/>
    </row>
    <row r="19" spans="12:80" ht="11.25" customHeight="1">
      <c r="L19" s="118"/>
      <c r="M19" s="925" t="s">
        <v>104</v>
      </c>
      <c r="N19" s="912" t="s">
        <v>196</v>
      </c>
      <c r="O19" s="912" t="s">
        <v>683</v>
      </c>
      <c r="AB19" s="917"/>
      <c r="AC19" s="917"/>
      <c r="AD19" s="917"/>
      <c r="AE19" s="31"/>
      <c r="AF19" s="31"/>
      <c r="AG19" s="31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2:80" ht="11.25" customHeight="1">
      <c r="L20" s="118"/>
      <c r="M20" s="925"/>
      <c r="N20" s="912"/>
      <c r="O20" s="912"/>
      <c r="AB20" s="914"/>
      <c r="AC20" s="915"/>
      <c r="AD20" s="915"/>
      <c r="AE20" s="31"/>
      <c r="AF20" s="31"/>
      <c r="AG20" s="31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2:80" ht="11.25" customHeight="1">
      <c r="L21" s="9"/>
      <c r="M21" s="218"/>
      <c r="N21" s="219" t="s">
        <v>197</v>
      </c>
      <c r="O21" s="219"/>
      <c r="AB21" s="914"/>
      <c r="AC21" s="915"/>
      <c r="AD21" s="915"/>
      <c r="AE21" s="31"/>
      <c r="AF21" s="31"/>
      <c r="AG21" s="31"/>
      <c r="AH21" s="916" t="s">
        <v>401</v>
      </c>
      <c r="AI21" s="916"/>
      <c r="AJ21" s="916"/>
      <c r="AK21" s="916"/>
      <c r="AL21" s="916"/>
      <c r="AM21" s="916"/>
      <c r="AN21" s="916"/>
      <c r="AO21" s="916"/>
      <c r="AP21" s="916"/>
      <c r="AQ21" s="916"/>
      <c r="AR21" s="916"/>
      <c r="AS21" s="916"/>
      <c r="AT21" s="916"/>
      <c r="AU21" s="916"/>
      <c r="AV21" s="916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2:80" ht="11.25" customHeight="1">
      <c r="L22" s="9"/>
      <c r="M22" s="218"/>
      <c r="N22" s="436" t="str">
        <f>IF(CALC_IDENTIFIER="","",CALC_IDENTIFIER)</f>
        <v/>
      </c>
      <c r="O22" s="436"/>
      <c r="AB22" s="914"/>
      <c r="AC22" s="915"/>
      <c r="AD22" s="915"/>
      <c r="AE22" s="31"/>
      <c r="AF22" s="31"/>
      <c r="AG22" s="31"/>
      <c r="AH22" s="916" t="s">
        <v>402</v>
      </c>
      <c r="AI22" s="916"/>
      <c r="AJ22" s="916"/>
      <c r="AK22" s="916"/>
      <c r="AL22" s="916"/>
      <c r="AM22" s="916"/>
      <c r="AN22" s="916"/>
      <c r="AO22" s="916"/>
      <c r="AP22" s="916"/>
      <c r="AQ22" s="916"/>
      <c r="AR22" s="916"/>
      <c r="AS22" s="916"/>
      <c r="AT22" s="916"/>
      <c r="AU22" s="916"/>
      <c r="AV22" s="916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2:80" customFormat="1" ht="11.25" customHeight="1">
      <c r="L23" s="20"/>
      <c r="M23" s="490" t="s">
        <v>105</v>
      </c>
      <c r="N23" s="490" t="s">
        <v>839</v>
      </c>
      <c r="O23" s="420" t="s">
        <v>195</v>
      </c>
      <c r="AB23" s="251"/>
      <c r="AC23" s="251"/>
      <c r="AD23" s="251"/>
      <c r="AE23" s="247">
        <f t="shared" ref="AE23:AE29" si="0">AF23+AG23</f>
        <v>0</v>
      </c>
      <c r="AF23" s="244">
        <f>SUM(AF24,AF28,AF106,AF107,AF120,AF121,AF122,AF127)</f>
        <v>0</v>
      </c>
      <c r="AG23" s="244">
        <f>SUM(AG24,AG28,AG106,AG107,AG120,AG121,AG122,AG127)</f>
        <v>0</v>
      </c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169"/>
      <c r="BB23" s="169"/>
      <c r="BC23" s="169"/>
      <c r="BD23" s="169"/>
      <c r="BE23" s="169"/>
      <c r="BF23" s="169"/>
      <c r="BG23" s="169"/>
      <c r="BH23" s="169"/>
      <c r="BI23" s="169"/>
      <c r="BJ23" s="169"/>
      <c r="BK23" s="169"/>
      <c r="BL23" s="169"/>
      <c r="BM23" s="169"/>
      <c r="BN23" s="169"/>
      <c r="BO23" s="169"/>
      <c r="BP23" s="169"/>
      <c r="BQ23" s="169"/>
      <c r="BR23" s="169"/>
      <c r="BS23" s="169"/>
      <c r="BT23" s="169"/>
      <c r="BU23" s="169"/>
      <c r="BV23" s="169"/>
      <c r="BW23" s="169"/>
      <c r="BX23" s="169"/>
      <c r="BY23" s="169"/>
      <c r="BZ23" s="169"/>
    </row>
    <row r="24" spans="12:80" ht="11.25" customHeight="1">
      <c r="L24" s="20"/>
      <c r="M24" s="509" t="s">
        <v>198</v>
      </c>
      <c r="N24" s="525" t="s">
        <v>840</v>
      </c>
      <c r="O24" s="420" t="s">
        <v>195</v>
      </c>
      <c r="AB24" s="251"/>
      <c r="AC24" s="251"/>
      <c r="AD24" s="251"/>
      <c r="AE24" s="247">
        <f t="shared" si="0"/>
        <v>0</v>
      </c>
      <c r="AF24" s="244">
        <f>SUM(AF25,AF26,AF27)</f>
        <v>0</v>
      </c>
      <c r="AG24" s="244">
        <f>SUM(AG25,AG26,AG27)</f>
        <v>0</v>
      </c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</row>
    <row r="25" spans="12:80" ht="11.25" customHeight="1">
      <c r="L25" s="20"/>
      <c r="M25" s="509" t="s">
        <v>610</v>
      </c>
      <c r="N25" s="526" t="s">
        <v>841</v>
      </c>
      <c r="O25" s="420" t="s">
        <v>195</v>
      </c>
      <c r="AB25" s="251"/>
      <c r="AC25" s="251"/>
      <c r="AD25" s="251"/>
      <c r="AE25" s="247">
        <f t="shared" si="0"/>
        <v>0</v>
      </c>
      <c r="AF25" s="524">
        <f>ВО.Р!AF$25</f>
        <v>0</v>
      </c>
      <c r="AG25" s="524">
        <f>ВО.Р!AG$25</f>
        <v>0</v>
      </c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14"/>
      <c r="BY25" s="114"/>
      <c r="BZ25" s="114"/>
    </row>
    <row r="26" spans="12:80" ht="11.4">
      <c r="L26" s="20"/>
      <c r="M26" s="509" t="s">
        <v>611</v>
      </c>
      <c r="N26" s="526" t="s">
        <v>843</v>
      </c>
      <c r="O26" s="420" t="s">
        <v>195</v>
      </c>
      <c r="AB26" s="251"/>
      <c r="AC26" s="251"/>
      <c r="AD26" s="251"/>
      <c r="AE26" s="247">
        <f t="shared" si="0"/>
        <v>0</v>
      </c>
      <c r="AF26" s="221"/>
      <c r="AG26" s="221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169"/>
      <c r="BB26" s="169"/>
      <c r="BC26" s="169"/>
      <c r="BD26" s="169"/>
      <c r="BE26" s="169"/>
      <c r="BF26" s="169"/>
      <c r="BG26" s="169"/>
      <c r="BH26" s="169"/>
      <c r="BI26" s="169"/>
      <c r="BJ26" s="169"/>
      <c r="BK26" s="169"/>
      <c r="BL26" s="169"/>
      <c r="BM26" s="169"/>
      <c r="BN26" s="169"/>
      <c r="BO26" s="169"/>
      <c r="BP26" s="169"/>
      <c r="BQ26" s="169"/>
      <c r="BR26" s="169"/>
      <c r="BS26" s="169"/>
      <c r="BT26" s="169"/>
      <c r="BU26" s="169"/>
      <c r="BV26" s="169"/>
      <c r="BW26" s="169"/>
      <c r="BX26" s="169"/>
      <c r="BY26" s="169"/>
      <c r="BZ26" s="169"/>
    </row>
    <row r="27" spans="12:80" customFormat="1" ht="11.4">
      <c r="L27" s="20"/>
      <c r="M27" s="509" t="s">
        <v>633</v>
      </c>
      <c r="N27" s="526" t="s">
        <v>844</v>
      </c>
      <c r="O27" s="420" t="s">
        <v>195</v>
      </c>
      <c r="AB27" s="251"/>
      <c r="AC27" s="251"/>
      <c r="AD27" s="251"/>
      <c r="AE27" s="247">
        <f t="shared" si="0"/>
        <v>0</v>
      </c>
      <c r="AF27" s="221"/>
      <c r="AG27" s="221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169"/>
      <c r="BB27" s="169"/>
      <c r="BC27" s="169"/>
      <c r="BD27" s="169"/>
      <c r="BE27" s="169"/>
      <c r="BF27" s="169"/>
      <c r="BG27" s="169"/>
      <c r="BH27" s="169"/>
      <c r="BI27" s="169"/>
      <c r="BJ27" s="169"/>
      <c r="BK27" s="169"/>
      <c r="BL27" s="169"/>
      <c r="BM27" s="169"/>
      <c r="BN27" s="169"/>
      <c r="BO27" s="169"/>
      <c r="BP27" s="169"/>
      <c r="BQ27" s="169"/>
      <c r="BR27" s="169"/>
      <c r="BS27" s="169"/>
      <c r="BT27" s="169"/>
      <c r="BU27" s="169"/>
      <c r="BV27" s="169"/>
      <c r="BW27" s="169"/>
      <c r="BX27" s="169"/>
      <c r="BY27" s="169"/>
      <c r="BZ27" s="169"/>
    </row>
    <row r="28" spans="12:80" customFormat="1" ht="11.4">
      <c r="L28" s="20"/>
      <c r="M28" s="509" t="s">
        <v>199</v>
      </c>
      <c r="N28" s="525" t="s">
        <v>845</v>
      </c>
      <c r="O28" s="420" t="s">
        <v>195</v>
      </c>
      <c r="AB28" s="251"/>
      <c r="AC28" s="251"/>
      <c r="AD28" s="251"/>
      <c r="AE28" s="247">
        <f t="shared" si="0"/>
        <v>0</v>
      </c>
      <c r="AF28" s="244">
        <f>SUM(AF29,AF89,AF90,AF91,AF96)</f>
        <v>0</v>
      </c>
      <c r="AG28" s="244">
        <f>SUM(AG29,AG89,AG90,AG91,AG96)</f>
        <v>0</v>
      </c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169"/>
      <c r="BB28" s="169"/>
      <c r="BC28" s="169"/>
      <c r="BD28" s="169"/>
      <c r="BE28" s="169"/>
      <c r="BF28" s="169"/>
      <c r="BG28" s="169"/>
      <c r="BH28" s="169"/>
      <c r="BI28" s="169"/>
      <c r="BJ28" s="169"/>
      <c r="BK28" s="169"/>
      <c r="BL28" s="169"/>
      <c r="BM28" s="169"/>
      <c r="BN28" s="169"/>
      <c r="BO28" s="169"/>
      <c r="BP28" s="169"/>
      <c r="BQ28" s="169"/>
      <c r="BR28" s="169"/>
      <c r="BS28" s="169"/>
      <c r="BT28" s="169"/>
      <c r="BU28" s="169"/>
      <c r="BV28" s="169"/>
      <c r="BW28" s="169"/>
      <c r="BX28" s="169"/>
      <c r="BY28" s="169"/>
      <c r="BZ28" s="169"/>
    </row>
    <row r="29" spans="12:80" customFormat="1" ht="11.4">
      <c r="L29" s="20"/>
      <c r="M29" s="509" t="s">
        <v>200</v>
      </c>
      <c r="N29" s="526" t="s">
        <v>846</v>
      </c>
      <c r="O29" s="420" t="s">
        <v>195</v>
      </c>
      <c r="AB29" s="251"/>
      <c r="AC29" s="251"/>
      <c r="AD29" s="251"/>
      <c r="AE29" s="247">
        <f t="shared" si="0"/>
        <v>0</v>
      </c>
      <c r="AF29" s="244">
        <f>SUM(AF71,AF83,AF77)</f>
        <v>0</v>
      </c>
      <c r="AG29" s="244">
        <f>SUM(AG71,AG83,AG77)</f>
        <v>0</v>
      </c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169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169"/>
      <c r="BQ29" s="169"/>
      <c r="BR29" s="169"/>
      <c r="BS29" s="169"/>
      <c r="BT29" s="169"/>
      <c r="BU29" s="169"/>
      <c r="BV29" s="169"/>
      <c r="BW29" s="169"/>
      <c r="BX29" s="169"/>
      <c r="BY29" s="169"/>
      <c r="BZ29" s="169"/>
    </row>
    <row r="30" spans="12:80" customFormat="1" ht="11.4">
      <c r="L30" s="20"/>
      <c r="M30" s="510" t="s">
        <v>847</v>
      </c>
      <c r="N30" s="527" t="s">
        <v>848</v>
      </c>
      <c r="O30" s="420"/>
      <c r="AB30" s="251"/>
      <c r="AC30" s="251"/>
      <c r="AD30" s="251"/>
      <c r="AE30" s="261"/>
      <c r="AF30" s="261"/>
      <c r="AG30" s="261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169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169"/>
      <c r="BQ30" s="169"/>
      <c r="BR30" s="169"/>
      <c r="BS30" s="169"/>
      <c r="BT30" s="169"/>
      <c r="BU30" s="169"/>
      <c r="BV30" s="169"/>
      <c r="BW30" s="169"/>
      <c r="BX30" s="169"/>
      <c r="BY30" s="169"/>
      <c r="BZ30" s="169"/>
    </row>
    <row r="31" spans="12:80" customFormat="1" ht="20.399999999999999">
      <c r="L31" s="20"/>
      <c r="M31" s="510" t="s">
        <v>849</v>
      </c>
      <c r="N31" s="528" t="s">
        <v>850</v>
      </c>
      <c r="O31" s="420" t="s">
        <v>284</v>
      </c>
      <c r="AB31" s="251"/>
      <c r="AC31" s="251"/>
      <c r="AD31" s="251"/>
      <c r="AE31" s="244">
        <f>SUM(AE32:AE36)</f>
        <v>0</v>
      </c>
      <c r="AF31" s="244">
        <f>SUM(AF32:AF36)</f>
        <v>0</v>
      </c>
      <c r="AG31" s="244">
        <f>SUM(AG32:AG36)</f>
        <v>0</v>
      </c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169"/>
      <c r="BB31" s="169"/>
      <c r="BC31" s="169"/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69"/>
      <c r="BP31" s="169"/>
      <c r="BQ31" s="169"/>
      <c r="BR31" s="169"/>
      <c r="BS31" s="169"/>
      <c r="BT31" s="169"/>
      <c r="BU31" s="169"/>
      <c r="BV31" s="169"/>
      <c r="BW31" s="169"/>
      <c r="BX31" s="169"/>
      <c r="BY31" s="169"/>
      <c r="BZ31" s="169"/>
    </row>
    <row r="32" spans="12:80" customFormat="1" ht="11.4">
      <c r="L32" s="20"/>
      <c r="M32" s="510" t="s">
        <v>851</v>
      </c>
      <c r="N32" s="529" t="s">
        <v>852</v>
      </c>
      <c r="O32" s="420" t="s">
        <v>284</v>
      </c>
      <c r="AB32" s="251"/>
      <c r="AC32" s="251"/>
      <c r="AD32" s="251"/>
      <c r="AE32" s="247">
        <f>AF32+AG32</f>
        <v>0</v>
      </c>
      <c r="AF32" s="221"/>
      <c r="AG32" s="221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169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</row>
    <row r="33" spans="12:78" customFormat="1" ht="11.4">
      <c r="L33" s="20"/>
      <c r="M33" s="510" t="s">
        <v>853</v>
      </c>
      <c r="N33" s="529" t="s">
        <v>854</v>
      </c>
      <c r="O33" s="420" t="s">
        <v>284</v>
      </c>
      <c r="AB33" s="251"/>
      <c r="AC33" s="251"/>
      <c r="AD33" s="251"/>
      <c r="AE33" s="247">
        <f>AF33+AG33</f>
        <v>0</v>
      </c>
      <c r="AF33" s="221"/>
      <c r="AG33" s="221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169"/>
      <c r="BB33" s="169"/>
      <c r="BC33" s="169"/>
      <c r="BD33" s="169"/>
      <c r="BE33" s="169"/>
      <c r="BF33" s="169"/>
      <c r="BG33" s="169"/>
      <c r="BH33" s="169"/>
      <c r="BI33" s="169"/>
      <c r="BJ33" s="169"/>
      <c r="BK33" s="169"/>
      <c r="BL33" s="169"/>
      <c r="BM33" s="169"/>
      <c r="BN33" s="169"/>
      <c r="BO33" s="169"/>
      <c r="BP33" s="169"/>
      <c r="BQ33" s="169"/>
      <c r="BR33" s="169"/>
      <c r="BS33" s="169"/>
      <c r="BT33" s="169"/>
      <c r="BU33" s="169"/>
      <c r="BV33" s="169"/>
      <c r="BW33" s="169"/>
      <c r="BX33" s="169"/>
      <c r="BY33" s="169"/>
      <c r="BZ33" s="169"/>
    </row>
    <row r="34" spans="12:78" customFormat="1" ht="11.4">
      <c r="L34" s="20"/>
      <c r="M34" s="510" t="s">
        <v>855</v>
      </c>
      <c r="N34" s="529" t="s">
        <v>856</v>
      </c>
      <c r="O34" s="420" t="s">
        <v>284</v>
      </c>
      <c r="AB34" s="251"/>
      <c r="AC34" s="251"/>
      <c r="AD34" s="251"/>
      <c r="AE34" s="247">
        <f>AF34+AG34</f>
        <v>0</v>
      </c>
      <c r="AF34" s="221"/>
      <c r="AG34" s="221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169"/>
      <c r="BB34" s="169"/>
      <c r="BC34" s="169"/>
      <c r="BD34" s="169"/>
      <c r="BE34" s="169"/>
      <c r="BF34" s="169"/>
      <c r="BG34" s="169"/>
      <c r="BH34" s="169"/>
      <c r="BI34" s="169"/>
      <c r="BJ34" s="169"/>
      <c r="BK34" s="169"/>
      <c r="BL34" s="169"/>
      <c r="BM34" s="169"/>
      <c r="BN34" s="169"/>
      <c r="BO34" s="169"/>
      <c r="BP34" s="169"/>
      <c r="BQ34" s="169"/>
      <c r="BR34" s="169"/>
      <c r="BS34" s="169"/>
      <c r="BT34" s="169"/>
      <c r="BU34" s="169"/>
      <c r="BV34" s="169"/>
      <c r="BW34" s="169"/>
      <c r="BX34" s="169"/>
      <c r="BY34" s="169"/>
      <c r="BZ34" s="169"/>
    </row>
    <row r="35" spans="12:78" customFormat="1" ht="11.4">
      <c r="L35" s="20"/>
      <c r="M35" s="510" t="s">
        <v>857</v>
      </c>
      <c r="N35" s="529" t="s">
        <v>858</v>
      </c>
      <c r="O35" s="420" t="s">
        <v>284</v>
      </c>
      <c r="AB35" s="251"/>
      <c r="AC35" s="251"/>
      <c r="AD35" s="251"/>
      <c r="AE35" s="247">
        <f>AF35+AG35</f>
        <v>0</v>
      </c>
      <c r="AF35" s="221"/>
      <c r="AG35" s="221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169"/>
      <c r="BB35" s="169"/>
      <c r="BC35" s="169"/>
      <c r="BD35" s="169"/>
      <c r="BE35" s="169"/>
      <c r="BF35" s="169"/>
      <c r="BG35" s="169"/>
      <c r="BH35" s="169"/>
      <c r="BI35" s="169"/>
      <c r="BJ35" s="169"/>
      <c r="BK35" s="169"/>
      <c r="BL35" s="169"/>
      <c r="BM35" s="169"/>
      <c r="BN35" s="169"/>
      <c r="BO35" s="169"/>
      <c r="BP35" s="169"/>
      <c r="BQ35" s="169"/>
      <c r="BR35" s="169"/>
      <c r="BS35" s="169"/>
      <c r="BT35" s="169"/>
      <c r="BU35" s="169"/>
      <c r="BV35" s="169"/>
      <c r="BW35" s="169"/>
      <c r="BX35" s="169"/>
      <c r="BY35" s="169"/>
      <c r="BZ35" s="169"/>
    </row>
    <row r="36" spans="12:78" customFormat="1" ht="11.4">
      <c r="L36" s="20"/>
      <c r="M36" s="510" t="s">
        <v>859</v>
      </c>
      <c r="N36" s="529" t="s">
        <v>860</v>
      </c>
      <c r="O36" s="420" t="s">
        <v>284</v>
      </c>
      <c r="AB36" s="251"/>
      <c r="AC36" s="251"/>
      <c r="AD36" s="251"/>
      <c r="AE36" s="247">
        <f>AF36+AG36</f>
        <v>0</v>
      </c>
      <c r="AF36" s="221"/>
      <c r="AG36" s="221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69"/>
      <c r="BL36" s="169"/>
      <c r="BM36" s="169"/>
      <c r="BN36" s="169"/>
      <c r="BO36" s="169"/>
      <c r="BP36" s="169"/>
      <c r="BQ36" s="169"/>
      <c r="BR36" s="169"/>
      <c r="BS36" s="169"/>
      <c r="BT36" s="169"/>
      <c r="BU36" s="169"/>
      <c r="BV36" s="169"/>
      <c r="BW36" s="169"/>
      <c r="BX36" s="169"/>
      <c r="BY36" s="169"/>
      <c r="BZ36" s="169"/>
    </row>
    <row r="37" spans="12:78" customFormat="1" ht="20.399999999999999">
      <c r="L37" s="20"/>
      <c r="M37" s="510" t="s">
        <v>861</v>
      </c>
      <c r="N37" s="528" t="s">
        <v>862</v>
      </c>
      <c r="O37" s="420"/>
      <c r="AB37" s="251"/>
      <c r="AC37" s="251"/>
      <c r="AD37" s="251"/>
      <c r="AE37" s="261"/>
      <c r="AF37" s="261"/>
      <c r="AG37" s="261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169"/>
      <c r="BB37" s="169"/>
      <c r="BC37" s="169"/>
      <c r="BD37" s="169"/>
      <c r="BE37" s="169"/>
      <c r="BF37" s="169"/>
      <c r="BG37" s="169"/>
      <c r="BH37" s="169"/>
      <c r="BI37" s="169"/>
      <c r="BJ37" s="169"/>
      <c r="BK37" s="169"/>
      <c r="BL37" s="169"/>
      <c r="BM37" s="169"/>
      <c r="BN37" s="169"/>
      <c r="BO37" s="169"/>
      <c r="BP37" s="169"/>
      <c r="BQ37" s="169"/>
      <c r="BR37" s="169"/>
      <c r="BS37" s="169"/>
      <c r="BT37" s="169"/>
      <c r="BU37" s="169"/>
      <c r="BV37" s="169"/>
      <c r="BW37" s="169"/>
      <c r="BX37" s="169"/>
      <c r="BY37" s="169"/>
      <c r="BZ37" s="169"/>
    </row>
    <row r="38" spans="12:78" customFormat="1" ht="11.25" customHeight="1">
      <c r="L38" s="20"/>
      <c r="M38" s="510" t="s">
        <v>863</v>
      </c>
      <c r="N38" s="529" t="s">
        <v>864</v>
      </c>
      <c r="O38" s="420" t="s">
        <v>865</v>
      </c>
      <c r="AB38" s="251"/>
      <c r="AC38" s="251"/>
      <c r="AD38" s="251"/>
      <c r="AE38" s="244">
        <f>SUM(AE39:AE43)</f>
        <v>0</v>
      </c>
      <c r="AF38" s="244">
        <f>SUM(AF39:AF43)</f>
        <v>0</v>
      </c>
      <c r="AG38" s="244">
        <f>SUM(AG39:AG43)</f>
        <v>0</v>
      </c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169"/>
      <c r="BB38" s="169"/>
      <c r="BC38" s="169"/>
      <c r="BD38" s="169"/>
      <c r="BE38" s="169"/>
      <c r="BF38" s="169"/>
      <c r="BG38" s="169"/>
      <c r="BH38" s="169"/>
      <c r="BI38" s="169"/>
      <c r="BJ38" s="169"/>
      <c r="BK38" s="169"/>
      <c r="BL38" s="169"/>
      <c r="BM38" s="169"/>
      <c r="BN38" s="169"/>
      <c r="BO38" s="169"/>
      <c r="BP38" s="169"/>
      <c r="BQ38" s="169"/>
      <c r="BR38" s="169"/>
      <c r="BS38" s="169"/>
      <c r="BT38" s="169"/>
      <c r="BU38" s="169"/>
      <c r="BV38" s="169"/>
      <c r="BW38" s="169"/>
      <c r="BX38" s="169"/>
      <c r="BY38" s="169"/>
      <c r="BZ38" s="169"/>
    </row>
    <row r="39" spans="12:78" customFormat="1" ht="11.25" customHeight="1">
      <c r="L39" s="20"/>
      <c r="M39" s="510" t="s">
        <v>866</v>
      </c>
      <c r="N39" s="530" t="s">
        <v>852</v>
      </c>
      <c r="O39" s="420" t="s">
        <v>865</v>
      </c>
      <c r="AB39" s="251"/>
      <c r="AC39" s="251"/>
      <c r="AD39" s="251"/>
      <c r="AE39" s="247">
        <f>AF39+AG39</f>
        <v>0</v>
      </c>
      <c r="AF39" s="221"/>
      <c r="AG39" s="221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169"/>
      <c r="BB39" s="169"/>
      <c r="BC39" s="169"/>
      <c r="BD39" s="169"/>
      <c r="BE39" s="169"/>
      <c r="BF39" s="169"/>
      <c r="BG39" s="169"/>
      <c r="BH39" s="169"/>
      <c r="BI39" s="169"/>
      <c r="BJ39" s="169"/>
      <c r="BK39" s="169"/>
      <c r="BL39" s="169"/>
      <c r="BM39" s="169"/>
      <c r="BN39" s="169"/>
      <c r="BO39" s="169"/>
      <c r="BP39" s="169"/>
      <c r="BQ39" s="169"/>
      <c r="BR39" s="169"/>
      <c r="BS39" s="169"/>
      <c r="BT39" s="169"/>
      <c r="BU39" s="169"/>
      <c r="BV39" s="169"/>
      <c r="BW39" s="169"/>
      <c r="BX39" s="169"/>
      <c r="BY39" s="169"/>
      <c r="BZ39" s="169"/>
    </row>
    <row r="40" spans="12:78" customFormat="1" ht="11.25" customHeight="1">
      <c r="L40" s="20"/>
      <c r="M40" s="510" t="s">
        <v>867</v>
      </c>
      <c r="N40" s="530" t="s">
        <v>854</v>
      </c>
      <c r="O40" s="420" t="s">
        <v>865</v>
      </c>
      <c r="AB40" s="251"/>
      <c r="AC40" s="251"/>
      <c r="AD40" s="251"/>
      <c r="AE40" s="247">
        <f>AF40+AG40</f>
        <v>0</v>
      </c>
      <c r="AF40" s="221"/>
      <c r="AG40" s="221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169"/>
      <c r="BB40" s="169"/>
      <c r="BC40" s="169"/>
      <c r="BD40" s="169"/>
      <c r="BE40" s="169"/>
      <c r="BF40" s="169"/>
      <c r="BG40" s="169"/>
      <c r="BH40" s="169"/>
      <c r="BI40" s="169"/>
      <c r="BJ40" s="169"/>
      <c r="BK40" s="169"/>
      <c r="BL40" s="169"/>
      <c r="BM40" s="169"/>
      <c r="BN40" s="169"/>
      <c r="BO40" s="169"/>
      <c r="BP40" s="169"/>
      <c r="BQ40" s="169"/>
      <c r="BR40" s="169"/>
      <c r="BS40" s="169"/>
      <c r="BT40" s="169"/>
      <c r="BU40" s="169"/>
      <c r="BV40" s="169"/>
      <c r="BW40" s="169"/>
      <c r="BX40" s="169"/>
      <c r="BY40" s="169"/>
      <c r="BZ40" s="169"/>
    </row>
    <row r="41" spans="12:78" customFormat="1" ht="11.25" customHeight="1">
      <c r="L41" s="20"/>
      <c r="M41" s="510" t="s">
        <v>868</v>
      </c>
      <c r="N41" s="530" t="s">
        <v>856</v>
      </c>
      <c r="O41" s="420" t="s">
        <v>865</v>
      </c>
      <c r="AB41" s="251"/>
      <c r="AC41" s="251"/>
      <c r="AD41" s="251"/>
      <c r="AE41" s="247">
        <f>AF41+AG41</f>
        <v>0</v>
      </c>
      <c r="AF41" s="221"/>
      <c r="AG41" s="221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169"/>
      <c r="BB41" s="169"/>
      <c r="BC41" s="169"/>
      <c r="BD41" s="169"/>
      <c r="BE41" s="169"/>
      <c r="BF41" s="169"/>
      <c r="BG41" s="169"/>
      <c r="BH41" s="169"/>
      <c r="BI41" s="169"/>
      <c r="BJ41" s="169"/>
      <c r="BK41" s="169"/>
      <c r="BL41" s="169"/>
      <c r="BM41" s="169"/>
      <c r="BN41" s="169"/>
      <c r="BO41" s="169"/>
      <c r="BP41" s="169"/>
      <c r="BQ41" s="169"/>
      <c r="BR41" s="169"/>
      <c r="BS41" s="169"/>
      <c r="BT41" s="169"/>
      <c r="BU41" s="169"/>
      <c r="BV41" s="169"/>
      <c r="BW41" s="169"/>
      <c r="BX41" s="169"/>
      <c r="BY41" s="169"/>
      <c r="BZ41" s="169"/>
    </row>
    <row r="42" spans="12:78" customFormat="1" ht="11.25" customHeight="1">
      <c r="L42" s="20"/>
      <c r="M42" s="510" t="s">
        <v>1128</v>
      </c>
      <c r="N42" s="530" t="s">
        <v>858</v>
      </c>
      <c r="O42" s="420" t="s">
        <v>865</v>
      </c>
      <c r="AB42" s="251"/>
      <c r="AC42" s="251"/>
      <c r="AD42" s="251"/>
      <c r="AE42" s="247">
        <f>AF42+AG42</f>
        <v>0</v>
      </c>
      <c r="AF42" s="221"/>
      <c r="AG42" s="221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169"/>
      <c r="BB42" s="169"/>
      <c r="BC42" s="169"/>
      <c r="BD42" s="169"/>
      <c r="BE42" s="169"/>
      <c r="BF42" s="169"/>
      <c r="BG42" s="169"/>
      <c r="BH42" s="169"/>
      <c r="BI42" s="169"/>
      <c r="BJ42" s="169"/>
      <c r="BK42" s="169"/>
      <c r="BL42" s="169"/>
      <c r="BM42" s="169"/>
      <c r="BN42" s="169"/>
      <c r="BO42" s="169"/>
      <c r="BP42" s="169"/>
      <c r="BQ42" s="169"/>
      <c r="BR42" s="169"/>
      <c r="BS42" s="169"/>
      <c r="BT42" s="169"/>
      <c r="BU42" s="169"/>
      <c r="BV42" s="169"/>
      <c r="BW42" s="169"/>
      <c r="BX42" s="169"/>
      <c r="BY42" s="169"/>
      <c r="BZ42" s="169"/>
    </row>
    <row r="43" spans="12:78" customFormat="1" ht="11.25" customHeight="1">
      <c r="L43" s="20"/>
      <c r="M43" s="510" t="s">
        <v>1129</v>
      </c>
      <c r="N43" s="530" t="s">
        <v>1040</v>
      </c>
      <c r="O43" s="420" t="s">
        <v>865</v>
      </c>
      <c r="AB43" s="251"/>
      <c r="AC43" s="251"/>
      <c r="AD43" s="251"/>
      <c r="AE43" s="247">
        <f>AF43+AG43</f>
        <v>0</v>
      </c>
      <c r="AF43" s="221"/>
      <c r="AG43" s="221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169"/>
      <c r="BB43" s="169"/>
      <c r="BC43" s="169"/>
      <c r="BD43" s="169"/>
      <c r="BE43" s="169"/>
      <c r="BF43" s="169"/>
      <c r="BG43" s="169"/>
      <c r="BH43" s="169"/>
      <c r="BI43" s="169"/>
      <c r="BJ43" s="169"/>
      <c r="BK43" s="169"/>
      <c r="BL43" s="169"/>
      <c r="BM43" s="169"/>
      <c r="BN43" s="169"/>
      <c r="BO43" s="169"/>
      <c r="BP43" s="169"/>
      <c r="BQ43" s="169"/>
      <c r="BR43" s="169"/>
      <c r="BS43" s="169"/>
      <c r="BT43" s="169"/>
      <c r="BU43" s="169"/>
      <c r="BV43" s="169"/>
      <c r="BW43" s="169"/>
      <c r="BX43" s="169"/>
      <c r="BY43" s="169"/>
      <c r="BZ43" s="169"/>
    </row>
    <row r="44" spans="12:78" customFormat="1" ht="11.25" customHeight="1">
      <c r="L44" s="20"/>
      <c r="M44" s="510" t="s">
        <v>869</v>
      </c>
      <c r="N44" s="529" t="s">
        <v>870</v>
      </c>
      <c r="O44" s="420" t="s">
        <v>284</v>
      </c>
      <c r="AB44" s="251"/>
      <c r="AC44" s="251"/>
      <c r="AD44" s="251"/>
      <c r="AE44" s="244">
        <f>SUM(AE45:AE49)</f>
        <v>0</v>
      </c>
      <c r="AF44" s="244">
        <f>SUM(AF45:AF49)</f>
        <v>0</v>
      </c>
      <c r="AG44" s="244">
        <f>SUM(AG45:AG49)</f>
        <v>0</v>
      </c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169"/>
      <c r="BB44" s="169"/>
      <c r="BC44" s="169"/>
      <c r="BD44" s="169"/>
      <c r="BE44" s="169"/>
      <c r="BF44" s="169"/>
      <c r="BG44" s="169"/>
      <c r="BH44" s="169"/>
      <c r="BI44" s="169"/>
      <c r="BJ44" s="169"/>
      <c r="BK44" s="169"/>
      <c r="BL44" s="169"/>
      <c r="BM44" s="169"/>
      <c r="BN44" s="169"/>
      <c r="BO44" s="169"/>
      <c r="BP44" s="169"/>
      <c r="BQ44" s="169"/>
      <c r="BR44" s="169"/>
      <c r="BS44" s="169"/>
      <c r="BT44" s="169"/>
      <c r="BU44" s="169"/>
      <c r="BV44" s="169"/>
      <c r="BW44" s="169"/>
      <c r="BX44" s="169"/>
      <c r="BY44" s="169"/>
      <c r="BZ44" s="169"/>
    </row>
    <row r="45" spans="12:78" customFormat="1" ht="11.25" customHeight="1">
      <c r="L45" s="20"/>
      <c r="M45" s="510" t="s">
        <v>871</v>
      </c>
      <c r="N45" s="530" t="s">
        <v>852</v>
      </c>
      <c r="O45" s="420" t="s">
        <v>284</v>
      </c>
      <c r="AB45" s="251"/>
      <c r="AC45" s="251"/>
      <c r="AD45" s="251"/>
      <c r="AE45" s="247">
        <f>AF45+AG45</f>
        <v>0</v>
      </c>
      <c r="AF45" s="221"/>
      <c r="AG45" s="221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169"/>
      <c r="BB45" s="169"/>
      <c r="BC45" s="169"/>
      <c r="BD45" s="169"/>
      <c r="BE45" s="169"/>
      <c r="BF45" s="169"/>
      <c r="BG45" s="169"/>
      <c r="BH45" s="169"/>
      <c r="BI45" s="169"/>
      <c r="BJ45" s="169"/>
      <c r="BK45" s="169"/>
      <c r="BL45" s="169"/>
      <c r="BM45" s="169"/>
      <c r="BN45" s="169"/>
      <c r="BO45" s="169"/>
      <c r="BP45" s="169"/>
      <c r="BQ45" s="169"/>
      <c r="BR45" s="169"/>
      <c r="BS45" s="169"/>
      <c r="BT45" s="169"/>
      <c r="BU45" s="169"/>
      <c r="BV45" s="169"/>
      <c r="BW45" s="169"/>
      <c r="BX45" s="169"/>
      <c r="BY45" s="169"/>
      <c r="BZ45" s="169"/>
    </row>
    <row r="46" spans="12:78" customFormat="1" ht="11.25" customHeight="1">
      <c r="L46" s="20"/>
      <c r="M46" s="510" t="s">
        <v>872</v>
      </c>
      <c r="N46" s="530" t="s">
        <v>854</v>
      </c>
      <c r="O46" s="420" t="s">
        <v>284</v>
      </c>
      <c r="AB46" s="251"/>
      <c r="AC46" s="251"/>
      <c r="AD46" s="251"/>
      <c r="AE46" s="247">
        <f>AF46+AG46</f>
        <v>0</v>
      </c>
      <c r="AF46" s="221"/>
      <c r="AG46" s="221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169"/>
      <c r="BB46" s="169"/>
      <c r="BC46" s="169"/>
      <c r="BD46" s="169"/>
      <c r="BE46" s="169"/>
      <c r="BF46" s="169"/>
      <c r="BG46" s="169"/>
      <c r="BH46" s="169"/>
      <c r="BI46" s="169"/>
      <c r="BJ46" s="169"/>
      <c r="BK46" s="169"/>
      <c r="BL46" s="169"/>
      <c r="BM46" s="169"/>
      <c r="BN46" s="169"/>
      <c r="BO46" s="169"/>
      <c r="BP46" s="169"/>
      <c r="BQ46" s="169"/>
      <c r="BR46" s="169"/>
      <c r="BS46" s="169"/>
      <c r="BT46" s="169"/>
      <c r="BU46" s="169"/>
      <c r="BV46" s="169"/>
      <c r="BW46" s="169"/>
      <c r="BX46" s="169"/>
      <c r="BY46" s="169"/>
      <c r="BZ46" s="169"/>
    </row>
    <row r="47" spans="12:78" customFormat="1" ht="11.25" customHeight="1">
      <c r="L47" s="20"/>
      <c r="M47" s="510" t="s">
        <v>873</v>
      </c>
      <c r="N47" s="530" t="s">
        <v>856</v>
      </c>
      <c r="O47" s="420" t="s">
        <v>284</v>
      </c>
      <c r="AB47" s="251"/>
      <c r="AC47" s="251"/>
      <c r="AD47" s="251"/>
      <c r="AE47" s="247">
        <f>AF47+AG47</f>
        <v>0</v>
      </c>
      <c r="AF47" s="221"/>
      <c r="AG47" s="221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169"/>
      <c r="BB47" s="169"/>
      <c r="BC47" s="169"/>
      <c r="BD47" s="169"/>
      <c r="BE47" s="169"/>
      <c r="BF47" s="169"/>
      <c r="BG47" s="169"/>
      <c r="BH47" s="169"/>
      <c r="BI47" s="169"/>
      <c r="BJ47" s="169"/>
      <c r="BK47" s="169"/>
      <c r="BL47" s="169"/>
      <c r="BM47" s="169"/>
      <c r="BN47" s="169"/>
      <c r="BO47" s="169"/>
      <c r="BP47" s="169"/>
      <c r="BQ47" s="169"/>
      <c r="BR47" s="169"/>
      <c r="BS47" s="169"/>
      <c r="BT47" s="169"/>
      <c r="BU47" s="169"/>
      <c r="BV47" s="169"/>
      <c r="BW47" s="169"/>
      <c r="BX47" s="169"/>
      <c r="BY47" s="169"/>
      <c r="BZ47" s="169"/>
    </row>
    <row r="48" spans="12:78" customFormat="1" ht="11.25" customHeight="1">
      <c r="L48" s="20"/>
      <c r="M48" s="510" t="s">
        <v>874</v>
      </c>
      <c r="N48" s="530" t="s">
        <v>858</v>
      </c>
      <c r="O48" s="420" t="s">
        <v>284</v>
      </c>
      <c r="AB48" s="251"/>
      <c r="AC48" s="251"/>
      <c r="AD48" s="251"/>
      <c r="AE48" s="247">
        <f>AF48+AG48</f>
        <v>0</v>
      </c>
      <c r="AF48" s="221"/>
      <c r="AG48" s="221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169"/>
      <c r="BB48" s="169"/>
      <c r="BC48" s="169"/>
      <c r="BD48" s="169"/>
      <c r="BE48" s="169"/>
      <c r="BF48" s="169"/>
      <c r="BG48" s="169"/>
      <c r="BH48" s="169"/>
      <c r="BI48" s="169"/>
      <c r="BJ48" s="169"/>
      <c r="BK48" s="169"/>
      <c r="BL48" s="169"/>
      <c r="BM48" s="169"/>
      <c r="BN48" s="169"/>
      <c r="BO48" s="169"/>
      <c r="BP48" s="169"/>
      <c r="BQ48" s="169"/>
      <c r="BR48" s="169"/>
      <c r="BS48" s="169"/>
      <c r="BT48" s="169"/>
      <c r="BU48" s="169"/>
      <c r="BV48" s="169"/>
      <c r="BW48" s="169"/>
      <c r="BX48" s="169"/>
      <c r="BY48" s="169"/>
      <c r="BZ48" s="169"/>
    </row>
    <row r="49" spans="12:78" customFormat="1" ht="11.25" customHeight="1">
      <c r="L49" s="20"/>
      <c r="M49" s="510" t="s">
        <v>875</v>
      </c>
      <c r="N49" s="530" t="s">
        <v>1040</v>
      </c>
      <c r="O49" s="420" t="s">
        <v>284</v>
      </c>
      <c r="AB49" s="251"/>
      <c r="AC49" s="251"/>
      <c r="AD49" s="251"/>
      <c r="AE49" s="247">
        <f>AF49+AG49</f>
        <v>0</v>
      </c>
      <c r="AF49" s="221"/>
      <c r="AG49" s="221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169"/>
      <c r="BB49" s="169"/>
      <c r="BC49" s="169"/>
      <c r="BD49" s="169"/>
      <c r="BE49" s="169"/>
      <c r="BF49" s="169"/>
      <c r="BG49" s="169"/>
      <c r="BH49" s="169"/>
      <c r="BI49" s="169"/>
      <c r="BJ49" s="169"/>
      <c r="BK49" s="169"/>
      <c r="BL49" s="169"/>
      <c r="BM49" s="169"/>
      <c r="BN49" s="169"/>
      <c r="BO49" s="169"/>
      <c r="BP49" s="169"/>
      <c r="BQ49" s="169"/>
      <c r="BR49" s="169"/>
      <c r="BS49" s="169"/>
      <c r="BT49" s="169"/>
      <c r="BU49" s="169"/>
      <c r="BV49" s="169"/>
      <c r="BW49" s="169"/>
      <c r="BX49" s="169"/>
      <c r="BY49" s="169"/>
      <c r="BZ49" s="169"/>
    </row>
    <row r="50" spans="12:78" customFormat="1" ht="11.25" customHeight="1">
      <c r="L50" s="20"/>
      <c r="M50" s="510" t="s">
        <v>876</v>
      </c>
      <c r="N50" s="527" t="s">
        <v>877</v>
      </c>
      <c r="O50" s="420"/>
      <c r="AB50" s="251"/>
      <c r="AC50" s="251"/>
      <c r="AD50" s="251"/>
      <c r="AE50" s="261"/>
      <c r="AF50" s="261"/>
      <c r="AG50" s="261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169"/>
      <c r="BN50" s="169"/>
      <c r="BO50" s="169"/>
      <c r="BP50" s="169"/>
      <c r="BQ50" s="169"/>
      <c r="BR50" s="169"/>
      <c r="BS50" s="169"/>
      <c r="BT50" s="169"/>
      <c r="BU50" s="169"/>
      <c r="BV50" s="169"/>
      <c r="BW50" s="169"/>
      <c r="BX50" s="169"/>
      <c r="BY50" s="169"/>
      <c r="BZ50" s="169"/>
    </row>
    <row r="51" spans="12:78" customFormat="1" ht="11.25" customHeight="1">
      <c r="L51" s="20"/>
      <c r="M51" s="510" t="s">
        <v>878</v>
      </c>
      <c r="N51" s="528" t="s">
        <v>879</v>
      </c>
      <c r="O51" s="420"/>
      <c r="AB51" s="251"/>
      <c r="AC51" s="251"/>
      <c r="AD51" s="251"/>
      <c r="AE51" s="261"/>
      <c r="AF51" s="261"/>
      <c r="AG51" s="261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169"/>
      <c r="BB51" s="169"/>
      <c r="BC51" s="169"/>
      <c r="BD51" s="169"/>
      <c r="BE51" s="169"/>
      <c r="BF51" s="169"/>
      <c r="BG51" s="169"/>
      <c r="BH51" s="169"/>
      <c r="BI51" s="169"/>
      <c r="BJ51" s="169"/>
      <c r="BK51" s="169"/>
      <c r="BL51" s="169"/>
      <c r="BM51" s="169"/>
      <c r="BN51" s="169"/>
      <c r="BO51" s="169"/>
      <c r="BP51" s="169"/>
      <c r="BQ51" s="169"/>
      <c r="BR51" s="169"/>
      <c r="BS51" s="169"/>
      <c r="BT51" s="169"/>
      <c r="BU51" s="169"/>
      <c r="BV51" s="169"/>
      <c r="BW51" s="169"/>
      <c r="BX51" s="169"/>
      <c r="BY51" s="169"/>
      <c r="BZ51" s="169"/>
    </row>
    <row r="52" spans="12:78" customFormat="1" ht="11.25" customHeight="1">
      <c r="L52" s="20"/>
      <c r="M52" s="510" t="s">
        <v>880</v>
      </c>
      <c r="N52" s="529" t="s">
        <v>852</v>
      </c>
      <c r="O52" s="420" t="s">
        <v>313</v>
      </c>
      <c r="AB52" s="251"/>
      <c r="AC52" s="251"/>
      <c r="AD52" s="251"/>
      <c r="AE52" s="244">
        <f>IF(AE32=0,0,AE72/AE32)</f>
        <v>0</v>
      </c>
      <c r="AF52" s="221"/>
      <c r="AG52" s="221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169"/>
      <c r="BB52" s="169"/>
      <c r="BC52" s="169"/>
      <c r="BD52" s="169"/>
      <c r="BE52" s="169"/>
      <c r="BF52" s="169"/>
      <c r="BG52" s="169"/>
      <c r="BH52" s="169"/>
      <c r="BI52" s="169"/>
      <c r="BJ52" s="169"/>
      <c r="BK52" s="169"/>
      <c r="BL52" s="169"/>
      <c r="BM52" s="169"/>
      <c r="BN52" s="169"/>
      <c r="BO52" s="169"/>
      <c r="BP52" s="169"/>
      <c r="BQ52" s="169"/>
      <c r="BR52" s="169"/>
      <c r="BS52" s="169"/>
      <c r="BT52" s="169"/>
      <c r="BU52" s="169"/>
      <c r="BV52" s="169"/>
      <c r="BW52" s="169"/>
      <c r="BX52" s="169"/>
      <c r="BY52" s="169"/>
      <c r="BZ52" s="169"/>
    </row>
    <row r="53" spans="12:78" customFormat="1" ht="11.25" customHeight="1">
      <c r="L53" s="20"/>
      <c r="M53" s="510" t="s">
        <v>881</v>
      </c>
      <c r="N53" s="529" t="s">
        <v>854</v>
      </c>
      <c r="O53" s="420" t="s">
        <v>313</v>
      </c>
      <c r="AB53" s="251"/>
      <c r="AC53" s="251"/>
      <c r="AD53" s="251"/>
      <c r="AE53" s="244">
        <f>IF(AE33=0,0,AE73/AE33)</f>
        <v>0</v>
      </c>
      <c r="AF53" s="221"/>
      <c r="AG53" s="221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  <c r="BC53" s="169"/>
      <c r="BD53" s="169"/>
      <c r="BE53" s="169"/>
      <c r="BF53" s="169"/>
      <c r="BG53" s="169"/>
      <c r="BH53" s="169"/>
      <c r="BI53" s="169"/>
      <c r="BJ53" s="169"/>
      <c r="BK53" s="169"/>
      <c r="BL53" s="169"/>
      <c r="BM53" s="169"/>
      <c r="BN53" s="169"/>
      <c r="BO53" s="169"/>
      <c r="BP53" s="169"/>
      <c r="BQ53" s="169"/>
      <c r="BR53" s="169"/>
      <c r="BS53" s="169"/>
      <c r="BT53" s="169"/>
      <c r="BU53" s="169"/>
      <c r="BV53" s="169"/>
      <c r="BW53" s="169"/>
      <c r="BX53" s="169"/>
      <c r="BY53" s="169"/>
      <c r="BZ53" s="169"/>
    </row>
    <row r="54" spans="12:78" customFormat="1" ht="11.25" customHeight="1">
      <c r="L54" s="20"/>
      <c r="M54" s="510" t="s">
        <v>882</v>
      </c>
      <c r="N54" s="529" t="s">
        <v>856</v>
      </c>
      <c r="O54" s="420" t="s">
        <v>313</v>
      </c>
      <c r="AB54" s="251"/>
      <c r="AC54" s="251"/>
      <c r="AD54" s="251"/>
      <c r="AE54" s="244">
        <f>IF(AE34=0,0,AE74/AE34)</f>
        <v>0</v>
      </c>
      <c r="AF54" s="221"/>
      <c r="AG54" s="221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169"/>
      <c r="BB54" s="169"/>
      <c r="BC54" s="169"/>
      <c r="BD54" s="169"/>
      <c r="BE54" s="169"/>
      <c r="BF54" s="169"/>
      <c r="BG54" s="169"/>
      <c r="BH54" s="169"/>
      <c r="BI54" s="169"/>
      <c r="BJ54" s="169"/>
      <c r="BK54" s="169"/>
      <c r="BL54" s="169"/>
      <c r="BM54" s="169"/>
      <c r="BN54" s="169"/>
      <c r="BO54" s="169"/>
      <c r="BP54" s="169"/>
      <c r="BQ54" s="169"/>
      <c r="BR54" s="169"/>
      <c r="BS54" s="169"/>
      <c r="BT54" s="169"/>
      <c r="BU54" s="169"/>
      <c r="BV54" s="169"/>
      <c r="BW54" s="169"/>
      <c r="BX54" s="169"/>
      <c r="BY54" s="169"/>
      <c r="BZ54" s="169"/>
    </row>
    <row r="55" spans="12:78" customFormat="1" ht="11.25" customHeight="1">
      <c r="L55" s="20"/>
      <c r="M55" s="510" t="s">
        <v>883</v>
      </c>
      <c r="N55" s="529" t="s">
        <v>858</v>
      </c>
      <c r="O55" s="420" t="s">
        <v>313</v>
      </c>
      <c r="AB55" s="251"/>
      <c r="AC55" s="251"/>
      <c r="AD55" s="251"/>
      <c r="AE55" s="244">
        <f>IF(AE35=0,0,AE75/AE35)</f>
        <v>0</v>
      </c>
      <c r="AF55" s="221"/>
      <c r="AG55" s="221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169"/>
      <c r="BB55" s="169"/>
      <c r="BC55" s="169"/>
      <c r="BD55" s="169"/>
      <c r="BE55" s="169"/>
      <c r="BF55" s="169"/>
      <c r="BG55" s="169"/>
      <c r="BH55" s="169"/>
      <c r="BI55" s="169"/>
      <c r="BJ55" s="169"/>
      <c r="BK55" s="169"/>
      <c r="BL55" s="169"/>
      <c r="BM55" s="169"/>
      <c r="BN55" s="169"/>
      <c r="BO55" s="169"/>
      <c r="BP55" s="169"/>
      <c r="BQ55" s="169"/>
      <c r="BR55" s="169"/>
      <c r="BS55" s="169"/>
      <c r="BT55" s="169"/>
      <c r="BU55" s="169"/>
      <c r="BV55" s="169"/>
      <c r="BW55" s="169"/>
      <c r="BX55" s="169"/>
      <c r="BY55" s="169"/>
      <c r="BZ55" s="169"/>
    </row>
    <row r="56" spans="12:78" customFormat="1" ht="11.25" customHeight="1">
      <c r="L56" s="20"/>
      <c r="M56" s="510" t="s">
        <v>884</v>
      </c>
      <c r="N56" s="529" t="s">
        <v>860</v>
      </c>
      <c r="O56" s="420" t="s">
        <v>313</v>
      </c>
      <c r="AB56" s="251"/>
      <c r="AC56" s="251"/>
      <c r="AD56" s="251"/>
      <c r="AE56" s="244">
        <f>IF(AE36=0,0,AE76/AE36)</f>
        <v>0</v>
      </c>
      <c r="AF56" s="221"/>
      <c r="AG56" s="221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69"/>
      <c r="BG56" s="169"/>
      <c r="BH56" s="169"/>
      <c r="BI56" s="169"/>
      <c r="BJ56" s="169"/>
      <c r="BK56" s="169"/>
      <c r="BL56" s="169"/>
      <c r="BM56" s="169"/>
      <c r="BN56" s="169"/>
      <c r="BO56" s="169"/>
      <c r="BP56" s="169"/>
      <c r="BQ56" s="169"/>
      <c r="BR56" s="169"/>
      <c r="BS56" s="169"/>
      <c r="BT56" s="169"/>
      <c r="BU56" s="169"/>
      <c r="BV56" s="169"/>
      <c r="BW56" s="169"/>
      <c r="BX56" s="169"/>
      <c r="BY56" s="169"/>
      <c r="BZ56" s="169"/>
    </row>
    <row r="57" spans="12:78" customFormat="1" ht="11.25" customHeight="1">
      <c r="L57" s="20"/>
      <c r="M57" s="510" t="s">
        <v>885</v>
      </c>
      <c r="N57" s="529" t="s">
        <v>886</v>
      </c>
      <c r="O57" s="420" t="s">
        <v>313</v>
      </c>
      <c r="AB57" s="251"/>
      <c r="AC57" s="251"/>
      <c r="AD57" s="251"/>
      <c r="AE57" s="244">
        <f>IF(AE31=0,0,AE71/AE31)</f>
        <v>0</v>
      </c>
      <c r="AF57" s="244">
        <f>IF(AF31=0,0,AF71/AF31)</f>
        <v>0</v>
      </c>
      <c r="AG57" s="244">
        <f>IF(AG31=0,0,AG71/AG31)</f>
        <v>0</v>
      </c>
      <c r="AH57" s="169"/>
      <c r="AI57" s="169"/>
      <c r="AJ57" s="169"/>
      <c r="AK57" s="169"/>
      <c r="AL57" s="169"/>
      <c r="AM57" s="169"/>
      <c r="AN57" s="169"/>
      <c r="AO57" s="169"/>
      <c r="AP57" s="169"/>
      <c r="AQ57" s="169"/>
      <c r="AR57" s="169"/>
      <c r="AS57" s="169"/>
      <c r="AT57" s="169"/>
      <c r="AU57" s="169"/>
      <c r="AV57" s="169"/>
      <c r="AW57" s="169"/>
      <c r="AX57" s="169"/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</row>
    <row r="58" spans="12:78" customFormat="1" ht="11.25" customHeight="1">
      <c r="L58" s="20"/>
      <c r="M58" s="510" t="s">
        <v>887</v>
      </c>
      <c r="N58" s="528" t="s">
        <v>888</v>
      </c>
      <c r="O58" s="420"/>
      <c r="AB58" s="251"/>
      <c r="AC58" s="251"/>
      <c r="AD58" s="251"/>
      <c r="AE58" s="261"/>
      <c r="AF58" s="261"/>
      <c r="AG58" s="261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  <c r="AW58" s="169"/>
      <c r="AX58" s="169"/>
      <c r="AY58" s="169"/>
      <c r="AZ58" s="169"/>
      <c r="BA58" s="169"/>
      <c r="BB58" s="169"/>
      <c r="BC58" s="169"/>
      <c r="BD58" s="169"/>
      <c r="BE58" s="169"/>
      <c r="BF58" s="169"/>
      <c r="BG58" s="169"/>
      <c r="BH58" s="169"/>
      <c r="BI58" s="169"/>
      <c r="BJ58" s="169"/>
      <c r="BK58" s="169"/>
      <c r="BL58" s="169"/>
      <c r="BM58" s="169"/>
      <c r="BN58" s="169"/>
      <c r="BO58" s="169"/>
      <c r="BP58" s="169"/>
      <c r="BQ58" s="169"/>
      <c r="BR58" s="169"/>
      <c r="BS58" s="169"/>
      <c r="BT58" s="169"/>
      <c r="BU58" s="169"/>
      <c r="BV58" s="169"/>
      <c r="BW58" s="169"/>
      <c r="BX58" s="169"/>
      <c r="BY58" s="169"/>
      <c r="BZ58" s="169"/>
    </row>
    <row r="59" spans="12:78" customFormat="1" ht="11.25" customHeight="1">
      <c r="L59" s="20"/>
      <c r="M59" s="510" t="s">
        <v>889</v>
      </c>
      <c r="N59" s="529" t="s">
        <v>890</v>
      </c>
      <c r="O59" s="420" t="s">
        <v>1038</v>
      </c>
      <c r="AB59" s="251"/>
      <c r="AC59" s="251"/>
      <c r="AD59" s="251"/>
      <c r="AE59" s="244">
        <f>IF(AE38=0,0,(AE60*AE39+AE61*AE40+AE62*AE41+AE63*AE42+AE64*AE43)/AE38)</f>
        <v>0</v>
      </c>
      <c r="AF59" s="244">
        <f>IF(AF38=0,0,(AF60*AF39+AF61*AF40+AF62*AF41+AF63*AF42+AF64*AF43)/AF38)</f>
        <v>0</v>
      </c>
      <c r="AG59" s="244">
        <f>IF(AG38=0,0,(AG60*AG39+AG61*AG40+AG62*AG41+AG63*AG42+AG64*AG43)/AG38)</f>
        <v>0</v>
      </c>
      <c r="AH59" s="169"/>
      <c r="AI59" s="169"/>
      <c r="AJ59" s="169"/>
      <c r="AK59" s="169"/>
      <c r="AL59" s="169"/>
      <c r="AM59" s="169"/>
      <c r="AN59" s="169"/>
      <c r="AO59" s="169"/>
      <c r="AP59" s="169"/>
      <c r="AQ59" s="169"/>
      <c r="AR59" s="169"/>
      <c r="AS59" s="169"/>
      <c r="AT59" s="169"/>
      <c r="AU59" s="169"/>
      <c r="AV59" s="169"/>
      <c r="AW59" s="169"/>
      <c r="AX59" s="169"/>
      <c r="AY59" s="169"/>
      <c r="AZ59" s="169"/>
      <c r="BA59" s="169"/>
      <c r="BB59" s="169"/>
      <c r="BC59" s="169"/>
      <c r="BD59" s="169"/>
      <c r="BE59" s="169"/>
      <c r="BF59" s="169"/>
      <c r="BG59" s="169"/>
      <c r="BH59" s="169"/>
      <c r="BI59" s="169"/>
      <c r="BJ59" s="169"/>
      <c r="BK59" s="169"/>
      <c r="BL59" s="169"/>
      <c r="BM59" s="169"/>
      <c r="BN59" s="169"/>
      <c r="BO59" s="169"/>
      <c r="BP59" s="169"/>
      <c r="BQ59" s="169"/>
      <c r="BR59" s="169"/>
      <c r="BS59" s="169"/>
      <c r="BT59" s="169"/>
      <c r="BU59" s="169"/>
      <c r="BV59" s="169"/>
      <c r="BW59" s="169"/>
      <c r="BX59" s="169"/>
      <c r="BY59" s="169"/>
      <c r="BZ59" s="169"/>
    </row>
    <row r="60" spans="12:78" customFormat="1" ht="11.25" customHeight="1">
      <c r="L60" s="20"/>
      <c r="M60" s="510" t="s">
        <v>891</v>
      </c>
      <c r="N60" s="530" t="s">
        <v>852</v>
      </c>
      <c r="O60" s="420" t="s">
        <v>1038</v>
      </c>
      <c r="AB60" s="251"/>
      <c r="AC60" s="251"/>
      <c r="AD60" s="251"/>
      <c r="AE60" s="244">
        <f>IF(AE39=0,0,AE78*1000/AE39)</f>
        <v>0</v>
      </c>
      <c r="AF60" s="221"/>
      <c r="AG60" s="221"/>
      <c r="AH60" s="169"/>
      <c r="AI60" s="169"/>
      <c r="AJ60" s="169"/>
      <c r="AK60" s="169"/>
      <c r="AL60" s="169"/>
      <c r="AM60" s="169"/>
      <c r="AN60" s="169"/>
      <c r="AO60" s="169"/>
      <c r="AP60" s="169"/>
      <c r="AQ60" s="169"/>
      <c r="AR60" s="169"/>
      <c r="AS60" s="169"/>
      <c r="AT60" s="169"/>
      <c r="AU60" s="169"/>
      <c r="AV60" s="169"/>
      <c r="AW60" s="169"/>
      <c r="AX60" s="169"/>
      <c r="AY60" s="169"/>
      <c r="AZ60" s="169"/>
      <c r="BA60" s="169"/>
      <c r="BB60" s="169"/>
      <c r="BC60" s="169"/>
      <c r="BD60" s="169"/>
      <c r="BE60" s="169"/>
      <c r="BF60" s="169"/>
      <c r="BG60" s="169"/>
      <c r="BH60" s="169"/>
      <c r="BI60" s="169"/>
      <c r="BJ60" s="169"/>
      <c r="BK60" s="169"/>
      <c r="BL60" s="169"/>
      <c r="BM60" s="169"/>
      <c r="BN60" s="169"/>
      <c r="BO60" s="169"/>
      <c r="BP60" s="169"/>
      <c r="BQ60" s="169"/>
      <c r="BR60" s="169"/>
      <c r="BS60" s="169"/>
      <c r="BT60" s="169"/>
      <c r="BU60" s="169"/>
      <c r="BV60" s="169"/>
      <c r="BW60" s="169"/>
      <c r="BX60" s="169"/>
      <c r="BY60" s="169"/>
      <c r="BZ60" s="169"/>
    </row>
    <row r="61" spans="12:78" customFormat="1" ht="11.25" customHeight="1">
      <c r="L61" s="20"/>
      <c r="M61" s="510" t="s">
        <v>892</v>
      </c>
      <c r="N61" s="530" t="s">
        <v>854</v>
      </c>
      <c r="O61" s="420" t="s">
        <v>1038</v>
      </c>
      <c r="AB61" s="251"/>
      <c r="AC61" s="251"/>
      <c r="AD61" s="251"/>
      <c r="AE61" s="244">
        <f>IF(AE40=0,0,AE79*1000/AE40)</f>
        <v>0</v>
      </c>
      <c r="AF61" s="221"/>
      <c r="AG61" s="221"/>
      <c r="AH61" s="169"/>
      <c r="AI61" s="169"/>
      <c r="AJ61" s="169"/>
      <c r="AK61" s="169"/>
      <c r="AL61" s="169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AY61" s="169"/>
      <c r="AZ61" s="169"/>
      <c r="BA61" s="169"/>
      <c r="BB61" s="169"/>
      <c r="BC61" s="169"/>
      <c r="BD61" s="169"/>
      <c r="BE61" s="169"/>
      <c r="BF61" s="169"/>
      <c r="BG61" s="169"/>
      <c r="BH61" s="169"/>
      <c r="BI61" s="169"/>
      <c r="BJ61" s="169"/>
      <c r="BK61" s="169"/>
      <c r="BL61" s="169"/>
      <c r="BM61" s="169"/>
      <c r="BN61" s="169"/>
      <c r="BO61" s="169"/>
      <c r="BP61" s="169"/>
      <c r="BQ61" s="169"/>
      <c r="BR61" s="169"/>
      <c r="BS61" s="169"/>
      <c r="BT61" s="169"/>
      <c r="BU61" s="169"/>
      <c r="BV61" s="169"/>
      <c r="BW61" s="169"/>
      <c r="BX61" s="169"/>
      <c r="BY61" s="169"/>
      <c r="BZ61" s="169"/>
    </row>
    <row r="62" spans="12:78" customFormat="1" ht="11.25" customHeight="1">
      <c r="L62" s="20"/>
      <c r="M62" s="510" t="s">
        <v>893</v>
      </c>
      <c r="N62" s="530" t="s">
        <v>856</v>
      </c>
      <c r="O62" s="420" t="s">
        <v>1038</v>
      </c>
      <c r="AB62" s="251"/>
      <c r="AC62" s="251"/>
      <c r="AD62" s="251"/>
      <c r="AE62" s="244">
        <f>IF(AE41=0,0,AE80*1000/AE41)</f>
        <v>0</v>
      </c>
      <c r="AF62" s="221"/>
      <c r="AG62" s="221"/>
      <c r="AH62" s="169"/>
      <c r="AI62" s="169"/>
      <c r="AJ62" s="169"/>
      <c r="AK62" s="169"/>
      <c r="AL62" s="169"/>
      <c r="AM62" s="169"/>
      <c r="AN62" s="169"/>
      <c r="AO62" s="169"/>
      <c r="AP62" s="169"/>
      <c r="AQ62" s="169"/>
      <c r="AR62" s="169"/>
      <c r="AS62" s="169"/>
      <c r="AT62" s="169"/>
      <c r="AU62" s="169"/>
      <c r="AV62" s="169"/>
      <c r="AW62" s="169"/>
      <c r="AX62" s="169"/>
      <c r="AY62" s="169"/>
      <c r="AZ62" s="169"/>
      <c r="BA62" s="169"/>
      <c r="BB62" s="169"/>
      <c r="BC62" s="169"/>
      <c r="BD62" s="169"/>
      <c r="BE62" s="169"/>
      <c r="BF62" s="169"/>
      <c r="BG62" s="169"/>
      <c r="BH62" s="169"/>
      <c r="BI62" s="169"/>
      <c r="BJ62" s="169"/>
      <c r="BK62" s="169"/>
      <c r="BL62" s="169"/>
      <c r="BM62" s="169"/>
      <c r="BN62" s="169"/>
      <c r="BO62" s="169"/>
      <c r="BP62" s="169"/>
      <c r="BQ62" s="169"/>
      <c r="BR62" s="169"/>
      <c r="BS62" s="169"/>
      <c r="BT62" s="169"/>
      <c r="BU62" s="169"/>
      <c r="BV62" s="169"/>
      <c r="BW62" s="169"/>
      <c r="BX62" s="169"/>
      <c r="BY62" s="169"/>
      <c r="BZ62" s="169"/>
    </row>
    <row r="63" spans="12:78" customFormat="1" ht="11.25" customHeight="1">
      <c r="L63" s="20"/>
      <c r="M63" s="510" t="s">
        <v>894</v>
      </c>
      <c r="N63" s="530" t="s">
        <v>858</v>
      </c>
      <c r="O63" s="420" t="s">
        <v>1038</v>
      </c>
      <c r="AB63" s="251"/>
      <c r="AC63" s="251"/>
      <c r="AD63" s="251"/>
      <c r="AE63" s="244">
        <f>IF(AE42=0,0,AE81*1000/AE42)</f>
        <v>0</v>
      </c>
      <c r="AF63" s="221"/>
      <c r="AG63" s="221"/>
      <c r="AH63" s="169"/>
      <c r="AI63" s="169"/>
      <c r="AJ63" s="169"/>
      <c r="AK63" s="169"/>
      <c r="AL63" s="169"/>
      <c r="AM63" s="169"/>
      <c r="AN63" s="169"/>
      <c r="AO63" s="169"/>
      <c r="AP63" s="169"/>
      <c r="AQ63" s="169"/>
      <c r="AR63" s="169"/>
      <c r="AS63" s="169"/>
      <c r="AT63" s="169"/>
      <c r="AU63" s="169"/>
      <c r="AV63" s="169"/>
      <c r="AW63" s="169"/>
      <c r="AX63" s="169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69"/>
      <c r="BR63" s="169"/>
      <c r="BS63" s="169"/>
      <c r="BT63" s="169"/>
      <c r="BU63" s="169"/>
      <c r="BV63" s="169"/>
      <c r="BW63" s="169"/>
      <c r="BX63" s="169"/>
      <c r="BY63" s="169"/>
      <c r="BZ63" s="169"/>
    </row>
    <row r="64" spans="12:78" customFormat="1" ht="11.25" customHeight="1">
      <c r="L64" s="20"/>
      <c r="M64" s="510" t="s">
        <v>895</v>
      </c>
      <c r="N64" s="530" t="s">
        <v>1040</v>
      </c>
      <c r="O64" s="420" t="s">
        <v>1038</v>
      </c>
      <c r="AB64" s="251"/>
      <c r="AC64" s="251"/>
      <c r="AD64" s="251"/>
      <c r="AE64" s="244">
        <f>IF(AE43=0,0,AE82*1000/AE43)</f>
        <v>0</v>
      </c>
      <c r="AF64" s="221"/>
      <c r="AG64" s="221"/>
      <c r="AH64" s="169"/>
      <c r="AI64" s="169"/>
      <c r="AJ64" s="169"/>
      <c r="AK64" s="169"/>
      <c r="AL64" s="169"/>
      <c r="AM64" s="169"/>
      <c r="AN64" s="169"/>
      <c r="AO64" s="169"/>
      <c r="AP64" s="169"/>
      <c r="AQ64" s="169"/>
      <c r="AR64" s="169"/>
      <c r="AS64" s="169"/>
      <c r="AT64" s="169"/>
      <c r="AU64" s="169"/>
      <c r="AV64" s="169"/>
      <c r="AW64" s="169"/>
      <c r="AX64" s="169"/>
      <c r="AY64" s="169"/>
      <c r="AZ64" s="169"/>
      <c r="BA64" s="169"/>
      <c r="BB64" s="169"/>
      <c r="BC64" s="169"/>
      <c r="BD64" s="169"/>
      <c r="BE64" s="169"/>
      <c r="BF64" s="169"/>
      <c r="BG64" s="169"/>
      <c r="BH64" s="169"/>
      <c r="BI64" s="169"/>
      <c r="BJ64" s="169"/>
      <c r="BK64" s="169"/>
      <c r="BL64" s="169"/>
      <c r="BM64" s="169"/>
      <c r="BN64" s="169"/>
      <c r="BO64" s="169"/>
      <c r="BP64" s="169"/>
      <c r="BQ64" s="169"/>
      <c r="BR64" s="169"/>
      <c r="BS64" s="169"/>
      <c r="BT64" s="169"/>
      <c r="BU64" s="169"/>
      <c r="BV64" s="169"/>
      <c r="BW64" s="169"/>
      <c r="BX64" s="169"/>
      <c r="BY64" s="169"/>
      <c r="BZ64" s="169"/>
    </row>
    <row r="65" spans="12:78" customFormat="1" ht="11.25" customHeight="1">
      <c r="L65" s="20"/>
      <c r="M65" s="510" t="s">
        <v>896</v>
      </c>
      <c r="N65" s="529" t="s">
        <v>897</v>
      </c>
      <c r="O65" s="420" t="s">
        <v>313</v>
      </c>
      <c r="AB65" s="251"/>
      <c r="AC65" s="251"/>
      <c r="AD65" s="251"/>
      <c r="AE65" s="244">
        <f>IF(AE44=0,0,(AE66*AE45+AE67*AE46+AE68*AE47+AE69*AE48+AE70*AE49)/AE44)</f>
        <v>0</v>
      </c>
      <c r="AF65" s="244">
        <f>IF(AF44=0,0,(AF66*AF45+AF67*AF46+AF68*AF47+AF69*AF48+AF70*AF49)/AF44)</f>
        <v>0</v>
      </c>
      <c r="AG65" s="244">
        <f>IF(AG44=0,0,(AG66*AG45+AG67*AG46+AG68*AG47+AG69*AG48+AG70*AG49)/AG44)</f>
        <v>0</v>
      </c>
      <c r="AH65" s="169"/>
      <c r="AI65" s="169"/>
      <c r="AJ65" s="169"/>
      <c r="AK65" s="169"/>
      <c r="AL65" s="169"/>
      <c r="AM65" s="169"/>
      <c r="AN65" s="169"/>
      <c r="AO65" s="169"/>
      <c r="AP65" s="169"/>
      <c r="AQ65" s="169"/>
      <c r="AR65" s="169"/>
      <c r="AS65" s="169"/>
      <c r="AT65" s="169"/>
      <c r="AU65" s="169"/>
      <c r="AV65" s="169"/>
      <c r="AW65" s="169"/>
      <c r="AX65" s="169"/>
      <c r="AY65" s="169"/>
      <c r="AZ65" s="169"/>
      <c r="BA65" s="169"/>
      <c r="BB65" s="169"/>
      <c r="BC65" s="169"/>
      <c r="BD65" s="169"/>
      <c r="BE65" s="169"/>
      <c r="BF65" s="169"/>
      <c r="BG65" s="169"/>
      <c r="BH65" s="169"/>
      <c r="BI65" s="169"/>
      <c r="BJ65" s="169"/>
      <c r="BK65" s="169"/>
      <c r="BL65" s="169"/>
      <c r="BM65" s="169"/>
      <c r="BN65" s="169"/>
      <c r="BO65" s="169"/>
      <c r="BP65" s="169"/>
      <c r="BQ65" s="169"/>
      <c r="BR65" s="169"/>
      <c r="BS65" s="169"/>
      <c r="BT65" s="169"/>
      <c r="BU65" s="169"/>
      <c r="BV65" s="169"/>
      <c r="BW65" s="169"/>
      <c r="BX65" s="169"/>
      <c r="BY65" s="169"/>
      <c r="BZ65" s="169"/>
    </row>
    <row r="66" spans="12:78" customFormat="1" ht="11.25" customHeight="1">
      <c r="L66" s="20"/>
      <c r="M66" s="510" t="s">
        <v>898</v>
      </c>
      <c r="N66" s="530" t="s">
        <v>852</v>
      </c>
      <c r="O66" s="420" t="s">
        <v>313</v>
      </c>
      <c r="AB66" s="251"/>
      <c r="AC66" s="251"/>
      <c r="AD66" s="251"/>
      <c r="AE66" s="244">
        <f>IF(AE45=0,0,AE84/AE45)</f>
        <v>0</v>
      </c>
      <c r="AF66" s="221"/>
      <c r="AG66" s="221"/>
      <c r="AH66" s="169"/>
      <c r="AI66" s="169"/>
      <c r="AJ66" s="169"/>
      <c r="AK66" s="169"/>
      <c r="AL66" s="169"/>
      <c r="AM66" s="169"/>
      <c r="AN66" s="169"/>
      <c r="AO66" s="169"/>
      <c r="AP66" s="169"/>
      <c r="AQ66" s="169"/>
      <c r="AR66" s="169"/>
      <c r="AS66" s="169"/>
      <c r="AT66" s="169"/>
      <c r="AU66" s="169"/>
      <c r="AV66" s="169"/>
      <c r="AW66" s="169"/>
      <c r="AX66" s="169"/>
      <c r="AY66" s="169"/>
      <c r="AZ66" s="169"/>
      <c r="BA66" s="169"/>
      <c r="BB66" s="169"/>
      <c r="BC66" s="169"/>
      <c r="BD66" s="169"/>
      <c r="BE66" s="169"/>
      <c r="BF66" s="169"/>
      <c r="BG66" s="169"/>
      <c r="BH66" s="169"/>
      <c r="BI66" s="169"/>
      <c r="BJ66" s="169"/>
      <c r="BK66" s="169"/>
      <c r="BL66" s="169"/>
      <c r="BM66" s="169"/>
      <c r="BN66" s="169"/>
      <c r="BO66" s="169"/>
      <c r="BP66" s="169"/>
      <c r="BQ66" s="169"/>
      <c r="BR66" s="169"/>
      <c r="BS66" s="169"/>
      <c r="BT66" s="169"/>
      <c r="BU66" s="169"/>
      <c r="BV66" s="169"/>
      <c r="BW66" s="169"/>
      <c r="BX66" s="169"/>
      <c r="BY66" s="169"/>
      <c r="BZ66" s="169"/>
    </row>
    <row r="67" spans="12:78" customFormat="1" ht="11.25" customHeight="1">
      <c r="L67" s="20"/>
      <c r="M67" s="510" t="s">
        <v>899</v>
      </c>
      <c r="N67" s="530" t="s">
        <v>854</v>
      </c>
      <c r="O67" s="420" t="s">
        <v>313</v>
      </c>
      <c r="AB67" s="251"/>
      <c r="AC67" s="251"/>
      <c r="AD67" s="251"/>
      <c r="AE67" s="244">
        <f>IF(AE46=0,0,AE85/AE46)</f>
        <v>0</v>
      </c>
      <c r="AF67" s="221"/>
      <c r="AG67" s="221"/>
      <c r="AH67" s="169"/>
      <c r="AI67" s="169"/>
      <c r="AJ67" s="169"/>
      <c r="AK67" s="169"/>
      <c r="AL67" s="169"/>
      <c r="AM67" s="169"/>
      <c r="AN67" s="169"/>
      <c r="AO67" s="169"/>
      <c r="AP67" s="169"/>
      <c r="AQ67" s="169"/>
      <c r="AR67" s="169"/>
      <c r="AS67" s="169"/>
      <c r="AT67" s="169"/>
      <c r="AU67" s="169"/>
      <c r="AV67" s="169"/>
      <c r="AW67" s="169"/>
      <c r="AX67" s="169"/>
      <c r="AY67" s="169"/>
      <c r="AZ67" s="169"/>
      <c r="BA67" s="169"/>
      <c r="BB67" s="169"/>
      <c r="BC67" s="169"/>
      <c r="BD67" s="169"/>
      <c r="BE67" s="169"/>
      <c r="BF67" s="169"/>
      <c r="BG67" s="169"/>
      <c r="BH67" s="169"/>
      <c r="BI67" s="169"/>
      <c r="BJ67" s="169"/>
      <c r="BK67" s="169"/>
      <c r="BL67" s="169"/>
      <c r="BM67" s="169"/>
      <c r="BN67" s="169"/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</row>
    <row r="68" spans="12:78" customFormat="1" ht="11.25" customHeight="1">
      <c r="L68" s="20"/>
      <c r="M68" s="510" t="s">
        <v>900</v>
      </c>
      <c r="N68" s="530" t="s">
        <v>856</v>
      </c>
      <c r="O68" s="420" t="s">
        <v>313</v>
      </c>
      <c r="AB68" s="251"/>
      <c r="AC68" s="251"/>
      <c r="AD68" s="251"/>
      <c r="AE68" s="244">
        <f>IF(AE47=0,0,AE86/AE47)</f>
        <v>0</v>
      </c>
      <c r="AF68" s="221"/>
      <c r="AG68" s="221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</row>
    <row r="69" spans="12:78" customFormat="1" ht="11.25" customHeight="1">
      <c r="L69" s="20"/>
      <c r="M69" s="510" t="s">
        <v>901</v>
      </c>
      <c r="N69" s="530" t="s">
        <v>858</v>
      </c>
      <c r="O69" s="420" t="s">
        <v>313</v>
      </c>
      <c r="AB69" s="251"/>
      <c r="AC69" s="251"/>
      <c r="AD69" s="251"/>
      <c r="AE69" s="244">
        <f>IF(AE48=0,0,AE87/AE48)</f>
        <v>0</v>
      </c>
      <c r="AF69" s="221"/>
      <c r="AG69" s="221"/>
      <c r="AH69" s="169"/>
      <c r="AI69" s="169"/>
      <c r="AJ69" s="169"/>
      <c r="AK69" s="169"/>
      <c r="AL69" s="169"/>
      <c r="AM69" s="169"/>
      <c r="AN69" s="169"/>
      <c r="AO69" s="169"/>
      <c r="AP69" s="169"/>
      <c r="AQ69" s="169"/>
      <c r="AR69" s="169"/>
      <c r="AS69" s="169"/>
      <c r="AT69" s="169"/>
      <c r="AU69" s="169"/>
      <c r="AV69" s="169"/>
      <c r="AW69" s="169"/>
      <c r="AX69" s="169"/>
      <c r="AY69" s="169"/>
      <c r="AZ69" s="169"/>
      <c r="BA69" s="169"/>
      <c r="BB69" s="169"/>
      <c r="BC69" s="169"/>
      <c r="BD69" s="169"/>
      <c r="BE69" s="169"/>
      <c r="BF69" s="169"/>
      <c r="BG69" s="169"/>
      <c r="BH69" s="169"/>
      <c r="BI69" s="169"/>
      <c r="BJ69" s="169"/>
      <c r="BK69" s="169"/>
      <c r="BL69" s="169"/>
      <c r="BM69" s="169"/>
      <c r="BN69" s="169"/>
      <c r="BO69" s="169"/>
      <c r="BP69" s="169"/>
      <c r="BQ69" s="169"/>
      <c r="BR69" s="169"/>
      <c r="BS69" s="169"/>
      <c r="BT69" s="169"/>
      <c r="BU69" s="169"/>
      <c r="BV69" s="169"/>
      <c r="BW69" s="169"/>
      <c r="BX69" s="169"/>
      <c r="BY69" s="169"/>
      <c r="BZ69" s="169"/>
    </row>
    <row r="70" spans="12:78" customFormat="1" ht="11.25" customHeight="1">
      <c r="L70" s="20"/>
      <c r="M70" s="510" t="s">
        <v>902</v>
      </c>
      <c r="N70" s="530" t="s">
        <v>1040</v>
      </c>
      <c r="O70" s="420" t="s">
        <v>313</v>
      </c>
      <c r="AB70" s="251"/>
      <c r="AC70" s="251"/>
      <c r="AD70" s="251"/>
      <c r="AE70" s="244">
        <f>IF(AE49=0,0,AE88/AE49)</f>
        <v>0</v>
      </c>
      <c r="AF70" s="221"/>
      <c r="AG70" s="221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  <c r="BC70" s="169"/>
      <c r="BD70" s="169"/>
      <c r="BE70" s="169"/>
      <c r="BF70" s="169"/>
      <c r="BG70" s="169"/>
      <c r="BH70" s="169"/>
      <c r="BI70" s="169"/>
      <c r="BJ70" s="169"/>
      <c r="BK70" s="169"/>
      <c r="BL70" s="169"/>
      <c r="BM70" s="169"/>
      <c r="BN70" s="169"/>
      <c r="BO70" s="169"/>
      <c r="BP70" s="169"/>
      <c r="BQ70" s="169"/>
      <c r="BR70" s="169"/>
      <c r="BS70" s="169"/>
      <c r="BT70" s="169"/>
      <c r="BU70" s="169"/>
      <c r="BV70" s="169"/>
      <c r="BW70" s="169"/>
      <c r="BX70" s="169"/>
      <c r="BY70" s="169"/>
      <c r="BZ70" s="169"/>
    </row>
    <row r="71" spans="12:78" customFormat="1" ht="11.25" customHeight="1">
      <c r="L71" s="20"/>
      <c r="M71" s="510" t="s">
        <v>903</v>
      </c>
      <c r="N71" s="527" t="s">
        <v>904</v>
      </c>
      <c r="O71" s="420" t="s">
        <v>195</v>
      </c>
      <c r="AB71" s="251"/>
      <c r="AC71" s="251"/>
      <c r="AD71" s="251"/>
      <c r="AE71" s="247">
        <f t="shared" ref="AE71:AE91" si="1">AF71+AG71</f>
        <v>0</v>
      </c>
      <c r="AF71" s="244">
        <f>SUM(AF72:AF76)</f>
        <v>0</v>
      </c>
      <c r="AG71" s="244">
        <f>SUM(AG72:AG76)</f>
        <v>0</v>
      </c>
      <c r="AH71" s="169"/>
      <c r="AI71" s="169"/>
      <c r="AJ71" s="169"/>
      <c r="AK71" s="169"/>
      <c r="AL71" s="169"/>
      <c r="AM71" s="169"/>
      <c r="AN71" s="169"/>
      <c r="AO71" s="169"/>
      <c r="AP71" s="169"/>
      <c r="AQ71" s="169"/>
      <c r="AR71" s="169"/>
      <c r="AS71" s="169"/>
      <c r="AT71" s="169"/>
      <c r="AU71" s="169"/>
      <c r="AV71" s="169"/>
      <c r="AW71" s="169"/>
      <c r="AX71" s="169"/>
      <c r="AY71" s="169"/>
      <c r="AZ71" s="169"/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169"/>
      <c r="BU71" s="169"/>
      <c r="BV71" s="169"/>
      <c r="BW71" s="169"/>
      <c r="BX71" s="169"/>
      <c r="BY71" s="169"/>
      <c r="BZ71" s="169"/>
    </row>
    <row r="72" spans="12:78" customFormat="1" ht="11.25" customHeight="1">
      <c r="L72" s="20"/>
      <c r="M72" s="510" t="s">
        <v>1041</v>
      </c>
      <c r="N72" s="528" t="s">
        <v>852</v>
      </c>
      <c r="O72" s="420" t="s">
        <v>195</v>
      </c>
      <c r="AB72" s="251"/>
      <c r="AC72" s="251"/>
      <c r="AD72" s="251"/>
      <c r="AE72" s="247">
        <f t="shared" si="1"/>
        <v>0</v>
      </c>
      <c r="AF72" s="244">
        <f>AF32*AF52</f>
        <v>0</v>
      </c>
      <c r="AG72" s="244">
        <f>AG32*AG52</f>
        <v>0</v>
      </c>
      <c r="AH72" s="169"/>
      <c r="AI72" s="169"/>
      <c r="AJ72" s="169"/>
      <c r="AK72" s="169"/>
      <c r="AL72" s="169"/>
      <c r="AM72" s="169"/>
      <c r="AN72" s="169"/>
      <c r="AO72" s="169"/>
      <c r="AP72" s="169"/>
      <c r="AQ72" s="169"/>
      <c r="AR72" s="169"/>
      <c r="AS72" s="169"/>
      <c r="AT72" s="169"/>
      <c r="AU72" s="169"/>
      <c r="AV72" s="169"/>
      <c r="AW72" s="169"/>
      <c r="AX72" s="169"/>
      <c r="AY72" s="169"/>
      <c r="AZ72" s="169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169"/>
      <c r="BU72" s="169"/>
      <c r="BV72" s="169"/>
      <c r="BW72" s="169"/>
      <c r="BX72" s="169"/>
      <c r="BY72" s="169"/>
      <c r="BZ72" s="169"/>
    </row>
    <row r="73" spans="12:78" customFormat="1" ht="11.25" customHeight="1">
      <c r="L73" s="20"/>
      <c r="M73" s="510" t="s">
        <v>1042</v>
      </c>
      <c r="N73" s="528" t="s">
        <v>854</v>
      </c>
      <c r="O73" s="420" t="s">
        <v>195</v>
      </c>
      <c r="AB73" s="251"/>
      <c r="AC73" s="251"/>
      <c r="AD73" s="251"/>
      <c r="AE73" s="247">
        <f t="shared" si="1"/>
        <v>0</v>
      </c>
      <c r="AF73" s="244">
        <f t="shared" ref="AF73:AG76" si="2">AF33*AF53</f>
        <v>0</v>
      </c>
      <c r="AG73" s="244">
        <f t="shared" si="2"/>
        <v>0</v>
      </c>
      <c r="AH73" s="169"/>
      <c r="AI73" s="169"/>
      <c r="AJ73" s="169"/>
      <c r="AK73" s="169"/>
      <c r="AL73" s="169"/>
      <c r="AM73" s="169"/>
      <c r="AN73" s="169"/>
      <c r="AO73" s="169"/>
      <c r="AP73" s="169"/>
      <c r="AQ73" s="169"/>
      <c r="AR73" s="169"/>
      <c r="AS73" s="169"/>
      <c r="AT73" s="169"/>
      <c r="AU73" s="169"/>
      <c r="AV73" s="169"/>
      <c r="AW73" s="169"/>
      <c r="AX73" s="169"/>
      <c r="AY73" s="169"/>
      <c r="AZ73" s="169"/>
      <c r="BA73" s="169"/>
      <c r="BB73" s="169"/>
      <c r="BC73" s="169"/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169"/>
    </row>
    <row r="74" spans="12:78" customFormat="1" ht="11.25" customHeight="1">
      <c r="L74" s="20"/>
      <c r="M74" s="510" t="s">
        <v>1043</v>
      </c>
      <c r="N74" s="528" t="s">
        <v>856</v>
      </c>
      <c r="O74" s="420" t="s">
        <v>195</v>
      </c>
      <c r="AB74" s="251"/>
      <c r="AC74" s="251"/>
      <c r="AD74" s="251"/>
      <c r="AE74" s="247">
        <f t="shared" si="1"/>
        <v>0</v>
      </c>
      <c r="AF74" s="244">
        <f t="shared" si="2"/>
        <v>0</v>
      </c>
      <c r="AG74" s="244">
        <f t="shared" si="2"/>
        <v>0</v>
      </c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  <c r="AV74" s="169"/>
      <c r="AW74" s="169"/>
      <c r="AX74" s="169"/>
      <c r="AY74" s="169"/>
      <c r="AZ74" s="169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169"/>
    </row>
    <row r="75" spans="12:78" customFormat="1" ht="11.25" customHeight="1">
      <c r="L75" s="20"/>
      <c r="M75" s="510" t="s">
        <v>1044</v>
      </c>
      <c r="N75" s="528" t="s">
        <v>858</v>
      </c>
      <c r="O75" s="420" t="s">
        <v>195</v>
      </c>
      <c r="AB75" s="251"/>
      <c r="AC75" s="251"/>
      <c r="AD75" s="251"/>
      <c r="AE75" s="247">
        <f t="shared" si="1"/>
        <v>0</v>
      </c>
      <c r="AF75" s="244">
        <f t="shared" si="2"/>
        <v>0</v>
      </c>
      <c r="AG75" s="244">
        <f t="shared" si="2"/>
        <v>0</v>
      </c>
      <c r="AH75" s="169"/>
      <c r="AI75" s="169"/>
      <c r="AJ75" s="169"/>
      <c r="AK75" s="169"/>
      <c r="AL75" s="169"/>
      <c r="AM75" s="169"/>
      <c r="AN75" s="169"/>
      <c r="AO75" s="169"/>
      <c r="AP75" s="169"/>
      <c r="AQ75" s="169"/>
      <c r="AR75" s="169"/>
      <c r="AS75" s="169"/>
      <c r="AT75" s="169"/>
      <c r="AU75" s="169"/>
      <c r="AV75" s="169"/>
      <c r="AW75" s="169"/>
      <c r="AX75" s="169"/>
      <c r="AY75" s="169"/>
      <c r="AZ75" s="169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169"/>
      <c r="BU75" s="169"/>
      <c r="BV75" s="169"/>
      <c r="BW75" s="169"/>
      <c r="BX75" s="169"/>
      <c r="BY75" s="169"/>
      <c r="BZ75" s="169"/>
    </row>
    <row r="76" spans="12:78" customFormat="1" ht="11.25" customHeight="1">
      <c r="L76" s="20"/>
      <c r="M76" s="510" t="s">
        <v>1045</v>
      </c>
      <c r="N76" s="528" t="s">
        <v>860</v>
      </c>
      <c r="O76" s="420" t="s">
        <v>195</v>
      </c>
      <c r="AB76" s="251"/>
      <c r="AC76" s="251"/>
      <c r="AD76" s="251"/>
      <c r="AE76" s="247">
        <f t="shared" si="1"/>
        <v>0</v>
      </c>
      <c r="AF76" s="244">
        <f t="shared" si="2"/>
        <v>0</v>
      </c>
      <c r="AG76" s="244">
        <f t="shared" si="2"/>
        <v>0</v>
      </c>
      <c r="AH76" s="169"/>
      <c r="AI76" s="169"/>
      <c r="AJ76" s="169"/>
      <c r="AK76" s="169"/>
      <c r="AL76" s="169"/>
      <c r="AM76" s="169"/>
      <c r="AN76" s="169"/>
      <c r="AO76" s="169"/>
      <c r="AP76" s="169"/>
      <c r="AQ76" s="169"/>
      <c r="AR76" s="169"/>
      <c r="AS76" s="169"/>
      <c r="AT76" s="169"/>
      <c r="AU76" s="169"/>
      <c r="AV76" s="169"/>
      <c r="AW76" s="169"/>
      <c r="AX76" s="169"/>
      <c r="AY76" s="169"/>
      <c r="AZ76" s="169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169"/>
      <c r="BU76" s="169"/>
      <c r="BV76" s="169"/>
      <c r="BW76" s="169"/>
      <c r="BX76" s="169"/>
      <c r="BY76" s="169"/>
      <c r="BZ76" s="169"/>
    </row>
    <row r="77" spans="12:78" customFormat="1" ht="11.25" customHeight="1">
      <c r="L77" s="20"/>
      <c r="M77" s="510" t="s">
        <v>905</v>
      </c>
      <c r="N77" s="527" t="s">
        <v>1039</v>
      </c>
      <c r="O77" s="420" t="s">
        <v>195</v>
      </c>
      <c r="AB77" s="251"/>
      <c r="AC77" s="251"/>
      <c r="AD77" s="251"/>
      <c r="AE77" s="247">
        <f t="shared" si="1"/>
        <v>0</v>
      </c>
      <c r="AF77" s="244">
        <f>SUM(AF78:AF82)</f>
        <v>0</v>
      </c>
      <c r="AG77" s="244">
        <f>SUM(AG78:AG82)</f>
        <v>0</v>
      </c>
      <c r="AH77" s="169"/>
      <c r="AI77" s="169"/>
      <c r="AJ77" s="169"/>
      <c r="AK77" s="169"/>
      <c r="AL77" s="169"/>
      <c r="AM77" s="169"/>
      <c r="AN77" s="169"/>
      <c r="AO77" s="169"/>
      <c r="AP77" s="169"/>
      <c r="AQ77" s="169"/>
      <c r="AR77" s="169"/>
      <c r="AS77" s="169"/>
      <c r="AT77" s="169"/>
      <c r="AU77" s="169"/>
      <c r="AV77" s="169"/>
      <c r="AW77" s="169"/>
      <c r="AX77" s="169"/>
      <c r="AY77" s="169"/>
      <c r="AZ77" s="169"/>
      <c r="BA77" s="169"/>
      <c r="BB77" s="169"/>
      <c r="BC77" s="169"/>
      <c r="BD77" s="169"/>
      <c r="BE77" s="169"/>
      <c r="BF77" s="169"/>
      <c r="BG77" s="169"/>
      <c r="BH77" s="169"/>
      <c r="BI77" s="169"/>
      <c r="BJ77" s="169"/>
      <c r="BK77" s="169"/>
      <c r="BL77" s="169"/>
      <c r="BM77" s="169"/>
      <c r="BN77" s="169"/>
      <c r="BO77" s="169"/>
      <c r="BP77" s="169"/>
      <c r="BQ77" s="169"/>
      <c r="BR77" s="169"/>
      <c r="BS77" s="169"/>
      <c r="BT77" s="169"/>
      <c r="BU77" s="169"/>
      <c r="BV77" s="169"/>
      <c r="BW77" s="169"/>
      <c r="BX77" s="169"/>
      <c r="BY77" s="169"/>
      <c r="BZ77" s="169"/>
    </row>
    <row r="78" spans="12:78" customFormat="1" ht="11.25" customHeight="1">
      <c r="L78" s="20"/>
      <c r="M78" s="510" t="s">
        <v>1046</v>
      </c>
      <c r="N78" s="528" t="s">
        <v>852</v>
      </c>
      <c r="O78" s="420" t="s">
        <v>195</v>
      </c>
      <c r="AB78" s="251"/>
      <c r="AC78" s="251"/>
      <c r="AD78" s="251"/>
      <c r="AE78" s="247">
        <f t="shared" si="1"/>
        <v>0</v>
      </c>
      <c r="AF78" s="244">
        <f>AF39*AF60/1000</f>
        <v>0</v>
      </c>
      <c r="AG78" s="244">
        <f>AG39*AG60/1000</f>
        <v>0</v>
      </c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</row>
    <row r="79" spans="12:78" customFormat="1" ht="11.25" customHeight="1">
      <c r="L79" s="20"/>
      <c r="M79" s="510" t="s">
        <v>1047</v>
      </c>
      <c r="N79" s="528" t="s">
        <v>854</v>
      </c>
      <c r="O79" s="420" t="s">
        <v>195</v>
      </c>
      <c r="AB79" s="251"/>
      <c r="AC79" s="251"/>
      <c r="AD79" s="251"/>
      <c r="AE79" s="247">
        <f t="shared" si="1"/>
        <v>0</v>
      </c>
      <c r="AF79" s="244">
        <f t="shared" ref="AF79:AG82" si="3">AF40*AF61/1000</f>
        <v>0</v>
      </c>
      <c r="AG79" s="244">
        <f t="shared" si="3"/>
        <v>0</v>
      </c>
      <c r="AH79" s="169"/>
      <c r="AI79" s="169"/>
      <c r="AJ79" s="169"/>
      <c r="AK79" s="169"/>
      <c r="AL79" s="169"/>
      <c r="AM79" s="169"/>
      <c r="AN79" s="169"/>
      <c r="AO79" s="169"/>
      <c r="AP79" s="169"/>
      <c r="AQ79" s="169"/>
      <c r="AR79" s="169"/>
      <c r="AS79" s="169"/>
      <c r="AT79" s="169"/>
      <c r="AU79" s="169"/>
      <c r="AV79" s="169"/>
      <c r="AW79" s="169"/>
      <c r="AX79" s="169"/>
      <c r="AY79" s="169"/>
      <c r="AZ79" s="169"/>
      <c r="BA79" s="169"/>
      <c r="BB79" s="169"/>
      <c r="BC79" s="169"/>
      <c r="BD79" s="169"/>
      <c r="BE79" s="169"/>
      <c r="BF79" s="169"/>
      <c r="BG79" s="169"/>
      <c r="BH79" s="169"/>
      <c r="BI79" s="169"/>
      <c r="BJ79" s="169"/>
      <c r="BK79" s="169"/>
      <c r="BL79" s="169"/>
      <c r="BM79" s="169"/>
      <c r="BN79" s="169"/>
      <c r="BO79" s="169"/>
      <c r="BP79" s="169"/>
      <c r="BQ79" s="169"/>
      <c r="BR79" s="169"/>
      <c r="BS79" s="169"/>
      <c r="BT79" s="169"/>
      <c r="BU79" s="169"/>
      <c r="BV79" s="169"/>
      <c r="BW79" s="169"/>
      <c r="BX79" s="169"/>
      <c r="BY79" s="169"/>
      <c r="BZ79" s="169"/>
    </row>
    <row r="80" spans="12:78" customFormat="1" ht="11.25" customHeight="1">
      <c r="L80" s="20"/>
      <c r="M80" s="510" t="s">
        <v>1048</v>
      </c>
      <c r="N80" s="528" t="s">
        <v>856</v>
      </c>
      <c r="O80" s="420" t="s">
        <v>195</v>
      </c>
      <c r="AB80" s="251"/>
      <c r="AC80" s="251"/>
      <c r="AD80" s="251"/>
      <c r="AE80" s="247">
        <f t="shared" si="1"/>
        <v>0</v>
      </c>
      <c r="AF80" s="244">
        <f t="shared" si="3"/>
        <v>0</v>
      </c>
      <c r="AG80" s="244">
        <f t="shared" si="3"/>
        <v>0</v>
      </c>
      <c r="AH80" s="169"/>
      <c r="AI80" s="169"/>
      <c r="AJ80" s="169"/>
      <c r="AK80" s="169"/>
      <c r="AL80" s="169"/>
      <c r="AM80" s="169"/>
      <c r="AN80" s="169"/>
      <c r="AO80" s="169"/>
      <c r="AP80" s="169"/>
      <c r="AQ80" s="169"/>
      <c r="AR80" s="169"/>
      <c r="AS80" s="169"/>
      <c r="AT80" s="169"/>
      <c r="AU80" s="169"/>
      <c r="AV80" s="169"/>
      <c r="AW80" s="169"/>
      <c r="AX80" s="169"/>
      <c r="AY80" s="169"/>
      <c r="AZ80" s="169"/>
      <c r="BA80" s="169"/>
      <c r="BB80" s="169"/>
      <c r="BC80" s="169"/>
      <c r="BD80" s="169"/>
      <c r="BE80" s="169"/>
      <c r="BF80" s="169"/>
      <c r="BG80" s="169"/>
      <c r="BH80" s="169"/>
      <c r="BI80" s="169"/>
      <c r="BJ80" s="169"/>
      <c r="BK80" s="169"/>
      <c r="BL80" s="169"/>
      <c r="BM80" s="169"/>
      <c r="BN80" s="169"/>
      <c r="BO80" s="169"/>
      <c r="BP80" s="169"/>
      <c r="BQ80" s="169"/>
      <c r="BR80" s="169"/>
      <c r="BS80" s="169"/>
      <c r="BT80" s="169"/>
      <c r="BU80" s="169"/>
      <c r="BV80" s="169"/>
      <c r="BW80" s="169"/>
      <c r="BX80" s="169"/>
      <c r="BY80" s="169"/>
      <c r="BZ80" s="169"/>
    </row>
    <row r="81" spans="12:78" customFormat="1" ht="11.25" customHeight="1">
      <c r="L81" s="20"/>
      <c r="M81" s="510" t="s">
        <v>1049</v>
      </c>
      <c r="N81" s="528" t="s">
        <v>858</v>
      </c>
      <c r="O81" s="420" t="s">
        <v>195</v>
      </c>
      <c r="AB81" s="251"/>
      <c r="AC81" s="251"/>
      <c r="AD81" s="251"/>
      <c r="AE81" s="247">
        <f t="shared" si="1"/>
        <v>0</v>
      </c>
      <c r="AF81" s="244">
        <f t="shared" si="3"/>
        <v>0</v>
      </c>
      <c r="AG81" s="244">
        <f t="shared" si="3"/>
        <v>0</v>
      </c>
      <c r="AH81" s="169"/>
      <c r="AI81" s="169"/>
      <c r="AJ81" s="169"/>
      <c r="AK81" s="169"/>
      <c r="AL81" s="169"/>
      <c r="AM81" s="169"/>
      <c r="AN81" s="169"/>
      <c r="AO81" s="169"/>
      <c r="AP81" s="169"/>
      <c r="AQ81" s="169"/>
      <c r="AR81" s="169"/>
      <c r="AS81" s="169"/>
      <c r="AT81" s="169"/>
      <c r="AU81" s="169"/>
      <c r="AV81" s="169"/>
      <c r="AW81" s="169"/>
      <c r="AX81" s="169"/>
      <c r="AY81" s="169"/>
      <c r="AZ81" s="169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</row>
    <row r="82" spans="12:78" customFormat="1" ht="11.25" customHeight="1">
      <c r="L82" s="20"/>
      <c r="M82" s="510" t="s">
        <v>1050</v>
      </c>
      <c r="N82" s="528" t="s">
        <v>1040</v>
      </c>
      <c r="O82" s="420" t="s">
        <v>195</v>
      </c>
      <c r="AB82" s="251"/>
      <c r="AC82" s="251"/>
      <c r="AD82" s="251"/>
      <c r="AE82" s="247">
        <f t="shared" si="1"/>
        <v>0</v>
      </c>
      <c r="AF82" s="244">
        <f t="shared" si="3"/>
        <v>0</v>
      </c>
      <c r="AG82" s="244">
        <f t="shared" si="3"/>
        <v>0</v>
      </c>
      <c r="AH82" s="169"/>
      <c r="AI82" s="169"/>
      <c r="AJ82" s="169"/>
      <c r="AK82" s="169"/>
      <c r="AL82" s="169"/>
      <c r="AM82" s="169"/>
      <c r="AN82" s="169"/>
      <c r="AO82" s="169"/>
      <c r="AP82" s="169"/>
      <c r="AQ82" s="169"/>
      <c r="AR82" s="169"/>
      <c r="AS82" s="169"/>
      <c r="AT82" s="169"/>
      <c r="AU82" s="169"/>
      <c r="AV82" s="169"/>
      <c r="AW82" s="169"/>
      <c r="AX82" s="169"/>
      <c r="AY82" s="169"/>
      <c r="AZ82" s="169"/>
      <c r="BA82" s="169"/>
      <c r="BB82" s="169"/>
      <c r="BC82" s="169"/>
      <c r="BD82" s="169"/>
      <c r="BE82" s="169"/>
      <c r="BF82" s="169"/>
      <c r="BG82" s="169"/>
      <c r="BH82" s="169"/>
      <c r="BI82" s="169"/>
      <c r="BJ82" s="169"/>
      <c r="BK82" s="169"/>
      <c r="BL82" s="169"/>
      <c r="BM82" s="169"/>
      <c r="BN82" s="169"/>
      <c r="BO82" s="169"/>
      <c r="BP82" s="169"/>
      <c r="BQ82" s="169"/>
      <c r="BR82" s="169"/>
      <c r="BS82" s="169"/>
      <c r="BT82" s="169"/>
      <c r="BU82" s="169"/>
      <c r="BV82" s="169"/>
      <c r="BW82" s="169"/>
      <c r="BX82" s="169"/>
      <c r="BY82" s="169"/>
      <c r="BZ82" s="169"/>
    </row>
    <row r="83" spans="12:78" customFormat="1" ht="11.25" customHeight="1">
      <c r="L83" s="20"/>
      <c r="M83" s="510" t="s">
        <v>907</v>
      </c>
      <c r="N83" s="527" t="s">
        <v>906</v>
      </c>
      <c r="O83" s="420" t="s">
        <v>195</v>
      </c>
      <c r="AB83" s="251"/>
      <c r="AC83" s="251"/>
      <c r="AD83" s="251"/>
      <c r="AE83" s="247">
        <f t="shared" si="1"/>
        <v>0</v>
      </c>
      <c r="AF83" s="244">
        <f>SUM(AF84:AF88)</f>
        <v>0</v>
      </c>
      <c r="AG83" s="244">
        <f>SUM(AG84:AG88)</f>
        <v>0</v>
      </c>
      <c r="AH83" s="169"/>
      <c r="AI83" s="169"/>
      <c r="AJ83" s="169"/>
      <c r="AK83" s="169"/>
      <c r="AL83" s="169"/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/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/>
      <c r="BU83" s="169"/>
      <c r="BV83" s="169"/>
      <c r="BW83" s="169"/>
      <c r="BX83" s="169"/>
      <c r="BY83" s="169"/>
      <c r="BZ83" s="169"/>
    </row>
    <row r="84" spans="12:78" customFormat="1" ht="11.25" customHeight="1">
      <c r="L84" s="20"/>
      <c r="M84" s="510" t="s">
        <v>1051</v>
      </c>
      <c r="N84" s="528" t="s">
        <v>852</v>
      </c>
      <c r="O84" s="420" t="s">
        <v>195</v>
      </c>
      <c r="AB84" s="251"/>
      <c r="AC84" s="251"/>
      <c r="AD84" s="251"/>
      <c r="AE84" s="247">
        <f t="shared" si="1"/>
        <v>0</v>
      </c>
      <c r="AF84" s="244">
        <f t="shared" ref="AF84:AG88" si="4">AF45*AF66</f>
        <v>0</v>
      </c>
      <c r="AG84" s="244">
        <f t="shared" si="4"/>
        <v>0</v>
      </c>
      <c r="AH84" s="169"/>
      <c r="AI84" s="169"/>
      <c r="AJ84" s="169"/>
      <c r="AK84" s="169"/>
      <c r="AL84" s="169"/>
      <c r="AM84" s="169"/>
      <c r="AN84" s="169"/>
      <c r="AO84" s="169"/>
      <c r="AP84" s="169"/>
      <c r="AQ84" s="169"/>
      <c r="AR84" s="169"/>
      <c r="AS84" s="169"/>
      <c r="AT84" s="169"/>
      <c r="AU84" s="169"/>
      <c r="AV84" s="169"/>
      <c r="AW84" s="169"/>
      <c r="AX84" s="169"/>
      <c r="AY84" s="169"/>
      <c r="AZ84" s="169"/>
      <c r="BA84" s="169"/>
      <c r="BB84" s="169"/>
      <c r="BC84" s="169"/>
      <c r="BD84" s="169"/>
      <c r="BE84" s="169"/>
      <c r="BF84" s="169"/>
      <c r="BG84" s="169"/>
      <c r="BH84" s="169"/>
      <c r="BI84" s="169"/>
      <c r="BJ84" s="169"/>
      <c r="BK84" s="169"/>
      <c r="BL84" s="169"/>
      <c r="BM84" s="169"/>
      <c r="BN84" s="169"/>
      <c r="BO84" s="169"/>
      <c r="BP84" s="169"/>
      <c r="BQ84" s="169"/>
      <c r="BR84" s="169"/>
      <c r="BS84" s="169"/>
      <c r="BT84" s="169"/>
      <c r="BU84" s="169"/>
      <c r="BV84" s="169"/>
      <c r="BW84" s="169"/>
      <c r="BX84" s="169"/>
      <c r="BY84" s="169"/>
      <c r="BZ84" s="169"/>
    </row>
    <row r="85" spans="12:78" customFormat="1" ht="11.25" customHeight="1">
      <c r="L85" s="20"/>
      <c r="M85" s="510" t="s">
        <v>1052</v>
      </c>
      <c r="N85" s="528" t="s">
        <v>854</v>
      </c>
      <c r="O85" s="420" t="s">
        <v>195</v>
      </c>
      <c r="AB85" s="251"/>
      <c r="AC85" s="251"/>
      <c r="AD85" s="251"/>
      <c r="AE85" s="247">
        <f t="shared" si="1"/>
        <v>0</v>
      </c>
      <c r="AF85" s="244">
        <f t="shared" si="4"/>
        <v>0</v>
      </c>
      <c r="AG85" s="244">
        <f t="shared" si="4"/>
        <v>0</v>
      </c>
      <c r="AH85" s="169"/>
      <c r="AI85" s="169"/>
      <c r="AJ85" s="169"/>
      <c r="AK85" s="169"/>
      <c r="AL85" s="169"/>
      <c r="AM85" s="169"/>
      <c r="AN85" s="169"/>
      <c r="AO85" s="169"/>
      <c r="AP85" s="169"/>
      <c r="AQ85" s="169"/>
      <c r="AR85" s="169"/>
      <c r="AS85" s="169"/>
      <c r="AT85" s="169"/>
      <c r="AU85" s="169"/>
      <c r="AV85" s="169"/>
      <c r="AW85" s="169"/>
      <c r="AX85" s="169"/>
      <c r="AY85" s="169"/>
      <c r="AZ85" s="169"/>
      <c r="BA85" s="169"/>
      <c r="BB85" s="169"/>
      <c r="BC85" s="169"/>
      <c r="BD85" s="169"/>
      <c r="BE85" s="169"/>
      <c r="BF85" s="169"/>
      <c r="BG85" s="169"/>
      <c r="BH85" s="169"/>
      <c r="BI85" s="169"/>
      <c r="BJ85" s="169"/>
      <c r="BK85" s="169"/>
      <c r="BL85" s="169"/>
      <c r="BM85" s="169"/>
      <c r="BN85" s="169"/>
      <c r="BO85" s="169"/>
      <c r="BP85" s="169"/>
      <c r="BQ85" s="169"/>
      <c r="BR85" s="169"/>
      <c r="BS85" s="169"/>
      <c r="BT85" s="169"/>
      <c r="BU85" s="169"/>
      <c r="BV85" s="169"/>
      <c r="BW85" s="169"/>
      <c r="BX85" s="169"/>
      <c r="BY85" s="169"/>
      <c r="BZ85" s="169"/>
    </row>
    <row r="86" spans="12:78" customFormat="1" ht="11.25" customHeight="1">
      <c r="L86" s="20"/>
      <c r="M86" s="510" t="s">
        <v>1053</v>
      </c>
      <c r="N86" s="528" t="s">
        <v>856</v>
      </c>
      <c r="O86" s="420" t="s">
        <v>195</v>
      </c>
      <c r="AB86" s="251"/>
      <c r="AC86" s="251"/>
      <c r="AD86" s="251"/>
      <c r="AE86" s="247">
        <f t="shared" si="1"/>
        <v>0</v>
      </c>
      <c r="AF86" s="244">
        <f t="shared" si="4"/>
        <v>0</v>
      </c>
      <c r="AG86" s="244">
        <f t="shared" si="4"/>
        <v>0</v>
      </c>
      <c r="AH86" s="169"/>
      <c r="AI86" s="169"/>
      <c r="AJ86" s="169"/>
      <c r="AK86" s="169"/>
      <c r="AL86" s="169"/>
      <c r="AM86" s="169"/>
      <c r="AN86" s="169"/>
      <c r="AO86" s="169"/>
      <c r="AP86" s="169"/>
      <c r="AQ86" s="169"/>
      <c r="AR86" s="169"/>
      <c r="AS86" s="169"/>
      <c r="AT86" s="169"/>
      <c r="AU86" s="169"/>
      <c r="AV86" s="169"/>
      <c r="AW86" s="169"/>
      <c r="AX86" s="169"/>
      <c r="AY86" s="169"/>
      <c r="AZ86" s="169"/>
      <c r="BA86" s="169"/>
      <c r="BB86" s="169"/>
      <c r="BC86" s="169"/>
      <c r="BD86" s="169"/>
      <c r="BE86" s="169"/>
      <c r="BF86" s="169"/>
      <c r="BG86" s="169"/>
      <c r="BH86" s="169"/>
      <c r="BI86" s="169"/>
      <c r="BJ86" s="169"/>
      <c r="BK86" s="169"/>
      <c r="BL86" s="169"/>
      <c r="BM86" s="169"/>
      <c r="BN86" s="169"/>
      <c r="BO86" s="169"/>
      <c r="BP86" s="169"/>
      <c r="BQ86" s="169"/>
      <c r="BR86" s="169"/>
      <c r="BS86" s="169"/>
      <c r="BT86" s="169"/>
      <c r="BU86" s="169"/>
      <c r="BV86" s="169"/>
      <c r="BW86" s="169"/>
      <c r="BX86" s="169"/>
      <c r="BY86" s="169"/>
      <c r="BZ86" s="169"/>
    </row>
    <row r="87" spans="12:78" customFormat="1" ht="11.25" customHeight="1">
      <c r="L87" s="20"/>
      <c r="M87" s="510" t="s">
        <v>1054</v>
      </c>
      <c r="N87" s="528" t="s">
        <v>858</v>
      </c>
      <c r="O87" s="420" t="s">
        <v>195</v>
      </c>
      <c r="AB87" s="251"/>
      <c r="AC87" s="251"/>
      <c r="AD87" s="251"/>
      <c r="AE87" s="247">
        <f t="shared" si="1"/>
        <v>0</v>
      </c>
      <c r="AF87" s="244">
        <f t="shared" si="4"/>
        <v>0</v>
      </c>
      <c r="AG87" s="244">
        <f t="shared" si="4"/>
        <v>0</v>
      </c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  <c r="BC87" s="169"/>
      <c r="BD87" s="169"/>
      <c r="BE87" s="169"/>
      <c r="BF87" s="169"/>
      <c r="BG87" s="169"/>
      <c r="BH87" s="169"/>
      <c r="BI87" s="169"/>
      <c r="BJ87" s="169"/>
      <c r="BK87" s="169"/>
      <c r="BL87" s="169"/>
      <c r="BM87" s="169"/>
      <c r="BN87" s="169"/>
      <c r="BO87" s="169"/>
      <c r="BP87" s="169"/>
      <c r="BQ87" s="169"/>
      <c r="BR87" s="169"/>
      <c r="BS87" s="169"/>
      <c r="BT87" s="169"/>
      <c r="BU87" s="169"/>
      <c r="BV87" s="169"/>
      <c r="BW87" s="169"/>
      <c r="BX87" s="169"/>
      <c r="BY87" s="169"/>
      <c r="BZ87" s="169"/>
    </row>
    <row r="88" spans="12:78" customFormat="1" ht="11.25" customHeight="1">
      <c r="L88" s="20"/>
      <c r="M88" s="510" t="s">
        <v>1055</v>
      </c>
      <c r="N88" s="528" t="s">
        <v>1040</v>
      </c>
      <c r="O88" s="420" t="s">
        <v>195</v>
      </c>
      <c r="AB88" s="251"/>
      <c r="AC88" s="251"/>
      <c r="AD88" s="251"/>
      <c r="AE88" s="247">
        <f t="shared" si="1"/>
        <v>0</v>
      </c>
      <c r="AF88" s="244">
        <f t="shared" si="4"/>
        <v>0</v>
      </c>
      <c r="AG88" s="244">
        <f t="shared" si="4"/>
        <v>0</v>
      </c>
      <c r="AH88" s="169"/>
      <c r="AI88" s="169"/>
      <c r="AJ88" s="169"/>
      <c r="AK88" s="169"/>
      <c r="AL88" s="169"/>
      <c r="AM88" s="169"/>
      <c r="AN88" s="169"/>
      <c r="AO88" s="169"/>
      <c r="AP88" s="169"/>
      <c r="AQ88" s="169"/>
      <c r="AR88" s="169"/>
      <c r="AS88" s="169"/>
      <c r="AT88" s="169"/>
      <c r="AU88" s="169"/>
      <c r="AV88" s="169"/>
      <c r="AW88" s="169"/>
      <c r="AX88" s="169"/>
      <c r="AY88" s="169"/>
      <c r="AZ88" s="169"/>
      <c r="BA88" s="169"/>
      <c r="BB88" s="169"/>
      <c r="BC88" s="169"/>
      <c r="BD88" s="169"/>
      <c r="BE88" s="169"/>
      <c r="BF88" s="169"/>
      <c r="BG88" s="169"/>
      <c r="BH88" s="169"/>
      <c r="BI88" s="169"/>
      <c r="BJ88" s="169"/>
      <c r="BK88" s="169"/>
      <c r="BL88" s="169"/>
      <c r="BM88" s="169"/>
      <c r="BN88" s="169"/>
      <c r="BO88" s="169"/>
      <c r="BP88" s="169"/>
      <c r="BQ88" s="169"/>
      <c r="BR88" s="169"/>
      <c r="BS88" s="169"/>
      <c r="BT88" s="169"/>
      <c r="BU88" s="169"/>
      <c r="BV88" s="169"/>
      <c r="BW88" s="169"/>
      <c r="BX88" s="169"/>
      <c r="BY88" s="169"/>
      <c r="BZ88" s="169"/>
    </row>
    <row r="89" spans="12:78" customFormat="1" ht="11.25" customHeight="1">
      <c r="L89" s="20"/>
      <c r="M89" s="509" t="s">
        <v>703</v>
      </c>
      <c r="N89" s="526" t="s">
        <v>908</v>
      </c>
      <c r="O89" s="420" t="s">
        <v>195</v>
      </c>
      <c r="AB89" s="251"/>
      <c r="AC89" s="251"/>
      <c r="AD89" s="251"/>
      <c r="AE89" s="247">
        <f t="shared" si="1"/>
        <v>0</v>
      </c>
      <c r="AF89" s="221"/>
      <c r="AG89" s="221"/>
      <c r="AH89" s="169"/>
      <c r="AI89" s="169"/>
      <c r="AJ89" s="169"/>
      <c r="AK89" s="169"/>
      <c r="AL89" s="169"/>
      <c r="AM89" s="169"/>
      <c r="AN89" s="169"/>
      <c r="AO89" s="169"/>
      <c r="AP89" s="169"/>
      <c r="AQ89" s="169"/>
      <c r="AR89" s="169"/>
      <c r="AS89" s="169"/>
      <c r="AT89" s="169"/>
      <c r="AU89" s="169"/>
      <c r="AV89" s="169"/>
      <c r="AW89" s="169"/>
      <c r="AX89" s="169"/>
      <c r="AY89" s="169"/>
      <c r="AZ89" s="169"/>
      <c r="BA89" s="169"/>
      <c r="BB89" s="169"/>
      <c r="BC89" s="169"/>
      <c r="BD89" s="169"/>
      <c r="BE89" s="169"/>
      <c r="BF89" s="169"/>
      <c r="BG89" s="169"/>
      <c r="BH89" s="169"/>
      <c r="BI89" s="169"/>
      <c r="BJ89" s="169"/>
      <c r="BK89" s="169"/>
      <c r="BL89" s="169"/>
      <c r="BM89" s="169"/>
      <c r="BN89" s="169"/>
      <c r="BO89" s="169"/>
      <c r="BP89" s="169"/>
      <c r="BQ89" s="169"/>
      <c r="BR89" s="169"/>
      <c r="BS89" s="169"/>
      <c r="BT89" s="169"/>
      <c r="BU89" s="169"/>
      <c r="BV89" s="169"/>
      <c r="BW89" s="169"/>
      <c r="BX89" s="169"/>
      <c r="BY89" s="169"/>
      <c r="BZ89" s="169"/>
    </row>
    <row r="90" spans="12:78" customFormat="1" ht="11.25" customHeight="1">
      <c r="L90" s="20"/>
      <c r="M90" s="509" t="s">
        <v>695</v>
      </c>
      <c r="N90" s="526" t="s">
        <v>909</v>
      </c>
      <c r="O90" s="420" t="s">
        <v>195</v>
      </c>
      <c r="AB90" s="251"/>
      <c r="AC90" s="251"/>
      <c r="AD90" s="251"/>
      <c r="AE90" s="247">
        <f t="shared" si="1"/>
        <v>0</v>
      </c>
      <c r="AF90" s="221"/>
      <c r="AG90" s="221"/>
      <c r="AH90" s="169"/>
      <c r="AI90" s="169"/>
      <c r="AJ90" s="169"/>
      <c r="AK90" s="169"/>
      <c r="AL90" s="169"/>
      <c r="AM90" s="169"/>
      <c r="AN90" s="169"/>
      <c r="AO90" s="169"/>
      <c r="AP90" s="169"/>
      <c r="AQ90" s="169"/>
      <c r="AR90" s="169"/>
      <c r="AS90" s="169"/>
      <c r="AT90" s="169"/>
      <c r="AU90" s="169"/>
      <c r="AV90" s="169"/>
      <c r="AW90" s="169"/>
      <c r="AX90" s="169"/>
      <c r="AY90" s="169"/>
      <c r="AZ90" s="169"/>
      <c r="BA90" s="169"/>
      <c r="BB90" s="169"/>
      <c r="BC90" s="169"/>
      <c r="BD90" s="169"/>
      <c r="BE90" s="169"/>
      <c r="BF90" s="169"/>
      <c r="BG90" s="169"/>
      <c r="BH90" s="169"/>
      <c r="BI90" s="169"/>
      <c r="BJ90" s="169"/>
      <c r="BK90" s="169"/>
      <c r="BL90" s="169"/>
      <c r="BM90" s="169"/>
      <c r="BN90" s="169"/>
      <c r="BO90" s="169"/>
      <c r="BP90" s="169"/>
      <c r="BQ90" s="169"/>
      <c r="BR90" s="169"/>
      <c r="BS90" s="169"/>
      <c r="BT90" s="169"/>
      <c r="BU90" s="169"/>
      <c r="BV90" s="169"/>
      <c r="BW90" s="169"/>
      <c r="BX90" s="169"/>
      <c r="BY90" s="169"/>
      <c r="BZ90" s="169"/>
    </row>
    <row r="91" spans="12:78" customFormat="1" ht="11.25" customHeight="1">
      <c r="L91" s="20"/>
      <c r="M91" s="509" t="s">
        <v>696</v>
      </c>
      <c r="N91" s="526" t="s">
        <v>910</v>
      </c>
      <c r="O91" s="420" t="s">
        <v>195</v>
      </c>
      <c r="AB91" s="251"/>
      <c r="AC91" s="251"/>
      <c r="AD91" s="251"/>
      <c r="AE91" s="247">
        <f t="shared" si="1"/>
        <v>0</v>
      </c>
      <c r="AF91" s="221"/>
      <c r="AG91" s="221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AU91" s="169"/>
      <c r="AV91" s="169"/>
      <c r="AW91" s="169"/>
      <c r="AX91" s="169"/>
      <c r="AY91" s="169"/>
      <c r="AZ91" s="169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</row>
    <row r="92" spans="12:78" customFormat="1" ht="11.25" customHeight="1">
      <c r="L92" s="20"/>
      <c r="M92" s="532"/>
      <c r="N92" s="533"/>
      <c r="O92" s="422"/>
      <c r="AB92" s="251"/>
      <c r="AC92" s="251"/>
      <c r="AD92" s="251"/>
      <c r="AE92" s="261"/>
      <c r="AF92" s="261"/>
      <c r="AG92" s="261"/>
      <c r="AH92" s="169"/>
      <c r="AI92" s="169"/>
      <c r="AJ92" s="169"/>
      <c r="AK92" s="169"/>
      <c r="AL92" s="169"/>
      <c r="AM92" s="169"/>
      <c r="AN92" s="169"/>
      <c r="AO92" s="169"/>
      <c r="AP92" s="169"/>
      <c r="AQ92" s="169"/>
      <c r="AR92" s="169"/>
      <c r="AS92" s="169"/>
      <c r="AT92" s="169"/>
      <c r="AU92" s="169"/>
      <c r="AV92" s="169"/>
      <c r="AW92" s="169"/>
      <c r="AX92" s="169"/>
      <c r="AY92" s="169"/>
      <c r="AZ92" s="169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169"/>
      <c r="BU92" s="169"/>
      <c r="BV92" s="169"/>
      <c r="BW92" s="169"/>
      <c r="BX92" s="169"/>
      <c r="BY92" s="169"/>
      <c r="BZ92" s="169"/>
    </row>
    <row r="93" spans="12:78" customFormat="1" ht="11.25" customHeight="1">
      <c r="L93" s="20"/>
      <c r="M93" s="532"/>
      <c r="N93" s="533"/>
      <c r="O93" s="422"/>
      <c r="AB93" s="251"/>
      <c r="AC93" s="251"/>
      <c r="AD93" s="251"/>
      <c r="AE93" s="261"/>
      <c r="AF93" s="261"/>
      <c r="AG93" s="261"/>
      <c r="AH93" s="169"/>
      <c r="AI93" s="169"/>
      <c r="AJ93" s="169"/>
      <c r="AK93" s="169"/>
      <c r="AL93" s="169"/>
      <c r="AM93" s="169"/>
      <c r="AN93" s="169"/>
      <c r="AO93" s="169"/>
      <c r="AP93" s="169"/>
      <c r="AQ93" s="169"/>
      <c r="AR93" s="169"/>
      <c r="AS93" s="169"/>
      <c r="AT93" s="169"/>
      <c r="AU93" s="169"/>
      <c r="AV93" s="169"/>
      <c r="AW93" s="169"/>
      <c r="AX93" s="169"/>
      <c r="AY93" s="169"/>
      <c r="AZ93" s="169"/>
      <c r="BA93" s="169"/>
      <c r="BB93" s="169"/>
      <c r="BC93" s="169"/>
      <c r="BD93" s="169"/>
      <c r="BE93" s="169"/>
      <c r="BF93" s="169"/>
      <c r="BG93" s="169"/>
      <c r="BH93" s="169"/>
      <c r="BI93" s="169"/>
      <c r="BJ93" s="169"/>
      <c r="BK93" s="169"/>
      <c r="BL93" s="169"/>
      <c r="BM93" s="169"/>
      <c r="BN93" s="169"/>
      <c r="BO93" s="169"/>
      <c r="BP93" s="169"/>
      <c r="BQ93" s="169"/>
      <c r="BR93" s="169"/>
      <c r="BS93" s="169"/>
      <c r="BT93" s="169"/>
      <c r="BU93" s="169"/>
      <c r="BV93" s="169"/>
      <c r="BW93" s="169"/>
      <c r="BX93" s="169"/>
      <c r="BY93" s="169"/>
      <c r="BZ93" s="169"/>
    </row>
    <row r="94" spans="12:78" customFormat="1" ht="11.25" customHeight="1">
      <c r="L94" s="20"/>
      <c r="M94" s="532"/>
      <c r="N94" s="533"/>
      <c r="O94" s="422"/>
      <c r="AB94" s="251"/>
      <c r="AC94" s="251"/>
      <c r="AD94" s="251"/>
      <c r="AE94" s="261"/>
      <c r="AF94" s="261"/>
      <c r="AG94" s="261"/>
      <c r="AH94" s="169"/>
      <c r="AI94" s="169"/>
      <c r="AJ94" s="169"/>
      <c r="AK94" s="169"/>
      <c r="AL94" s="169"/>
      <c r="AM94" s="169"/>
      <c r="AN94" s="169"/>
      <c r="AO94" s="169"/>
      <c r="AP94" s="169"/>
      <c r="AQ94" s="169"/>
      <c r="AR94" s="169"/>
      <c r="AS94" s="169"/>
      <c r="AT94" s="169"/>
      <c r="AU94" s="169"/>
      <c r="AV94" s="169"/>
      <c r="AW94" s="169"/>
      <c r="AX94" s="169"/>
      <c r="AY94" s="169"/>
      <c r="AZ94" s="169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</row>
    <row r="95" spans="12:78" customFormat="1" ht="11.25" customHeight="1">
      <c r="L95" s="20"/>
      <c r="M95" s="532"/>
      <c r="N95" s="533"/>
      <c r="O95" s="422"/>
      <c r="AB95" s="251"/>
      <c r="AC95" s="251"/>
      <c r="AD95" s="251"/>
      <c r="AE95" s="261"/>
      <c r="AF95" s="261"/>
      <c r="AG95" s="261"/>
      <c r="AH95" s="169"/>
      <c r="AI95" s="169"/>
      <c r="AJ95" s="169"/>
      <c r="AK95" s="169"/>
      <c r="AL95" s="169"/>
      <c r="AM95" s="169"/>
      <c r="AN95" s="169"/>
      <c r="AO95" s="169"/>
      <c r="AP95" s="169"/>
      <c r="AQ95" s="169"/>
      <c r="AR95" s="169"/>
      <c r="AS95" s="169"/>
      <c r="AT95" s="169"/>
      <c r="AU95" s="169"/>
      <c r="AV95" s="169"/>
      <c r="AW95" s="169"/>
      <c r="AX95" s="169"/>
      <c r="AY95" s="169"/>
      <c r="AZ95" s="169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169"/>
      <c r="BU95" s="169"/>
      <c r="BV95" s="169"/>
      <c r="BW95" s="169"/>
      <c r="BX95" s="169"/>
      <c r="BY95" s="169"/>
      <c r="BZ95" s="169"/>
    </row>
    <row r="96" spans="12:78" customFormat="1" ht="11.25" customHeight="1">
      <c r="L96" s="20"/>
      <c r="M96" s="509" t="s">
        <v>911</v>
      </c>
      <c r="N96" s="526" t="s">
        <v>912</v>
      </c>
      <c r="O96" s="420" t="s">
        <v>195</v>
      </c>
      <c r="AB96" s="251"/>
      <c r="AC96" s="251"/>
      <c r="AD96" s="251"/>
      <c r="AE96" s="247">
        <f>AF96+AG96</f>
        <v>0</v>
      </c>
      <c r="AF96" s="244">
        <f>AF97*AF98</f>
        <v>0</v>
      </c>
      <c r="AG96" s="244">
        <f>AG97*AG98</f>
        <v>0</v>
      </c>
      <c r="AH96" s="169"/>
      <c r="AI96" s="169"/>
      <c r="AJ96" s="169"/>
      <c r="AK96" s="169"/>
      <c r="AL96" s="169"/>
      <c r="AM96" s="169"/>
      <c r="AN96" s="169"/>
      <c r="AO96" s="169"/>
      <c r="AP96" s="169"/>
      <c r="AQ96" s="169"/>
      <c r="AR96" s="169"/>
      <c r="AS96" s="169"/>
      <c r="AT96" s="169"/>
      <c r="AU96" s="169"/>
      <c r="AV96" s="169"/>
      <c r="AW96" s="169"/>
      <c r="AX96" s="169"/>
      <c r="AY96" s="169"/>
      <c r="AZ96" s="169"/>
      <c r="BA96" s="169"/>
      <c r="BB96" s="169"/>
      <c r="BC96" s="169"/>
      <c r="BD96" s="169"/>
      <c r="BE96" s="169"/>
      <c r="BF96" s="169"/>
      <c r="BG96" s="169"/>
      <c r="BH96" s="169"/>
      <c r="BI96" s="169"/>
      <c r="BJ96" s="169"/>
      <c r="BK96" s="169"/>
      <c r="BL96" s="169"/>
      <c r="BM96" s="169"/>
      <c r="BN96" s="169"/>
      <c r="BO96" s="169"/>
      <c r="BP96" s="169"/>
      <c r="BQ96" s="169"/>
      <c r="BR96" s="169"/>
      <c r="BS96" s="169"/>
      <c r="BT96" s="169"/>
      <c r="BU96" s="169"/>
      <c r="BV96" s="169"/>
      <c r="BW96" s="169"/>
      <c r="BX96" s="169"/>
      <c r="BY96" s="169"/>
      <c r="BZ96" s="169"/>
    </row>
    <row r="97" spans="12:78" customFormat="1" ht="11.25" customHeight="1">
      <c r="L97" s="20"/>
      <c r="M97" s="509" t="s">
        <v>913</v>
      </c>
      <c r="N97" s="531" t="s">
        <v>914</v>
      </c>
      <c r="O97" s="420" t="s">
        <v>397</v>
      </c>
      <c r="AB97" s="251"/>
      <c r="AC97" s="251"/>
      <c r="AD97" s="251"/>
      <c r="AE97" s="244">
        <f>IF(AE98=0,0,AE96/AE98)</f>
        <v>0</v>
      </c>
      <c r="AF97" s="221"/>
      <c r="AG97" s="221"/>
      <c r="AH97" s="169"/>
      <c r="AI97" s="169"/>
      <c r="AJ97" s="169"/>
      <c r="AK97" s="169"/>
      <c r="AL97" s="169"/>
      <c r="AM97" s="169"/>
      <c r="AN97" s="169"/>
      <c r="AO97" s="169"/>
      <c r="AP97" s="169"/>
      <c r="AQ97" s="169"/>
      <c r="AR97" s="169"/>
      <c r="AS97" s="169"/>
      <c r="AT97" s="169"/>
      <c r="AU97" s="169"/>
      <c r="AV97" s="169"/>
      <c r="AW97" s="169"/>
      <c r="AX97" s="169"/>
      <c r="AY97" s="169"/>
      <c r="AZ97" s="169"/>
      <c r="BA97" s="169"/>
      <c r="BB97" s="169"/>
      <c r="BC97" s="169"/>
      <c r="BD97" s="169"/>
      <c r="BE97" s="169"/>
      <c r="BF97" s="169"/>
      <c r="BG97" s="169"/>
      <c r="BH97" s="169"/>
      <c r="BI97" s="169"/>
      <c r="BJ97" s="169"/>
      <c r="BK97" s="169"/>
      <c r="BL97" s="169"/>
      <c r="BM97" s="169"/>
      <c r="BN97" s="169"/>
      <c r="BO97" s="169"/>
      <c r="BP97" s="169"/>
      <c r="BQ97" s="169"/>
      <c r="BR97" s="169"/>
      <c r="BS97" s="169"/>
      <c r="BT97" s="169"/>
      <c r="BU97" s="169"/>
      <c r="BV97" s="169"/>
      <c r="BW97" s="169"/>
      <c r="BX97" s="169"/>
      <c r="BY97" s="169"/>
      <c r="BZ97" s="169"/>
    </row>
    <row r="98" spans="12:78" customFormat="1" ht="11.25" customHeight="1">
      <c r="L98" s="20"/>
      <c r="M98" s="509" t="s">
        <v>915</v>
      </c>
      <c r="N98" s="531" t="s">
        <v>283</v>
      </c>
      <c r="O98" s="417" t="s">
        <v>1026</v>
      </c>
      <c r="AB98" s="251"/>
      <c r="AC98" s="251"/>
      <c r="AD98" s="251"/>
      <c r="AE98" s="247">
        <f>AF98+AG98</f>
        <v>0</v>
      </c>
      <c r="AF98" s="221"/>
      <c r="AG98" s="221"/>
      <c r="AH98" s="169"/>
      <c r="AI98" s="169"/>
      <c r="AJ98" s="169"/>
      <c r="AK98" s="169"/>
      <c r="AL98" s="169"/>
      <c r="AM98" s="169"/>
      <c r="AN98" s="169"/>
      <c r="AO98" s="169"/>
      <c r="AP98" s="169"/>
      <c r="AQ98" s="169"/>
      <c r="AR98" s="169"/>
      <c r="AS98" s="169"/>
      <c r="AT98" s="169"/>
      <c r="AU98" s="169"/>
      <c r="AV98" s="169"/>
      <c r="AW98" s="169"/>
      <c r="AX98" s="169"/>
      <c r="AY98" s="169"/>
      <c r="AZ98" s="169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169"/>
      <c r="BU98" s="169"/>
      <c r="BV98" s="169"/>
      <c r="BW98" s="169"/>
      <c r="BX98" s="169"/>
      <c r="BY98" s="169"/>
      <c r="BZ98" s="169"/>
    </row>
    <row r="99" spans="12:78" customFormat="1" ht="11.25" customHeight="1">
      <c r="L99" s="20"/>
      <c r="M99" s="532"/>
      <c r="N99" s="533"/>
      <c r="O99" s="422"/>
      <c r="AB99" s="251"/>
      <c r="AC99" s="251"/>
      <c r="AD99" s="251"/>
      <c r="AE99" s="261"/>
      <c r="AF99" s="261"/>
      <c r="AG99" s="261"/>
      <c r="AH99" s="169"/>
      <c r="AI99" s="169"/>
      <c r="AJ99" s="169"/>
      <c r="AK99" s="169"/>
      <c r="AL99" s="169"/>
      <c r="AM99" s="169"/>
      <c r="AN99" s="169"/>
      <c r="AO99" s="169"/>
      <c r="AP99" s="169"/>
      <c r="AQ99" s="169"/>
      <c r="AR99" s="169"/>
      <c r="AS99" s="169"/>
      <c r="AT99" s="169"/>
      <c r="AU99" s="169"/>
      <c r="AV99" s="169"/>
      <c r="AW99" s="169"/>
      <c r="AX99" s="169"/>
      <c r="AY99" s="169"/>
      <c r="AZ99" s="169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169"/>
      <c r="BU99" s="169"/>
      <c r="BV99" s="169"/>
      <c r="BW99" s="169"/>
      <c r="BX99" s="169"/>
      <c r="BY99" s="169"/>
      <c r="BZ99" s="169"/>
    </row>
    <row r="100" spans="12:78" customFormat="1" ht="11.25" customHeight="1">
      <c r="L100" s="20"/>
      <c r="M100" s="532"/>
      <c r="N100" s="533"/>
      <c r="O100" s="422"/>
      <c r="AB100" s="251"/>
      <c r="AC100" s="251"/>
      <c r="AD100" s="251"/>
      <c r="AE100" s="261"/>
      <c r="AF100" s="261"/>
      <c r="AG100" s="261"/>
      <c r="AH100" s="169"/>
      <c r="AI100" s="169"/>
      <c r="AJ100" s="169"/>
      <c r="AK100" s="169"/>
      <c r="AL100" s="169"/>
      <c r="AM100" s="169"/>
      <c r="AN100" s="169"/>
      <c r="AO100" s="169"/>
      <c r="AP100" s="169"/>
      <c r="AQ100" s="169"/>
      <c r="AR100" s="169"/>
      <c r="AS100" s="169"/>
      <c r="AT100" s="169"/>
      <c r="AU100" s="169"/>
      <c r="AV100" s="169"/>
      <c r="AW100" s="169"/>
      <c r="AX100" s="169"/>
      <c r="AY100" s="169"/>
      <c r="AZ100" s="169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169"/>
      <c r="BU100" s="169"/>
      <c r="BV100" s="169"/>
      <c r="BW100" s="169"/>
      <c r="BX100" s="169"/>
      <c r="BY100" s="169"/>
      <c r="BZ100" s="169"/>
    </row>
    <row r="101" spans="12:78" customFormat="1" ht="11.25" customHeight="1">
      <c r="L101" s="20"/>
      <c r="M101" s="532"/>
      <c r="N101" s="533"/>
      <c r="O101" s="422"/>
      <c r="AB101" s="251"/>
      <c r="AC101" s="251"/>
      <c r="AD101" s="251"/>
      <c r="AE101" s="261"/>
      <c r="AF101" s="261"/>
      <c r="AG101" s="261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  <c r="AU101" s="169"/>
      <c r="AV101" s="169"/>
      <c r="AW101" s="169"/>
      <c r="AX101" s="169"/>
      <c r="AY101" s="169"/>
      <c r="AZ101" s="169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169"/>
      <c r="BU101" s="169"/>
      <c r="BV101" s="169"/>
      <c r="BW101" s="169"/>
      <c r="BX101" s="169"/>
      <c r="BY101" s="169"/>
      <c r="BZ101" s="169"/>
    </row>
    <row r="102" spans="12:78" customFormat="1" ht="11.25" customHeight="1">
      <c r="L102" s="20"/>
      <c r="M102" s="532"/>
      <c r="N102" s="533"/>
      <c r="O102" s="422"/>
      <c r="AB102" s="251"/>
      <c r="AC102" s="251"/>
      <c r="AD102" s="251"/>
      <c r="AE102" s="261"/>
      <c r="AF102" s="261"/>
      <c r="AG102" s="261"/>
      <c r="AH102" s="169"/>
      <c r="AI102" s="169"/>
      <c r="AJ102" s="169"/>
      <c r="AK102" s="169"/>
      <c r="AL102" s="169"/>
      <c r="AM102" s="169"/>
      <c r="AN102" s="169"/>
      <c r="AO102" s="169"/>
      <c r="AP102" s="169"/>
      <c r="AQ102" s="169"/>
      <c r="AR102" s="169"/>
      <c r="AS102" s="169"/>
      <c r="AT102" s="169"/>
      <c r="AU102" s="169"/>
      <c r="AV102" s="169"/>
      <c r="AW102" s="169"/>
      <c r="AX102" s="169"/>
      <c r="AY102" s="169"/>
      <c r="AZ102" s="169"/>
      <c r="BA102" s="169"/>
      <c r="BB102" s="169"/>
      <c r="BC102" s="169"/>
      <c r="BD102" s="169"/>
      <c r="BE102" s="169"/>
      <c r="BF102" s="169"/>
      <c r="BG102" s="169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169"/>
      <c r="BU102" s="169"/>
      <c r="BV102" s="169"/>
      <c r="BW102" s="169"/>
      <c r="BX102" s="169"/>
      <c r="BY102" s="169"/>
      <c r="BZ102" s="169"/>
    </row>
    <row r="103" spans="12:78" customFormat="1" ht="11.25" customHeight="1">
      <c r="L103" s="20"/>
      <c r="M103" s="532"/>
      <c r="N103" s="533"/>
      <c r="O103" s="422"/>
      <c r="AB103" s="251"/>
      <c r="AC103" s="251"/>
      <c r="AD103" s="251"/>
      <c r="AE103" s="261"/>
      <c r="AF103" s="261"/>
      <c r="AG103" s="261"/>
      <c r="AH103" s="169"/>
      <c r="AI103" s="169"/>
      <c r="AJ103" s="169"/>
      <c r="AK103" s="169"/>
      <c r="AL103" s="169"/>
      <c r="AM103" s="169"/>
      <c r="AN103" s="169"/>
      <c r="AO103" s="169"/>
      <c r="AP103" s="169"/>
      <c r="AQ103" s="169"/>
      <c r="AR103" s="169"/>
      <c r="AS103" s="169"/>
      <c r="AT103" s="169"/>
      <c r="AU103" s="169"/>
      <c r="AV103" s="169"/>
      <c r="AW103" s="169"/>
      <c r="AX103" s="169"/>
      <c r="AY103" s="169"/>
      <c r="AZ103" s="169"/>
      <c r="BA103" s="169"/>
      <c r="BB103" s="169"/>
      <c r="BC103" s="169"/>
      <c r="BD103" s="169"/>
      <c r="BE103" s="169"/>
      <c r="BF103" s="169"/>
      <c r="BG103" s="169"/>
      <c r="BH103" s="169"/>
      <c r="BI103" s="169"/>
      <c r="BJ103" s="169"/>
      <c r="BK103" s="169"/>
      <c r="BL103" s="169"/>
      <c r="BM103" s="169"/>
      <c r="BN103" s="169"/>
      <c r="BO103" s="169"/>
      <c r="BP103" s="169"/>
      <c r="BQ103" s="169"/>
      <c r="BR103" s="169"/>
      <c r="BS103" s="169"/>
      <c r="BT103" s="169"/>
      <c r="BU103" s="169"/>
      <c r="BV103" s="169"/>
      <c r="BW103" s="169"/>
      <c r="BX103" s="169"/>
      <c r="BY103" s="169"/>
      <c r="BZ103" s="169"/>
    </row>
    <row r="104" spans="12:78" customFormat="1" ht="11.25" customHeight="1">
      <c r="L104" s="20"/>
      <c r="M104" s="532"/>
      <c r="N104" s="533"/>
      <c r="O104" s="422"/>
      <c r="AB104" s="251"/>
      <c r="AC104" s="251"/>
      <c r="AD104" s="251"/>
      <c r="AE104" s="261"/>
      <c r="AF104" s="261"/>
      <c r="AG104" s="261"/>
      <c r="AH104" s="169"/>
      <c r="AI104" s="169"/>
      <c r="AJ104" s="169"/>
      <c r="AK104" s="169"/>
      <c r="AL104" s="169"/>
      <c r="AM104" s="169"/>
      <c r="AN104" s="169"/>
      <c r="AO104" s="169"/>
      <c r="AP104" s="169"/>
      <c r="AQ104" s="169"/>
      <c r="AR104" s="169"/>
      <c r="AS104" s="169"/>
      <c r="AT104" s="169"/>
      <c r="AU104" s="169"/>
      <c r="AV104" s="169"/>
      <c r="AW104" s="169"/>
      <c r="AX104" s="169"/>
      <c r="AY104" s="169"/>
      <c r="AZ104" s="169"/>
      <c r="BA104" s="169"/>
      <c r="BB104" s="169"/>
      <c r="BC104" s="169"/>
      <c r="BD104" s="169"/>
      <c r="BE104" s="169"/>
      <c r="BF104" s="169"/>
      <c r="BG104" s="169"/>
      <c r="BH104" s="169"/>
      <c r="BI104" s="169"/>
      <c r="BJ104" s="169"/>
      <c r="BK104" s="169"/>
      <c r="BL104" s="169"/>
      <c r="BM104" s="169"/>
      <c r="BN104" s="169"/>
      <c r="BO104" s="169"/>
      <c r="BP104" s="169"/>
      <c r="BQ104" s="169"/>
      <c r="BR104" s="169"/>
      <c r="BS104" s="169"/>
      <c r="BT104" s="169"/>
      <c r="BU104" s="169"/>
      <c r="BV104" s="169"/>
      <c r="BW104" s="169"/>
      <c r="BX104" s="169"/>
      <c r="BY104" s="169"/>
      <c r="BZ104" s="169"/>
    </row>
    <row r="105" spans="12:78" customFormat="1" ht="11.25" customHeight="1">
      <c r="L105" s="20"/>
      <c r="M105" s="532"/>
      <c r="N105" s="533"/>
      <c r="O105" s="422"/>
      <c r="AB105" s="251"/>
      <c r="AC105" s="251"/>
      <c r="AD105" s="251"/>
      <c r="AE105" s="261"/>
      <c r="AF105" s="261"/>
      <c r="AG105" s="261"/>
      <c r="AH105" s="169"/>
      <c r="AI105" s="169"/>
      <c r="AJ105" s="169"/>
      <c r="AK105" s="169"/>
      <c r="AL105" s="169"/>
      <c r="AM105" s="169"/>
      <c r="AN105" s="169"/>
      <c r="AO105" s="169"/>
      <c r="AP105" s="169"/>
      <c r="AQ105" s="169"/>
      <c r="AR105" s="169"/>
      <c r="AS105" s="169"/>
      <c r="AT105" s="169"/>
      <c r="AU105" s="169"/>
      <c r="AV105" s="169"/>
      <c r="AW105" s="169"/>
      <c r="AX105" s="169"/>
      <c r="AY105" s="169"/>
      <c r="AZ105" s="169"/>
      <c r="BA105" s="169"/>
      <c r="BB105" s="169"/>
      <c r="BC105" s="169"/>
      <c r="BD105" s="169"/>
      <c r="BE105" s="169"/>
      <c r="BF105" s="169"/>
      <c r="BG105" s="169"/>
      <c r="BH105" s="169"/>
      <c r="BI105" s="169"/>
      <c r="BJ105" s="169"/>
      <c r="BK105" s="169"/>
      <c r="BL105" s="169"/>
      <c r="BM105" s="169"/>
      <c r="BN105" s="169"/>
      <c r="BO105" s="169"/>
      <c r="BP105" s="169"/>
      <c r="BQ105" s="169"/>
      <c r="BR105" s="169"/>
      <c r="BS105" s="169"/>
      <c r="BT105" s="169"/>
      <c r="BU105" s="169"/>
      <c r="BV105" s="169"/>
      <c r="BW105" s="169"/>
      <c r="BX105" s="169"/>
      <c r="BY105" s="169"/>
      <c r="BZ105" s="169"/>
    </row>
    <row r="106" spans="12:78" customFormat="1" ht="11.25" customHeight="1">
      <c r="L106" s="20"/>
      <c r="M106" s="509" t="s">
        <v>705</v>
      </c>
      <c r="N106" s="525" t="s">
        <v>916</v>
      </c>
      <c r="O106" s="420" t="s">
        <v>195</v>
      </c>
      <c r="AB106" s="251"/>
      <c r="AC106" s="251"/>
      <c r="AD106" s="251"/>
      <c r="AE106" s="247">
        <f>AF106+AG106</f>
        <v>0</v>
      </c>
      <c r="AF106" s="221"/>
      <c r="AG106" s="221"/>
      <c r="AH106" s="169"/>
      <c r="AI106" s="169"/>
      <c r="AJ106" s="169"/>
      <c r="AK106" s="169"/>
      <c r="AL106" s="169"/>
      <c r="AM106" s="169"/>
      <c r="AN106" s="169"/>
      <c r="AO106" s="169"/>
      <c r="AP106" s="169"/>
      <c r="AQ106" s="169"/>
      <c r="AR106" s="169"/>
      <c r="AS106" s="169"/>
      <c r="AT106" s="169"/>
      <c r="AU106" s="169"/>
      <c r="AV106" s="169"/>
      <c r="AW106" s="169"/>
      <c r="AX106" s="169"/>
      <c r="AY106" s="169"/>
      <c r="AZ106" s="169"/>
      <c r="BA106" s="169"/>
      <c r="BB106" s="169"/>
      <c r="BC106" s="169"/>
      <c r="BD106" s="169"/>
      <c r="BE106" s="169"/>
      <c r="BF106" s="169"/>
      <c r="BG106" s="169"/>
      <c r="BH106" s="169"/>
      <c r="BI106" s="169"/>
      <c r="BJ106" s="169"/>
      <c r="BK106" s="169"/>
      <c r="BL106" s="169"/>
      <c r="BM106" s="169"/>
      <c r="BN106" s="169"/>
      <c r="BO106" s="169"/>
      <c r="BP106" s="169"/>
      <c r="BQ106" s="169"/>
      <c r="BR106" s="169"/>
      <c r="BS106" s="169"/>
      <c r="BT106" s="169"/>
      <c r="BU106" s="169"/>
      <c r="BV106" s="169"/>
      <c r="BW106" s="169"/>
      <c r="BX106" s="169"/>
      <c r="BY106" s="169"/>
      <c r="BZ106" s="169"/>
    </row>
    <row r="107" spans="12:78" customFormat="1" ht="11.25" customHeight="1">
      <c r="L107" s="20"/>
      <c r="M107" s="509" t="s">
        <v>917</v>
      </c>
      <c r="N107" s="525" t="s">
        <v>918</v>
      </c>
      <c r="O107" s="420" t="s">
        <v>195</v>
      </c>
      <c r="AB107" s="251"/>
      <c r="AC107" s="251"/>
      <c r="AD107" s="251"/>
      <c r="AE107" s="247">
        <f>AF107+AG107</f>
        <v>0</v>
      </c>
      <c r="AF107" s="244">
        <f>SUM(AF108,AF119)</f>
        <v>0</v>
      </c>
      <c r="AG107" s="244">
        <f>SUM(AG108,AG119)</f>
        <v>0</v>
      </c>
      <c r="AH107" s="169"/>
      <c r="AI107" s="169"/>
      <c r="AJ107" s="169"/>
      <c r="AK107" s="169"/>
      <c r="AL107" s="169"/>
      <c r="AM107" s="169"/>
      <c r="AN107" s="169"/>
      <c r="AO107" s="169"/>
      <c r="AP107" s="169"/>
      <c r="AQ107" s="169"/>
      <c r="AR107" s="169"/>
      <c r="AS107" s="169"/>
      <c r="AT107" s="169"/>
      <c r="AU107" s="169"/>
      <c r="AV107" s="169"/>
      <c r="AW107" s="169"/>
      <c r="AX107" s="169"/>
      <c r="AY107" s="169"/>
      <c r="AZ107" s="169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</row>
    <row r="108" spans="12:78" customFormat="1" ht="11.25" customHeight="1">
      <c r="L108" s="20"/>
      <c r="M108" s="509" t="s">
        <v>521</v>
      </c>
      <c r="N108" s="526" t="s">
        <v>919</v>
      </c>
      <c r="O108" s="420" t="s">
        <v>195</v>
      </c>
      <c r="AB108" s="251"/>
      <c r="AC108" s="251"/>
      <c r="AD108" s="251"/>
      <c r="AE108" s="247">
        <f>AF108+AG108</f>
        <v>0</v>
      </c>
      <c r="AF108" s="221"/>
      <c r="AG108" s="221"/>
      <c r="AH108" s="169"/>
      <c r="AI108" s="169"/>
      <c r="AJ108" s="169"/>
      <c r="AK108" s="169"/>
      <c r="AL108" s="169"/>
      <c r="AM108" s="169"/>
      <c r="AN108" s="169"/>
      <c r="AO108" s="169"/>
      <c r="AP108" s="169"/>
      <c r="AQ108" s="169"/>
      <c r="AR108" s="169"/>
      <c r="AS108" s="169"/>
      <c r="AT108" s="169"/>
      <c r="AU108" s="169"/>
      <c r="AV108" s="169"/>
      <c r="AW108" s="169"/>
      <c r="AX108" s="169"/>
      <c r="AY108" s="169"/>
      <c r="AZ108" s="169"/>
      <c r="BA108" s="169"/>
      <c r="BB108" s="169"/>
      <c r="BC108" s="169"/>
      <c r="BD108" s="169"/>
      <c r="BE108" s="169"/>
      <c r="BF108" s="169"/>
      <c r="BG108" s="169"/>
      <c r="BH108" s="169"/>
      <c r="BI108" s="169"/>
      <c r="BJ108" s="169"/>
      <c r="BK108" s="169"/>
      <c r="BL108" s="169"/>
      <c r="BM108" s="169"/>
      <c r="BN108" s="169"/>
      <c r="BO108" s="169"/>
      <c r="BP108" s="169"/>
      <c r="BQ108" s="169"/>
      <c r="BR108" s="169"/>
      <c r="BS108" s="169"/>
      <c r="BT108" s="169"/>
      <c r="BU108" s="169"/>
      <c r="BV108" s="169"/>
      <c r="BW108" s="169"/>
      <c r="BX108" s="169"/>
      <c r="BY108" s="169"/>
      <c r="BZ108" s="169"/>
    </row>
    <row r="109" spans="12:78" customFormat="1" ht="11.25" customHeight="1">
      <c r="L109" s="20"/>
      <c r="M109" s="510" t="s">
        <v>920</v>
      </c>
      <c r="N109" s="534" t="s">
        <v>921</v>
      </c>
      <c r="O109" s="420" t="s">
        <v>289</v>
      </c>
      <c r="AB109" s="251"/>
      <c r="AC109" s="251"/>
      <c r="AD109" s="251"/>
      <c r="AE109" s="221"/>
      <c r="AF109" s="221"/>
      <c r="AG109" s="221"/>
      <c r="AH109" s="169"/>
      <c r="AI109" s="169"/>
      <c r="AJ109" s="169"/>
      <c r="AK109" s="169"/>
      <c r="AL109" s="169"/>
      <c r="AM109" s="169"/>
      <c r="AN109" s="169"/>
      <c r="AO109" s="169"/>
      <c r="AP109" s="169"/>
      <c r="AQ109" s="169"/>
      <c r="AR109" s="169"/>
      <c r="AS109" s="169"/>
      <c r="AT109" s="169"/>
      <c r="AU109" s="169"/>
      <c r="AV109" s="169"/>
      <c r="AW109" s="169"/>
      <c r="AX109" s="169"/>
      <c r="AY109" s="169"/>
      <c r="AZ109" s="169"/>
      <c r="BA109" s="169"/>
      <c r="BB109" s="169"/>
      <c r="BC109" s="169"/>
      <c r="BD109" s="169"/>
      <c r="BE109" s="169"/>
      <c r="BF109" s="169"/>
      <c r="BG109" s="169"/>
      <c r="BH109" s="169"/>
      <c r="BI109" s="169"/>
      <c r="BJ109" s="169"/>
      <c r="BK109" s="169"/>
      <c r="BL109" s="169"/>
      <c r="BM109" s="169"/>
      <c r="BN109" s="169"/>
      <c r="BO109" s="169"/>
      <c r="BP109" s="169"/>
      <c r="BQ109" s="169"/>
      <c r="BR109" s="169"/>
      <c r="BS109" s="169"/>
      <c r="BT109" s="169"/>
      <c r="BU109" s="169"/>
      <c r="BV109" s="169"/>
      <c r="BW109" s="169"/>
      <c r="BX109" s="169"/>
      <c r="BY109" s="169"/>
      <c r="BZ109" s="169"/>
    </row>
    <row r="110" spans="12:78" customFormat="1" ht="11.25" customHeight="1">
      <c r="L110" s="20"/>
      <c r="M110" s="510" t="s">
        <v>922</v>
      </c>
      <c r="N110" s="535" t="s">
        <v>1031</v>
      </c>
      <c r="O110" s="420" t="s">
        <v>29</v>
      </c>
      <c r="AB110" s="251"/>
      <c r="AC110" s="251"/>
      <c r="AD110" s="251"/>
      <c r="AE110" s="244">
        <f>IF(AE109=0,0,AE108/AE109*1000/AE$6)</f>
        <v>0</v>
      </c>
      <c r="AF110" s="244">
        <f>IF(AF109=0,0,AF108/AF109*1000/AF$6)</f>
        <v>0</v>
      </c>
      <c r="AG110" s="244">
        <f>IF(AG109=0,0,AG108/AG109*1000/AG$6)</f>
        <v>0</v>
      </c>
      <c r="AH110" s="169"/>
      <c r="AI110" s="169"/>
      <c r="AJ110" s="169"/>
      <c r="AK110" s="169"/>
      <c r="AL110" s="169"/>
      <c r="AM110" s="169"/>
      <c r="AN110" s="169"/>
      <c r="AO110" s="169"/>
      <c r="AP110" s="169"/>
      <c r="AQ110" s="169"/>
      <c r="AR110" s="169"/>
      <c r="AS110" s="169"/>
      <c r="AT110" s="169"/>
      <c r="AU110" s="169"/>
      <c r="AV110" s="169"/>
      <c r="AW110" s="169"/>
      <c r="AX110" s="169"/>
      <c r="AY110" s="169"/>
      <c r="AZ110" s="169"/>
      <c r="BA110" s="169"/>
      <c r="BB110" s="169"/>
      <c r="BC110" s="169"/>
      <c r="BD110" s="169"/>
      <c r="BE110" s="169"/>
      <c r="BF110" s="169"/>
      <c r="BG110" s="169"/>
      <c r="BH110" s="169"/>
      <c r="BI110" s="169"/>
      <c r="BJ110" s="169"/>
      <c r="BK110" s="169"/>
      <c r="BL110" s="169"/>
      <c r="BM110" s="169"/>
      <c r="BN110" s="169"/>
      <c r="BO110" s="169"/>
      <c r="BP110" s="169"/>
      <c r="BQ110" s="169"/>
      <c r="BR110" s="169"/>
      <c r="BS110" s="169"/>
      <c r="BT110" s="169"/>
      <c r="BU110" s="169"/>
      <c r="BV110" s="169"/>
      <c r="BW110" s="169"/>
      <c r="BX110" s="169"/>
      <c r="BY110" s="169"/>
      <c r="BZ110" s="169"/>
    </row>
    <row r="111" spans="12:78" customFormat="1" ht="11.25" customHeight="1">
      <c r="L111" s="20"/>
      <c r="M111" s="510" t="s">
        <v>923</v>
      </c>
      <c r="N111" s="536" t="s">
        <v>1033</v>
      </c>
      <c r="O111" s="420" t="s">
        <v>289</v>
      </c>
      <c r="AB111" s="251"/>
      <c r="AC111" s="251"/>
      <c r="AD111" s="251"/>
      <c r="AE111" s="221"/>
      <c r="AF111" s="221"/>
      <c r="AG111" s="221"/>
      <c r="AH111" s="169"/>
      <c r="AI111" s="169"/>
      <c r="AJ111" s="169"/>
      <c r="AK111" s="169"/>
      <c r="AL111" s="169"/>
      <c r="AM111" s="169"/>
      <c r="AN111" s="169"/>
      <c r="AO111" s="169"/>
      <c r="AP111" s="169"/>
      <c r="AQ111" s="169"/>
      <c r="AR111" s="169"/>
      <c r="AS111" s="169"/>
      <c r="AT111" s="169"/>
      <c r="AU111" s="169"/>
      <c r="AV111" s="169"/>
      <c r="AW111" s="169"/>
      <c r="AX111" s="169"/>
      <c r="AY111" s="169"/>
      <c r="AZ111" s="169"/>
      <c r="BA111" s="169"/>
      <c r="BB111" s="169"/>
      <c r="BC111" s="169"/>
      <c r="BD111" s="169"/>
      <c r="BE111" s="169"/>
      <c r="BF111" s="169"/>
      <c r="BG111" s="169"/>
      <c r="BH111" s="169"/>
      <c r="BI111" s="169"/>
      <c r="BJ111" s="169"/>
      <c r="BK111" s="169"/>
      <c r="BL111" s="169"/>
      <c r="BM111" s="169"/>
      <c r="BN111" s="169"/>
      <c r="BO111" s="169"/>
      <c r="BP111" s="169"/>
      <c r="BQ111" s="169"/>
      <c r="BR111" s="169"/>
      <c r="BS111" s="169"/>
      <c r="BT111" s="169"/>
      <c r="BU111" s="169"/>
      <c r="BV111" s="169"/>
      <c r="BW111" s="169"/>
      <c r="BX111" s="169"/>
      <c r="BY111" s="169"/>
      <c r="BZ111" s="169"/>
    </row>
    <row r="112" spans="12:78" customFormat="1" ht="11.25" customHeight="1">
      <c r="L112" s="20"/>
      <c r="M112" s="510" t="s">
        <v>924</v>
      </c>
      <c r="N112" s="537" t="s">
        <v>1032</v>
      </c>
      <c r="O112" s="420" t="s">
        <v>289</v>
      </c>
      <c r="AB112" s="251"/>
      <c r="AC112" s="251"/>
      <c r="AD112" s="251"/>
      <c r="AE112" s="221"/>
      <c r="AF112" s="221"/>
      <c r="AG112" s="221"/>
      <c r="AH112" s="169"/>
      <c r="AI112" s="169"/>
      <c r="AJ112" s="169"/>
      <c r="AK112" s="169"/>
      <c r="AL112" s="169"/>
      <c r="AM112" s="169"/>
      <c r="AN112" s="169"/>
      <c r="AO112" s="169"/>
      <c r="AP112" s="169"/>
      <c r="AQ112" s="169"/>
      <c r="AR112" s="169"/>
      <c r="AS112" s="169"/>
      <c r="AT112" s="169"/>
      <c r="AU112" s="169"/>
      <c r="AV112" s="169"/>
      <c r="AW112" s="169"/>
      <c r="AX112" s="169"/>
      <c r="AY112" s="169"/>
      <c r="AZ112" s="169"/>
      <c r="BA112" s="169"/>
      <c r="BB112" s="169"/>
      <c r="BC112" s="169"/>
      <c r="BD112" s="169"/>
      <c r="BE112" s="169"/>
      <c r="BF112" s="169"/>
      <c r="BG112" s="169"/>
      <c r="BH112" s="169"/>
      <c r="BI112" s="169"/>
      <c r="BJ112" s="169"/>
      <c r="BK112" s="169"/>
      <c r="BL112" s="169"/>
      <c r="BM112" s="169"/>
      <c r="BN112" s="169"/>
      <c r="BO112" s="169"/>
      <c r="BP112" s="169"/>
      <c r="BQ112" s="169"/>
      <c r="BR112" s="169"/>
      <c r="BS112" s="169"/>
      <c r="BT112" s="169"/>
      <c r="BU112" s="169"/>
      <c r="BV112" s="169"/>
      <c r="BW112" s="169"/>
      <c r="BX112" s="169"/>
      <c r="BY112" s="169"/>
      <c r="BZ112" s="169"/>
    </row>
    <row r="113" spans="12:78" customFormat="1" ht="11.25" customHeight="1">
      <c r="L113" s="20"/>
      <c r="M113" s="510" t="s">
        <v>925</v>
      </c>
      <c r="N113" s="527" t="s">
        <v>33</v>
      </c>
      <c r="O113" s="420" t="s">
        <v>29</v>
      </c>
      <c r="AB113" s="251"/>
      <c r="AC113" s="251"/>
      <c r="AD113" s="251"/>
      <c r="AE113" s="142"/>
      <c r="AF113" s="221"/>
      <c r="AG113" s="221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169"/>
      <c r="BE113" s="169"/>
      <c r="BF113" s="169"/>
      <c r="BG113" s="169"/>
      <c r="BH113" s="169"/>
      <c r="BI113" s="169"/>
      <c r="BJ113" s="169"/>
      <c r="BK113" s="169"/>
      <c r="BL113" s="169"/>
      <c r="BM113" s="169"/>
      <c r="BN113" s="169"/>
      <c r="BO113" s="169"/>
      <c r="BP113" s="169"/>
      <c r="BQ113" s="169"/>
      <c r="BR113" s="169"/>
      <c r="BS113" s="169"/>
      <c r="BT113" s="169"/>
      <c r="BU113" s="169"/>
      <c r="BV113" s="169"/>
      <c r="BW113" s="169"/>
      <c r="BX113" s="169"/>
      <c r="BY113" s="169"/>
      <c r="BZ113" s="169"/>
    </row>
    <row r="114" spans="12:78" customFormat="1" ht="11.25" customHeight="1">
      <c r="L114" s="20"/>
      <c r="M114" s="510" t="s">
        <v>926</v>
      </c>
      <c r="N114" s="538" t="s">
        <v>927</v>
      </c>
      <c r="O114" s="420"/>
      <c r="AB114" s="251"/>
      <c r="AC114" s="251"/>
      <c r="AD114" s="251"/>
      <c r="AE114" s="142"/>
      <c r="AF114" s="221"/>
      <c r="AG114" s="221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169"/>
      <c r="BN114" s="169"/>
      <c r="BO114" s="169"/>
      <c r="BP114" s="169"/>
      <c r="BQ114" s="169"/>
      <c r="BR114" s="169"/>
      <c r="BS114" s="169"/>
      <c r="BT114" s="169"/>
      <c r="BU114" s="169"/>
      <c r="BV114" s="169"/>
      <c r="BW114" s="169"/>
      <c r="BX114" s="169"/>
      <c r="BY114" s="169"/>
      <c r="BZ114" s="169"/>
    </row>
    <row r="115" spans="12:78" customFormat="1" ht="11.25" customHeight="1">
      <c r="L115" s="20"/>
      <c r="M115" s="510" t="s">
        <v>928</v>
      </c>
      <c r="N115" s="527" t="s">
        <v>929</v>
      </c>
      <c r="O115" s="420" t="s">
        <v>29</v>
      </c>
      <c r="AB115" s="251"/>
      <c r="AC115" s="251"/>
      <c r="AD115" s="251"/>
      <c r="AE115" s="142"/>
      <c r="AF115" s="221"/>
      <c r="AG115" s="221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  <c r="AU115" s="169"/>
      <c r="AV115" s="169"/>
      <c r="AW115" s="169"/>
      <c r="AX115" s="169"/>
      <c r="AY115" s="169"/>
      <c r="AZ115" s="169"/>
      <c r="BA115" s="169"/>
      <c r="BB115" s="169"/>
      <c r="BC115" s="169"/>
      <c r="BD115" s="169"/>
      <c r="BE115" s="169"/>
      <c r="BF115" s="169"/>
      <c r="BG115" s="169"/>
      <c r="BH115" s="169"/>
      <c r="BI115" s="169"/>
      <c r="BJ115" s="169"/>
      <c r="BK115" s="169"/>
      <c r="BL115" s="169"/>
      <c r="BM115" s="169"/>
      <c r="BN115" s="169"/>
      <c r="BO115" s="169"/>
      <c r="BP115" s="169"/>
      <c r="BQ115" s="169"/>
      <c r="BR115" s="169"/>
      <c r="BS115" s="169"/>
      <c r="BT115" s="169"/>
      <c r="BU115" s="169"/>
      <c r="BV115" s="169"/>
      <c r="BW115" s="169"/>
      <c r="BX115" s="169"/>
      <c r="BY115" s="169"/>
      <c r="BZ115" s="169"/>
    </row>
    <row r="116" spans="12:78" customFormat="1" ht="11.25" customHeight="1">
      <c r="L116" s="20"/>
      <c r="M116" s="510" t="s">
        <v>930</v>
      </c>
      <c r="N116" s="539" t="s">
        <v>931</v>
      </c>
      <c r="O116" s="420"/>
      <c r="AB116" s="251"/>
      <c r="AC116" s="251"/>
      <c r="AD116" s="251"/>
      <c r="AE116" s="142"/>
      <c r="AF116" s="221"/>
      <c r="AG116" s="221"/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69"/>
      <c r="BC116" s="169"/>
      <c r="BD116" s="169"/>
      <c r="BE116" s="169"/>
      <c r="BF116" s="169"/>
      <c r="BG116" s="169"/>
      <c r="BH116" s="169"/>
      <c r="BI116" s="169"/>
      <c r="BJ116" s="169"/>
      <c r="BK116" s="169"/>
      <c r="BL116" s="169"/>
      <c r="BM116" s="169"/>
      <c r="BN116" s="169"/>
      <c r="BO116" s="169"/>
      <c r="BP116" s="169"/>
      <c r="BQ116" s="169"/>
      <c r="BR116" s="169"/>
      <c r="BS116" s="169"/>
      <c r="BT116" s="169"/>
      <c r="BU116" s="169"/>
      <c r="BV116" s="169"/>
      <c r="BW116" s="169"/>
      <c r="BX116" s="169"/>
      <c r="BY116" s="169"/>
      <c r="BZ116" s="169"/>
    </row>
    <row r="117" spans="12:78" customFormat="1" ht="11.25" customHeight="1">
      <c r="L117" s="20"/>
      <c r="M117" s="510" t="s">
        <v>932</v>
      </c>
      <c r="N117" s="540" t="s">
        <v>933</v>
      </c>
      <c r="O117" s="420" t="s">
        <v>29</v>
      </c>
      <c r="AB117" s="251"/>
      <c r="AC117" s="251"/>
      <c r="AD117" s="251"/>
      <c r="AE117" s="142"/>
      <c r="AF117" s="221"/>
      <c r="AG117" s="221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69"/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</row>
    <row r="118" spans="12:78" customFormat="1" ht="11.25" customHeight="1">
      <c r="L118" s="20"/>
      <c r="M118" s="510" t="s">
        <v>934</v>
      </c>
      <c r="N118" s="541" t="s">
        <v>935</v>
      </c>
      <c r="O118" s="420" t="s">
        <v>29</v>
      </c>
      <c r="AB118" s="251"/>
      <c r="AC118" s="251"/>
      <c r="AD118" s="251"/>
      <c r="AE118" s="142"/>
      <c r="AF118" s="221"/>
      <c r="AG118" s="221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69"/>
      <c r="BD118" s="169"/>
      <c r="BE118" s="169"/>
      <c r="BF118" s="169"/>
      <c r="BG118" s="169"/>
      <c r="BH118" s="169"/>
      <c r="BI118" s="169"/>
      <c r="BJ118" s="169"/>
      <c r="BK118" s="169"/>
      <c r="BL118" s="169"/>
      <c r="BM118" s="169"/>
      <c r="BN118" s="169"/>
      <c r="BO118" s="169"/>
      <c r="BP118" s="169"/>
      <c r="BQ118" s="169"/>
      <c r="BR118" s="169"/>
      <c r="BS118" s="169"/>
      <c r="BT118" s="169"/>
      <c r="BU118" s="169"/>
      <c r="BV118" s="169"/>
      <c r="BW118" s="169"/>
      <c r="BX118" s="169"/>
      <c r="BY118" s="169"/>
      <c r="BZ118" s="169"/>
    </row>
    <row r="119" spans="12:78" customFormat="1" ht="11.25" customHeight="1">
      <c r="L119" s="20"/>
      <c r="M119" s="509" t="s">
        <v>522</v>
      </c>
      <c r="N119" s="542" t="s">
        <v>936</v>
      </c>
      <c r="O119" s="420" t="s">
        <v>195</v>
      </c>
      <c r="AB119" s="251"/>
      <c r="AC119" s="251"/>
      <c r="AD119" s="251"/>
      <c r="AE119" s="247">
        <f t="shared" ref="AE119:AE125" si="5">AF119+AG119</f>
        <v>0</v>
      </c>
      <c r="AF119" s="221"/>
      <c r="AG119" s="221"/>
      <c r="AH119" s="169"/>
      <c r="AI119" s="169"/>
      <c r="AJ119" s="169"/>
      <c r="AK119" s="169"/>
      <c r="AL119" s="169"/>
      <c r="AM119" s="169"/>
      <c r="AN119" s="169"/>
      <c r="AO119" s="169"/>
      <c r="AP119" s="169"/>
      <c r="AQ119" s="169"/>
      <c r="AR119" s="169"/>
      <c r="AS119" s="169"/>
      <c r="AT119" s="169"/>
      <c r="AU119" s="169"/>
      <c r="AV119" s="169"/>
      <c r="AW119" s="169"/>
      <c r="AX119" s="169"/>
      <c r="AY119" s="169"/>
      <c r="AZ119" s="169"/>
      <c r="BA119" s="169"/>
      <c r="BB119" s="169"/>
      <c r="BC119" s="169"/>
      <c r="BD119" s="169"/>
      <c r="BE119" s="169"/>
      <c r="BF119" s="169"/>
      <c r="BG119" s="169"/>
      <c r="BH119" s="169"/>
      <c r="BI119" s="169"/>
      <c r="BJ119" s="169"/>
      <c r="BK119" s="169"/>
      <c r="BL119" s="169"/>
      <c r="BM119" s="169"/>
      <c r="BN119" s="169"/>
      <c r="BO119" s="169"/>
      <c r="BP119" s="169"/>
      <c r="BQ119" s="169"/>
      <c r="BR119" s="169"/>
      <c r="BS119" s="169"/>
      <c r="BT119" s="169"/>
      <c r="BU119" s="169"/>
      <c r="BV119" s="169"/>
      <c r="BW119" s="169"/>
      <c r="BX119" s="169"/>
      <c r="BY119" s="169"/>
      <c r="BZ119" s="169"/>
    </row>
    <row r="120" spans="12:78" customFormat="1" ht="11.25" customHeight="1">
      <c r="L120" s="20"/>
      <c r="M120" s="509" t="s">
        <v>937</v>
      </c>
      <c r="N120" s="543" t="s">
        <v>1901</v>
      </c>
      <c r="O120" s="420" t="s">
        <v>195</v>
      </c>
      <c r="AB120" s="251"/>
      <c r="AC120" s="251"/>
      <c r="AD120" s="251"/>
      <c r="AE120" s="247">
        <f t="shared" si="5"/>
        <v>0</v>
      </c>
      <c r="AF120" s="221"/>
      <c r="AG120" s="221"/>
      <c r="AH120" s="169"/>
      <c r="AI120" s="169"/>
      <c r="AJ120" s="169"/>
      <c r="AK120" s="169"/>
      <c r="AL120" s="169"/>
      <c r="AM120" s="169"/>
      <c r="AN120" s="169"/>
      <c r="AO120" s="169"/>
      <c r="AP120" s="169"/>
      <c r="AQ120" s="169"/>
      <c r="AR120" s="169"/>
      <c r="AS120" s="169"/>
      <c r="AT120" s="169"/>
      <c r="AU120" s="169"/>
      <c r="AV120" s="169"/>
      <c r="AW120" s="169"/>
      <c r="AX120" s="169"/>
      <c r="AY120" s="169"/>
      <c r="AZ120" s="169"/>
      <c r="BA120" s="169"/>
      <c r="BB120" s="169"/>
      <c r="BC120" s="169"/>
      <c r="BD120" s="169"/>
      <c r="BE120" s="169"/>
      <c r="BF120" s="169"/>
      <c r="BG120" s="169"/>
      <c r="BH120" s="169"/>
      <c r="BI120" s="169"/>
      <c r="BJ120" s="169"/>
      <c r="BK120" s="169"/>
      <c r="BL120" s="169"/>
      <c r="BM120" s="169"/>
      <c r="BN120" s="169"/>
      <c r="BO120" s="169"/>
      <c r="BP120" s="169"/>
      <c r="BQ120" s="169"/>
      <c r="BR120" s="169"/>
      <c r="BS120" s="169"/>
      <c r="BT120" s="169"/>
      <c r="BU120" s="169"/>
      <c r="BV120" s="169"/>
      <c r="BW120" s="169"/>
      <c r="BX120" s="169"/>
      <c r="BY120" s="169"/>
      <c r="BZ120" s="169"/>
    </row>
    <row r="121" spans="12:78" customFormat="1" ht="11.25" customHeight="1">
      <c r="L121" s="20"/>
      <c r="M121" s="509" t="s">
        <v>938</v>
      </c>
      <c r="N121" s="523" t="s">
        <v>939</v>
      </c>
      <c r="O121" s="420" t="s">
        <v>195</v>
      </c>
      <c r="AB121" s="251"/>
      <c r="AC121" s="251"/>
      <c r="AD121" s="251"/>
      <c r="AE121" s="247">
        <f t="shared" si="5"/>
        <v>0</v>
      </c>
      <c r="AF121" s="221"/>
      <c r="AG121" s="221"/>
      <c r="AH121" s="169"/>
      <c r="AI121" s="169"/>
      <c r="AJ121" s="169"/>
      <c r="AK121" s="169"/>
      <c r="AL121" s="169"/>
      <c r="AM121" s="169"/>
      <c r="AN121" s="169"/>
      <c r="AO121" s="169"/>
      <c r="AP121" s="169"/>
      <c r="AQ121" s="169"/>
      <c r="AR121" s="169"/>
      <c r="AS121" s="169"/>
      <c r="AT121" s="169"/>
      <c r="AU121" s="169"/>
      <c r="AV121" s="169"/>
      <c r="AW121" s="169"/>
      <c r="AX121" s="169"/>
      <c r="AY121" s="169"/>
      <c r="AZ121" s="169"/>
      <c r="BA121" s="169"/>
      <c r="BB121" s="169"/>
      <c r="BC121" s="169"/>
      <c r="BD121" s="169"/>
      <c r="BE121" s="169"/>
      <c r="BF121" s="169"/>
      <c r="BG121" s="169"/>
      <c r="BH121" s="169"/>
      <c r="BI121" s="169"/>
      <c r="BJ121" s="169"/>
      <c r="BK121" s="169"/>
      <c r="BL121" s="169"/>
      <c r="BM121" s="169"/>
      <c r="BN121" s="169"/>
      <c r="BO121" s="169"/>
      <c r="BP121" s="169"/>
      <c r="BQ121" s="169"/>
      <c r="BR121" s="169"/>
      <c r="BS121" s="169"/>
      <c r="BT121" s="169"/>
      <c r="BU121" s="169"/>
      <c r="BV121" s="169"/>
      <c r="BW121" s="169"/>
      <c r="BX121" s="169"/>
      <c r="BY121" s="169"/>
      <c r="BZ121" s="169"/>
    </row>
    <row r="122" spans="12:78" customFormat="1" ht="11.25" customHeight="1">
      <c r="L122" s="20"/>
      <c r="M122" s="509" t="s">
        <v>940</v>
      </c>
      <c r="N122" s="523" t="s">
        <v>941</v>
      </c>
      <c r="O122" s="420" t="s">
        <v>195</v>
      </c>
      <c r="AB122" s="251"/>
      <c r="AC122" s="251"/>
      <c r="AD122" s="251"/>
      <c r="AE122" s="247">
        <f t="shared" si="5"/>
        <v>0</v>
      </c>
      <c r="AF122" s="244">
        <f>SUM(AF123:AF126)</f>
        <v>0</v>
      </c>
      <c r="AG122" s="244">
        <f>SUM(AG123:AG126)</f>
        <v>0</v>
      </c>
      <c r="AH122" s="169"/>
      <c r="AI122" s="169"/>
      <c r="AJ122" s="169"/>
      <c r="AK122" s="169"/>
      <c r="AL122" s="169"/>
      <c r="AM122" s="169"/>
      <c r="AN122" s="169"/>
      <c r="AO122" s="169"/>
      <c r="AP122" s="169"/>
      <c r="AQ122" s="169"/>
      <c r="AR122" s="169"/>
      <c r="AS122" s="169"/>
      <c r="AT122" s="169"/>
      <c r="AU122" s="169"/>
      <c r="AV122" s="169"/>
      <c r="AW122" s="169"/>
      <c r="AX122" s="169"/>
      <c r="AY122" s="169"/>
      <c r="AZ122" s="169"/>
      <c r="BA122" s="169"/>
      <c r="BB122" s="169"/>
      <c r="BC122" s="169"/>
      <c r="BD122" s="169"/>
      <c r="BE122" s="169"/>
      <c r="BF122" s="169"/>
      <c r="BG122" s="169"/>
      <c r="BH122" s="169"/>
      <c r="BI122" s="169"/>
      <c r="BJ122" s="169"/>
      <c r="BK122" s="169"/>
      <c r="BL122" s="169"/>
      <c r="BM122" s="169"/>
      <c r="BN122" s="169"/>
      <c r="BO122" s="169"/>
      <c r="BP122" s="169"/>
      <c r="BQ122" s="169"/>
      <c r="BR122" s="169"/>
      <c r="BS122" s="169"/>
      <c r="BT122" s="169"/>
      <c r="BU122" s="169"/>
      <c r="BV122" s="169"/>
      <c r="BW122" s="169"/>
      <c r="BX122" s="169"/>
      <c r="BY122" s="169"/>
      <c r="BZ122" s="169"/>
    </row>
    <row r="123" spans="12:78" customFormat="1" ht="11.25" customHeight="1">
      <c r="L123" s="20"/>
      <c r="M123" s="509" t="s">
        <v>942</v>
      </c>
      <c r="N123" s="544" t="s">
        <v>943</v>
      </c>
      <c r="O123" s="420" t="s">
        <v>195</v>
      </c>
      <c r="AB123" s="251"/>
      <c r="AC123" s="251"/>
      <c r="AD123" s="251"/>
      <c r="AE123" s="247">
        <f t="shared" si="5"/>
        <v>0</v>
      </c>
      <c r="AF123" s="221"/>
      <c r="AG123" s="221"/>
      <c r="AH123" s="169"/>
      <c r="AI123" s="169"/>
      <c r="AJ123" s="169"/>
      <c r="AK123" s="169"/>
      <c r="AL123" s="169"/>
      <c r="AM123" s="169"/>
      <c r="AN123" s="169"/>
      <c r="AO123" s="169"/>
      <c r="AP123" s="169"/>
      <c r="AQ123" s="169"/>
      <c r="AR123" s="169"/>
      <c r="AS123" s="169"/>
      <c r="AT123" s="169"/>
      <c r="AU123" s="169"/>
      <c r="AV123" s="169"/>
      <c r="AW123" s="169"/>
      <c r="AX123" s="169"/>
      <c r="AY123" s="169"/>
      <c r="AZ123" s="169"/>
      <c r="BA123" s="169"/>
      <c r="BB123" s="169"/>
      <c r="BC123" s="169"/>
      <c r="BD123" s="169"/>
      <c r="BE123" s="169"/>
      <c r="BF123" s="169"/>
      <c r="BG123" s="169"/>
      <c r="BH123" s="169"/>
      <c r="BI123" s="169"/>
      <c r="BJ123" s="169"/>
      <c r="BK123" s="169"/>
      <c r="BL123" s="169"/>
      <c r="BM123" s="169"/>
      <c r="BN123" s="169"/>
      <c r="BO123" s="169"/>
      <c r="BP123" s="169"/>
      <c r="BQ123" s="169"/>
      <c r="BR123" s="169"/>
      <c r="BS123" s="169"/>
      <c r="BT123" s="169"/>
      <c r="BU123" s="169"/>
      <c r="BV123" s="169"/>
      <c r="BW123" s="169"/>
      <c r="BX123" s="169"/>
      <c r="BY123" s="169"/>
      <c r="BZ123" s="169"/>
    </row>
    <row r="124" spans="12:78" customFormat="1" ht="11.25" customHeight="1">
      <c r="L124" s="20"/>
      <c r="M124" s="510" t="str">
        <f>IF(TEMPLATE_SPHERE_CODE="COLDVSNA","1.7.2",IF(TEMPLATE_SPHERE_CODE="VOTV","1.7.2",""))</f>
        <v/>
      </c>
      <c r="N124" s="545" t="str">
        <f>IF(TEMPLATE_SPHERE_CODE="COLDVSNA","Контроль качества воды",IF(TEMPLATE_SPHERE_CODE="VOTV","Контроль сточных вод",""))</f>
        <v/>
      </c>
      <c r="O124" s="420" t="s">
        <v>195</v>
      </c>
      <c r="AB124" s="251"/>
      <c r="AC124" s="251"/>
      <c r="AD124" s="251"/>
      <c r="AE124" s="247">
        <f t="shared" si="5"/>
        <v>0</v>
      </c>
      <c r="AF124" s="221"/>
      <c r="AG124" s="221"/>
      <c r="AH124" s="169"/>
      <c r="AI124" s="169"/>
      <c r="AJ124" s="169"/>
      <c r="AK124" s="169"/>
      <c r="AL124" s="169"/>
      <c r="AM124" s="169"/>
      <c r="AN124" s="169"/>
      <c r="AO124" s="169"/>
      <c r="AP124" s="169"/>
      <c r="AQ124" s="169"/>
      <c r="AR124" s="169"/>
      <c r="AS124" s="169"/>
      <c r="AT124" s="169"/>
      <c r="AU124" s="169"/>
      <c r="AV124" s="169"/>
      <c r="AW124" s="169"/>
      <c r="AX124" s="169"/>
      <c r="AY124" s="169"/>
      <c r="AZ124" s="169"/>
      <c r="BA124" s="169"/>
      <c r="BB124" s="169"/>
      <c r="BC124" s="169"/>
      <c r="BD124" s="169"/>
      <c r="BE124" s="169"/>
      <c r="BF124" s="169"/>
      <c r="BG124" s="169"/>
      <c r="BH124" s="169"/>
      <c r="BI124" s="169"/>
      <c r="BJ124" s="169"/>
      <c r="BK124" s="169"/>
      <c r="BL124" s="169"/>
      <c r="BM124" s="169"/>
      <c r="BN124" s="169"/>
      <c r="BO124" s="169"/>
      <c r="BP124" s="169"/>
      <c r="BQ124" s="169"/>
      <c r="BR124" s="169"/>
      <c r="BS124" s="169"/>
      <c r="BT124" s="169"/>
      <c r="BU124" s="169"/>
      <c r="BV124" s="169"/>
      <c r="BW124" s="169"/>
      <c r="BX124" s="169"/>
      <c r="BY124" s="169"/>
      <c r="BZ124" s="169"/>
    </row>
    <row r="125" spans="12:78" customFormat="1" ht="11.25" customHeight="1">
      <c r="L125" s="20"/>
      <c r="M125" s="509" t="s">
        <v>944</v>
      </c>
      <c r="N125" s="544" t="s">
        <v>945</v>
      </c>
      <c r="O125" s="420" t="s">
        <v>195</v>
      </c>
      <c r="AB125" s="251"/>
      <c r="AC125" s="251"/>
      <c r="AD125" s="251"/>
      <c r="AE125" s="247">
        <f t="shared" si="5"/>
        <v>0</v>
      </c>
      <c r="AF125" s="221"/>
      <c r="AG125" s="221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69"/>
      <c r="BA125" s="169"/>
      <c r="BB125" s="169"/>
      <c r="BC125" s="169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169"/>
      <c r="BP125" s="169"/>
      <c r="BQ125" s="169"/>
      <c r="BR125" s="169"/>
      <c r="BS125" s="169"/>
      <c r="BT125" s="169"/>
      <c r="BU125" s="169"/>
      <c r="BV125" s="169"/>
      <c r="BW125" s="169"/>
      <c r="BX125" s="169"/>
      <c r="BY125" s="169"/>
      <c r="BZ125" s="169"/>
    </row>
    <row r="126" spans="12:78" customFormat="1" ht="11.25" customHeight="1">
      <c r="L126" s="20"/>
      <c r="M126" s="510" t="str">
        <f>IF(TEMPLATE_SPHERE_CODE="COLDVSNA","",IF(TEMPLATE_SPHERE_CODE="VOTV","1.7.4",""))</f>
        <v/>
      </c>
      <c r="N126" s="545" t="str">
        <f>IF(TEMPLATE_SPHERE_CODE="COLDVSNA","",IF(TEMPLATE_SPHERE_CODE="VOTV","Услуги по обращению с осадком сточных вод",""))</f>
        <v/>
      </c>
      <c r="O126" s="162" t="str">
        <f>IF(TEMPLATE_SPHERE_CODE="COLDVSNA","",IF(TEMPLATE_SPHERE_CODE="VOTV","тыс.руб.",""))</f>
        <v/>
      </c>
      <c r="AB126" s="251"/>
      <c r="AC126" s="251"/>
      <c r="AD126" s="251"/>
      <c r="AE126" s="247">
        <f>AF126+AG126</f>
        <v>0</v>
      </c>
      <c r="AF126" s="221"/>
      <c r="AG126" s="221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  <c r="AV126" s="169"/>
      <c r="AW126" s="169"/>
      <c r="AX126" s="169"/>
      <c r="AY126" s="169"/>
      <c r="AZ126" s="169"/>
      <c r="BA126" s="169"/>
      <c r="BB126" s="169"/>
      <c r="BC126" s="169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169"/>
      <c r="BQ126" s="169"/>
      <c r="BR126" s="169"/>
      <c r="BS126" s="169"/>
      <c r="BT126" s="169"/>
      <c r="BU126" s="169"/>
      <c r="BV126" s="169"/>
      <c r="BW126" s="169"/>
      <c r="BX126" s="169"/>
      <c r="BY126" s="169"/>
      <c r="BZ126" s="169"/>
    </row>
    <row r="127" spans="12:78" customFormat="1" ht="11.25" customHeight="1">
      <c r="L127" s="20"/>
      <c r="M127" s="509" t="s">
        <v>946</v>
      </c>
      <c r="N127" s="546" t="s">
        <v>947</v>
      </c>
      <c r="O127" s="420" t="s">
        <v>195</v>
      </c>
      <c r="AB127" s="251"/>
      <c r="AC127" s="251"/>
      <c r="AD127" s="251"/>
      <c r="AE127" s="247">
        <f t="shared" ref="AE127:AE138" si="6">AF127+AG127</f>
        <v>0</v>
      </c>
      <c r="AF127" s="244">
        <f>SUM(AF128:AF131)</f>
        <v>0</v>
      </c>
      <c r="AG127" s="244">
        <f>SUM(AG128:AG131)</f>
        <v>0</v>
      </c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69"/>
      <c r="BA127" s="169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169"/>
      <c r="BR127" s="169"/>
      <c r="BS127" s="169"/>
      <c r="BT127" s="169"/>
      <c r="BU127" s="169"/>
      <c r="BV127" s="169"/>
      <c r="BW127" s="169"/>
      <c r="BX127" s="169"/>
      <c r="BY127" s="169"/>
      <c r="BZ127" s="169"/>
    </row>
    <row r="128" spans="12:78" customFormat="1" ht="11.25" customHeight="1">
      <c r="L128" s="20"/>
      <c r="M128" s="509" t="s">
        <v>948</v>
      </c>
      <c r="N128" s="526" t="s">
        <v>949</v>
      </c>
      <c r="O128" s="420" t="s">
        <v>195</v>
      </c>
      <c r="AB128" s="251"/>
      <c r="AC128" s="251"/>
      <c r="AD128" s="251"/>
      <c r="AE128" s="247">
        <f t="shared" si="6"/>
        <v>0</v>
      </c>
      <c r="AF128" s="221"/>
      <c r="AG128" s="221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  <c r="AV128" s="169"/>
      <c r="AW128" s="169"/>
      <c r="AX128" s="169"/>
      <c r="AY128" s="169"/>
      <c r="AZ128" s="169"/>
      <c r="BA128" s="169"/>
      <c r="BB128" s="169"/>
      <c r="BC128" s="169"/>
      <c r="BD128" s="169"/>
      <c r="BE128" s="169"/>
      <c r="BF128" s="169"/>
      <c r="BG128" s="169"/>
      <c r="BH128" s="169"/>
      <c r="BI128" s="169"/>
      <c r="BJ128" s="169"/>
      <c r="BK128" s="169"/>
      <c r="BL128" s="169"/>
      <c r="BM128" s="169"/>
      <c r="BN128" s="169"/>
      <c r="BO128" s="169"/>
      <c r="BP128" s="169"/>
      <c r="BQ128" s="169"/>
      <c r="BR128" s="169"/>
      <c r="BS128" s="169"/>
      <c r="BT128" s="169"/>
      <c r="BU128" s="169"/>
      <c r="BV128" s="169"/>
      <c r="BW128" s="169"/>
      <c r="BX128" s="169"/>
      <c r="BY128" s="169"/>
      <c r="BZ128" s="169"/>
    </row>
    <row r="129" spans="12:78" customFormat="1" ht="11.25" customHeight="1">
      <c r="L129" s="20"/>
      <c r="M129" s="509" t="s">
        <v>950</v>
      </c>
      <c r="N129" s="542" t="s">
        <v>951</v>
      </c>
      <c r="O129" s="420" t="s">
        <v>195</v>
      </c>
      <c r="AB129" s="251"/>
      <c r="AC129" s="251"/>
      <c r="AD129" s="251"/>
      <c r="AE129" s="247">
        <f t="shared" si="6"/>
        <v>0</v>
      </c>
      <c r="AF129" s="221"/>
      <c r="AG129" s="221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169"/>
      <c r="BQ129" s="169"/>
      <c r="BR129" s="169"/>
      <c r="BS129" s="169"/>
      <c r="BT129" s="169"/>
      <c r="BU129" s="169"/>
      <c r="BV129" s="169"/>
      <c r="BW129" s="169"/>
      <c r="BX129" s="169"/>
      <c r="BY129" s="169"/>
      <c r="BZ129" s="169"/>
    </row>
    <row r="130" spans="12:78" customFormat="1" ht="11.25" customHeight="1">
      <c r="L130" s="20"/>
      <c r="M130" s="509" t="s">
        <v>952</v>
      </c>
      <c r="N130" s="544" t="s">
        <v>953</v>
      </c>
      <c r="O130" s="420" t="s">
        <v>195</v>
      </c>
      <c r="AB130" s="251"/>
      <c r="AC130" s="251"/>
      <c r="AD130" s="251"/>
      <c r="AE130" s="247">
        <f t="shared" si="6"/>
        <v>0</v>
      </c>
      <c r="AF130" s="221"/>
      <c r="AG130" s="221"/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169"/>
      <c r="AX130" s="169"/>
      <c r="AY130" s="169"/>
      <c r="AZ130" s="169"/>
      <c r="BA130" s="169"/>
      <c r="BB130" s="169"/>
      <c r="BC130" s="169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169"/>
      <c r="BQ130" s="169"/>
      <c r="BR130" s="169"/>
      <c r="BS130" s="169"/>
      <c r="BT130" s="169"/>
      <c r="BU130" s="169"/>
      <c r="BV130" s="169"/>
      <c r="BW130" s="169"/>
      <c r="BX130" s="169"/>
      <c r="BY130" s="169"/>
      <c r="BZ130" s="169"/>
    </row>
    <row r="131" spans="12:78" customFormat="1" ht="11.25" customHeight="1">
      <c r="L131" s="20"/>
      <c r="M131" s="509" t="s">
        <v>954</v>
      </c>
      <c r="N131" s="544" t="s">
        <v>169</v>
      </c>
      <c r="O131" s="420" t="s">
        <v>195</v>
      </c>
      <c r="AB131" s="251"/>
      <c r="AC131" s="251"/>
      <c r="AD131" s="251"/>
      <c r="AE131" s="247">
        <f t="shared" si="6"/>
        <v>0</v>
      </c>
      <c r="AF131" s="221"/>
      <c r="AG131" s="221"/>
      <c r="AH131" s="169"/>
      <c r="AI131" s="169"/>
      <c r="AJ131" s="169"/>
      <c r="AK131" s="169"/>
      <c r="AL131" s="169"/>
      <c r="AM131" s="169"/>
      <c r="AN131" s="169"/>
      <c r="AO131" s="169"/>
      <c r="AP131" s="169"/>
      <c r="AQ131" s="169"/>
      <c r="AR131" s="169"/>
      <c r="AS131" s="169"/>
      <c r="AT131" s="169"/>
      <c r="AU131" s="169"/>
      <c r="AV131" s="169"/>
      <c r="AW131" s="169"/>
      <c r="AX131" s="169"/>
      <c r="AY131" s="169"/>
      <c r="AZ131" s="169"/>
      <c r="BA131" s="169"/>
      <c r="BB131" s="169"/>
      <c r="BC131" s="169"/>
      <c r="BD131" s="169"/>
      <c r="BE131" s="169"/>
      <c r="BF131" s="169"/>
      <c r="BG131" s="169"/>
      <c r="BH131" s="169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69"/>
      <c r="BT131" s="169"/>
      <c r="BU131" s="169"/>
      <c r="BV131" s="169"/>
      <c r="BW131" s="169"/>
      <c r="BX131" s="169"/>
      <c r="BY131" s="169"/>
      <c r="BZ131" s="169"/>
    </row>
    <row r="132" spans="12:78" customFormat="1" ht="11.25" customHeight="1">
      <c r="L132" s="20"/>
      <c r="M132" s="490" t="s">
        <v>164</v>
      </c>
      <c r="N132" s="490" t="s">
        <v>955</v>
      </c>
      <c r="O132" s="420" t="s">
        <v>195</v>
      </c>
      <c r="AB132" s="251"/>
      <c r="AC132" s="251"/>
      <c r="AD132" s="251"/>
      <c r="AE132" s="247">
        <f t="shared" si="6"/>
        <v>0</v>
      </c>
      <c r="AF132" s="244">
        <f>SUM(AF133,AF135,AF137)</f>
        <v>0</v>
      </c>
      <c r="AG132" s="244">
        <f>SUM(AG133,AG135,AG137)</f>
        <v>0</v>
      </c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69"/>
      <c r="AV132" s="169"/>
      <c r="AW132" s="169"/>
      <c r="AX132" s="169"/>
      <c r="AY132" s="169"/>
      <c r="AZ132" s="169"/>
      <c r="BA132" s="169"/>
      <c r="BB132" s="169"/>
      <c r="BC132" s="169"/>
      <c r="BD132" s="169"/>
      <c r="BE132" s="169"/>
      <c r="BF132" s="169"/>
      <c r="BG132" s="169"/>
      <c r="BH132" s="169"/>
      <c r="BI132" s="169"/>
      <c r="BJ132" s="169"/>
      <c r="BK132" s="169"/>
      <c r="BL132" s="169"/>
      <c r="BM132" s="169"/>
      <c r="BN132" s="169"/>
      <c r="BO132" s="169"/>
      <c r="BP132" s="169"/>
      <c r="BQ132" s="169"/>
      <c r="BR132" s="169"/>
      <c r="BS132" s="169"/>
      <c r="BT132" s="169"/>
      <c r="BU132" s="169"/>
      <c r="BV132" s="169"/>
      <c r="BW132" s="169"/>
      <c r="BX132" s="169"/>
      <c r="BY132" s="169"/>
      <c r="BZ132" s="169"/>
    </row>
    <row r="133" spans="12:78" customFormat="1" ht="11.25" customHeight="1">
      <c r="L133" s="20"/>
      <c r="M133" s="509" t="s">
        <v>706</v>
      </c>
      <c r="N133" s="546" t="s">
        <v>956</v>
      </c>
      <c r="O133" s="420" t="s">
        <v>195</v>
      </c>
      <c r="AB133" s="251"/>
      <c r="AC133" s="251"/>
      <c r="AD133" s="251"/>
      <c r="AE133" s="247">
        <f t="shared" si="6"/>
        <v>0</v>
      </c>
      <c r="AF133" s="221"/>
      <c r="AG133" s="221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69"/>
      <c r="AV133" s="169"/>
      <c r="AW133" s="169"/>
      <c r="AX133" s="169"/>
      <c r="AY133" s="169"/>
      <c r="AZ133" s="169"/>
      <c r="BA133" s="169"/>
      <c r="BB133" s="169"/>
      <c r="BC133" s="169"/>
      <c r="BD133" s="169"/>
      <c r="BE133" s="169"/>
      <c r="BF133" s="169"/>
      <c r="BG133" s="169"/>
      <c r="BH133" s="169"/>
      <c r="BI133" s="169"/>
      <c r="BJ133" s="169"/>
      <c r="BK133" s="169"/>
      <c r="BL133" s="169"/>
      <c r="BM133" s="169"/>
      <c r="BN133" s="169"/>
      <c r="BO133" s="169"/>
      <c r="BP133" s="169"/>
      <c r="BQ133" s="169"/>
      <c r="BR133" s="169"/>
      <c r="BS133" s="169"/>
      <c r="BT133" s="169"/>
      <c r="BU133" s="169"/>
      <c r="BV133" s="169"/>
      <c r="BW133" s="169"/>
      <c r="BX133" s="169"/>
      <c r="BY133" s="169"/>
      <c r="BZ133" s="169"/>
    </row>
    <row r="134" spans="12:78" customFormat="1" ht="11.25" customHeight="1">
      <c r="L134" s="20"/>
      <c r="M134" s="509" t="s">
        <v>102</v>
      </c>
      <c r="N134" s="547" t="s">
        <v>1904</v>
      </c>
      <c r="O134" s="420" t="s">
        <v>195</v>
      </c>
      <c r="AB134" s="251"/>
      <c r="AC134" s="251"/>
      <c r="AD134" s="251"/>
      <c r="AE134" s="247">
        <f t="shared" si="6"/>
        <v>0</v>
      </c>
      <c r="AF134" s="221"/>
      <c r="AG134" s="221"/>
      <c r="AH134" s="169"/>
      <c r="AI134" s="169"/>
      <c r="AJ134" s="169"/>
      <c r="AK134" s="169"/>
      <c r="AL134" s="169"/>
      <c r="AM134" s="169"/>
      <c r="AN134" s="169"/>
      <c r="AO134" s="169"/>
      <c r="AP134" s="169"/>
      <c r="AQ134" s="169"/>
      <c r="AR134" s="169"/>
      <c r="AS134" s="169"/>
      <c r="AT134" s="169"/>
      <c r="AU134" s="169"/>
      <c r="AV134" s="169"/>
      <c r="AW134" s="169"/>
      <c r="AX134" s="169"/>
      <c r="AY134" s="169"/>
      <c r="AZ134" s="169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169"/>
      <c r="BU134" s="169"/>
      <c r="BV134" s="169"/>
      <c r="BW134" s="169"/>
      <c r="BX134" s="169"/>
      <c r="BY134" s="169"/>
      <c r="BZ134" s="169"/>
    </row>
    <row r="135" spans="12:78" customFormat="1" ht="11.25" customHeight="1">
      <c r="L135" s="20"/>
      <c r="M135" s="509" t="s">
        <v>708</v>
      </c>
      <c r="N135" s="546" t="s">
        <v>957</v>
      </c>
      <c r="O135" s="420" t="s">
        <v>195</v>
      </c>
      <c r="AB135" s="251"/>
      <c r="AC135" s="251"/>
      <c r="AD135" s="251"/>
      <c r="AE135" s="247">
        <f t="shared" si="6"/>
        <v>0</v>
      </c>
      <c r="AF135" s="221"/>
      <c r="AG135" s="221"/>
      <c r="AH135" s="169"/>
      <c r="AI135" s="169"/>
      <c r="AJ135" s="169"/>
      <c r="AK135" s="169"/>
      <c r="AL135" s="169"/>
      <c r="AM135" s="169"/>
      <c r="AN135" s="169"/>
      <c r="AO135" s="169"/>
      <c r="AP135" s="169"/>
      <c r="AQ135" s="169"/>
      <c r="AR135" s="169"/>
      <c r="AS135" s="169"/>
      <c r="AT135" s="169"/>
      <c r="AU135" s="169"/>
      <c r="AV135" s="169"/>
      <c r="AW135" s="169"/>
      <c r="AX135" s="169"/>
      <c r="AY135" s="169"/>
      <c r="AZ135" s="169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169"/>
      <c r="BU135" s="169"/>
      <c r="BV135" s="169"/>
      <c r="BW135" s="169"/>
      <c r="BX135" s="169"/>
      <c r="BY135" s="169"/>
      <c r="BZ135" s="169"/>
    </row>
    <row r="136" spans="12:78" customFormat="1" ht="11.25" customHeight="1">
      <c r="L136" s="20"/>
      <c r="M136" s="509" t="s">
        <v>103</v>
      </c>
      <c r="N136" s="547" t="s">
        <v>1905</v>
      </c>
      <c r="O136" s="420" t="s">
        <v>195</v>
      </c>
      <c r="AB136" s="251"/>
      <c r="AC136" s="251"/>
      <c r="AD136" s="251"/>
      <c r="AE136" s="247">
        <f t="shared" si="6"/>
        <v>0</v>
      </c>
      <c r="AF136" s="221"/>
      <c r="AG136" s="221"/>
      <c r="AH136" s="169"/>
      <c r="AI136" s="169"/>
      <c r="AJ136" s="169"/>
      <c r="AK136" s="169"/>
      <c r="AL136" s="169"/>
      <c r="AM136" s="169"/>
      <c r="AN136" s="169"/>
      <c r="AO136" s="169"/>
      <c r="AP136" s="169"/>
      <c r="AQ136" s="169"/>
      <c r="AR136" s="169"/>
      <c r="AS136" s="169"/>
      <c r="AT136" s="169"/>
      <c r="AU136" s="169"/>
      <c r="AV136" s="169"/>
      <c r="AW136" s="169"/>
      <c r="AX136" s="169"/>
      <c r="AY136" s="169"/>
      <c r="AZ136" s="169"/>
      <c r="BA136" s="169"/>
      <c r="BB136" s="169"/>
      <c r="BC136" s="169"/>
      <c r="BD136" s="169"/>
      <c r="BE136" s="169"/>
      <c r="BF136" s="169"/>
      <c r="BG136" s="169"/>
      <c r="BH136" s="169"/>
      <c r="BI136" s="169"/>
      <c r="BJ136" s="169"/>
      <c r="BK136" s="169"/>
      <c r="BL136" s="169"/>
      <c r="BM136" s="169"/>
      <c r="BN136" s="169"/>
      <c r="BO136" s="169"/>
      <c r="BP136" s="169"/>
      <c r="BQ136" s="169"/>
      <c r="BR136" s="169"/>
      <c r="BS136" s="169"/>
      <c r="BT136" s="169"/>
      <c r="BU136" s="169"/>
      <c r="BV136" s="169"/>
      <c r="BW136" s="169"/>
      <c r="BX136" s="169"/>
      <c r="BY136" s="169"/>
      <c r="BZ136" s="169"/>
    </row>
    <row r="137" spans="12:78" customFormat="1" ht="11.25" customHeight="1">
      <c r="L137" s="20"/>
      <c r="M137" s="509" t="s">
        <v>710</v>
      </c>
      <c r="N137" s="546" t="s">
        <v>958</v>
      </c>
      <c r="O137" s="420" t="s">
        <v>195</v>
      </c>
      <c r="AB137" s="251"/>
      <c r="AC137" s="251"/>
      <c r="AD137" s="251"/>
      <c r="AE137" s="247">
        <f t="shared" si="6"/>
        <v>0</v>
      </c>
      <c r="AF137" s="244">
        <f>SUM(AF138,AF149)</f>
        <v>0</v>
      </c>
      <c r="AG137" s="244">
        <f>SUM(AG138,AG149)</f>
        <v>0</v>
      </c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169"/>
      <c r="BU137" s="169"/>
      <c r="BV137" s="169"/>
      <c r="BW137" s="169"/>
      <c r="BX137" s="169"/>
      <c r="BY137" s="169"/>
      <c r="BZ137" s="169"/>
    </row>
    <row r="138" spans="12:78" customFormat="1" ht="11.25" customHeight="1">
      <c r="L138" s="20"/>
      <c r="M138" s="509" t="s">
        <v>554</v>
      </c>
      <c r="N138" s="544" t="s">
        <v>959</v>
      </c>
      <c r="O138" s="420" t="s">
        <v>195</v>
      </c>
      <c r="AB138" s="251"/>
      <c r="AC138" s="251"/>
      <c r="AD138" s="251"/>
      <c r="AE138" s="247">
        <f t="shared" si="6"/>
        <v>0</v>
      </c>
      <c r="AF138" s="221"/>
      <c r="AG138" s="221"/>
      <c r="AH138" s="169"/>
      <c r="AI138" s="169"/>
      <c r="AJ138" s="169"/>
      <c r="AK138" s="169"/>
      <c r="AL138" s="169"/>
      <c r="AM138" s="169"/>
      <c r="AN138" s="169"/>
      <c r="AO138" s="169"/>
      <c r="AP138" s="169"/>
      <c r="AQ138" s="169"/>
      <c r="AR138" s="169"/>
      <c r="AS138" s="169"/>
      <c r="AT138" s="169"/>
      <c r="AU138" s="169"/>
      <c r="AV138" s="169"/>
      <c r="AW138" s="169"/>
      <c r="AX138" s="169"/>
      <c r="AY138" s="169"/>
      <c r="AZ138" s="169"/>
      <c r="BA138" s="169"/>
      <c r="BB138" s="169"/>
      <c r="BC138" s="169"/>
      <c r="BD138" s="169"/>
      <c r="BE138" s="169"/>
      <c r="BF138" s="169"/>
      <c r="BG138" s="169"/>
      <c r="BH138" s="169"/>
      <c r="BI138" s="169"/>
      <c r="BJ138" s="169"/>
      <c r="BK138" s="169"/>
      <c r="BL138" s="169"/>
      <c r="BM138" s="169"/>
      <c r="BN138" s="169"/>
      <c r="BO138" s="169"/>
      <c r="BP138" s="169"/>
      <c r="BQ138" s="169"/>
      <c r="BR138" s="169"/>
      <c r="BS138" s="169"/>
      <c r="BT138" s="169"/>
      <c r="BU138" s="169"/>
      <c r="BV138" s="169"/>
      <c r="BW138" s="169"/>
      <c r="BX138" s="169"/>
      <c r="BY138" s="169"/>
      <c r="BZ138" s="169"/>
    </row>
    <row r="139" spans="12:78" customFormat="1" ht="11.25" customHeight="1">
      <c r="L139" s="20"/>
      <c r="M139" s="510" t="s">
        <v>960</v>
      </c>
      <c r="N139" s="534" t="s">
        <v>921</v>
      </c>
      <c r="O139" s="420" t="s">
        <v>289</v>
      </c>
      <c r="AB139" s="251"/>
      <c r="AC139" s="251"/>
      <c r="AD139" s="251"/>
      <c r="AE139" s="221"/>
      <c r="AF139" s="221"/>
      <c r="AG139" s="221"/>
      <c r="AH139" s="169"/>
      <c r="AI139" s="169"/>
      <c r="AJ139" s="169"/>
      <c r="AK139" s="169"/>
      <c r="AL139" s="169"/>
      <c r="AM139" s="169"/>
      <c r="AN139" s="169"/>
      <c r="AO139" s="169"/>
      <c r="AP139" s="169"/>
      <c r="AQ139" s="169"/>
      <c r="AR139" s="169"/>
      <c r="AS139" s="169"/>
      <c r="AT139" s="169"/>
      <c r="AU139" s="169"/>
      <c r="AV139" s="169"/>
      <c r="AW139" s="169"/>
      <c r="AX139" s="169"/>
      <c r="AY139" s="169"/>
      <c r="AZ139" s="169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169"/>
      <c r="BU139" s="169"/>
      <c r="BV139" s="169"/>
      <c r="BW139" s="169"/>
      <c r="BX139" s="169"/>
      <c r="BY139" s="169"/>
      <c r="BZ139" s="169"/>
    </row>
    <row r="140" spans="12:78" customFormat="1" ht="11.25" customHeight="1">
      <c r="L140" s="20"/>
      <c r="M140" s="510" t="s">
        <v>961</v>
      </c>
      <c r="N140" s="548" t="s">
        <v>1035</v>
      </c>
      <c r="O140" s="420" t="s">
        <v>29</v>
      </c>
      <c r="AB140" s="251"/>
      <c r="AC140" s="251"/>
      <c r="AD140" s="251"/>
      <c r="AE140" s="244">
        <f>IF(AE139=0,0,AE138/AE139*1000/AE$6)</f>
        <v>0</v>
      </c>
      <c r="AF140" s="244">
        <f>IF(AF139=0,0,AF138/AF139*1000/AF$6)</f>
        <v>0</v>
      </c>
      <c r="AG140" s="244">
        <f>IF(AG139=0,0,AG138/AG139*1000/AG$6)</f>
        <v>0</v>
      </c>
      <c r="AH140" s="169"/>
      <c r="AI140" s="169"/>
      <c r="AJ140" s="169"/>
      <c r="AK140" s="169"/>
      <c r="AL140" s="169"/>
      <c r="AM140" s="169"/>
      <c r="AN140" s="169"/>
      <c r="AO140" s="169"/>
      <c r="AP140" s="169"/>
      <c r="AQ140" s="169"/>
      <c r="AR140" s="169"/>
      <c r="AS140" s="169"/>
      <c r="AT140" s="169"/>
      <c r="AU140" s="169"/>
      <c r="AV140" s="169"/>
      <c r="AW140" s="169"/>
      <c r="AX140" s="169"/>
      <c r="AY140" s="169"/>
      <c r="AZ140" s="169"/>
      <c r="BA140" s="169"/>
      <c r="BB140" s="169"/>
      <c r="BC140" s="169"/>
      <c r="BD140" s="169"/>
      <c r="BE140" s="169"/>
      <c r="BF140" s="169"/>
      <c r="BG140" s="169"/>
      <c r="BH140" s="169"/>
      <c r="BI140" s="169"/>
      <c r="BJ140" s="169"/>
      <c r="BK140" s="169"/>
      <c r="BL140" s="169"/>
      <c r="BM140" s="169"/>
      <c r="BN140" s="169"/>
      <c r="BO140" s="169"/>
      <c r="BP140" s="169"/>
      <c r="BQ140" s="169"/>
      <c r="BR140" s="169"/>
      <c r="BS140" s="169"/>
      <c r="BT140" s="169"/>
      <c r="BU140" s="169"/>
      <c r="BV140" s="169"/>
      <c r="BW140" s="169"/>
      <c r="BX140" s="169"/>
      <c r="BY140" s="169"/>
      <c r="BZ140" s="169"/>
    </row>
    <row r="141" spans="12:78" customFormat="1" ht="11.25" customHeight="1">
      <c r="L141" s="20"/>
      <c r="M141" s="510" t="s">
        <v>962</v>
      </c>
      <c r="N141" s="549" t="s">
        <v>1034</v>
      </c>
      <c r="O141" s="420" t="s">
        <v>289</v>
      </c>
      <c r="AB141" s="251"/>
      <c r="AC141" s="251"/>
      <c r="AD141" s="251"/>
      <c r="AE141" s="221"/>
      <c r="AF141" s="221"/>
      <c r="AG141" s="221"/>
      <c r="AH141" s="169"/>
      <c r="AI141" s="169"/>
      <c r="AJ141" s="169"/>
      <c r="AK141" s="169"/>
      <c r="AL141" s="169"/>
      <c r="AM141" s="169"/>
      <c r="AN141" s="169"/>
      <c r="AO141" s="169"/>
      <c r="AP141" s="169"/>
      <c r="AQ141" s="169"/>
      <c r="AR141" s="169"/>
      <c r="AS141" s="169"/>
      <c r="AT141" s="169"/>
      <c r="AU141" s="169"/>
      <c r="AV141" s="169"/>
      <c r="AW141" s="169"/>
      <c r="AX141" s="169"/>
      <c r="AY141" s="169"/>
      <c r="AZ141" s="169"/>
      <c r="BA141" s="169"/>
      <c r="BB141" s="169"/>
      <c r="BC141" s="169"/>
      <c r="BD141" s="169"/>
      <c r="BE141" s="169"/>
      <c r="BF141" s="169"/>
      <c r="BG141" s="169"/>
      <c r="BH141" s="169"/>
      <c r="BI141" s="169"/>
      <c r="BJ141" s="169"/>
      <c r="BK141" s="169"/>
      <c r="BL141" s="169"/>
      <c r="BM141" s="169"/>
      <c r="BN141" s="169"/>
      <c r="BO141" s="169"/>
      <c r="BP141" s="169"/>
      <c r="BQ141" s="169"/>
      <c r="BR141" s="169"/>
      <c r="BS141" s="169"/>
      <c r="BT141" s="169"/>
      <c r="BU141" s="169"/>
      <c r="BV141" s="169"/>
      <c r="BW141" s="169"/>
      <c r="BX141" s="169"/>
      <c r="BY141" s="169"/>
      <c r="BZ141" s="169"/>
    </row>
    <row r="142" spans="12:78" customFormat="1" ht="11.25" customHeight="1">
      <c r="L142" s="20"/>
      <c r="M142" s="510" t="s">
        <v>963</v>
      </c>
      <c r="N142" s="537" t="s">
        <v>1036</v>
      </c>
      <c r="O142" s="420" t="s">
        <v>289</v>
      </c>
      <c r="AB142" s="251"/>
      <c r="AC142" s="251"/>
      <c r="AD142" s="251"/>
      <c r="AE142" s="221"/>
      <c r="AF142" s="221"/>
      <c r="AG142" s="221"/>
      <c r="AH142" s="169"/>
      <c r="AI142" s="169"/>
      <c r="AJ142" s="169"/>
      <c r="AK142" s="169"/>
      <c r="AL142" s="169"/>
      <c r="AM142" s="169"/>
      <c r="AN142" s="169"/>
      <c r="AO142" s="169"/>
      <c r="AP142" s="169"/>
      <c r="AQ142" s="169"/>
      <c r="AR142" s="169"/>
      <c r="AS142" s="169"/>
      <c r="AT142" s="169"/>
      <c r="AU142" s="169"/>
      <c r="AV142" s="169"/>
      <c r="AW142" s="169"/>
      <c r="AX142" s="169"/>
      <c r="AY142" s="169"/>
      <c r="AZ142" s="169"/>
      <c r="BA142" s="169"/>
      <c r="BB142" s="169"/>
      <c r="BC142" s="169"/>
      <c r="BD142" s="169"/>
      <c r="BE142" s="169"/>
      <c r="BF142" s="169"/>
      <c r="BG142" s="169"/>
      <c r="BH142" s="169"/>
      <c r="BI142" s="169"/>
      <c r="BJ142" s="169"/>
      <c r="BK142" s="169"/>
      <c r="BL142" s="169"/>
      <c r="BM142" s="169"/>
      <c r="BN142" s="169"/>
      <c r="BO142" s="169"/>
      <c r="BP142" s="169"/>
      <c r="BQ142" s="169"/>
      <c r="BR142" s="169"/>
      <c r="BS142" s="169"/>
      <c r="BT142" s="169"/>
      <c r="BU142" s="169"/>
      <c r="BV142" s="169"/>
      <c r="BW142" s="169"/>
      <c r="BX142" s="169"/>
      <c r="BY142" s="169"/>
      <c r="BZ142" s="169"/>
    </row>
    <row r="143" spans="12:78" customFormat="1" ht="11.25" customHeight="1">
      <c r="L143" s="20"/>
      <c r="M143" s="510" t="s">
        <v>964</v>
      </c>
      <c r="N143" s="527" t="s">
        <v>33</v>
      </c>
      <c r="O143" s="420" t="s">
        <v>29</v>
      </c>
      <c r="AB143" s="251"/>
      <c r="AC143" s="251"/>
      <c r="AD143" s="251"/>
      <c r="AE143" s="142"/>
      <c r="AF143" s="221"/>
      <c r="AG143" s="221"/>
      <c r="AH143" s="169"/>
      <c r="AI143" s="169"/>
      <c r="AJ143" s="169"/>
      <c r="AK143" s="169"/>
      <c r="AL143" s="169"/>
      <c r="AM143" s="169"/>
      <c r="AN143" s="169"/>
      <c r="AO143" s="169"/>
      <c r="AP143" s="169"/>
      <c r="AQ143" s="169"/>
      <c r="AR143" s="169"/>
      <c r="AS143" s="169"/>
      <c r="AT143" s="169"/>
      <c r="AU143" s="169"/>
      <c r="AV143" s="169"/>
      <c r="AW143" s="169"/>
      <c r="AX143" s="169"/>
      <c r="AY143" s="169"/>
      <c r="AZ143" s="169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169"/>
      <c r="BU143" s="169"/>
      <c r="BV143" s="169"/>
      <c r="BW143" s="169"/>
      <c r="BX143" s="169"/>
      <c r="BY143" s="169"/>
      <c r="BZ143" s="169"/>
    </row>
    <row r="144" spans="12:78" customFormat="1" ht="11.25" customHeight="1">
      <c r="L144" s="20"/>
      <c r="M144" s="510" t="s">
        <v>965</v>
      </c>
      <c r="N144" s="550" t="s">
        <v>927</v>
      </c>
      <c r="O144" s="420"/>
      <c r="AB144" s="251"/>
      <c r="AC144" s="251"/>
      <c r="AD144" s="251"/>
      <c r="AE144" s="142"/>
      <c r="AF144" s="221"/>
      <c r="AG144" s="221"/>
      <c r="AH144" s="169"/>
      <c r="AI144" s="169"/>
      <c r="AJ144" s="169"/>
      <c r="AK144" s="169"/>
      <c r="AL144" s="169"/>
      <c r="AM144" s="169"/>
      <c r="AN144" s="169"/>
      <c r="AO144" s="169"/>
      <c r="AP144" s="169"/>
      <c r="AQ144" s="169"/>
      <c r="AR144" s="169"/>
      <c r="AS144" s="169"/>
      <c r="AT144" s="169"/>
      <c r="AU144" s="169"/>
      <c r="AV144" s="169"/>
      <c r="AW144" s="169"/>
      <c r="AX144" s="169"/>
      <c r="AY144" s="169"/>
      <c r="AZ144" s="169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69"/>
      <c r="BO144" s="169"/>
      <c r="BP144" s="169"/>
      <c r="BQ144" s="169"/>
      <c r="BR144" s="169"/>
      <c r="BS144" s="169"/>
      <c r="BT144" s="169"/>
      <c r="BU144" s="169"/>
      <c r="BV144" s="169"/>
      <c r="BW144" s="169"/>
      <c r="BX144" s="169"/>
      <c r="BY144" s="169"/>
      <c r="BZ144" s="169"/>
    </row>
    <row r="145" spans="12:78" customFormat="1" ht="11.25" customHeight="1">
      <c r="L145" s="20"/>
      <c r="M145" s="510" t="s">
        <v>966</v>
      </c>
      <c r="N145" s="527" t="s">
        <v>929</v>
      </c>
      <c r="O145" s="420" t="s">
        <v>29</v>
      </c>
      <c r="AB145" s="251"/>
      <c r="AC145" s="251"/>
      <c r="AD145" s="251"/>
      <c r="AE145" s="142"/>
      <c r="AF145" s="221"/>
      <c r="AG145" s="221"/>
      <c r="AH145" s="169"/>
      <c r="AI145" s="169"/>
      <c r="AJ145" s="169"/>
      <c r="AK145" s="169"/>
      <c r="AL145" s="169"/>
      <c r="AM145" s="169"/>
      <c r="AN145" s="169"/>
      <c r="AO145" s="169"/>
      <c r="AP145" s="169"/>
      <c r="AQ145" s="169"/>
      <c r="AR145" s="169"/>
      <c r="AS145" s="169"/>
      <c r="AT145" s="169"/>
      <c r="AU145" s="169"/>
      <c r="AV145" s="169"/>
      <c r="AW145" s="169"/>
      <c r="AX145" s="169"/>
      <c r="AY145" s="169"/>
      <c r="AZ145" s="169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169"/>
      <c r="BU145" s="169"/>
      <c r="BV145" s="169"/>
      <c r="BW145" s="169"/>
      <c r="BX145" s="169"/>
      <c r="BY145" s="169"/>
      <c r="BZ145" s="169"/>
    </row>
    <row r="146" spans="12:78" customFormat="1" ht="11.25" customHeight="1">
      <c r="L146" s="20"/>
      <c r="M146" s="510" t="s">
        <v>967</v>
      </c>
      <c r="N146" s="551" t="s">
        <v>931</v>
      </c>
      <c r="O146" s="420"/>
      <c r="AB146" s="251"/>
      <c r="AC146" s="251"/>
      <c r="AD146" s="251"/>
      <c r="AE146" s="142"/>
      <c r="AF146" s="221"/>
      <c r="AG146" s="221"/>
      <c r="AH146" s="169"/>
      <c r="AI146" s="169"/>
      <c r="AJ146" s="169"/>
      <c r="AK146" s="169"/>
      <c r="AL146" s="169"/>
      <c r="AM146" s="169"/>
      <c r="AN146" s="169"/>
      <c r="AO146" s="169"/>
      <c r="AP146" s="169"/>
      <c r="AQ146" s="169"/>
      <c r="AR146" s="169"/>
      <c r="AS146" s="169"/>
      <c r="AT146" s="169"/>
      <c r="AU146" s="169"/>
      <c r="AV146" s="169"/>
      <c r="AW146" s="169"/>
      <c r="AX146" s="169"/>
      <c r="AY146" s="169"/>
      <c r="AZ146" s="169"/>
      <c r="BA146" s="169"/>
      <c r="BB146" s="169"/>
      <c r="BC146" s="169"/>
      <c r="BD146" s="169"/>
      <c r="BE146" s="169"/>
      <c r="BF146" s="169"/>
      <c r="BG146" s="169"/>
      <c r="BH146" s="169"/>
      <c r="BI146" s="169"/>
      <c r="BJ146" s="169"/>
      <c r="BK146" s="169"/>
      <c r="BL146" s="169"/>
      <c r="BM146" s="169"/>
      <c r="BN146" s="169"/>
      <c r="BO146" s="169"/>
      <c r="BP146" s="169"/>
      <c r="BQ146" s="169"/>
      <c r="BR146" s="169"/>
      <c r="BS146" s="169"/>
      <c r="BT146" s="169"/>
      <c r="BU146" s="169"/>
      <c r="BV146" s="169"/>
      <c r="BW146" s="169"/>
      <c r="BX146" s="169"/>
      <c r="BY146" s="169"/>
      <c r="BZ146" s="169"/>
    </row>
    <row r="147" spans="12:78" customFormat="1" ht="11.25" customHeight="1">
      <c r="L147" s="20"/>
      <c r="M147" s="510" t="s">
        <v>968</v>
      </c>
      <c r="N147" s="552" t="s">
        <v>933</v>
      </c>
      <c r="O147" s="420" t="s">
        <v>29</v>
      </c>
      <c r="AB147" s="251"/>
      <c r="AC147" s="251"/>
      <c r="AD147" s="251"/>
      <c r="AE147" s="142"/>
      <c r="AF147" s="221"/>
      <c r="AG147" s="221"/>
      <c r="AH147" s="169"/>
      <c r="AI147" s="169"/>
      <c r="AJ147" s="169"/>
      <c r="AK147" s="169"/>
      <c r="AL147" s="169"/>
      <c r="AM147" s="169"/>
      <c r="AN147" s="169"/>
      <c r="AO147" s="169"/>
      <c r="AP147" s="169"/>
      <c r="AQ147" s="169"/>
      <c r="AR147" s="169"/>
      <c r="AS147" s="169"/>
      <c r="AT147" s="169"/>
      <c r="AU147" s="169"/>
      <c r="AV147" s="169"/>
      <c r="AW147" s="169"/>
      <c r="AX147" s="169"/>
      <c r="AY147" s="169"/>
      <c r="AZ147" s="169"/>
      <c r="BA147" s="169"/>
      <c r="BB147" s="169"/>
      <c r="BC147" s="169"/>
      <c r="BD147" s="169"/>
      <c r="BE147" s="169"/>
      <c r="BF147" s="169"/>
      <c r="BG147" s="169"/>
      <c r="BH147" s="169"/>
      <c r="BI147" s="169"/>
      <c r="BJ147" s="169"/>
      <c r="BK147" s="169"/>
      <c r="BL147" s="169"/>
      <c r="BM147" s="169"/>
      <c r="BN147" s="169"/>
      <c r="BO147" s="169"/>
      <c r="BP147" s="169"/>
      <c r="BQ147" s="169"/>
      <c r="BR147" s="169"/>
      <c r="BS147" s="169"/>
      <c r="BT147" s="169"/>
      <c r="BU147" s="169"/>
      <c r="BV147" s="169"/>
      <c r="BW147" s="169"/>
      <c r="BX147" s="169"/>
      <c r="BY147" s="169"/>
      <c r="BZ147" s="169"/>
    </row>
    <row r="148" spans="12:78" customFormat="1" ht="11.25" customHeight="1">
      <c r="L148" s="20"/>
      <c r="M148" s="510" t="s">
        <v>969</v>
      </c>
      <c r="N148" s="553" t="s">
        <v>935</v>
      </c>
      <c r="O148" s="420" t="s">
        <v>29</v>
      </c>
      <c r="AB148" s="251"/>
      <c r="AC148" s="251"/>
      <c r="AD148" s="251"/>
      <c r="AE148" s="142"/>
      <c r="AF148" s="221"/>
      <c r="AG148" s="221"/>
      <c r="AH148" s="169"/>
      <c r="AI148" s="169"/>
      <c r="AJ148" s="169"/>
      <c r="AK148" s="169"/>
      <c r="AL148" s="169"/>
      <c r="AM148" s="169"/>
      <c r="AN148" s="169"/>
      <c r="AO148" s="169"/>
      <c r="AP148" s="169"/>
      <c r="AQ148" s="169"/>
      <c r="AR148" s="169"/>
      <c r="AS148" s="169"/>
      <c r="AT148" s="169"/>
      <c r="AU148" s="169"/>
      <c r="AV148" s="169"/>
      <c r="AW148" s="169"/>
      <c r="AX148" s="169"/>
      <c r="AY148" s="169"/>
      <c r="AZ148" s="169"/>
      <c r="BA148" s="169"/>
      <c r="BB148" s="169"/>
      <c r="BC148" s="169"/>
      <c r="BD148" s="169"/>
      <c r="BE148" s="169"/>
      <c r="BF148" s="169"/>
      <c r="BG148" s="169"/>
      <c r="BH148" s="169"/>
      <c r="BI148" s="169"/>
      <c r="BJ148" s="169"/>
      <c r="BK148" s="169"/>
      <c r="BL148" s="169"/>
      <c r="BM148" s="169"/>
      <c r="BN148" s="169"/>
      <c r="BO148" s="169"/>
      <c r="BP148" s="169"/>
      <c r="BQ148" s="169"/>
      <c r="BR148" s="169"/>
      <c r="BS148" s="169"/>
      <c r="BT148" s="169"/>
      <c r="BU148" s="169"/>
      <c r="BV148" s="169"/>
      <c r="BW148" s="169"/>
      <c r="BX148" s="169"/>
      <c r="BY148" s="169"/>
      <c r="BZ148" s="169"/>
    </row>
    <row r="149" spans="12:78" customFormat="1" ht="11.25" customHeight="1">
      <c r="L149" s="20"/>
      <c r="M149" s="509" t="s">
        <v>555</v>
      </c>
      <c r="N149" s="542" t="s">
        <v>970</v>
      </c>
      <c r="O149" s="420" t="s">
        <v>195</v>
      </c>
      <c r="AB149" s="251"/>
      <c r="AC149" s="251"/>
      <c r="AD149" s="251"/>
      <c r="AE149" s="247">
        <f t="shared" ref="AE149:AE159" si="7">AF149+AG149</f>
        <v>0</v>
      </c>
      <c r="AF149" s="221"/>
      <c r="AG149" s="221"/>
      <c r="AH149" s="169"/>
      <c r="AI149" s="169"/>
      <c r="AJ149" s="169"/>
      <c r="AK149" s="169"/>
      <c r="AL149" s="169"/>
      <c r="AM149" s="169"/>
      <c r="AN149" s="169"/>
      <c r="AO149" s="169"/>
      <c r="AP149" s="169"/>
      <c r="AQ149" s="169"/>
      <c r="AR149" s="169"/>
      <c r="AS149" s="169"/>
      <c r="AT149" s="169"/>
      <c r="AU149" s="169"/>
      <c r="AV149" s="169"/>
      <c r="AW149" s="169"/>
      <c r="AX149" s="169"/>
      <c r="AY149" s="169"/>
      <c r="AZ149" s="169"/>
      <c r="BA149" s="169"/>
      <c r="BB149" s="169"/>
      <c r="BC149" s="169"/>
      <c r="BD149" s="169"/>
      <c r="BE149" s="169"/>
      <c r="BF149" s="169"/>
      <c r="BG149" s="169"/>
      <c r="BH149" s="169"/>
      <c r="BI149" s="169"/>
      <c r="BJ149" s="169"/>
      <c r="BK149" s="169"/>
      <c r="BL149" s="169"/>
      <c r="BM149" s="169"/>
      <c r="BN149" s="169"/>
      <c r="BO149" s="169"/>
      <c r="BP149" s="169"/>
      <c r="BQ149" s="169"/>
      <c r="BR149" s="169"/>
      <c r="BS149" s="169"/>
      <c r="BT149" s="169"/>
      <c r="BU149" s="169"/>
      <c r="BV149" s="169"/>
      <c r="BW149" s="169"/>
      <c r="BX149" s="169"/>
      <c r="BY149" s="169"/>
      <c r="BZ149" s="169"/>
    </row>
    <row r="150" spans="12:78" customFormat="1" ht="11.25" customHeight="1">
      <c r="L150" s="20"/>
      <c r="M150" s="490">
        <v>3</v>
      </c>
      <c r="N150" s="490" t="s">
        <v>971</v>
      </c>
      <c r="O150" s="420" t="s">
        <v>195</v>
      </c>
      <c r="AB150" s="251"/>
      <c r="AC150" s="251"/>
      <c r="AD150" s="251"/>
      <c r="AE150" s="247">
        <f t="shared" si="7"/>
        <v>0</v>
      </c>
      <c r="AF150" s="244">
        <f>SUM(AF151,AF158,AF171,AF172,AF173,AF174,AF175)</f>
        <v>0</v>
      </c>
      <c r="AG150" s="244">
        <f>SUM(AG151,AG158,AG171,AG172,AG173,AG174,AG175)</f>
        <v>0</v>
      </c>
      <c r="AH150" s="169"/>
      <c r="AI150" s="169"/>
      <c r="AJ150" s="169"/>
      <c r="AK150" s="169"/>
      <c r="AL150" s="169"/>
      <c r="AM150" s="169"/>
      <c r="AN150" s="169"/>
      <c r="AO150" s="169"/>
      <c r="AP150" s="169"/>
      <c r="AQ150" s="169"/>
      <c r="AR150" s="169"/>
      <c r="AS150" s="169"/>
      <c r="AT150" s="169"/>
      <c r="AU150" s="169"/>
      <c r="AV150" s="169"/>
      <c r="AW150" s="169"/>
      <c r="AX150" s="169"/>
      <c r="AY150" s="169"/>
      <c r="AZ150" s="169"/>
      <c r="BA150" s="169"/>
      <c r="BB150" s="169"/>
      <c r="BC150" s="169"/>
      <c r="BD150" s="169"/>
      <c r="BE150" s="169"/>
      <c r="BF150" s="169"/>
      <c r="BG150" s="169"/>
      <c r="BH150" s="169"/>
      <c r="BI150" s="169"/>
      <c r="BJ150" s="169"/>
      <c r="BK150" s="169"/>
      <c r="BL150" s="169"/>
      <c r="BM150" s="169"/>
      <c r="BN150" s="169"/>
      <c r="BO150" s="169"/>
      <c r="BP150" s="169"/>
      <c r="BQ150" s="169"/>
      <c r="BR150" s="169"/>
      <c r="BS150" s="169"/>
      <c r="BT150" s="169"/>
      <c r="BU150" s="169"/>
      <c r="BV150" s="169"/>
      <c r="BW150" s="169"/>
      <c r="BX150" s="169"/>
      <c r="BY150" s="169"/>
      <c r="BZ150" s="169"/>
    </row>
    <row r="151" spans="12:78" customFormat="1" ht="11.25" customHeight="1">
      <c r="L151" s="20"/>
      <c r="M151" s="509" t="s">
        <v>171</v>
      </c>
      <c r="N151" s="546" t="s">
        <v>972</v>
      </c>
      <c r="O151" s="420" t="s">
        <v>195</v>
      </c>
      <c r="AB151" s="251"/>
      <c r="AC151" s="251"/>
      <c r="AD151" s="251"/>
      <c r="AE151" s="247">
        <f t="shared" si="7"/>
        <v>0</v>
      </c>
      <c r="AF151" s="244">
        <f>SUM(AF152:AF157)</f>
        <v>0</v>
      </c>
      <c r="AG151" s="244">
        <f>SUM(AG152:AG157)</f>
        <v>0</v>
      </c>
      <c r="AH151" s="169"/>
      <c r="AI151" s="169"/>
      <c r="AJ151" s="169"/>
      <c r="AK151" s="169"/>
      <c r="AL151" s="169"/>
      <c r="AM151" s="169"/>
      <c r="AN151" s="169"/>
      <c r="AO151" s="169"/>
      <c r="AP151" s="169"/>
      <c r="AQ151" s="169"/>
      <c r="AR151" s="169"/>
      <c r="AS151" s="169"/>
      <c r="AT151" s="169"/>
      <c r="AU151" s="169"/>
      <c r="AV151" s="169"/>
      <c r="AW151" s="169"/>
      <c r="AX151" s="169"/>
      <c r="AY151" s="169"/>
      <c r="AZ151" s="169"/>
      <c r="BA151" s="169"/>
      <c r="BB151" s="169"/>
      <c r="BC151" s="169"/>
      <c r="BD151" s="169"/>
      <c r="BE151" s="169"/>
      <c r="BF151" s="169"/>
      <c r="BG151" s="169"/>
      <c r="BH151" s="169"/>
      <c r="BI151" s="169"/>
      <c r="BJ151" s="169"/>
      <c r="BK151" s="169"/>
      <c r="BL151" s="169"/>
      <c r="BM151" s="169"/>
      <c r="BN151" s="169"/>
      <c r="BO151" s="169"/>
      <c r="BP151" s="169"/>
      <c r="BQ151" s="169"/>
      <c r="BR151" s="169"/>
      <c r="BS151" s="169"/>
      <c r="BT151" s="169"/>
      <c r="BU151" s="169"/>
      <c r="BV151" s="169"/>
      <c r="BW151" s="169"/>
      <c r="BX151" s="169"/>
      <c r="BY151" s="169"/>
      <c r="BZ151" s="169"/>
    </row>
    <row r="152" spans="12:78" customFormat="1" ht="11.25" customHeight="1">
      <c r="L152" s="20"/>
      <c r="M152" s="509" t="s">
        <v>556</v>
      </c>
      <c r="N152" s="544" t="s">
        <v>973</v>
      </c>
      <c r="O152" s="420" t="s">
        <v>195</v>
      </c>
      <c r="AB152" s="251"/>
      <c r="AC152" s="251"/>
      <c r="AD152" s="251"/>
      <c r="AE152" s="247">
        <f t="shared" si="7"/>
        <v>0</v>
      </c>
      <c r="AF152" s="221"/>
      <c r="AG152" s="221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69"/>
      <c r="AT152" s="169"/>
      <c r="AU152" s="169"/>
      <c r="AV152" s="169"/>
      <c r="AW152" s="169"/>
      <c r="AX152" s="169"/>
      <c r="AY152" s="169"/>
      <c r="AZ152" s="169"/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169"/>
      <c r="BK152" s="169"/>
      <c r="BL152" s="169"/>
      <c r="BM152" s="169"/>
      <c r="BN152" s="169"/>
      <c r="BO152" s="169"/>
      <c r="BP152" s="169"/>
      <c r="BQ152" s="169"/>
      <c r="BR152" s="169"/>
      <c r="BS152" s="169"/>
      <c r="BT152" s="169"/>
      <c r="BU152" s="169"/>
      <c r="BV152" s="169"/>
      <c r="BW152" s="169"/>
      <c r="BX152" s="169"/>
      <c r="BY152" s="169"/>
      <c r="BZ152" s="169"/>
    </row>
    <row r="153" spans="12:78" customFormat="1" ht="11.25" customHeight="1">
      <c r="L153" s="20"/>
      <c r="M153" s="509" t="s">
        <v>566</v>
      </c>
      <c r="N153" s="544" t="s">
        <v>974</v>
      </c>
      <c r="O153" s="420" t="s">
        <v>195</v>
      </c>
      <c r="AB153" s="251"/>
      <c r="AC153" s="251"/>
      <c r="AD153" s="251"/>
      <c r="AE153" s="247">
        <f t="shared" si="7"/>
        <v>0</v>
      </c>
      <c r="AF153" s="221"/>
      <c r="AG153" s="221"/>
      <c r="AH153" s="169"/>
      <c r="AI153" s="169"/>
      <c r="AJ153" s="169"/>
      <c r="AK153" s="169"/>
      <c r="AL153" s="169"/>
      <c r="AM153" s="169"/>
      <c r="AN153" s="169"/>
      <c r="AO153" s="169"/>
      <c r="AP153" s="169"/>
      <c r="AQ153" s="169"/>
      <c r="AR153" s="169"/>
      <c r="AS153" s="169"/>
      <c r="AT153" s="169"/>
      <c r="AU153" s="169"/>
      <c r="AV153" s="169"/>
      <c r="AW153" s="169"/>
      <c r="AX153" s="169"/>
      <c r="AY153" s="169"/>
      <c r="AZ153" s="169"/>
      <c r="BA153" s="169"/>
      <c r="BB153" s="169"/>
      <c r="BC153" s="169"/>
      <c r="BD153" s="169"/>
      <c r="BE153" s="169"/>
      <c r="BF153" s="169"/>
      <c r="BG153" s="169"/>
      <c r="BH153" s="169"/>
      <c r="BI153" s="169"/>
      <c r="BJ153" s="169"/>
      <c r="BK153" s="169"/>
      <c r="BL153" s="169"/>
      <c r="BM153" s="169"/>
      <c r="BN153" s="169"/>
      <c r="BO153" s="169"/>
      <c r="BP153" s="169"/>
      <c r="BQ153" s="169"/>
      <c r="BR153" s="169"/>
      <c r="BS153" s="169"/>
      <c r="BT153" s="169"/>
      <c r="BU153" s="169"/>
      <c r="BV153" s="169"/>
      <c r="BW153" s="169"/>
      <c r="BX153" s="169"/>
      <c r="BY153" s="169"/>
      <c r="BZ153" s="169"/>
    </row>
    <row r="154" spans="12:78" customFormat="1" ht="11.25" customHeight="1">
      <c r="L154" s="20"/>
      <c r="M154" s="509" t="s">
        <v>975</v>
      </c>
      <c r="N154" s="544" t="s">
        <v>976</v>
      </c>
      <c r="O154" s="420" t="s">
        <v>195</v>
      </c>
      <c r="AB154" s="251"/>
      <c r="AC154" s="251"/>
      <c r="AD154" s="251"/>
      <c r="AE154" s="247">
        <f t="shared" si="7"/>
        <v>0</v>
      </c>
      <c r="AF154" s="221"/>
      <c r="AG154" s="221"/>
      <c r="AH154" s="169"/>
      <c r="AI154" s="169"/>
      <c r="AJ154" s="169"/>
      <c r="AK154" s="169"/>
      <c r="AL154" s="169"/>
      <c r="AM154" s="169"/>
      <c r="AN154" s="169"/>
      <c r="AO154" s="169"/>
      <c r="AP154" s="169"/>
      <c r="AQ154" s="169"/>
      <c r="AR154" s="169"/>
      <c r="AS154" s="169"/>
      <c r="AT154" s="169"/>
      <c r="AU154" s="169"/>
      <c r="AV154" s="169"/>
      <c r="AW154" s="169"/>
      <c r="AX154" s="169"/>
      <c r="AY154" s="169"/>
      <c r="AZ154" s="169"/>
      <c r="BA154" s="169"/>
      <c r="BB154" s="169"/>
      <c r="BC154" s="169"/>
      <c r="BD154" s="169"/>
      <c r="BE154" s="169"/>
      <c r="BF154" s="169"/>
      <c r="BG154" s="169"/>
      <c r="BH154" s="169"/>
      <c r="BI154" s="169"/>
      <c r="BJ154" s="169"/>
      <c r="BK154" s="169"/>
      <c r="BL154" s="169"/>
      <c r="BM154" s="169"/>
      <c r="BN154" s="169"/>
      <c r="BO154" s="169"/>
      <c r="BP154" s="169"/>
      <c r="BQ154" s="169"/>
      <c r="BR154" s="169"/>
      <c r="BS154" s="169"/>
      <c r="BT154" s="169"/>
      <c r="BU154" s="169"/>
      <c r="BV154" s="169"/>
      <c r="BW154" s="169"/>
      <c r="BX154" s="169"/>
      <c r="BY154" s="169"/>
      <c r="BZ154" s="169"/>
    </row>
    <row r="155" spans="12:78" customFormat="1" ht="11.25" customHeight="1">
      <c r="L155" s="20"/>
      <c r="M155" s="509" t="s">
        <v>977</v>
      </c>
      <c r="N155" s="544" t="s">
        <v>978</v>
      </c>
      <c r="O155" s="420" t="s">
        <v>195</v>
      </c>
      <c r="AB155" s="251"/>
      <c r="AC155" s="251"/>
      <c r="AD155" s="251"/>
      <c r="AE155" s="247">
        <f t="shared" si="7"/>
        <v>0</v>
      </c>
      <c r="AF155" s="221"/>
      <c r="AG155" s="221"/>
      <c r="AH155" s="169"/>
      <c r="AI155" s="169"/>
      <c r="AJ155" s="169"/>
      <c r="AK155" s="169"/>
      <c r="AL155" s="169"/>
      <c r="AM155" s="169"/>
      <c r="AN155" s="169"/>
      <c r="AO155" s="169"/>
      <c r="AP155" s="169"/>
      <c r="AQ155" s="169"/>
      <c r="AR155" s="169"/>
      <c r="AS155" s="169"/>
      <c r="AT155" s="169"/>
      <c r="AU155" s="169"/>
      <c r="AV155" s="169"/>
      <c r="AW155" s="169"/>
      <c r="AX155" s="169"/>
      <c r="AY155" s="169"/>
      <c r="AZ155" s="169"/>
      <c r="BA155" s="169"/>
      <c r="BB155" s="169"/>
      <c r="BC155" s="169"/>
      <c r="BD155" s="169"/>
      <c r="BE155" s="169"/>
      <c r="BF155" s="169"/>
      <c r="BG155" s="169"/>
      <c r="BH155" s="169"/>
      <c r="BI155" s="169"/>
      <c r="BJ155" s="169"/>
      <c r="BK155" s="169"/>
      <c r="BL155" s="169"/>
      <c r="BM155" s="169"/>
      <c r="BN155" s="169"/>
      <c r="BO155" s="169"/>
      <c r="BP155" s="169"/>
      <c r="BQ155" s="169"/>
      <c r="BR155" s="169"/>
      <c r="BS155" s="169"/>
      <c r="BT155" s="169"/>
      <c r="BU155" s="169"/>
      <c r="BV155" s="169"/>
      <c r="BW155" s="169"/>
      <c r="BX155" s="169"/>
      <c r="BY155" s="169"/>
      <c r="BZ155" s="169"/>
    </row>
    <row r="156" spans="12:78" customFormat="1" ht="11.25" customHeight="1">
      <c r="L156" s="20"/>
      <c r="M156" s="509" t="s">
        <v>979</v>
      </c>
      <c r="N156" s="544" t="s">
        <v>980</v>
      </c>
      <c r="O156" s="420" t="s">
        <v>195</v>
      </c>
      <c r="AB156" s="251"/>
      <c r="AC156" s="251"/>
      <c r="AD156" s="251"/>
      <c r="AE156" s="247">
        <f t="shared" si="7"/>
        <v>0</v>
      </c>
      <c r="AF156" s="221"/>
      <c r="AG156" s="221"/>
      <c r="AH156" s="169"/>
      <c r="AI156" s="169"/>
      <c r="AJ156" s="169"/>
      <c r="AK156" s="169"/>
      <c r="AL156" s="169"/>
      <c r="AM156" s="169"/>
      <c r="AN156" s="169"/>
      <c r="AO156" s="169"/>
      <c r="AP156" s="169"/>
      <c r="AQ156" s="169"/>
      <c r="AR156" s="169"/>
      <c r="AS156" s="169"/>
      <c r="AT156" s="169"/>
      <c r="AU156" s="169"/>
      <c r="AV156" s="169"/>
      <c r="AW156" s="169"/>
      <c r="AX156" s="169"/>
      <c r="AY156" s="169"/>
      <c r="AZ156" s="169"/>
      <c r="BA156" s="169"/>
      <c r="BB156" s="169"/>
      <c r="BC156" s="169"/>
      <c r="BD156" s="169"/>
      <c r="BE156" s="169"/>
      <c r="BF156" s="169"/>
      <c r="BG156" s="169"/>
      <c r="BH156" s="169"/>
      <c r="BI156" s="169"/>
      <c r="BJ156" s="169"/>
      <c r="BK156" s="169"/>
      <c r="BL156" s="169"/>
      <c r="BM156" s="169"/>
      <c r="BN156" s="169"/>
      <c r="BO156" s="169"/>
      <c r="BP156" s="169"/>
      <c r="BQ156" s="169"/>
      <c r="BR156" s="169"/>
      <c r="BS156" s="169"/>
      <c r="BT156" s="169"/>
      <c r="BU156" s="169"/>
      <c r="BV156" s="169"/>
      <c r="BW156" s="169"/>
      <c r="BX156" s="169"/>
      <c r="BY156" s="169"/>
      <c r="BZ156" s="169"/>
    </row>
    <row r="157" spans="12:78" customFormat="1" ht="11.25" customHeight="1">
      <c r="L157" s="20"/>
      <c r="M157" s="509" t="s">
        <v>981</v>
      </c>
      <c r="N157" s="544" t="s">
        <v>982</v>
      </c>
      <c r="O157" s="420" t="s">
        <v>195</v>
      </c>
      <c r="AB157" s="251"/>
      <c r="AC157" s="251"/>
      <c r="AD157" s="251"/>
      <c r="AE157" s="247">
        <f t="shared" si="7"/>
        <v>0</v>
      </c>
      <c r="AF157" s="221"/>
      <c r="AG157" s="221"/>
      <c r="AH157" s="169"/>
      <c r="AI157" s="169"/>
      <c r="AJ157" s="169"/>
      <c r="AK157" s="169"/>
      <c r="AL157" s="169"/>
      <c r="AM157" s="169"/>
      <c r="AN157" s="169"/>
      <c r="AO157" s="169"/>
      <c r="AP157" s="169"/>
      <c r="AQ157" s="169"/>
      <c r="AR157" s="169"/>
      <c r="AS157" s="169"/>
      <c r="AT157" s="169"/>
      <c r="AU157" s="169"/>
      <c r="AV157" s="169"/>
      <c r="AW157" s="169"/>
      <c r="AX157" s="169"/>
      <c r="AY157" s="169"/>
      <c r="AZ157" s="169"/>
      <c r="BA157" s="169"/>
      <c r="BB157" s="169"/>
      <c r="BC157" s="169"/>
      <c r="BD157" s="169"/>
      <c r="BE157" s="169"/>
      <c r="BF157" s="169"/>
      <c r="BG157" s="169"/>
      <c r="BH157" s="169"/>
      <c r="BI157" s="169"/>
      <c r="BJ157" s="169"/>
      <c r="BK157" s="169"/>
      <c r="BL157" s="169"/>
      <c r="BM157" s="169"/>
      <c r="BN157" s="169"/>
      <c r="BO157" s="169"/>
      <c r="BP157" s="169"/>
      <c r="BQ157" s="169"/>
      <c r="BR157" s="169"/>
      <c r="BS157" s="169"/>
      <c r="BT157" s="169"/>
      <c r="BU157" s="169"/>
      <c r="BV157" s="169"/>
      <c r="BW157" s="169"/>
      <c r="BX157" s="169"/>
      <c r="BY157" s="169"/>
      <c r="BZ157" s="169"/>
    </row>
    <row r="158" spans="12:78" customFormat="1" ht="11.25" customHeight="1">
      <c r="L158" s="20"/>
      <c r="M158" s="509" t="s">
        <v>172</v>
      </c>
      <c r="N158" s="546" t="s">
        <v>983</v>
      </c>
      <c r="O158" s="420" t="s">
        <v>195</v>
      </c>
      <c r="AB158" s="251"/>
      <c r="AC158" s="251"/>
      <c r="AD158" s="251"/>
      <c r="AE158" s="247">
        <f t="shared" si="7"/>
        <v>0</v>
      </c>
      <c r="AF158" s="244">
        <f>SUM(AF159,AF170)</f>
        <v>0</v>
      </c>
      <c r="AG158" s="244">
        <f>SUM(AG159,AG170)</f>
        <v>0</v>
      </c>
      <c r="AH158" s="169"/>
      <c r="AI158" s="169"/>
      <c r="AJ158" s="169"/>
      <c r="AK158" s="169"/>
      <c r="AL158" s="169"/>
      <c r="AM158" s="169"/>
      <c r="AN158" s="169"/>
      <c r="AO158" s="169"/>
      <c r="AP158" s="169"/>
      <c r="AQ158" s="169"/>
      <c r="AR158" s="169"/>
      <c r="AS158" s="169"/>
      <c r="AT158" s="169"/>
      <c r="AU158" s="169"/>
      <c r="AV158" s="169"/>
      <c r="AW158" s="169"/>
      <c r="AX158" s="169"/>
      <c r="AY158" s="169"/>
      <c r="AZ158" s="169"/>
      <c r="BA158" s="169"/>
      <c r="BB158" s="169"/>
      <c r="BC158" s="169"/>
      <c r="BD158" s="169"/>
      <c r="BE158" s="169"/>
      <c r="BF158" s="169"/>
      <c r="BG158" s="169"/>
      <c r="BH158" s="169"/>
      <c r="BI158" s="169"/>
      <c r="BJ158" s="169"/>
      <c r="BK158" s="169"/>
      <c r="BL158" s="169"/>
      <c r="BM158" s="169"/>
      <c r="BN158" s="169"/>
      <c r="BO158" s="169"/>
      <c r="BP158" s="169"/>
      <c r="BQ158" s="169"/>
      <c r="BR158" s="169"/>
      <c r="BS158" s="169"/>
      <c r="BT158" s="169"/>
      <c r="BU158" s="169"/>
      <c r="BV158" s="169"/>
      <c r="BW158" s="169"/>
      <c r="BX158" s="169"/>
      <c r="BY158" s="169"/>
      <c r="BZ158" s="169"/>
    </row>
    <row r="159" spans="12:78" customFormat="1" ht="11.25" customHeight="1">
      <c r="L159" s="20"/>
      <c r="M159" s="509" t="s">
        <v>514</v>
      </c>
      <c r="N159" s="544" t="s">
        <v>984</v>
      </c>
      <c r="O159" s="420" t="s">
        <v>195</v>
      </c>
      <c r="AB159" s="251"/>
      <c r="AC159" s="251"/>
      <c r="AD159" s="251"/>
      <c r="AE159" s="247">
        <f t="shared" si="7"/>
        <v>0</v>
      </c>
      <c r="AF159" s="221"/>
      <c r="AG159" s="221"/>
      <c r="AH159" s="169"/>
      <c r="AI159" s="169"/>
      <c r="AJ159" s="169"/>
      <c r="AK159" s="169"/>
      <c r="AL159" s="169"/>
      <c r="AM159" s="169"/>
      <c r="AN159" s="169"/>
      <c r="AO159" s="169"/>
      <c r="AP159" s="169"/>
      <c r="AQ159" s="169"/>
      <c r="AR159" s="169"/>
      <c r="AS159" s="169"/>
      <c r="AT159" s="169"/>
      <c r="AU159" s="169"/>
      <c r="AV159" s="169"/>
      <c r="AW159" s="169"/>
      <c r="AX159" s="169"/>
      <c r="AY159" s="169"/>
      <c r="AZ159" s="169"/>
      <c r="BA159" s="169"/>
      <c r="BB159" s="169"/>
      <c r="BC159" s="169"/>
      <c r="BD159" s="169"/>
      <c r="BE159" s="169"/>
      <c r="BF159" s="169"/>
      <c r="BG159" s="169"/>
      <c r="BH159" s="169"/>
      <c r="BI159" s="169"/>
      <c r="BJ159" s="169"/>
      <c r="BK159" s="169"/>
      <c r="BL159" s="169"/>
      <c r="BM159" s="169"/>
      <c r="BN159" s="169"/>
      <c r="BO159" s="169"/>
      <c r="BP159" s="169"/>
      <c r="BQ159" s="169"/>
      <c r="BR159" s="169"/>
      <c r="BS159" s="169"/>
      <c r="BT159" s="169"/>
      <c r="BU159" s="169"/>
      <c r="BV159" s="169"/>
      <c r="BW159" s="169"/>
      <c r="BX159" s="169"/>
      <c r="BY159" s="169"/>
      <c r="BZ159" s="169"/>
    </row>
    <row r="160" spans="12:78" customFormat="1" ht="11.25" customHeight="1">
      <c r="L160" s="20"/>
      <c r="M160" s="510" t="s">
        <v>985</v>
      </c>
      <c r="N160" s="534" t="s">
        <v>921</v>
      </c>
      <c r="O160" s="420" t="s">
        <v>289</v>
      </c>
      <c r="AB160" s="251"/>
      <c r="AC160" s="251"/>
      <c r="AD160" s="251"/>
      <c r="AE160" s="221"/>
      <c r="AF160" s="221"/>
      <c r="AG160" s="221"/>
      <c r="AH160" s="169"/>
      <c r="AI160" s="169"/>
      <c r="AJ160" s="169"/>
      <c r="AK160" s="169"/>
      <c r="AL160" s="169"/>
      <c r="AM160" s="169"/>
      <c r="AN160" s="169"/>
      <c r="AO160" s="169"/>
      <c r="AP160" s="169"/>
      <c r="AQ160" s="169"/>
      <c r="AR160" s="169"/>
      <c r="AS160" s="169"/>
      <c r="AT160" s="169"/>
      <c r="AU160" s="169"/>
      <c r="AV160" s="169"/>
      <c r="AW160" s="169"/>
      <c r="AX160" s="169"/>
      <c r="AY160" s="169"/>
      <c r="AZ160" s="169"/>
      <c r="BA160" s="169"/>
      <c r="BB160" s="169"/>
      <c r="BC160" s="169"/>
      <c r="BD160" s="169"/>
      <c r="BE160" s="169"/>
      <c r="BF160" s="169"/>
      <c r="BG160" s="169"/>
      <c r="BH160" s="169"/>
      <c r="BI160" s="169"/>
      <c r="BJ160" s="169"/>
      <c r="BK160" s="169"/>
      <c r="BL160" s="169"/>
      <c r="BM160" s="169"/>
      <c r="BN160" s="169"/>
      <c r="BO160" s="169"/>
      <c r="BP160" s="169"/>
      <c r="BQ160" s="169"/>
      <c r="BR160" s="169"/>
      <c r="BS160" s="169"/>
      <c r="BT160" s="169"/>
      <c r="BU160" s="169"/>
      <c r="BV160" s="169"/>
      <c r="BW160" s="169"/>
      <c r="BX160" s="169"/>
      <c r="BY160" s="169"/>
      <c r="BZ160" s="169"/>
    </row>
    <row r="161" spans="12:78" customFormat="1" ht="11.25" customHeight="1">
      <c r="L161" s="20"/>
      <c r="M161" s="510" t="s">
        <v>986</v>
      </c>
      <c r="N161" s="548" t="s">
        <v>1037</v>
      </c>
      <c r="O161" s="420" t="s">
        <v>29</v>
      </c>
      <c r="AB161" s="251"/>
      <c r="AC161" s="251"/>
      <c r="AD161" s="251"/>
      <c r="AE161" s="244">
        <f>IF(AE160=0,0,AE159/AE160*1000/AE$6)</f>
        <v>0</v>
      </c>
      <c r="AF161" s="244">
        <f>IF(AF160=0,0,AF159/AF160*1000/AF$6)</f>
        <v>0</v>
      </c>
      <c r="AG161" s="244">
        <f>IF(AG160=0,0,AG159/AG160*1000/AG$6)</f>
        <v>0</v>
      </c>
      <c r="AH161" s="169"/>
      <c r="AI161" s="169"/>
      <c r="AJ161" s="169"/>
      <c r="AK161" s="169"/>
      <c r="AL161" s="169"/>
      <c r="AM161" s="169"/>
      <c r="AN161" s="169"/>
      <c r="AO161" s="169"/>
      <c r="AP161" s="169"/>
      <c r="AQ161" s="169"/>
      <c r="AR161" s="169"/>
      <c r="AS161" s="169"/>
      <c r="AT161" s="169"/>
      <c r="AU161" s="169"/>
      <c r="AV161" s="169"/>
      <c r="AW161" s="169"/>
      <c r="AX161" s="169"/>
      <c r="AY161" s="169"/>
      <c r="AZ161" s="169"/>
      <c r="BA161" s="169"/>
      <c r="BB161" s="169"/>
      <c r="BC161" s="169"/>
      <c r="BD161" s="169"/>
      <c r="BE161" s="169"/>
      <c r="BF161" s="169"/>
      <c r="BG161" s="169"/>
      <c r="BH161" s="169"/>
      <c r="BI161" s="169"/>
      <c r="BJ161" s="169"/>
      <c r="BK161" s="169"/>
      <c r="BL161" s="169"/>
      <c r="BM161" s="169"/>
      <c r="BN161" s="169"/>
      <c r="BO161" s="169"/>
      <c r="BP161" s="169"/>
      <c r="BQ161" s="169"/>
      <c r="BR161" s="169"/>
      <c r="BS161" s="169"/>
      <c r="BT161" s="169"/>
      <c r="BU161" s="169"/>
      <c r="BV161" s="169"/>
      <c r="BW161" s="169"/>
      <c r="BX161" s="169"/>
      <c r="BY161" s="169"/>
      <c r="BZ161" s="169"/>
    </row>
    <row r="162" spans="12:78" customFormat="1" ht="11.25" customHeight="1">
      <c r="L162" s="20"/>
      <c r="M162" s="510" t="s">
        <v>987</v>
      </c>
      <c r="N162" s="549" t="s">
        <v>1198</v>
      </c>
      <c r="O162" s="420" t="s">
        <v>289</v>
      </c>
      <c r="AB162" s="251"/>
      <c r="AC162" s="251"/>
      <c r="AD162" s="251"/>
      <c r="AE162" s="221"/>
      <c r="AF162" s="221"/>
      <c r="AG162" s="221"/>
      <c r="AH162" s="169"/>
      <c r="AI162" s="169"/>
      <c r="AJ162" s="169"/>
      <c r="AK162" s="169"/>
      <c r="AL162" s="169"/>
      <c r="AM162" s="169"/>
      <c r="AN162" s="169"/>
      <c r="AO162" s="169"/>
      <c r="AP162" s="169"/>
      <c r="AQ162" s="169"/>
      <c r="AR162" s="169"/>
      <c r="AS162" s="169"/>
      <c r="AT162" s="169"/>
      <c r="AU162" s="169"/>
      <c r="AV162" s="169"/>
      <c r="AW162" s="169"/>
      <c r="AX162" s="169"/>
      <c r="AY162" s="169"/>
      <c r="AZ162" s="169"/>
      <c r="BA162" s="169"/>
      <c r="BB162" s="169"/>
      <c r="BC162" s="169"/>
      <c r="BD162" s="169"/>
      <c r="BE162" s="169"/>
      <c r="BF162" s="169"/>
      <c r="BG162" s="169"/>
      <c r="BH162" s="169"/>
      <c r="BI162" s="169"/>
      <c r="BJ162" s="169"/>
      <c r="BK162" s="169"/>
      <c r="BL162" s="169"/>
      <c r="BM162" s="169"/>
      <c r="BN162" s="169"/>
      <c r="BO162" s="169"/>
      <c r="BP162" s="169"/>
      <c r="BQ162" s="169"/>
      <c r="BR162" s="169"/>
      <c r="BS162" s="169"/>
      <c r="BT162" s="169"/>
      <c r="BU162" s="169"/>
      <c r="BV162" s="169"/>
      <c r="BW162" s="169"/>
      <c r="BX162" s="169"/>
      <c r="BY162" s="169"/>
      <c r="BZ162" s="169"/>
    </row>
    <row r="163" spans="12:78" customFormat="1" ht="11.25" customHeight="1">
      <c r="L163" s="20"/>
      <c r="M163" s="510" t="s">
        <v>988</v>
      </c>
      <c r="N163" s="537" t="s">
        <v>1199</v>
      </c>
      <c r="O163" s="420" t="s">
        <v>289</v>
      </c>
      <c r="AB163" s="251"/>
      <c r="AC163" s="251"/>
      <c r="AD163" s="251"/>
      <c r="AE163" s="221"/>
      <c r="AF163" s="221"/>
      <c r="AG163" s="221"/>
      <c r="AH163" s="169"/>
      <c r="AI163" s="169"/>
      <c r="AJ163" s="169"/>
      <c r="AK163" s="169"/>
      <c r="AL163" s="169"/>
      <c r="AM163" s="169"/>
      <c r="AN163" s="169"/>
      <c r="AO163" s="169"/>
      <c r="AP163" s="169"/>
      <c r="AQ163" s="169"/>
      <c r="AR163" s="169"/>
      <c r="AS163" s="169"/>
      <c r="AT163" s="169"/>
      <c r="AU163" s="169"/>
      <c r="AV163" s="169"/>
      <c r="AW163" s="169"/>
      <c r="AX163" s="169"/>
      <c r="AY163" s="169"/>
      <c r="AZ163" s="169"/>
      <c r="BA163" s="169"/>
      <c r="BB163" s="169"/>
      <c r="BC163" s="169"/>
      <c r="BD163" s="169"/>
      <c r="BE163" s="169"/>
      <c r="BF163" s="169"/>
      <c r="BG163" s="169"/>
      <c r="BH163" s="169"/>
      <c r="BI163" s="169"/>
      <c r="BJ163" s="169"/>
      <c r="BK163" s="169"/>
      <c r="BL163" s="169"/>
      <c r="BM163" s="169"/>
      <c r="BN163" s="169"/>
      <c r="BO163" s="169"/>
      <c r="BP163" s="169"/>
      <c r="BQ163" s="169"/>
      <c r="BR163" s="169"/>
      <c r="BS163" s="169"/>
      <c r="BT163" s="169"/>
      <c r="BU163" s="169"/>
      <c r="BV163" s="169"/>
      <c r="BW163" s="169"/>
      <c r="BX163" s="169"/>
      <c r="BY163" s="169"/>
      <c r="BZ163" s="169"/>
    </row>
    <row r="164" spans="12:78" customFormat="1" ht="11.25" customHeight="1">
      <c r="L164" s="20"/>
      <c r="M164" s="510" t="s">
        <v>989</v>
      </c>
      <c r="N164" s="527" t="s">
        <v>33</v>
      </c>
      <c r="O164" s="420" t="s">
        <v>29</v>
      </c>
      <c r="AB164" s="251"/>
      <c r="AC164" s="251"/>
      <c r="AD164" s="251"/>
      <c r="AE164" s="142"/>
      <c r="AF164" s="221"/>
      <c r="AG164" s="221"/>
      <c r="AH164" s="169"/>
      <c r="AI164" s="169"/>
      <c r="AJ164" s="169"/>
      <c r="AK164" s="169"/>
      <c r="AL164" s="169"/>
      <c r="AM164" s="169"/>
      <c r="AN164" s="169"/>
      <c r="AO164" s="169"/>
      <c r="AP164" s="169"/>
      <c r="AQ164" s="169"/>
      <c r="AR164" s="169"/>
      <c r="AS164" s="169"/>
      <c r="AT164" s="169"/>
      <c r="AU164" s="169"/>
      <c r="AV164" s="169"/>
      <c r="AW164" s="169"/>
      <c r="AX164" s="169"/>
      <c r="AY164" s="169"/>
      <c r="AZ164" s="169"/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169"/>
    </row>
    <row r="165" spans="12:78" customFormat="1" ht="11.25" customHeight="1">
      <c r="L165" s="20"/>
      <c r="M165" s="510" t="s">
        <v>990</v>
      </c>
      <c r="N165" s="550" t="s">
        <v>927</v>
      </c>
      <c r="O165" s="420"/>
      <c r="AB165" s="251"/>
      <c r="AC165" s="251"/>
      <c r="AD165" s="251"/>
      <c r="AE165" s="142"/>
      <c r="AF165" s="221"/>
      <c r="AG165" s="221"/>
      <c r="AH165" s="169"/>
      <c r="AI165" s="169"/>
      <c r="AJ165" s="169"/>
      <c r="AK165" s="169"/>
      <c r="AL165" s="169"/>
      <c r="AM165" s="169"/>
      <c r="AN165" s="169"/>
      <c r="AO165" s="169"/>
      <c r="AP165" s="169"/>
      <c r="AQ165" s="169"/>
      <c r="AR165" s="169"/>
      <c r="AS165" s="169"/>
      <c r="AT165" s="169"/>
      <c r="AU165" s="169"/>
      <c r="AV165" s="169"/>
      <c r="AW165" s="169"/>
      <c r="AX165" s="169"/>
      <c r="AY165" s="169"/>
      <c r="AZ165" s="169"/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169"/>
    </row>
    <row r="166" spans="12:78" customFormat="1" ht="11.25" customHeight="1">
      <c r="L166" s="20"/>
      <c r="M166" s="510" t="s">
        <v>991</v>
      </c>
      <c r="N166" s="527" t="s">
        <v>929</v>
      </c>
      <c r="O166" s="420" t="s">
        <v>29</v>
      </c>
      <c r="AB166" s="251"/>
      <c r="AC166" s="251"/>
      <c r="AD166" s="251"/>
      <c r="AE166" s="142"/>
      <c r="AF166" s="221"/>
      <c r="AG166" s="221"/>
      <c r="AH166" s="169"/>
      <c r="AI166" s="169"/>
      <c r="AJ166" s="169"/>
      <c r="AK166" s="169"/>
      <c r="AL166" s="169"/>
      <c r="AM166" s="169"/>
      <c r="AN166" s="169"/>
      <c r="AO166" s="169"/>
      <c r="AP166" s="169"/>
      <c r="AQ166" s="169"/>
      <c r="AR166" s="169"/>
      <c r="AS166" s="169"/>
      <c r="AT166" s="169"/>
      <c r="AU166" s="169"/>
      <c r="AV166" s="169"/>
      <c r="AW166" s="169"/>
      <c r="AX166" s="169"/>
      <c r="AY166" s="169"/>
      <c r="AZ166" s="169"/>
      <c r="BA166" s="169"/>
      <c r="BB166" s="169"/>
      <c r="BC166" s="169"/>
      <c r="BD166" s="169"/>
      <c r="BE166" s="169"/>
      <c r="BF166" s="169"/>
      <c r="BG166" s="169"/>
      <c r="BH166" s="169"/>
      <c r="BI166" s="169"/>
      <c r="BJ166" s="169"/>
      <c r="BK166" s="169"/>
      <c r="BL166" s="169"/>
      <c r="BM166" s="169"/>
      <c r="BN166" s="169"/>
      <c r="BO166" s="169"/>
      <c r="BP166" s="169"/>
      <c r="BQ166" s="169"/>
      <c r="BR166" s="169"/>
      <c r="BS166" s="169"/>
      <c r="BT166" s="169"/>
      <c r="BU166" s="169"/>
      <c r="BV166" s="169"/>
      <c r="BW166" s="169"/>
      <c r="BX166" s="169"/>
      <c r="BY166" s="169"/>
      <c r="BZ166" s="169"/>
    </row>
    <row r="167" spans="12:78" customFormat="1" ht="11.25" customHeight="1">
      <c r="L167" s="20"/>
      <c r="M167" s="510" t="s">
        <v>992</v>
      </c>
      <c r="N167" s="551" t="s">
        <v>931</v>
      </c>
      <c r="O167" s="420"/>
      <c r="AB167" s="251"/>
      <c r="AC167" s="251"/>
      <c r="AD167" s="251"/>
      <c r="AE167" s="142"/>
      <c r="AF167" s="221"/>
      <c r="AG167" s="221"/>
      <c r="AH167" s="169"/>
      <c r="AI167" s="169"/>
      <c r="AJ167" s="169"/>
      <c r="AK167" s="169"/>
      <c r="AL167" s="169"/>
      <c r="AM167" s="169"/>
      <c r="AN167" s="169"/>
      <c r="AO167" s="169"/>
      <c r="AP167" s="169"/>
      <c r="AQ167" s="169"/>
      <c r="AR167" s="169"/>
      <c r="AS167" s="169"/>
      <c r="AT167" s="169"/>
      <c r="AU167" s="169"/>
      <c r="AV167" s="169"/>
      <c r="AW167" s="169"/>
      <c r="AX167" s="169"/>
      <c r="AY167" s="169"/>
      <c r="AZ167" s="169"/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169"/>
    </row>
    <row r="168" spans="12:78" customFormat="1" ht="11.25" customHeight="1">
      <c r="L168" s="20"/>
      <c r="M168" s="510" t="s">
        <v>993</v>
      </c>
      <c r="N168" s="552" t="s">
        <v>933</v>
      </c>
      <c r="O168" s="420" t="s">
        <v>29</v>
      </c>
      <c r="AB168" s="251"/>
      <c r="AC168" s="251"/>
      <c r="AD168" s="251"/>
      <c r="AE168" s="142"/>
      <c r="AF168" s="221"/>
      <c r="AG168" s="221"/>
      <c r="AH168" s="169"/>
      <c r="AI168" s="169"/>
      <c r="AJ168" s="169"/>
      <c r="AK168" s="169"/>
      <c r="AL168" s="169"/>
      <c r="AM168" s="169"/>
      <c r="AN168" s="169"/>
      <c r="AO168" s="169"/>
      <c r="AP168" s="169"/>
      <c r="AQ168" s="169"/>
      <c r="AR168" s="169"/>
      <c r="AS168" s="169"/>
      <c r="AT168" s="169"/>
      <c r="AU168" s="169"/>
      <c r="AV168" s="169"/>
      <c r="AW168" s="169"/>
      <c r="AX168" s="169"/>
      <c r="AY168" s="169"/>
      <c r="AZ168" s="169"/>
      <c r="BA168" s="169"/>
      <c r="BB168" s="169"/>
      <c r="BC168" s="169"/>
      <c r="BD168" s="169"/>
      <c r="BE168" s="169"/>
      <c r="BF168" s="169"/>
      <c r="BG168" s="169"/>
      <c r="BH168" s="169"/>
      <c r="BI168" s="169"/>
      <c r="BJ168" s="169"/>
      <c r="BK168" s="169"/>
      <c r="BL168" s="169"/>
      <c r="BM168" s="169"/>
      <c r="BN168" s="169"/>
      <c r="BO168" s="169"/>
      <c r="BP168" s="169"/>
      <c r="BQ168" s="169"/>
      <c r="BR168" s="169"/>
      <c r="BS168" s="169"/>
      <c r="BT168" s="169"/>
      <c r="BU168" s="169"/>
      <c r="BV168" s="169"/>
      <c r="BW168" s="169"/>
      <c r="BX168" s="169"/>
      <c r="BY168" s="169"/>
      <c r="BZ168" s="169"/>
    </row>
    <row r="169" spans="12:78" customFormat="1" ht="11.25" customHeight="1">
      <c r="L169" s="20"/>
      <c r="M169" s="510" t="s">
        <v>994</v>
      </c>
      <c r="N169" s="553" t="s">
        <v>935</v>
      </c>
      <c r="O169" s="420" t="s">
        <v>29</v>
      </c>
      <c r="AB169" s="251"/>
      <c r="AC169" s="251"/>
      <c r="AD169" s="251"/>
      <c r="AE169" s="142"/>
      <c r="AF169" s="221"/>
      <c r="AG169" s="221"/>
      <c r="AH169" s="169"/>
      <c r="AI169" s="169"/>
      <c r="AJ169" s="169"/>
      <c r="AK169" s="169"/>
      <c r="AL169" s="169"/>
      <c r="AM169" s="169"/>
      <c r="AN169" s="169"/>
      <c r="AO169" s="169"/>
      <c r="AP169" s="169"/>
      <c r="AQ169" s="169"/>
      <c r="AR169" s="169"/>
      <c r="AS169" s="169"/>
      <c r="AT169" s="169"/>
      <c r="AU169" s="169"/>
      <c r="AV169" s="169"/>
      <c r="AW169" s="169"/>
      <c r="AX169" s="169"/>
      <c r="AY169" s="169"/>
      <c r="AZ169" s="169"/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169"/>
    </row>
    <row r="170" spans="12:78" customFormat="1" ht="11.25" customHeight="1">
      <c r="L170" s="20"/>
      <c r="M170" s="509" t="s">
        <v>995</v>
      </c>
      <c r="N170" s="542" t="s">
        <v>996</v>
      </c>
      <c r="O170" s="420" t="s">
        <v>195</v>
      </c>
      <c r="AB170" s="251"/>
      <c r="AC170" s="251"/>
      <c r="AD170" s="251"/>
      <c r="AE170" s="247">
        <f t="shared" ref="AE170:AE201" si="8">AF170+AG170</f>
        <v>0</v>
      </c>
      <c r="AF170" s="221"/>
      <c r="AG170" s="221"/>
      <c r="AH170" s="169"/>
      <c r="AI170" s="169"/>
      <c r="AJ170" s="169"/>
      <c r="AK170" s="169"/>
      <c r="AL170" s="169"/>
      <c r="AM170" s="169"/>
      <c r="AN170" s="169"/>
      <c r="AO170" s="169"/>
      <c r="AP170" s="169"/>
      <c r="AQ170" s="169"/>
      <c r="AR170" s="169"/>
      <c r="AS170" s="169"/>
      <c r="AT170" s="169"/>
      <c r="AU170" s="169"/>
      <c r="AV170" s="169"/>
      <c r="AW170" s="169"/>
      <c r="AX170" s="169"/>
      <c r="AY170" s="169"/>
      <c r="AZ170" s="169"/>
      <c r="BA170" s="169"/>
      <c r="BB170" s="169"/>
      <c r="BC170" s="169"/>
      <c r="BD170" s="169"/>
      <c r="BE170" s="169"/>
      <c r="BF170" s="169"/>
      <c r="BG170" s="169"/>
      <c r="BH170" s="169"/>
      <c r="BI170" s="169"/>
      <c r="BJ170" s="169"/>
      <c r="BK170" s="169"/>
      <c r="BL170" s="169"/>
      <c r="BM170" s="169"/>
      <c r="BN170" s="169"/>
      <c r="BO170" s="169"/>
      <c r="BP170" s="169"/>
      <c r="BQ170" s="169"/>
      <c r="BR170" s="169"/>
      <c r="BS170" s="169"/>
      <c r="BT170" s="169"/>
      <c r="BU170" s="169"/>
      <c r="BV170" s="169"/>
      <c r="BW170" s="169"/>
      <c r="BX170" s="169"/>
      <c r="BY170" s="169"/>
      <c r="BZ170" s="169"/>
    </row>
    <row r="171" spans="12:78" customFormat="1" ht="11.25" customHeight="1">
      <c r="L171" s="20"/>
      <c r="M171" s="509" t="s">
        <v>173</v>
      </c>
      <c r="N171" s="546" t="s">
        <v>997</v>
      </c>
      <c r="O171" s="420" t="s">
        <v>195</v>
      </c>
      <c r="AB171" s="251"/>
      <c r="AC171" s="251"/>
      <c r="AD171" s="251"/>
      <c r="AE171" s="247">
        <f t="shared" si="8"/>
        <v>0</v>
      </c>
      <c r="AF171" s="221"/>
      <c r="AG171" s="221"/>
      <c r="AH171" s="169"/>
      <c r="AI171" s="169"/>
      <c r="AJ171" s="169"/>
      <c r="AK171" s="169"/>
      <c r="AL171" s="169"/>
      <c r="AM171" s="169"/>
      <c r="AN171" s="169"/>
      <c r="AO171" s="169"/>
      <c r="AP171" s="169"/>
      <c r="AQ171" s="169"/>
      <c r="AR171" s="169"/>
      <c r="AS171" s="169"/>
      <c r="AT171" s="169"/>
      <c r="AU171" s="169"/>
      <c r="AV171" s="169"/>
      <c r="AW171" s="169"/>
      <c r="AX171" s="169"/>
      <c r="AY171" s="169"/>
      <c r="AZ171" s="169"/>
      <c r="BA171" s="169"/>
      <c r="BB171" s="169"/>
      <c r="BC171" s="169"/>
      <c r="BD171" s="169"/>
      <c r="BE171" s="169"/>
      <c r="BF171" s="169"/>
      <c r="BG171" s="169"/>
      <c r="BH171" s="169"/>
      <c r="BI171" s="169"/>
      <c r="BJ171" s="169"/>
      <c r="BK171" s="169"/>
      <c r="BL171" s="169"/>
      <c r="BM171" s="169"/>
      <c r="BN171" s="169"/>
      <c r="BO171" s="169"/>
      <c r="BP171" s="169"/>
      <c r="BQ171" s="169"/>
      <c r="BR171" s="169"/>
      <c r="BS171" s="169"/>
      <c r="BT171" s="169"/>
      <c r="BU171" s="169"/>
      <c r="BV171" s="169"/>
      <c r="BW171" s="169"/>
      <c r="BX171" s="169"/>
      <c r="BY171" s="169"/>
      <c r="BZ171" s="169"/>
    </row>
    <row r="172" spans="12:78" customFormat="1" ht="11.25" customHeight="1">
      <c r="L172" s="20"/>
      <c r="M172" s="509" t="s">
        <v>174</v>
      </c>
      <c r="N172" s="546" t="s">
        <v>998</v>
      </c>
      <c r="O172" s="420" t="s">
        <v>195</v>
      </c>
      <c r="AB172" s="251"/>
      <c r="AC172" s="251"/>
      <c r="AD172" s="251"/>
      <c r="AE172" s="247">
        <f t="shared" si="8"/>
        <v>0</v>
      </c>
      <c r="AF172" s="221"/>
      <c r="AG172" s="221"/>
      <c r="AH172" s="169"/>
      <c r="AI172" s="169"/>
      <c r="AJ172" s="169"/>
      <c r="AK172" s="169"/>
      <c r="AL172" s="169"/>
      <c r="AM172" s="169"/>
      <c r="AN172" s="169"/>
      <c r="AO172" s="169"/>
      <c r="AP172" s="169"/>
      <c r="AQ172" s="169"/>
      <c r="AR172" s="169"/>
      <c r="AS172" s="169"/>
      <c r="AT172" s="169"/>
      <c r="AU172" s="169"/>
      <c r="AV172" s="169"/>
      <c r="AW172" s="169"/>
      <c r="AX172" s="169"/>
      <c r="AY172" s="169"/>
      <c r="AZ172" s="169"/>
      <c r="BA172" s="169"/>
      <c r="BB172" s="169"/>
      <c r="BC172" s="169"/>
      <c r="BD172" s="169"/>
      <c r="BE172" s="169"/>
      <c r="BF172" s="169"/>
      <c r="BG172" s="169"/>
      <c r="BH172" s="169"/>
      <c r="BI172" s="169"/>
      <c r="BJ172" s="169"/>
      <c r="BK172" s="169"/>
      <c r="BL172" s="169"/>
      <c r="BM172" s="169"/>
      <c r="BN172" s="169"/>
      <c r="BO172" s="169"/>
      <c r="BP172" s="169"/>
      <c r="BQ172" s="169"/>
      <c r="BR172" s="169"/>
      <c r="BS172" s="169"/>
      <c r="BT172" s="169"/>
      <c r="BU172" s="169"/>
      <c r="BV172" s="169"/>
      <c r="BW172" s="169"/>
      <c r="BX172" s="169"/>
      <c r="BY172" s="169"/>
      <c r="BZ172" s="169"/>
    </row>
    <row r="173" spans="12:78" customFormat="1" ht="11.25" customHeight="1">
      <c r="L173" s="20"/>
      <c r="M173" s="509" t="s">
        <v>175</v>
      </c>
      <c r="N173" s="546" t="s">
        <v>999</v>
      </c>
      <c r="O173" s="420" t="s">
        <v>195</v>
      </c>
      <c r="AB173" s="251"/>
      <c r="AC173" s="251"/>
      <c r="AD173" s="251"/>
      <c r="AE173" s="247">
        <f t="shared" si="8"/>
        <v>0</v>
      </c>
      <c r="AF173" s="221"/>
      <c r="AG173" s="221"/>
      <c r="AH173" s="169"/>
      <c r="AI173" s="169"/>
      <c r="AJ173" s="169"/>
      <c r="AK173" s="169"/>
      <c r="AL173" s="169"/>
      <c r="AM173" s="169"/>
      <c r="AN173" s="169"/>
      <c r="AO173" s="169"/>
      <c r="AP173" s="169"/>
      <c r="AQ173" s="169"/>
      <c r="AR173" s="169"/>
      <c r="AS173" s="169"/>
      <c r="AT173" s="169"/>
      <c r="AU173" s="169"/>
      <c r="AV173" s="169"/>
      <c r="AW173" s="169"/>
      <c r="AX173" s="169"/>
      <c r="AY173" s="169"/>
      <c r="AZ173" s="169"/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169"/>
    </row>
    <row r="174" spans="12:78" customFormat="1" ht="11.25" customHeight="1">
      <c r="L174" s="20"/>
      <c r="M174" s="509" t="s">
        <v>176</v>
      </c>
      <c r="N174" s="546" t="s">
        <v>1000</v>
      </c>
      <c r="O174" s="420" t="s">
        <v>195</v>
      </c>
      <c r="AB174" s="251"/>
      <c r="AC174" s="251"/>
      <c r="AD174" s="251"/>
      <c r="AE174" s="247">
        <f t="shared" si="8"/>
        <v>0</v>
      </c>
      <c r="AF174" s="221"/>
      <c r="AG174" s="221"/>
      <c r="AH174" s="169"/>
      <c r="AI174" s="169"/>
      <c r="AJ174" s="169"/>
      <c r="AK174" s="169"/>
      <c r="AL174" s="169"/>
      <c r="AM174" s="169"/>
      <c r="AN174" s="169"/>
      <c r="AO174" s="169"/>
      <c r="AP174" s="169"/>
      <c r="AQ174" s="169"/>
      <c r="AR174" s="169"/>
      <c r="AS174" s="169"/>
      <c r="AT174" s="169"/>
      <c r="AU174" s="169"/>
      <c r="AV174" s="169"/>
      <c r="AW174" s="169"/>
      <c r="AX174" s="169"/>
      <c r="AY174" s="169"/>
      <c r="AZ174" s="169"/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169"/>
      <c r="BN174" s="169"/>
      <c r="BO174" s="169"/>
      <c r="BP174" s="169"/>
      <c r="BQ174" s="169"/>
      <c r="BR174" s="169"/>
      <c r="BS174" s="169"/>
      <c r="BT174" s="169"/>
      <c r="BU174" s="169"/>
      <c r="BV174" s="169"/>
      <c r="BW174" s="169"/>
      <c r="BX174" s="169"/>
      <c r="BY174" s="169"/>
      <c r="BZ174" s="169"/>
    </row>
    <row r="175" spans="12:78" customFormat="1" ht="11.25" customHeight="1">
      <c r="L175" s="20"/>
      <c r="M175" s="509" t="s">
        <v>1001</v>
      </c>
      <c r="N175" s="546" t="s">
        <v>1002</v>
      </c>
      <c r="O175" s="420" t="s">
        <v>195</v>
      </c>
      <c r="AB175" s="251"/>
      <c r="AC175" s="251"/>
      <c r="AD175" s="251"/>
      <c r="AE175" s="247">
        <f t="shared" si="8"/>
        <v>0</v>
      </c>
      <c r="AF175" s="221"/>
      <c r="AG175" s="221"/>
      <c r="AH175" s="169"/>
      <c r="AI175" s="169"/>
      <c r="AJ175" s="169"/>
      <c r="AK175" s="169"/>
      <c r="AL175" s="169"/>
      <c r="AM175" s="169"/>
      <c r="AN175" s="169"/>
      <c r="AO175" s="169"/>
      <c r="AP175" s="169"/>
      <c r="AQ175" s="169"/>
      <c r="AR175" s="169"/>
      <c r="AS175" s="169"/>
      <c r="AT175" s="169"/>
      <c r="AU175" s="169"/>
      <c r="AV175" s="169"/>
      <c r="AW175" s="169"/>
      <c r="AX175" s="169"/>
      <c r="AY175" s="169"/>
      <c r="AZ175" s="169"/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169"/>
    </row>
    <row r="176" spans="12:78" customFormat="1" ht="11.25" customHeight="1">
      <c r="L176" s="20"/>
      <c r="M176" s="509" t="s">
        <v>1003</v>
      </c>
      <c r="N176" s="544" t="s">
        <v>1004</v>
      </c>
      <c r="O176" s="420" t="s">
        <v>195</v>
      </c>
      <c r="AB176" s="251"/>
      <c r="AC176" s="251"/>
      <c r="AD176" s="251"/>
      <c r="AE176" s="247">
        <f t="shared" si="8"/>
        <v>0</v>
      </c>
      <c r="AF176" s="221"/>
      <c r="AG176" s="221"/>
      <c r="AH176" s="169"/>
      <c r="AI176" s="169"/>
      <c r="AJ176" s="169"/>
      <c r="AK176" s="169"/>
      <c r="AL176" s="169"/>
      <c r="AM176" s="169"/>
      <c r="AN176" s="169"/>
      <c r="AO176" s="169"/>
      <c r="AP176" s="169"/>
      <c r="AQ176" s="169"/>
      <c r="AR176" s="169"/>
      <c r="AS176" s="169"/>
      <c r="AT176" s="169"/>
      <c r="AU176" s="169"/>
      <c r="AV176" s="169"/>
      <c r="AW176" s="169"/>
      <c r="AX176" s="169"/>
      <c r="AY176" s="169"/>
      <c r="AZ176" s="169"/>
      <c r="BA176" s="169"/>
      <c r="BB176" s="169"/>
      <c r="BC176" s="169"/>
      <c r="BD176" s="169"/>
      <c r="BE176" s="169"/>
      <c r="BF176" s="169"/>
      <c r="BG176" s="169"/>
      <c r="BH176" s="169"/>
      <c r="BI176" s="169"/>
      <c r="BJ176" s="169"/>
      <c r="BK176" s="169"/>
      <c r="BL176" s="169"/>
      <c r="BM176" s="169"/>
      <c r="BN176" s="169"/>
      <c r="BO176" s="169"/>
      <c r="BP176" s="169"/>
      <c r="BQ176" s="169"/>
      <c r="BR176" s="169"/>
      <c r="BS176" s="169"/>
      <c r="BT176" s="169"/>
      <c r="BU176" s="169"/>
      <c r="BV176" s="169"/>
      <c r="BW176" s="169"/>
      <c r="BX176" s="169"/>
      <c r="BY176" s="169"/>
      <c r="BZ176" s="169"/>
    </row>
    <row r="177" spans="12:78" customFormat="1" ht="11.25" customHeight="1">
      <c r="L177" s="20"/>
      <c r="M177" s="509" t="s">
        <v>1005</v>
      </c>
      <c r="N177" s="544" t="s">
        <v>1006</v>
      </c>
      <c r="O177" s="420" t="s">
        <v>195</v>
      </c>
      <c r="AB177" s="251"/>
      <c r="AC177" s="251"/>
      <c r="AD177" s="251"/>
      <c r="AE177" s="247">
        <f t="shared" si="8"/>
        <v>0</v>
      </c>
      <c r="AF177" s="221"/>
      <c r="AG177" s="221"/>
      <c r="AH177" s="169"/>
      <c r="AI177" s="169"/>
      <c r="AJ177" s="169"/>
      <c r="AK177" s="169"/>
      <c r="AL177" s="169"/>
      <c r="AM177" s="169"/>
      <c r="AN177" s="169"/>
      <c r="AO177" s="169"/>
      <c r="AP177" s="169"/>
      <c r="AQ177" s="169"/>
      <c r="AR177" s="169"/>
      <c r="AS177" s="169"/>
      <c r="AT177" s="169"/>
      <c r="AU177" s="169"/>
      <c r="AV177" s="169"/>
      <c r="AW177" s="169"/>
      <c r="AX177" s="169"/>
      <c r="AY177" s="169"/>
      <c r="AZ177" s="169"/>
      <c r="BA177" s="169"/>
      <c r="BB177" s="169"/>
      <c r="BC177" s="169"/>
      <c r="BD177" s="169"/>
      <c r="BE177" s="169"/>
      <c r="BF177" s="169"/>
      <c r="BG177" s="169"/>
      <c r="BH177" s="169"/>
      <c r="BI177" s="169"/>
      <c r="BJ177" s="169"/>
      <c r="BK177" s="169"/>
      <c r="BL177" s="169"/>
      <c r="BM177" s="169"/>
      <c r="BN177" s="169"/>
      <c r="BO177" s="169"/>
      <c r="BP177" s="169"/>
      <c r="BQ177" s="169"/>
      <c r="BR177" s="169"/>
      <c r="BS177" s="169"/>
      <c r="BT177" s="169"/>
      <c r="BU177" s="169"/>
      <c r="BV177" s="169"/>
      <c r="BW177" s="169"/>
      <c r="BX177" s="169"/>
      <c r="BY177" s="169"/>
      <c r="BZ177" s="169"/>
    </row>
    <row r="178" spans="12:78" customFormat="1" ht="11.25" customHeight="1">
      <c r="L178" s="20"/>
      <c r="M178" s="490">
        <v>4</v>
      </c>
      <c r="N178" s="490" t="s">
        <v>1007</v>
      </c>
      <c r="O178" s="420" t="s">
        <v>195</v>
      </c>
      <c r="AB178" s="251"/>
      <c r="AC178" s="251"/>
      <c r="AD178" s="251"/>
      <c r="AE178" s="247">
        <f t="shared" si="8"/>
        <v>0</v>
      </c>
      <c r="AF178" s="221"/>
      <c r="AG178" s="221"/>
      <c r="AH178" s="169"/>
      <c r="AI178" s="169"/>
      <c r="AJ178" s="169"/>
      <c r="AK178" s="169"/>
      <c r="AL178" s="169"/>
      <c r="AM178" s="169"/>
      <c r="AN178" s="169"/>
      <c r="AO178" s="169"/>
      <c r="AP178" s="169"/>
      <c r="AQ178" s="169"/>
      <c r="AR178" s="169"/>
      <c r="AS178" s="169"/>
      <c r="AT178" s="169"/>
      <c r="AU178" s="169"/>
      <c r="AV178" s="169"/>
      <c r="AW178" s="169"/>
      <c r="AX178" s="169"/>
      <c r="AY178" s="169"/>
      <c r="AZ178" s="169"/>
      <c r="BA178" s="169"/>
      <c r="BB178" s="169"/>
      <c r="BC178" s="169"/>
      <c r="BD178" s="169"/>
      <c r="BE178" s="169"/>
      <c r="BF178" s="169"/>
      <c r="BG178" s="169"/>
      <c r="BH178" s="169"/>
      <c r="BI178" s="169"/>
      <c r="BJ178" s="169"/>
      <c r="BK178" s="169"/>
      <c r="BL178" s="169"/>
      <c r="BM178" s="169"/>
      <c r="BN178" s="169"/>
      <c r="BO178" s="169"/>
      <c r="BP178" s="169"/>
      <c r="BQ178" s="169"/>
      <c r="BR178" s="169"/>
      <c r="BS178" s="169"/>
      <c r="BT178" s="169"/>
      <c r="BU178" s="169"/>
      <c r="BV178" s="169"/>
      <c r="BW178" s="169"/>
      <c r="BX178" s="169"/>
      <c r="BY178" s="169"/>
      <c r="BZ178" s="169"/>
    </row>
    <row r="179" spans="12:78" customFormat="1" ht="11.25" customHeight="1">
      <c r="L179" s="20"/>
      <c r="M179" s="509" t="s">
        <v>177</v>
      </c>
      <c r="N179" s="546" t="s">
        <v>1008</v>
      </c>
      <c r="O179" s="420" t="s">
        <v>195</v>
      </c>
      <c r="AB179" s="251"/>
      <c r="AC179" s="251"/>
      <c r="AD179" s="251"/>
      <c r="AE179" s="247">
        <f t="shared" si="8"/>
        <v>0</v>
      </c>
      <c r="AF179" s="221"/>
      <c r="AG179" s="221"/>
      <c r="AH179" s="169"/>
      <c r="AI179" s="169"/>
      <c r="AJ179" s="169"/>
      <c r="AK179" s="169"/>
      <c r="AL179" s="169"/>
      <c r="AM179" s="169"/>
      <c r="AN179" s="169"/>
      <c r="AO179" s="169"/>
      <c r="AP179" s="169"/>
      <c r="AQ179" s="169"/>
      <c r="AR179" s="169"/>
      <c r="AS179" s="169"/>
      <c r="AT179" s="169"/>
      <c r="AU179" s="169"/>
      <c r="AV179" s="169"/>
      <c r="AW179" s="169"/>
      <c r="AX179" s="169"/>
      <c r="AY179" s="169"/>
      <c r="AZ179" s="169"/>
      <c r="BA179" s="169"/>
      <c r="BB179" s="169"/>
      <c r="BC179" s="169"/>
      <c r="BD179" s="169"/>
      <c r="BE179" s="169"/>
      <c r="BF179" s="169"/>
      <c r="BG179" s="169"/>
      <c r="BH179" s="169"/>
      <c r="BI179" s="169"/>
      <c r="BJ179" s="169"/>
      <c r="BK179" s="169"/>
      <c r="BL179" s="169"/>
      <c r="BM179" s="169"/>
      <c r="BN179" s="169"/>
      <c r="BO179" s="169"/>
      <c r="BP179" s="169"/>
      <c r="BQ179" s="169"/>
      <c r="BR179" s="169"/>
      <c r="BS179" s="169"/>
      <c r="BT179" s="169"/>
      <c r="BU179" s="169"/>
      <c r="BV179" s="169"/>
      <c r="BW179" s="169"/>
      <c r="BX179" s="169"/>
      <c r="BY179" s="169"/>
      <c r="BZ179" s="169"/>
    </row>
    <row r="180" spans="12:78" customFormat="1" ht="11.25" customHeight="1">
      <c r="L180" s="20"/>
      <c r="M180" s="490">
        <v>5</v>
      </c>
      <c r="N180" s="490" t="s">
        <v>604</v>
      </c>
      <c r="O180" s="420" t="s">
        <v>195</v>
      </c>
      <c r="AB180" s="251"/>
      <c r="AC180" s="251"/>
      <c r="AD180" s="251"/>
      <c r="AE180" s="247">
        <f t="shared" si="8"/>
        <v>0</v>
      </c>
      <c r="AF180" s="221"/>
      <c r="AG180" s="221"/>
      <c r="AH180" s="169"/>
      <c r="AI180" s="169"/>
      <c r="AJ180" s="169"/>
      <c r="AK180" s="169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69"/>
      <c r="AW180" s="169"/>
      <c r="AX180" s="169"/>
      <c r="AY180" s="169"/>
      <c r="AZ180" s="169"/>
      <c r="BA180" s="169"/>
      <c r="BB180" s="169"/>
      <c r="BC180" s="169"/>
      <c r="BD180" s="169"/>
      <c r="BE180" s="169"/>
      <c r="BF180" s="169"/>
      <c r="BG180" s="169"/>
      <c r="BH180" s="169"/>
      <c r="BI180" s="169"/>
      <c r="BJ180" s="169"/>
      <c r="BK180" s="169"/>
      <c r="BL180" s="169"/>
      <c r="BM180" s="169"/>
      <c r="BN180" s="169"/>
      <c r="BO180" s="169"/>
      <c r="BP180" s="169"/>
      <c r="BQ180" s="169"/>
      <c r="BR180" s="169"/>
      <c r="BS180" s="169"/>
      <c r="BT180" s="169"/>
      <c r="BU180" s="169"/>
      <c r="BV180" s="169"/>
      <c r="BW180" s="169"/>
      <c r="BX180" s="169"/>
      <c r="BY180" s="169"/>
      <c r="BZ180" s="169"/>
    </row>
    <row r="181" spans="12:78" customFormat="1" ht="11.25" customHeight="1">
      <c r="L181" s="20"/>
      <c r="M181" s="509" t="s">
        <v>181</v>
      </c>
      <c r="N181" s="546" t="s">
        <v>1009</v>
      </c>
      <c r="O181" s="420" t="s">
        <v>195</v>
      </c>
      <c r="AB181" s="251"/>
      <c r="AC181" s="251"/>
      <c r="AD181" s="251"/>
      <c r="AE181" s="247">
        <f t="shared" si="8"/>
        <v>0</v>
      </c>
      <c r="AF181" s="221"/>
      <c r="AG181" s="221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69"/>
      <c r="AW181" s="169"/>
      <c r="AX181" s="169"/>
      <c r="AY181" s="169"/>
      <c r="AZ181" s="169"/>
      <c r="BA181" s="169"/>
      <c r="BB181" s="169"/>
      <c r="BC181" s="169"/>
      <c r="BD181" s="169"/>
      <c r="BE181" s="169"/>
      <c r="BF181" s="169"/>
      <c r="BG181" s="169"/>
      <c r="BH181" s="169"/>
      <c r="BI181" s="169"/>
      <c r="BJ181" s="169"/>
      <c r="BK181" s="169"/>
      <c r="BL181" s="169"/>
      <c r="BM181" s="169"/>
      <c r="BN181" s="169"/>
      <c r="BO181" s="169"/>
      <c r="BP181" s="169"/>
      <c r="BQ181" s="169"/>
      <c r="BR181" s="169"/>
      <c r="BS181" s="169"/>
      <c r="BT181" s="169"/>
      <c r="BU181" s="169"/>
      <c r="BV181" s="169"/>
      <c r="BW181" s="169"/>
      <c r="BX181" s="169"/>
      <c r="BY181" s="169"/>
      <c r="BZ181" s="169"/>
    </row>
    <row r="182" spans="12:78" customFormat="1" ht="11.25" customHeight="1">
      <c r="L182" s="20"/>
      <c r="M182" s="490">
        <v>6</v>
      </c>
      <c r="N182" s="490" t="s">
        <v>1902</v>
      </c>
      <c r="O182" s="420" t="s">
        <v>195</v>
      </c>
      <c r="AB182" s="251"/>
      <c r="AC182" s="251"/>
      <c r="AD182" s="251"/>
      <c r="AE182" s="247">
        <f t="shared" si="8"/>
        <v>0</v>
      </c>
      <c r="AF182" s="244">
        <f>SUM(AF183,AF187:AF190)</f>
        <v>0</v>
      </c>
      <c r="AG182" s="244">
        <f>SUM(AG183,AG187:AG190)</f>
        <v>0</v>
      </c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169"/>
      <c r="BN182" s="169"/>
      <c r="BO182" s="169"/>
      <c r="BP182" s="169"/>
      <c r="BQ182" s="169"/>
      <c r="BR182" s="169"/>
      <c r="BS182" s="169"/>
      <c r="BT182" s="169"/>
      <c r="BU182" s="169"/>
      <c r="BV182" s="169"/>
      <c r="BW182" s="169"/>
      <c r="BX182" s="169"/>
      <c r="BY182" s="169"/>
      <c r="BZ182" s="169"/>
    </row>
    <row r="183" spans="12:78" customFormat="1" ht="11.25" customHeight="1">
      <c r="L183" s="20"/>
      <c r="M183" s="509" t="s">
        <v>711</v>
      </c>
      <c r="N183" s="546" t="s">
        <v>1010</v>
      </c>
      <c r="O183" s="420" t="s">
        <v>195</v>
      </c>
      <c r="AB183" s="251"/>
      <c r="AC183" s="251"/>
      <c r="AD183" s="251"/>
      <c r="AE183" s="247">
        <f t="shared" si="8"/>
        <v>0</v>
      </c>
      <c r="AF183" s="244">
        <f>SUM(AF184:AF186)</f>
        <v>0</v>
      </c>
      <c r="AG183" s="244">
        <f>SUM(AG184:AG186)</f>
        <v>0</v>
      </c>
      <c r="AH183" s="169"/>
      <c r="AI183" s="169"/>
      <c r="AJ183" s="169"/>
      <c r="AK183" s="169"/>
      <c r="AL183" s="169"/>
      <c r="AM183" s="169"/>
      <c r="AN183" s="169"/>
      <c r="AO183" s="169"/>
      <c r="AP183" s="169"/>
      <c r="AQ183" s="169"/>
      <c r="AR183" s="169"/>
      <c r="AS183" s="169"/>
      <c r="AT183" s="169"/>
      <c r="AU183" s="169"/>
      <c r="AV183" s="169"/>
      <c r="AW183" s="169"/>
      <c r="AX183" s="169"/>
      <c r="AY183" s="169"/>
      <c r="AZ183" s="169"/>
      <c r="BA183" s="169"/>
      <c r="BB183" s="169"/>
      <c r="BC183" s="169"/>
      <c r="BD183" s="169"/>
      <c r="BE183" s="169"/>
      <c r="BF183" s="169"/>
      <c r="BG183" s="169"/>
      <c r="BH183" s="169"/>
      <c r="BI183" s="169"/>
      <c r="BJ183" s="169"/>
      <c r="BK183" s="169"/>
      <c r="BL183" s="169"/>
      <c r="BM183" s="169"/>
      <c r="BN183" s="169"/>
      <c r="BO183" s="169"/>
      <c r="BP183" s="169"/>
      <c r="BQ183" s="169"/>
      <c r="BR183" s="169"/>
      <c r="BS183" s="169"/>
      <c r="BT183" s="169"/>
      <c r="BU183" s="169"/>
      <c r="BV183" s="169"/>
      <c r="BW183" s="169"/>
      <c r="BX183" s="169"/>
      <c r="BY183" s="169"/>
      <c r="BZ183" s="169"/>
    </row>
    <row r="184" spans="12:78" customFormat="1" ht="11.25" customHeight="1">
      <c r="L184" s="20"/>
      <c r="M184" s="509" t="s">
        <v>574</v>
      </c>
      <c r="N184" s="544" t="s">
        <v>2100</v>
      </c>
      <c r="O184" s="420" t="s">
        <v>195</v>
      </c>
      <c r="AB184" s="251"/>
      <c r="AC184" s="251"/>
      <c r="AD184" s="251"/>
      <c r="AE184" s="247">
        <f t="shared" si="8"/>
        <v>0</v>
      </c>
      <c r="AF184" s="221"/>
      <c r="AG184" s="221"/>
      <c r="AH184" s="169"/>
      <c r="AI184" s="169"/>
      <c r="AJ184" s="169"/>
      <c r="AK184" s="169"/>
      <c r="AL184" s="169"/>
      <c r="AM184" s="169"/>
      <c r="AN184" s="169"/>
      <c r="AO184" s="169"/>
      <c r="AP184" s="169"/>
      <c r="AQ184" s="169"/>
      <c r="AR184" s="169"/>
      <c r="AS184" s="169"/>
      <c r="AT184" s="169"/>
      <c r="AU184" s="169"/>
      <c r="AV184" s="169"/>
      <c r="AW184" s="169"/>
      <c r="AX184" s="169"/>
      <c r="AY184" s="169"/>
      <c r="AZ184" s="169"/>
      <c r="BA184" s="169"/>
      <c r="BB184" s="169"/>
      <c r="BC184" s="169"/>
      <c r="BD184" s="169"/>
      <c r="BE184" s="169"/>
      <c r="BF184" s="169"/>
      <c r="BG184" s="169"/>
      <c r="BH184" s="169"/>
      <c r="BI184" s="169"/>
      <c r="BJ184" s="169"/>
      <c r="BK184" s="169"/>
      <c r="BL184" s="169"/>
      <c r="BM184" s="169"/>
      <c r="BN184" s="169"/>
      <c r="BO184" s="169"/>
      <c r="BP184" s="169"/>
      <c r="BQ184" s="169"/>
      <c r="BR184" s="169"/>
      <c r="BS184" s="169"/>
      <c r="BT184" s="169"/>
      <c r="BU184" s="169"/>
      <c r="BV184" s="169"/>
      <c r="BW184" s="169"/>
      <c r="BX184" s="169"/>
      <c r="BY184" s="169"/>
      <c r="BZ184" s="169"/>
    </row>
    <row r="185" spans="12:78" customFormat="1" ht="11.25" customHeight="1">
      <c r="L185" s="20"/>
      <c r="M185" s="509" t="s">
        <v>575</v>
      </c>
      <c r="N185" s="544" t="s">
        <v>2101</v>
      </c>
      <c r="O185" s="420" t="s">
        <v>195</v>
      </c>
      <c r="AB185" s="251"/>
      <c r="AC185" s="251"/>
      <c r="AD185" s="251"/>
      <c r="AE185" s="247">
        <f t="shared" si="8"/>
        <v>0</v>
      </c>
      <c r="AF185" s="221"/>
      <c r="AG185" s="221"/>
      <c r="AH185" s="169"/>
      <c r="AI185" s="169"/>
      <c r="AJ185" s="169"/>
      <c r="AK185" s="169"/>
      <c r="AL185" s="169"/>
      <c r="AM185" s="169"/>
      <c r="AN185" s="169"/>
      <c r="AO185" s="169"/>
      <c r="AP185" s="169"/>
      <c r="AQ185" s="169"/>
      <c r="AR185" s="169"/>
      <c r="AS185" s="169"/>
      <c r="AT185" s="169"/>
      <c r="AU185" s="169"/>
      <c r="AV185" s="169"/>
      <c r="AW185" s="169"/>
      <c r="AX185" s="169"/>
      <c r="AY185" s="169"/>
      <c r="AZ185" s="169"/>
      <c r="BA185" s="169"/>
      <c r="BB185" s="169"/>
      <c r="BC185" s="169"/>
      <c r="BD185" s="169"/>
      <c r="BE185" s="169"/>
      <c r="BF185" s="169"/>
      <c r="BG185" s="169"/>
      <c r="BH185" s="169"/>
      <c r="BI185" s="169"/>
      <c r="BJ185" s="169"/>
      <c r="BK185" s="169"/>
      <c r="BL185" s="169"/>
      <c r="BM185" s="169"/>
      <c r="BN185" s="169"/>
      <c r="BO185" s="169"/>
      <c r="BP185" s="169"/>
      <c r="BQ185" s="169"/>
      <c r="BR185" s="169"/>
      <c r="BS185" s="169"/>
      <c r="BT185" s="169"/>
      <c r="BU185" s="169"/>
      <c r="BV185" s="169"/>
      <c r="BW185" s="169"/>
      <c r="BX185" s="169"/>
      <c r="BY185" s="169"/>
      <c r="BZ185" s="169"/>
    </row>
    <row r="186" spans="12:78" customFormat="1" ht="11.25" customHeight="1">
      <c r="L186" s="20"/>
      <c r="M186" s="509" t="s">
        <v>745</v>
      </c>
      <c r="N186" s="544" t="s">
        <v>1025</v>
      </c>
      <c r="O186" s="420" t="s">
        <v>195</v>
      </c>
      <c r="AB186" s="251"/>
      <c r="AC186" s="251"/>
      <c r="AD186" s="251"/>
      <c r="AE186" s="247">
        <f t="shared" si="8"/>
        <v>0</v>
      </c>
      <c r="AF186" s="221"/>
      <c r="AG186" s="221"/>
      <c r="AH186" s="169"/>
      <c r="AI186" s="169"/>
      <c r="AJ186" s="169"/>
      <c r="AK186" s="169"/>
      <c r="AL186" s="169"/>
      <c r="AM186" s="169"/>
      <c r="AN186" s="169"/>
      <c r="AO186" s="169"/>
      <c r="AP186" s="169"/>
      <c r="AQ186" s="169"/>
      <c r="AR186" s="169"/>
      <c r="AS186" s="169"/>
      <c r="AT186" s="169"/>
      <c r="AU186" s="169"/>
      <c r="AV186" s="169"/>
      <c r="AW186" s="169"/>
      <c r="AX186" s="169"/>
      <c r="AY186" s="169"/>
      <c r="AZ186" s="169"/>
      <c r="BA186" s="169"/>
      <c r="BB186" s="169"/>
      <c r="BC186" s="169"/>
      <c r="BD186" s="169"/>
      <c r="BE186" s="169"/>
      <c r="BF186" s="169"/>
      <c r="BG186" s="169"/>
      <c r="BH186" s="169"/>
      <c r="BI186" s="169"/>
      <c r="BJ186" s="169"/>
      <c r="BK186" s="169"/>
      <c r="BL186" s="169"/>
      <c r="BM186" s="169"/>
      <c r="BN186" s="169"/>
      <c r="BO186" s="169"/>
      <c r="BP186" s="169"/>
      <c r="BQ186" s="169"/>
      <c r="BR186" s="169"/>
      <c r="BS186" s="169"/>
      <c r="BT186" s="169"/>
      <c r="BU186" s="169"/>
      <c r="BV186" s="169"/>
      <c r="BW186" s="169"/>
      <c r="BX186" s="169"/>
      <c r="BY186" s="169"/>
      <c r="BZ186" s="169"/>
    </row>
    <row r="187" spans="12:78" customFormat="1" ht="11.25" customHeight="1">
      <c r="L187" s="20"/>
      <c r="M187" s="509" t="s">
        <v>704</v>
      </c>
      <c r="N187" s="546" t="s">
        <v>1011</v>
      </c>
      <c r="O187" s="420" t="s">
        <v>195</v>
      </c>
      <c r="AB187" s="251"/>
      <c r="AC187" s="251"/>
      <c r="AD187" s="251"/>
      <c r="AE187" s="247">
        <f t="shared" si="8"/>
        <v>0</v>
      </c>
      <c r="AF187" s="221"/>
      <c r="AG187" s="221"/>
      <c r="AH187" s="169"/>
      <c r="AI187" s="169"/>
      <c r="AJ187" s="169"/>
      <c r="AK187" s="169"/>
      <c r="AL187" s="169"/>
      <c r="AM187" s="169"/>
      <c r="AN187" s="169"/>
      <c r="AO187" s="169"/>
      <c r="AP187" s="169"/>
      <c r="AQ187" s="169"/>
      <c r="AR187" s="169"/>
      <c r="AS187" s="169"/>
      <c r="AT187" s="169"/>
      <c r="AU187" s="169"/>
      <c r="AV187" s="169"/>
      <c r="AW187" s="169"/>
      <c r="AX187" s="169"/>
      <c r="AY187" s="169"/>
      <c r="AZ187" s="169"/>
      <c r="BA187" s="169"/>
      <c r="BB187" s="169"/>
      <c r="BC187" s="169"/>
      <c r="BD187" s="169"/>
      <c r="BE187" s="169"/>
      <c r="BF187" s="169"/>
      <c r="BG187" s="169"/>
      <c r="BH187" s="169"/>
      <c r="BI187" s="169"/>
      <c r="BJ187" s="169"/>
      <c r="BK187" s="169"/>
      <c r="BL187" s="169"/>
      <c r="BM187" s="169"/>
      <c r="BN187" s="169"/>
      <c r="BO187" s="169"/>
      <c r="BP187" s="169"/>
      <c r="BQ187" s="169"/>
      <c r="BR187" s="169"/>
      <c r="BS187" s="169"/>
      <c r="BT187" s="169"/>
      <c r="BU187" s="169"/>
      <c r="BV187" s="169"/>
      <c r="BW187" s="169"/>
      <c r="BX187" s="169"/>
      <c r="BY187" s="169"/>
      <c r="BZ187" s="169"/>
    </row>
    <row r="188" spans="12:78" customFormat="1" ht="11.25" customHeight="1">
      <c r="L188" s="20"/>
      <c r="M188" s="509" t="s">
        <v>707</v>
      </c>
      <c r="N188" s="546" t="s">
        <v>1012</v>
      </c>
      <c r="O188" s="420" t="s">
        <v>195</v>
      </c>
      <c r="AB188" s="251"/>
      <c r="AC188" s="251"/>
      <c r="AD188" s="251"/>
      <c r="AE188" s="247">
        <f t="shared" si="8"/>
        <v>0</v>
      </c>
      <c r="AF188" s="221"/>
      <c r="AG188" s="221"/>
      <c r="AH188" s="169"/>
      <c r="AI188" s="169"/>
      <c r="AJ188" s="169"/>
      <c r="AK188" s="169"/>
      <c r="AL188" s="169"/>
      <c r="AM188" s="169"/>
      <c r="AN188" s="169"/>
      <c r="AO188" s="169"/>
      <c r="AP188" s="169"/>
      <c r="AQ188" s="169"/>
      <c r="AR188" s="169"/>
      <c r="AS188" s="169"/>
      <c r="AT188" s="169"/>
      <c r="AU188" s="169"/>
      <c r="AV188" s="169"/>
      <c r="AW188" s="169"/>
      <c r="AX188" s="169"/>
      <c r="AY188" s="169"/>
      <c r="AZ188" s="169"/>
      <c r="BA188" s="169"/>
      <c r="BB188" s="169"/>
      <c r="BC188" s="169"/>
      <c r="BD188" s="169"/>
      <c r="BE188" s="169"/>
      <c r="BF188" s="169"/>
      <c r="BG188" s="169"/>
      <c r="BH188" s="169"/>
      <c r="BI188" s="169"/>
      <c r="BJ188" s="169"/>
      <c r="BK188" s="169"/>
      <c r="BL188" s="169"/>
      <c r="BM188" s="169"/>
      <c r="BN188" s="169"/>
      <c r="BO188" s="169"/>
      <c r="BP188" s="169"/>
      <c r="BQ188" s="169"/>
      <c r="BR188" s="169"/>
      <c r="BS188" s="169"/>
      <c r="BT188" s="169"/>
      <c r="BU188" s="169"/>
      <c r="BV188" s="169"/>
      <c r="BW188" s="169"/>
      <c r="BX188" s="169"/>
      <c r="BY188" s="169"/>
      <c r="BZ188" s="169"/>
    </row>
    <row r="189" spans="12:78" customFormat="1" ht="11.25" customHeight="1">
      <c r="L189" s="20"/>
      <c r="M189" s="509" t="s">
        <v>582</v>
      </c>
      <c r="N189" s="546" t="s">
        <v>1013</v>
      </c>
      <c r="O189" s="420" t="s">
        <v>195</v>
      </c>
      <c r="AB189" s="251"/>
      <c r="AC189" s="251"/>
      <c r="AD189" s="251"/>
      <c r="AE189" s="247">
        <f t="shared" si="8"/>
        <v>0</v>
      </c>
      <c r="AF189" s="221"/>
      <c r="AG189" s="221"/>
      <c r="AH189" s="169"/>
      <c r="AI189" s="169"/>
      <c r="AJ189" s="169"/>
      <c r="AK189" s="169"/>
      <c r="AL189" s="169"/>
      <c r="AM189" s="169"/>
      <c r="AN189" s="169"/>
      <c r="AO189" s="169"/>
      <c r="AP189" s="169"/>
      <c r="AQ189" s="169"/>
      <c r="AR189" s="169"/>
      <c r="AS189" s="169"/>
      <c r="AT189" s="169"/>
      <c r="AU189" s="169"/>
      <c r="AV189" s="169"/>
      <c r="AW189" s="169"/>
      <c r="AX189" s="169"/>
      <c r="AY189" s="169"/>
      <c r="AZ189" s="169"/>
      <c r="BA189" s="169"/>
      <c r="BB189" s="169"/>
      <c r="BC189" s="169"/>
      <c r="BD189" s="169"/>
      <c r="BE189" s="169"/>
      <c r="BF189" s="169"/>
      <c r="BG189" s="169"/>
      <c r="BH189" s="169"/>
      <c r="BI189" s="169"/>
      <c r="BJ189" s="169"/>
      <c r="BK189" s="169"/>
      <c r="BL189" s="169"/>
      <c r="BM189" s="169"/>
      <c r="BN189" s="169"/>
      <c r="BO189" s="169"/>
      <c r="BP189" s="169"/>
      <c r="BQ189" s="169"/>
      <c r="BR189" s="169"/>
      <c r="BS189" s="169"/>
      <c r="BT189" s="169"/>
      <c r="BU189" s="169"/>
      <c r="BV189" s="169"/>
      <c r="BW189" s="169"/>
      <c r="BX189" s="169"/>
      <c r="BY189" s="169"/>
      <c r="BZ189" s="169"/>
    </row>
    <row r="190" spans="12:78" customFormat="1" ht="11.25" customHeight="1">
      <c r="L190" s="20"/>
      <c r="M190" s="509" t="s">
        <v>586</v>
      </c>
      <c r="N190" s="546" t="s">
        <v>1014</v>
      </c>
      <c r="O190" s="420" t="s">
        <v>195</v>
      </c>
      <c r="AB190" s="251"/>
      <c r="AC190" s="251"/>
      <c r="AD190" s="251"/>
      <c r="AE190" s="247">
        <f t="shared" si="8"/>
        <v>0</v>
      </c>
      <c r="AF190" s="221"/>
      <c r="AG190" s="221"/>
      <c r="AH190" s="169"/>
      <c r="AI190" s="169"/>
      <c r="AJ190" s="169"/>
      <c r="AK190" s="169"/>
      <c r="AL190" s="169"/>
      <c r="AM190" s="169"/>
      <c r="AN190" s="169"/>
      <c r="AO190" s="169"/>
      <c r="AP190" s="169"/>
      <c r="AQ190" s="169"/>
      <c r="AR190" s="169"/>
      <c r="AS190" s="169"/>
      <c r="AT190" s="169"/>
      <c r="AU190" s="169"/>
      <c r="AV190" s="169"/>
      <c r="AW190" s="169"/>
      <c r="AX190" s="169"/>
      <c r="AY190" s="169"/>
      <c r="AZ190" s="169"/>
      <c r="BA190" s="169"/>
      <c r="BB190" s="169"/>
      <c r="BC190" s="169"/>
      <c r="BD190" s="169"/>
      <c r="BE190" s="169"/>
      <c r="BF190" s="169"/>
      <c r="BG190" s="169"/>
      <c r="BH190" s="169"/>
      <c r="BI190" s="169"/>
      <c r="BJ190" s="169"/>
      <c r="BK190" s="169"/>
      <c r="BL190" s="169"/>
      <c r="BM190" s="169"/>
      <c r="BN190" s="169"/>
      <c r="BO190" s="169"/>
      <c r="BP190" s="169"/>
      <c r="BQ190" s="169"/>
      <c r="BR190" s="169"/>
      <c r="BS190" s="169"/>
      <c r="BT190" s="169"/>
      <c r="BU190" s="169"/>
      <c r="BV190" s="169"/>
      <c r="BW190" s="169"/>
      <c r="BX190" s="169"/>
      <c r="BY190" s="169"/>
      <c r="BZ190" s="169"/>
    </row>
    <row r="191" spans="12:78" customFormat="1" ht="11.25" customHeight="1">
      <c r="L191" s="20"/>
      <c r="M191" s="490">
        <v>7</v>
      </c>
      <c r="N191" s="490" t="s">
        <v>1903</v>
      </c>
      <c r="O191" s="420" t="s">
        <v>195</v>
      </c>
      <c r="AB191" s="251"/>
      <c r="AC191" s="251"/>
      <c r="AD191" s="251"/>
      <c r="AE191" s="247">
        <f t="shared" si="8"/>
        <v>0</v>
      </c>
      <c r="AF191" s="244">
        <f>SUM(AF192:AF198)</f>
        <v>0</v>
      </c>
      <c r="AG191" s="244">
        <f>SUM(AG192:AG198)</f>
        <v>0</v>
      </c>
      <c r="AH191" s="169"/>
      <c r="AI191" s="169"/>
      <c r="AJ191" s="169"/>
      <c r="AK191" s="169"/>
      <c r="AL191" s="169"/>
      <c r="AM191" s="169"/>
      <c r="AN191" s="169"/>
      <c r="AO191" s="169"/>
      <c r="AP191" s="169"/>
      <c r="AQ191" s="169"/>
      <c r="AR191" s="169"/>
      <c r="AS191" s="169"/>
      <c r="AT191" s="169"/>
      <c r="AU191" s="169"/>
      <c r="AV191" s="169"/>
      <c r="AW191" s="169"/>
      <c r="AX191" s="169"/>
      <c r="AY191" s="169"/>
      <c r="AZ191" s="169"/>
      <c r="BA191" s="169"/>
      <c r="BB191" s="169"/>
      <c r="BC191" s="169"/>
      <c r="BD191" s="169"/>
      <c r="BE191" s="169"/>
      <c r="BF191" s="169"/>
      <c r="BG191" s="169"/>
      <c r="BH191" s="169"/>
      <c r="BI191" s="169"/>
      <c r="BJ191" s="169"/>
      <c r="BK191" s="169"/>
      <c r="BL191" s="169"/>
      <c r="BM191" s="169"/>
      <c r="BN191" s="169"/>
      <c r="BO191" s="169"/>
      <c r="BP191" s="169"/>
      <c r="BQ191" s="169"/>
      <c r="BR191" s="169"/>
      <c r="BS191" s="169"/>
      <c r="BT191" s="169"/>
      <c r="BU191" s="169"/>
      <c r="BV191" s="169"/>
      <c r="BW191" s="169"/>
      <c r="BX191" s="169"/>
      <c r="BY191" s="169"/>
      <c r="BZ191" s="169"/>
    </row>
    <row r="192" spans="12:78" customFormat="1" ht="11.25" customHeight="1">
      <c r="L192" s="20"/>
      <c r="M192" s="509" t="s">
        <v>525</v>
      </c>
      <c r="N192" s="546" t="s">
        <v>1015</v>
      </c>
      <c r="O192" s="420" t="s">
        <v>195</v>
      </c>
      <c r="AB192" s="251"/>
      <c r="AC192" s="251"/>
      <c r="AD192" s="251"/>
      <c r="AE192" s="247">
        <f t="shared" si="8"/>
        <v>0</v>
      </c>
      <c r="AF192" s="221"/>
      <c r="AG192" s="221"/>
      <c r="AH192" s="169"/>
      <c r="AI192" s="169"/>
      <c r="AJ192" s="169"/>
      <c r="AK192" s="169"/>
      <c r="AL192" s="169"/>
      <c r="AM192" s="169"/>
      <c r="AN192" s="169"/>
      <c r="AO192" s="169"/>
      <c r="AP192" s="169"/>
      <c r="AQ192" s="169"/>
      <c r="AR192" s="169"/>
      <c r="AS192" s="169"/>
      <c r="AT192" s="169"/>
      <c r="AU192" s="169"/>
      <c r="AV192" s="169"/>
      <c r="AW192" s="169"/>
      <c r="AX192" s="169"/>
      <c r="AY192" s="169"/>
      <c r="AZ192" s="169"/>
      <c r="BA192" s="169"/>
      <c r="BB192" s="169"/>
      <c r="BC192" s="169"/>
      <c r="BD192" s="169"/>
      <c r="BE192" s="169"/>
      <c r="BF192" s="169"/>
      <c r="BG192" s="169"/>
      <c r="BH192" s="169"/>
      <c r="BI192" s="169"/>
      <c r="BJ192" s="169"/>
      <c r="BK192" s="169"/>
      <c r="BL192" s="169"/>
      <c r="BM192" s="169"/>
      <c r="BN192" s="169"/>
      <c r="BO192" s="169"/>
      <c r="BP192" s="169"/>
      <c r="BQ192" s="169"/>
      <c r="BR192" s="169"/>
      <c r="BS192" s="169"/>
      <c r="BT192" s="169"/>
      <c r="BU192" s="169"/>
      <c r="BV192" s="169"/>
      <c r="BW192" s="169"/>
      <c r="BX192" s="169"/>
      <c r="BY192" s="169"/>
      <c r="BZ192" s="169"/>
    </row>
    <row r="193" spans="12:78" customFormat="1" ht="11.25" customHeight="1">
      <c r="L193" s="20"/>
      <c r="M193" s="509" t="s">
        <v>527</v>
      </c>
      <c r="N193" s="546" t="s">
        <v>1016</v>
      </c>
      <c r="O193" s="420" t="s">
        <v>195</v>
      </c>
      <c r="AB193" s="251"/>
      <c r="AC193" s="251"/>
      <c r="AD193" s="251"/>
      <c r="AE193" s="247">
        <f t="shared" si="8"/>
        <v>0</v>
      </c>
      <c r="AF193" s="221"/>
      <c r="AG193" s="221"/>
      <c r="AH193" s="169"/>
      <c r="AI193" s="169"/>
      <c r="AJ193" s="169"/>
      <c r="AK193" s="169"/>
      <c r="AL193" s="169"/>
      <c r="AM193" s="169"/>
      <c r="AN193" s="169"/>
      <c r="AO193" s="169"/>
      <c r="AP193" s="169"/>
      <c r="AQ193" s="169"/>
      <c r="AR193" s="169"/>
      <c r="AS193" s="169"/>
      <c r="AT193" s="169"/>
      <c r="AU193" s="169"/>
      <c r="AV193" s="169"/>
      <c r="AW193" s="169"/>
      <c r="AX193" s="169"/>
      <c r="AY193" s="169"/>
      <c r="AZ193" s="169"/>
      <c r="BA193" s="169"/>
      <c r="BB193" s="169"/>
      <c r="BC193" s="169"/>
      <c r="BD193" s="169"/>
      <c r="BE193" s="169"/>
      <c r="BF193" s="169"/>
      <c r="BG193" s="169"/>
      <c r="BH193" s="169"/>
      <c r="BI193" s="169"/>
      <c r="BJ193" s="169"/>
      <c r="BK193" s="169"/>
      <c r="BL193" s="169"/>
      <c r="BM193" s="169"/>
      <c r="BN193" s="169"/>
      <c r="BO193" s="169"/>
      <c r="BP193" s="169"/>
      <c r="BQ193" s="169"/>
      <c r="BR193" s="169"/>
      <c r="BS193" s="169"/>
      <c r="BT193" s="169"/>
      <c r="BU193" s="169"/>
      <c r="BV193" s="169"/>
      <c r="BW193" s="169"/>
      <c r="BX193" s="169"/>
      <c r="BY193" s="169"/>
      <c r="BZ193" s="169"/>
    </row>
    <row r="194" spans="12:78" customFormat="1" ht="11.25" customHeight="1">
      <c r="L194" s="20"/>
      <c r="M194" s="509" t="s">
        <v>530</v>
      </c>
      <c r="N194" s="546" t="s">
        <v>1017</v>
      </c>
      <c r="O194" s="420" t="s">
        <v>195</v>
      </c>
      <c r="AB194" s="251"/>
      <c r="AC194" s="251"/>
      <c r="AD194" s="251"/>
      <c r="AE194" s="247">
        <f t="shared" si="8"/>
        <v>0</v>
      </c>
      <c r="AF194" s="221"/>
      <c r="AG194" s="221"/>
      <c r="AH194" s="169"/>
      <c r="AI194" s="169"/>
      <c r="AJ194" s="169"/>
      <c r="AK194" s="169"/>
      <c r="AL194" s="169"/>
      <c r="AM194" s="169"/>
      <c r="AN194" s="169"/>
      <c r="AO194" s="169"/>
      <c r="AP194" s="169"/>
      <c r="AQ194" s="169"/>
      <c r="AR194" s="169"/>
      <c r="AS194" s="169"/>
      <c r="AT194" s="169"/>
      <c r="AU194" s="169"/>
      <c r="AV194" s="169"/>
      <c r="AW194" s="169"/>
      <c r="AX194" s="169"/>
      <c r="AY194" s="169"/>
      <c r="AZ194" s="169"/>
      <c r="BA194" s="169"/>
      <c r="BB194" s="169"/>
      <c r="BC194" s="169"/>
      <c r="BD194" s="169"/>
      <c r="BE194" s="169"/>
      <c r="BF194" s="169"/>
      <c r="BG194" s="169"/>
      <c r="BH194" s="169"/>
      <c r="BI194" s="169"/>
      <c r="BJ194" s="169"/>
      <c r="BK194" s="169"/>
      <c r="BL194" s="169"/>
      <c r="BM194" s="169"/>
      <c r="BN194" s="169"/>
      <c r="BO194" s="169"/>
      <c r="BP194" s="169"/>
      <c r="BQ194" s="169"/>
      <c r="BR194" s="169"/>
      <c r="BS194" s="169"/>
      <c r="BT194" s="169"/>
      <c r="BU194" s="169"/>
      <c r="BV194" s="169"/>
      <c r="BW194" s="169"/>
      <c r="BX194" s="169"/>
      <c r="BY194" s="169"/>
      <c r="BZ194" s="169"/>
    </row>
    <row r="195" spans="12:78" customFormat="1" ht="11.25" customHeight="1">
      <c r="L195" s="20"/>
      <c r="M195" s="509" t="s">
        <v>532</v>
      </c>
      <c r="N195" s="546" t="s">
        <v>1018</v>
      </c>
      <c r="O195" s="420" t="s">
        <v>195</v>
      </c>
      <c r="AB195" s="251"/>
      <c r="AC195" s="251"/>
      <c r="AD195" s="251"/>
      <c r="AE195" s="247">
        <f t="shared" si="8"/>
        <v>0</v>
      </c>
      <c r="AF195" s="221"/>
      <c r="AG195" s="221"/>
      <c r="AH195" s="169"/>
      <c r="AI195" s="169"/>
      <c r="AJ195" s="169"/>
      <c r="AK195" s="169"/>
      <c r="AL195" s="169"/>
      <c r="AM195" s="169"/>
      <c r="AN195" s="169"/>
      <c r="AO195" s="169"/>
      <c r="AP195" s="169"/>
      <c r="AQ195" s="169"/>
      <c r="AR195" s="169"/>
      <c r="AS195" s="169"/>
      <c r="AT195" s="169"/>
      <c r="AU195" s="169"/>
      <c r="AV195" s="169"/>
      <c r="AW195" s="169"/>
      <c r="AX195" s="169"/>
      <c r="AY195" s="169"/>
      <c r="AZ195" s="169"/>
      <c r="BA195" s="169"/>
      <c r="BB195" s="169"/>
      <c r="BC195" s="169"/>
      <c r="BD195" s="169"/>
      <c r="BE195" s="169"/>
      <c r="BF195" s="169"/>
      <c r="BG195" s="169"/>
      <c r="BH195" s="169"/>
      <c r="BI195" s="169"/>
      <c r="BJ195" s="169"/>
      <c r="BK195" s="169"/>
      <c r="BL195" s="169"/>
      <c r="BM195" s="169"/>
      <c r="BN195" s="169"/>
      <c r="BO195" s="169"/>
      <c r="BP195" s="169"/>
      <c r="BQ195" s="169"/>
      <c r="BR195" s="169"/>
      <c r="BS195" s="169"/>
      <c r="BT195" s="169"/>
      <c r="BU195" s="169"/>
      <c r="BV195" s="169"/>
      <c r="BW195" s="169"/>
      <c r="BX195" s="169"/>
      <c r="BY195" s="169"/>
      <c r="BZ195" s="169"/>
    </row>
    <row r="196" spans="12:78" customFormat="1" ht="11.25" customHeight="1">
      <c r="L196" s="20"/>
      <c r="M196" s="509" t="s">
        <v>534</v>
      </c>
      <c r="N196" s="546" t="s">
        <v>1019</v>
      </c>
      <c r="O196" s="420" t="s">
        <v>195</v>
      </c>
      <c r="AB196" s="251"/>
      <c r="AC196" s="251"/>
      <c r="AD196" s="251"/>
      <c r="AE196" s="247">
        <f t="shared" si="8"/>
        <v>0</v>
      </c>
      <c r="AF196" s="221"/>
      <c r="AG196" s="221"/>
      <c r="AH196" s="169"/>
      <c r="AI196" s="169"/>
      <c r="AJ196" s="169"/>
      <c r="AK196" s="169"/>
      <c r="AL196" s="169"/>
      <c r="AM196" s="169"/>
      <c r="AN196" s="169"/>
      <c r="AO196" s="169"/>
      <c r="AP196" s="169"/>
      <c r="AQ196" s="169"/>
      <c r="AR196" s="169"/>
      <c r="AS196" s="169"/>
      <c r="AT196" s="169"/>
      <c r="AU196" s="169"/>
      <c r="AV196" s="169"/>
      <c r="AW196" s="169"/>
      <c r="AX196" s="169"/>
      <c r="AY196" s="169"/>
      <c r="AZ196" s="169"/>
      <c r="BA196" s="169"/>
      <c r="BB196" s="169"/>
      <c r="BC196" s="169"/>
      <c r="BD196" s="169"/>
      <c r="BE196" s="169"/>
      <c r="BF196" s="169"/>
      <c r="BG196" s="169"/>
      <c r="BH196" s="169"/>
      <c r="BI196" s="169"/>
      <c r="BJ196" s="169"/>
      <c r="BK196" s="169"/>
      <c r="BL196" s="169"/>
      <c r="BM196" s="169"/>
      <c r="BN196" s="169"/>
      <c r="BO196" s="169"/>
      <c r="BP196" s="169"/>
      <c r="BQ196" s="169"/>
      <c r="BR196" s="169"/>
      <c r="BS196" s="169"/>
      <c r="BT196" s="169"/>
      <c r="BU196" s="169"/>
      <c r="BV196" s="169"/>
      <c r="BW196" s="169"/>
      <c r="BX196" s="169"/>
      <c r="BY196" s="169"/>
      <c r="BZ196" s="169"/>
    </row>
    <row r="197" spans="12:78" customFormat="1" ht="11.25" customHeight="1">
      <c r="L197" s="20"/>
      <c r="M197" s="509" t="s">
        <v>1020</v>
      </c>
      <c r="N197" s="546" t="s">
        <v>1021</v>
      </c>
      <c r="O197" s="420" t="s">
        <v>195</v>
      </c>
      <c r="AB197" s="251"/>
      <c r="AC197" s="251"/>
      <c r="AD197" s="251"/>
      <c r="AE197" s="247">
        <f t="shared" si="8"/>
        <v>0</v>
      </c>
      <c r="AF197" s="221"/>
      <c r="AG197" s="221"/>
      <c r="AH197" s="169"/>
      <c r="AI197" s="169"/>
      <c r="AJ197" s="169"/>
      <c r="AK197" s="169"/>
      <c r="AL197" s="169"/>
      <c r="AM197" s="169"/>
      <c r="AN197" s="169"/>
      <c r="AO197" s="169"/>
      <c r="AP197" s="169"/>
      <c r="AQ197" s="169"/>
      <c r="AR197" s="169"/>
      <c r="AS197" s="169"/>
      <c r="AT197" s="169"/>
      <c r="AU197" s="169"/>
      <c r="AV197" s="169"/>
      <c r="AW197" s="169"/>
      <c r="AX197" s="169"/>
      <c r="AY197" s="169"/>
      <c r="AZ197" s="169"/>
      <c r="BA197" s="169"/>
      <c r="BB197" s="169"/>
      <c r="BC197" s="169"/>
      <c r="BD197" s="169"/>
      <c r="BE197" s="169"/>
      <c r="BF197" s="169"/>
      <c r="BG197" s="169"/>
      <c r="BH197" s="169"/>
      <c r="BI197" s="169"/>
      <c r="BJ197" s="169"/>
      <c r="BK197" s="169"/>
      <c r="BL197" s="169"/>
      <c r="BM197" s="169"/>
      <c r="BN197" s="169"/>
      <c r="BO197" s="169"/>
      <c r="BP197" s="169"/>
      <c r="BQ197" s="169"/>
      <c r="BR197" s="169"/>
      <c r="BS197" s="169"/>
      <c r="BT197" s="169"/>
      <c r="BU197" s="169"/>
      <c r="BV197" s="169"/>
      <c r="BW197" s="169"/>
      <c r="BX197" s="169"/>
      <c r="BY197" s="169"/>
      <c r="BZ197" s="169"/>
    </row>
    <row r="198" spans="12:78" customFormat="1" ht="11.25" customHeight="1">
      <c r="L198" s="20"/>
      <c r="M198" s="509" t="s">
        <v>1022</v>
      </c>
      <c r="N198" s="546" t="s">
        <v>1023</v>
      </c>
      <c r="O198" s="420" t="s">
        <v>195</v>
      </c>
      <c r="AB198" s="251"/>
      <c r="AC198" s="251"/>
      <c r="AD198" s="251"/>
      <c r="AE198" s="247">
        <f t="shared" si="8"/>
        <v>0</v>
      </c>
      <c r="AF198" s="221"/>
      <c r="AG198" s="221"/>
      <c r="AH198" s="169"/>
      <c r="AI198" s="169"/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</row>
    <row r="199" spans="12:78" customFormat="1" ht="11.25" customHeight="1">
      <c r="L199" s="20"/>
      <c r="M199" s="490" t="s">
        <v>536</v>
      </c>
      <c r="N199" s="490" t="s">
        <v>1024</v>
      </c>
      <c r="O199" s="420" t="s">
        <v>195</v>
      </c>
      <c r="AB199" s="251"/>
      <c r="AC199" s="251"/>
      <c r="AD199" s="251"/>
      <c r="AE199" s="247">
        <f t="shared" si="8"/>
        <v>0</v>
      </c>
      <c r="AF199" s="221"/>
      <c r="AG199" s="221"/>
      <c r="AH199" s="169"/>
      <c r="AI199" s="169"/>
      <c r="AJ199" s="169"/>
      <c r="AK199" s="169"/>
      <c r="AL199" s="169"/>
      <c r="AM199" s="169"/>
      <c r="AN199" s="169"/>
      <c r="AO199" s="169"/>
      <c r="AP199" s="169"/>
      <c r="AQ199" s="169"/>
      <c r="AR199" s="169"/>
      <c r="AS199" s="169"/>
      <c r="AT199" s="169"/>
      <c r="AU199" s="169"/>
      <c r="AV199" s="169"/>
      <c r="AW199" s="169"/>
      <c r="AX199" s="169"/>
      <c r="AY199" s="169"/>
      <c r="AZ199" s="169"/>
      <c r="BA199" s="169"/>
      <c r="BB199" s="169"/>
      <c r="BC199" s="169"/>
      <c r="BD199" s="169"/>
      <c r="BE199" s="169"/>
      <c r="BF199" s="169"/>
      <c r="BG199" s="169"/>
      <c r="BH199" s="169"/>
      <c r="BI199" s="169"/>
      <c r="BJ199" s="169"/>
      <c r="BK199" s="169"/>
      <c r="BL199" s="169"/>
      <c r="BM199" s="169"/>
      <c r="BN199" s="169"/>
      <c r="BO199" s="169"/>
      <c r="BP199" s="169"/>
      <c r="BQ199" s="169"/>
      <c r="BR199" s="169"/>
      <c r="BS199" s="169"/>
      <c r="BT199" s="169"/>
      <c r="BU199" s="169"/>
      <c r="BV199" s="169"/>
      <c r="BW199" s="169"/>
      <c r="BX199" s="169"/>
      <c r="BY199" s="169"/>
      <c r="BZ199" s="169"/>
    </row>
    <row r="200" spans="12:78" customFormat="1" ht="11.25" customHeight="1">
      <c r="L200" s="20"/>
      <c r="M200" s="490" t="s">
        <v>538</v>
      </c>
      <c r="N200" s="490" t="s">
        <v>1133</v>
      </c>
      <c r="O200" s="420" t="s">
        <v>195</v>
      </c>
      <c r="AB200" s="251"/>
      <c r="AC200" s="251"/>
      <c r="AD200" s="251"/>
      <c r="AE200" s="247">
        <f t="shared" si="8"/>
        <v>0</v>
      </c>
      <c r="AF200" s="221"/>
      <c r="AG200" s="221"/>
      <c r="AH200" s="169"/>
      <c r="AI200" s="169"/>
      <c r="AJ200" s="169"/>
      <c r="AK200" s="169"/>
      <c r="AL200" s="169"/>
      <c r="AM200" s="169"/>
      <c r="AN200" s="169"/>
      <c r="AO200" s="169"/>
      <c r="AP200" s="169"/>
      <c r="AQ200" s="169"/>
      <c r="AR200" s="169"/>
      <c r="AS200" s="169"/>
      <c r="AT200" s="169"/>
      <c r="AU200" s="169"/>
      <c r="AV200" s="169"/>
      <c r="AW200" s="169"/>
      <c r="AX200" s="169"/>
      <c r="AY200" s="169"/>
      <c r="AZ200" s="169"/>
      <c r="BA200" s="169"/>
      <c r="BB200" s="169"/>
      <c r="BC200" s="169"/>
      <c r="BD200" s="169"/>
      <c r="BE200" s="169"/>
      <c r="BF200" s="169"/>
      <c r="BG200" s="169"/>
      <c r="BH200" s="169"/>
      <c r="BI200" s="169"/>
      <c r="BJ200" s="169"/>
      <c r="BK200" s="169"/>
      <c r="BL200" s="169"/>
      <c r="BM200" s="169"/>
      <c r="BN200" s="169"/>
      <c r="BO200" s="169"/>
      <c r="BP200" s="169"/>
      <c r="BQ200" s="169"/>
      <c r="BR200" s="169"/>
      <c r="BS200" s="169"/>
      <c r="BT200" s="169"/>
      <c r="BU200" s="169"/>
      <c r="BV200" s="169"/>
      <c r="BW200" s="169"/>
      <c r="BX200" s="169"/>
      <c r="BY200" s="169"/>
      <c r="BZ200" s="169"/>
    </row>
    <row r="201" spans="12:78" customFormat="1" ht="11.25" customHeight="1">
      <c r="L201" s="20"/>
      <c r="M201" s="490" t="s">
        <v>542</v>
      </c>
      <c r="N201" s="490" t="s">
        <v>1134</v>
      </c>
      <c r="O201" s="420" t="s">
        <v>195</v>
      </c>
      <c r="AB201" s="251"/>
      <c r="AC201" s="251"/>
      <c r="AD201" s="251"/>
      <c r="AE201" s="247">
        <f t="shared" si="8"/>
        <v>0</v>
      </c>
      <c r="AF201" s="221"/>
      <c r="AG201" s="221"/>
      <c r="AH201" s="169"/>
      <c r="AI201" s="169"/>
      <c r="AJ201" s="169"/>
      <c r="AK201" s="169"/>
      <c r="AL201" s="169"/>
      <c r="AM201" s="169"/>
      <c r="AN201" s="169"/>
      <c r="AO201" s="169"/>
      <c r="AP201" s="169"/>
      <c r="AQ201" s="169"/>
      <c r="AR201" s="169"/>
      <c r="AS201" s="169"/>
      <c r="AT201" s="169"/>
      <c r="AU201" s="169"/>
      <c r="AV201" s="169"/>
      <c r="AW201" s="169"/>
      <c r="AX201" s="169"/>
      <c r="AY201" s="169"/>
      <c r="AZ201" s="169"/>
      <c r="BA201" s="169"/>
      <c r="BB201" s="169"/>
      <c r="BC201" s="169"/>
      <c r="BD201" s="169"/>
      <c r="BE201" s="169"/>
      <c r="BF201" s="169"/>
      <c r="BG201" s="169"/>
      <c r="BH201" s="169"/>
      <c r="BI201" s="169"/>
      <c r="BJ201" s="169"/>
      <c r="BK201" s="169"/>
      <c r="BL201" s="169"/>
      <c r="BM201" s="169"/>
      <c r="BN201" s="169"/>
      <c r="BO201" s="169"/>
      <c r="BP201" s="169"/>
      <c r="BQ201" s="169"/>
      <c r="BR201" s="169"/>
      <c r="BS201" s="169"/>
      <c r="BT201" s="169"/>
      <c r="BU201" s="169"/>
      <c r="BV201" s="169"/>
      <c r="BW201" s="169"/>
      <c r="BX201" s="169"/>
      <c r="BY201" s="169"/>
      <c r="BZ201" s="169"/>
    </row>
    <row r="202" spans="12:78" customFormat="1" ht="11.25" customHeight="1" thickBot="1">
      <c r="L202" s="20"/>
      <c r="M202" s="532"/>
      <c r="N202" s="533"/>
      <c r="O202" s="422"/>
      <c r="AB202" s="251"/>
      <c r="AC202" s="251"/>
      <c r="AD202" s="251"/>
      <c r="AE202" s="261"/>
      <c r="AF202" s="261"/>
      <c r="AG202" s="261"/>
      <c r="AH202" s="169"/>
      <c r="AI202" s="169"/>
      <c r="AJ202" s="169"/>
      <c r="AK202" s="169"/>
      <c r="AL202" s="169"/>
      <c r="AM202" s="169"/>
      <c r="AN202" s="169"/>
      <c r="AO202" s="169"/>
      <c r="AP202" s="169"/>
      <c r="AQ202" s="169"/>
      <c r="AR202" s="169"/>
      <c r="AS202" s="169"/>
      <c r="AT202" s="169"/>
      <c r="AU202" s="169"/>
      <c r="AV202" s="169"/>
      <c r="AW202" s="169"/>
      <c r="AX202" s="169"/>
      <c r="AY202" s="169"/>
      <c r="AZ202" s="169"/>
      <c r="BA202" s="169"/>
      <c r="BB202" s="169"/>
      <c r="BC202" s="169"/>
      <c r="BD202" s="169"/>
      <c r="BE202" s="169"/>
      <c r="BF202" s="169"/>
      <c r="BG202" s="169"/>
      <c r="BH202" s="169"/>
      <c r="BI202" s="169"/>
      <c r="BJ202" s="169"/>
      <c r="BK202" s="169"/>
      <c r="BL202" s="169"/>
      <c r="BM202" s="169"/>
      <c r="BN202" s="169"/>
      <c r="BO202" s="169"/>
      <c r="BP202" s="169"/>
      <c r="BQ202" s="169"/>
      <c r="BR202" s="169"/>
      <c r="BS202" s="169"/>
      <c r="BT202" s="169"/>
      <c r="BU202" s="169"/>
      <c r="BV202" s="169"/>
      <c r="BW202" s="169"/>
      <c r="BX202" s="169"/>
      <c r="BY202" s="169"/>
      <c r="BZ202" s="169"/>
    </row>
    <row r="203" spans="12:78" customFormat="1" ht="11.25" customHeight="1" thickTop="1" thickBot="1">
      <c r="L203" s="20"/>
      <c r="M203" s="570" t="s">
        <v>2124</v>
      </c>
      <c r="N203" s="490" t="s">
        <v>545</v>
      </c>
      <c r="O203" s="420" t="s">
        <v>195</v>
      </c>
      <c r="AB203" s="251"/>
      <c r="AC203" s="251"/>
      <c r="AD203" s="251"/>
      <c r="AE203" s="521">
        <f>SUM(AE23,AE132,AE150,AE178,AE180,AE182,AE191,AE199,AE200,AE201)</f>
        <v>0</v>
      </c>
      <c r="AF203" s="521">
        <f>SUM(AF23,AF132,AF150,AF178,AF180,AF182,AF191,AF199,AF200,AF201)</f>
        <v>0</v>
      </c>
      <c r="AG203" s="521">
        <f>SUM(AG23,AG132,AG150,AG178,AG180,AG182,AG191,AG199,AG200,AG201)</f>
        <v>0</v>
      </c>
      <c r="AH203" s="169"/>
      <c r="AI203" s="169"/>
      <c r="AJ203" s="169"/>
      <c r="AK203" s="169"/>
      <c r="AL203" s="169"/>
      <c r="AM203" s="169"/>
      <c r="AN203" s="169"/>
      <c r="AO203" s="169"/>
      <c r="AP203" s="169"/>
      <c r="AQ203" s="169"/>
      <c r="AR203" s="169"/>
      <c r="AS203" s="169"/>
      <c r="AT203" s="169"/>
      <c r="AU203" s="169"/>
      <c r="AV203" s="169"/>
      <c r="AW203" s="169"/>
      <c r="AX203" s="169"/>
      <c r="AY203" s="169"/>
      <c r="AZ203" s="169"/>
      <c r="BA203" s="169"/>
      <c r="BB203" s="169"/>
      <c r="BC203" s="169"/>
      <c r="BD203" s="169"/>
      <c r="BE203" s="169"/>
      <c r="BF203" s="169"/>
      <c r="BG203" s="169"/>
      <c r="BH203" s="169"/>
      <c r="BI203" s="169"/>
      <c r="BJ203" s="169"/>
      <c r="BK203" s="169"/>
      <c r="BL203" s="169"/>
      <c r="BM203" s="169"/>
      <c r="BN203" s="169"/>
      <c r="BO203" s="169"/>
      <c r="BP203" s="169"/>
      <c r="BQ203" s="169"/>
      <c r="BR203" s="169"/>
      <c r="BS203" s="169"/>
      <c r="BT203" s="169"/>
      <c r="BU203" s="169"/>
      <c r="BV203" s="169"/>
      <c r="BW203" s="169"/>
      <c r="BX203" s="169"/>
      <c r="BY203" s="169"/>
      <c r="BZ203" s="169"/>
    </row>
    <row r="204" spans="12:78" customFormat="1" ht="11.25" customHeight="1" thickTop="1" thickBot="1">
      <c r="L204" s="20"/>
      <c r="M204" s="532"/>
      <c r="N204" s="533"/>
      <c r="O204" s="422"/>
      <c r="AB204" s="251"/>
      <c r="AC204" s="251"/>
      <c r="AD204" s="251"/>
      <c r="AE204" s="261"/>
      <c r="AF204" s="261"/>
      <c r="AG204" s="261"/>
      <c r="AH204" s="169"/>
      <c r="AI204" s="169"/>
      <c r="AJ204" s="169"/>
      <c r="AK204" s="169"/>
      <c r="AL204" s="169"/>
      <c r="AM204" s="169"/>
      <c r="AN204" s="169"/>
      <c r="AO204" s="169"/>
      <c r="AP204" s="169"/>
      <c r="AQ204" s="169"/>
      <c r="AR204" s="169"/>
      <c r="AS204" s="169"/>
      <c r="AT204" s="169"/>
      <c r="AU204" s="169"/>
      <c r="AV204" s="169"/>
      <c r="AW204" s="169"/>
      <c r="AX204" s="169"/>
      <c r="AY204" s="169"/>
      <c r="AZ204" s="169"/>
      <c r="BA204" s="169"/>
      <c r="BB204" s="169"/>
      <c r="BC204" s="169"/>
      <c r="BD204" s="169"/>
      <c r="BE204" s="169"/>
      <c r="BF204" s="169"/>
      <c r="BG204" s="169"/>
      <c r="BH204" s="169"/>
      <c r="BI204" s="169"/>
      <c r="BJ204" s="169"/>
      <c r="BK204" s="169"/>
      <c r="BL204" s="169"/>
      <c r="BM204" s="169"/>
      <c r="BN204" s="169"/>
      <c r="BO204" s="169"/>
      <c r="BP204" s="169"/>
      <c r="BQ204" s="169"/>
      <c r="BR204" s="169"/>
      <c r="BS204" s="169"/>
      <c r="BT204" s="169"/>
      <c r="BU204" s="169"/>
      <c r="BV204" s="169"/>
      <c r="BW204" s="169"/>
      <c r="BX204" s="169"/>
      <c r="BY204" s="169"/>
      <c r="BZ204" s="169"/>
    </row>
    <row r="205" spans="12:78" customFormat="1" ht="11.25" customHeight="1" thickTop="1" thickBot="1">
      <c r="L205" s="150"/>
      <c r="M205" s="570" t="s">
        <v>2123</v>
      </c>
      <c r="N205" s="494" t="s">
        <v>2122</v>
      </c>
      <c r="O205" s="163" t="s">
        <v>195</v>
      </c>
      <c r="AB205" s="251"/>
      <c r="AC205" s="251"/>
      <c r="AD205" s="251"/>
      <c r="AE205" s="521">
        <f>AF205+AG205</f>
        <v>0</v>
      </c>
      <c r="AF205" s="521">
        <f>AF203*AF$242</f>
        <v>0</v>
      </c>
      <c r="AG205" s="521">
        <f>AG203*AG$242</f>
        <v>0</v>
      </c>
      <c r="AH205" s="169"/>
      <c r="AI205" s="169"/>
      <c r="AJ205" s="169"/>
      <c r="AK205" s="169"/>
      <c r="AL205" s="169"/>
      <c r="AM205" s="169"/>
      <c r="AN205" s="169"/>
      <c r="AO205" s="169"/>
      <c r="AP205" s="169"/>
      <c r="AQ205" s="169"/>
      <c r="AR205" s="169"/>
      <c r="AS205" s="169"/>
      <c r="AT205" s="169"/>
      <c r="AU205" s="169"/>
      <c r="AV205" s="169"/>
      <c r="AW205" s="169"/>
      <c r="AX205" s="169"/>
      <c r="AY205" s="169"/>
      <c r="AZ205" s="169"/>
      <c r="BA205" s="169"/>
      <c r="BB205" s="169"/>
      <c r="BC205" s="169"/>
      <c r="BD205" s="169"/>
      <c r="BE205" s="169"/>
      <c r="BF205" s="169"/>
      <c r="BG205" s="169"/>
      <c r="BH205" s="169"/>
      <c r="BI205" s="169"/>
      <c r="BJ205" s="169"/>
      <c r="BK205" s="169"/>
      <c r="BL205" s="169"/>
      <c r="BM205" s="169"/>
      <c r="BN205" s="169"/>
      <c r="BO205" s="169"/>
      <c r="BP205" s="169"/>
      <c r="BQ205" s="169"/>
      <c r="BR205" s="169"/>
      <c r="BS205" s="169"/>
      <c r="BT205" s="169"/>
      <c r="BU205" s="169"/>
      <c r="BV205" s="169"/>
      <c r="BW205" s="169"/>
      <c r="BX205" s="169"/>
      <c r="BY205" s="169"/>
      <c r="BZ205" s="169"/>
    </row>
    <row r="206" spans="12:78" customFormat="1" ht="11.25" customHeight="1" thickTop="1">
      <c r="L206" s="150"/>
      <c r="M206" s="508"/>
      <c r="N206" s="472"/>
      <c r="O206" s="166"/>
      <c r="AB206" s="251"/>
      <c r="AC206" s="251"/>
      <c r="AD206" s="251"/>
      <c r="AE206" s="243"/>
      <c r="AF206" s="243"/>
      <c r="AG206" s="243"/>
      <c r="AH206" s="169"/>
      <c r="AI206" s="169"/>
      <c r="AJ206" s="169"/>
      <c r="AK206" s="169"/>
      <c r="AL206" s="169"/>
      <c r="AM206" s="169"/>
      <c r="AN206" s="169"/>
      <c r="AO206" s="169"/>
      <c r="AP206" s="169"/>
      <c r="AQ206" s="169"/>
      <c r="AR206" s="169"/>
      <c r="AS206" s="169"/>
      <c r="AT206" s="169"/>
      <c r="AU206" s="169"/>
      <c r="AV206" s="169"/>
      <c r="AW206" s="169"/>
      <c r="AX206" s="169"/>
      <c r="AY206" s="169"/>
      <c r="AZ206" s="169"/>
      <c r="BA206" s="169"/>
      <c r="BB206" s="169"/>
      <c r="BC206" s="169"/>
      <c r="BD206" s="169"/>
      <c r="BE206" s="169"/>
      <c r="BF206" s="169"/>
      <c r="BG206" s="169"/>
      <c r="BH206" s="169"/>
      <c r="BI206" s="169"/>
      <c r="BJ206" s="169"/>
      <c r="BK206" s="169"/>
      <c r="BL206" s="169"/>
      <c r="BM206" s="169"/>
      <c r="BN206" s="169"/>
      <c r="BO206" s="169"/>
      <c r="BP206" s="169"/>
      <c r="BQ206" s="169"/>
      <c r="BR206" s="169"/>
      <c r="BS206" s="169"/>
      <c r="BT206" s="169"/>
      <c r="BU206" s="169"/>
      <c r="BV206" s="169"/>
      <c r="BW206" s="169"/>
      <c r="BX206" s="169"/>
      <c r="BY206" s="169"/>
      <c r="BZ206" s="169"/>
    </row>
    <row r="207" spans="12:78" customFormat="1" ht="11.25" customHeight="1">
      <c r="L207" s="150"/>
      <c r="M207" s="513" t="s">
        <v>2119</v>
      </c>
      <c r="N207" s="513" t="s">
        <v>2131</v>
      </c>
      <c r="O207" s="443" t="s">
        <v>195</v>
      </c>
      <c r="AB207" s="251"/>
      <c r="AC207" s="251"/>
      <c r="AD207" s="251"/>
      <c r="AE207" s="247">
        <f>AF207+AG207</f>
        <v>0</v>
      </c>
      <c r="AF207" s="245"/>
      <c r="AG207" s="245"/>
      <c r="AH207" s="169"/>
      <c r="AI207" s="169"/>
      <c r="AJ207" s="169"/>
      <c r="AK207" s="169"/>
      <c r="AL207" s="169"/>
      <c r="AM207" s="169"/>
      <c r="AN207" s="169"/>
      <c r="AO207" s="169"/>
      <c r="AP207" s="169"/>
      <c r="AQ207" s="169"/>
      <c r="AR207" s="169"/>
      <c r="AS207" s="169"/>
      <c r="AT207" s="169"/>
      <c r="AU207" s="169"/>
      <c r="AV207" s="169"/>
      <c r="AW207" s="169"/>
      <c r="AX207" s="169"/>
      <c r="AY207" s="169"/>
      <c r="AZ207" s="169"/>
      <c r="BA207" s="169"/>
      <c r="BB207" s="169"/>
      <c r="BC207" s="169"/>
      <c r="BD207" s="169"/>
      <c r="BE207" s="169"/>
      <c r="BF207" s="169"/>
      <c r="BG207" s="169"/>
      <c r="BH207" s="169"/>
      <c r="BI207" s="169"/>
      <c r="BJ207" s="169"/>
      <c r="BK207" s="169"/>
      <c r="BL207" s="169"/>
      <c r="BM207" s="169"/>
      <c r="BN207" s="169"/>
      <c r="BO207" s="169"/>
      <c r="BP207" s="169"/>
      <c r="BQ207" s="169"/>
      <c r="BR207" s="169"/>
      <c r="BS207" s="169"/>
      <c r="BT207" s="169"/>
      <c r="BU207" s="169"/>
      <c r="BV207" s="169"/>
      <c r="BW207" s="169"/>
      <c r="BX207" s="169"/>
      <c r="BY207" s="169"/>
      <c r="BZ207" s="169"/>
    </row>
    <row r="208" spans="12:78" customFormat="1" ht="11.25" customHeight="1">
      <c r="L208" s="150"/>
      <c r="M208" s="514" t="s">
        <v>641</v>
      </c>
      <c r="N208" s="515" t="s">
        <v>598</v>
      </c>
      <c r="O208" s="443" t="s">
        <v>195</v>
      </c>
      <c r="AB208" s="251"/>
      <c r="AC208" s="251"/>
      <c r="AD208" s="251"/>
      <c r="AE208" s="247">
        <f>AF208+AG208</f>
        <v>0</v>
      </c>
      <c r="AF208" s="247">
        <f>SUM(AF210:AF213)</f>
        <v>0</v>
      </c>
      <c r="AG208" s="247">
        <f>SUM(AG210:AG213)</f>
        <v>0</v>
      </c>
      <c r="AH208" s="169"/>
      <c r="AI208" s="169"/>
      <c r="AJ208" s="169"/>
      <c r="AK208" s="169"/>
      <c r="AL208" s="169"/>
      <c r="AM208" s="169"/>
      <c r="AN208" s="169"/>
      <c r="AO208" s="169"/>
      <c r="AP208" s="169"/>
      <c r="AQ208" s="169"/>
      <c r="AR208" s="169"/>
      <c r="AS208" s="169"/>
      <c r="AT208" s="169"/>
      <c r="AU208" s="169"/>
      <c r="AV208" s="169"/>
      <c r="AW208" s="169"/>
      <c r="AX208" s="169"/>
      <c r="AY208" s="169"/>
      <c r="AZ208" s="169"/>
      <c r="BA208" s="169"/>
      <c r="BB208" s="169"/>
      <c r="BC208" s="169"/>
      <c r="BD208" s="169"/>
      <c r="BE208" s="169"/>
      <c r="BF208" s="169"/>
      <c r="BG208" s="169"/>
      <c r="BH208" s="169"/>
      <c r="BI208" s="169"/>
      <c r="BJ208" s="169"/>
      <c r="BK208" s="169"/>
      <c r="BL208" s="169"/>
      <c r="BM208" s="169"/>
      <c r="BN208" s="169"/>
      <c r="BO208" s="169"/>
      <c r="BP208" s="169"/>
      <c r="BQ208" s="169"/>
      <c r="BR208" s="169"/>
      <c r="BS208" s="169"/>
      <c r="BT208" s="169"/>
      <c r="BU208" s="169"/>
      <c r="BV208" s="169"/>
      <c r="BW208" s="169"/>
      <c r="BX208" s="169"/>
      <c r="BY208" s="169"/>
      <c r="BZ208" s="169"/>
    </row>
    <row r="209" spans="12:78" customFormat="1" ht="11.25" customHeight="1">
      <c r="L209" s="150"/>
      <c r="M209" s="508"/>
      <c r="N209" s="472"/>
      <c r="O209" s="166"/>
      <c r="AB209" s="251"/>
      <c r="AC209" s="251"/>
      <c r="AD209" s="251"/>
      <c r="AE209" s="241"/>
      <c r="AF209" s="241"/>
      <c r="AG209" s="241"/>
      <c r="AH209" s="169"/>
      <c r="AI209" s="169"/>
      <c r="AJ209" s="169"/>
      <c r="AK209" s="169"/>
      <c r="AL209" s="169"/>
      <c r="AM209" s="169"/>
      <c r="AN209" s="169"/>
      <c r="AO209" s="169"/>
      <c r="AP209" s="169"/>
      <c r="AQ209" s="169"/>
      <c r="AR209" s="169"/>
      <c r="AS209" s="169"/>
      <c r="AT209" s="169"/>
      <c r="AU209" s="169"/>
      <c r="AV209" s="169"/>
      <c r="AW209" s="169"/>
      <c r="AX209" s="169"/>
      <c r="AY209" s="169"/>
      <c r="AZ209" s="169"/>
      <c r="BA209" s="169"/>
      <c r="BB209" s="169"/>
      <c r="BC209" s="169"/>
      <c r="BD209" s="169"/>
      <c r="BE209" s="169"/>
      <c r="BF209" s="169"/>
      <c r="BG209" s="169"/>
      <c r="BH209" s="169"/>
      <c r="BI209" s="169"/>
      <c r="BJ209" s="169"/>
      <c r="BK209" s="169"/>
      <c r="BL209" s="169"/>
      <c r="BM209" s="169"/>
      <c r="BN209" s="169"/>
      <c r="BO209" s="169"/>
      <c r="BP209" s="169"/>
      <c r="BQ209" s="169"/>
      <c r="BR209" s="169"/>
      <c r="BS209" s="169"/>
      <c r="BT209" s="169"/>
      <c r="BU209" s="169"/>
      <c r="BV209" s="169"/>
      <c r="BW209" s="169"/>
      <c r="BX209" s="169"/>
      <c r="BY209" s="169"/>
      <c r="BZ209" s="169"/>
    </row>
    <row r="210" spans="12:78" customFormat="1" ht="11.25" customHeight="1">
      <c r="L210" s="150"/>
      <c r="M210" s="558" t="s">
        <v>2127</v>
      </c>
      <c r="N210" s="467" t="s">
        <v>547</v>
      </c>
      <c r="O210" s="445" t="s">
        <v>195</v>
      </c>
      <c r="AB210" s="251"/>
      <c r="AC210" s="251"/>
      <c r="AD210" s="251"/>
      <c r="AE210" s="247">
        <f>AF210+AG210</f>
        <v>0</v>
      </c>
      <c r="AF210" s="245"/>
      <c r="AG210" s="245"/>
      <c r="AH210" s="169"/>
      <c r="AI210" s="169"/>
      <c r="AJ210" s="169"/>
      <c r="AK210" s="169"/>
      <c r="AL210" s="169"/>
      <c r="AM210" s="169"/>
      <c r="AN210" s="169"/>
      <c r="AO210" s="169"/>
      <c r="AP210" s="169"/>
      <c r="AQ210" s="169"/>
      <c r="AR210" s="169"/>
      <c r="AS210" s="169"/>
      <c r="AT210" s="169"/>
      <c r="AU210" s="169"/>
      <c r="AV210" s="169"/>
      <c r="AW210" s="169"/>
      <c r="AX210" s="169"/>
      <c r="AY210" s="169"/>
      <c r="AZ210" s="169"/>
      <c r="BA210" s="169"/>
      <c r="BB210" s="169"/>
      <c r="BC210" s="169"/>
      <c r="BD210" s="169"/>
      <c r="BE210" s="169"/>
      <c r="BF210" s="169"/>
      <c r="BG210" s="169"/>
      <c r="BH210" s="169"/>
      <c r="BI210" s="169"/>
      <c r="BJ210" s="169"/>
      <c r="BK210" s="169"/>
      <c r="BL210" s="169"/>
      <c r="BM210" s="169"/>
      <c r="BN210" s="169"/>
      <c r="BO210" s="169"/>
      <c r="BP210" s="169"/>
      <c r="BQ210" s="169"/>
      <c r="BR210" s="169"/>
      <c r="BS210" s="169"/>
      <c r="BT210" s="169"/>
      <c r="BU210" s="169"/>
      <c r="BV210" s="169"/>
      <c r="BW210" s="169"/>
      <c r="BX210" s="169"/>
      <c r="BY210" s="169"/>
      <c r="BZ210" s="169"/>
    </row>
    <row r="211" spans="12:78" customFormat="1" ht="11.25" customHeight="1">
      <c r="L211" s="150"/>
      <c r="M211" s="558" t="s">
        <v>2128</v>
      </c>
      <c r="N211" s="467" t="s">
        <v>548</v>
      </c>
      <c r="O211" s="445" t="s">
        <v>195</v>
      </c>
      <c r="AB211" s="251"/>
      <c r="AC211" s="251"/>
      <c r="AD211" s="251"/>
      <c r="AE211" s="247">
        <f>AF211+AG211</f>
        <v>0</v>
      </c>
      <c r="AF211" s="245"/>
      <c r="AG211" s="245"/>
      <c r="AH211" s="169"/>
      <c r="AI211" s="169"/>
      <c r="AJ211" s="169"/>
      <c r="AK211" s="169"/>
      <c r="AL211" s="169"/>
      <c r="AM211" s="169"/>
      <c r="AN211" s="169"/>
      <c r="AO211" s="169"/>
      <c r="AP211" s="169"/>
      <c r="AQ211" s="169"/>
      <c r="AR211" s="169"/>
      <c r="AS211" s="169"/>
      <c r="AT211" s="169"/>
      <c r="AU211" s="169"/>
      <c r="AV211" s="169"/>
      <c r="AW211" s="169"/>
      <c r="AX211" s="169"/>
      <c r="AY211" s="169"/>
      <c r="AZ211" s="169"/>
      <c r="BA211" s="169"/>
      <c r="BB211" s="169"/>
      <c r="BC211" s="169"/>
      <c r="BD211" s="169"/>
      <c r="BE211" s="169"/>
      <c r="BF211" s="169"/>
      <c r="BG211" s="169"/>
      <c r="BH211" s="169"/>
      <c r="BI211" s="169"/>
      <c r="BJ211" s="169"/>
      <c r="BK211" s="169"/>
      <c r="BL211" s="169"/>
      <c r="BM211" s="169"/>
      <c r="BN211" s="169"/>
      <c r="BO211" s="169"/>
      <c r="BP211" s="169"/>
      <c r="BQ211" s="169"/>
      <c r="BR211" s="169"/>
      <c r="BS211" s="169"/>
      <c r="BT211" s="169"/>
      <c r="BU211" s="169"/>
      <c r="BV211" s="169"/>
      <c r="BW211" s="169"/>
      <c r="BX211" s="169"/>
      <c r="BY211" s="169"/>
      <c r="BZ211" s="169"/>
    </row>
    <row r="212" spans="12:78" customFormat="1" ht="11.25" customHeight="1">
      <c r="L212" s="150"/>
      <c r="M212" s="558" t="s">
        <v>2129</v>
      </c>
      <c r="N212" s="467" t="s">
        <v>549</v>
      </c>
      <c r="O212" s="445" t="s">
        <v>195</v>
      </c>
      <c r="AB212" s="251"/>
      <c r="AC212" s="251"/>
      <c r="AD212" s="251"/>
      <c r="AE212" s="247">
        <f>AF212+AG212</f>
        <v>0</v>
      </c>
      <c r="AF212" s="245"/>
      <c r="AG212" s="245"/>
      <c r="AH212" s="169"/>
      <c r="AI212" s="169"/>
      <c r="AJ212" s="169"/>
      <c r="AK212" s="169"/>
      <c r="AL212" s="169"/>
      <c r="AM212" s="169"/>
      <c r="AN212" s="169"/>
      <c r="AO212" s="169"/>
      <c r="AP212" s="169"/>
      <c r="AQ212" s="169"/>
      <c r="AR212" s="169"/>
      <c r="AS212" s="169"/>
      <c r="AT212" s="169"/>
      <c r="AU212" s="169"/>
      <c r="AV212" s="169"/>
      <c r="AW212" s="169"/>
      <c r="AX212" s="169"/>
      <c r="AY212" s="169"/>
      <c r="AZ212" s="169"/>
      <c r="BA212" s="169"/>
      <c r="BB212" s="169"/>
      <c r="BC212" s="169"/>
      <c r="BD212" s="169"/>
      <c r="BE212" s="169"/>
      <c r="BF212" s="169"/>
      <c r="BG212" s="169"/>
      <c r="BH212" s="169"/>
      <c r="BI212" s="169"/>
      <c r="BJ212" s="169"/>
      <c r="BK212" s="169"/>
      <c r="BL212" s="169"/>
      <c r="BM212" s="169"/>
      <c r="BN212" s="169"/>
      <c r="BO212" s="169"/>
      <c r="BP212" s="169"/>
      <c r="BQ212" s="169"/>
      <c r="BR212" s="169"/>
      <c r="BS212" s="169"/>
      <c r="BT212" s="169"/>
      <c r="BU212" s="169"/>
      <c r="BV212" s="169"/>
      <c r="BW212" s="169"/>
      <c r="BX212" s="169"/>
      <c r="BY212" s="169"/>
      <c r="BZ212" s="169"/>
    </row>
    <row r="213" spans="12:78" customFormat="1" ht="11.25" customHeight="1">
      <c r="L213" s="150"/>
      <c r="M213" s="558" t="s">
        <v>2130</v>
      </c>
      <c r="N213" s="467" t="s">
        <v>550</v>
      </c>
      <c r="O213" s="445" t="s">
        <v>195</v>
      </c>
      <c r="AB213" s="251"/>
      <c r="AC213" s="251"/>
      <c r="AD213" s="251"/>
      <c r="AE213" s="247">
        <f>AF213+AG213</f>
        <v>0</v>
      </c>
      <c r="AF213" s="245"/>
      <c r="AG213" s="245"/>
      <c r="AH213" s="169"/>
      <c r="AI213" s="169"/>
      <c r="AJ213" s="169"/>
      <c r="AK213" s="169"/>
      <c r="AL213" s="169"/>
      <c r="AM213" s="169"/>
      <c r="AN213" s="169"/>
      <c r="AO213" s="169"/>
      <c r="AP213" s="169"/>
      <c r="AQ213" s="169"/>
      <c r="AR213" s="169"/>
      <c r="AS213" s="169"/>
      <c r="AT213" s="169"/>
      <c r="AU213" s="169"/>
      <c r="AV213" s="169"/>
      <c r="AW213" s="169"/>
      <c r="AX213" s="169"/>
      <c r="AY213" s="169"/>
      <c r="AZ213" s="169"/>
      <c r="BA213" s="169"/>
      <c r="BB213" s="169"/>
      <c r="BC213" s="169"/>
      <c r="BD213" s="169"/>
      <c r="BE213" s="169"/>
      <c r="BF213" s="169"/>
      <c r="BG213" s="169"/>
      <c r="BH213" s="169"/>
      <c r="BI213" s="169"/>
      <c r="BJ213" s="169"/>
      <c r="BK213" s="169"/>
      <c r="BL213" s="169"/>
      <c r="BM213" s="169"/>
      <c r="BN213" s="169"/>
      <c r="BO213" s="169"/>
      <c r="BP213" s="169"/>
      <c r="BQ213" s="169"/>
      <c r="BR213" s="169"/>
      <c r="BS213" s="169"/>
      <c r="BT213" s="169"/>
      <c r="BU213" s="169"/>
      <c r="BV213" s="169"/>
      <c r="BW213" s="169"/>
      <c r="BX213" s="169"/>
      <c r="BY213" s="169"/>
      <c r="BZ213" s="169"/>
    </row>
    <row r="214" spans="12:78" customFormat="1" ht="11.25" customHeight="1">
      <c r="L214" s="20"/>
      <c r="M214" s="508"/>
      <c r="N214" s="522"/>
      <c r="O214" s="166"/>
      <c r="AB214" s="251"/>
      <c r="AC214" s="251"/>
      <c r="AD214" s="251"/>
      <c r="AE214" s="241"/>
      <c r="AF214" s="241"/>
      <c r="AG214" s="241"/>
      <c r="AH214" s="169"/>
      <c r="AI214" s="169"/>
      <c r="AJ214" s="169"/>
      <c r="AK214" s="169"/>
      <c r="AL214" s="169"/>
      <c r="AM214" s="169"/>
      <c r="AN214" s="169"/>
      <c r="AO214" s="169"/>
      <c r="AP214" s="169"/>
      <c r="AQ214" s="169"/>
      <c r="AR214" s="169"/>
      <c r="AS214" s="169"/>
      <c r="AT214" s="169"/>
      <c r="AU214" s="169"/>
      <c r="AV214" s="169"/>
      <c r="AW214" s="169"/>
      <c r="AX214" s="169"/>
      <c r="AY214" s="169"/>
      <c r="AZ214" s="169"/>
      <c r="BA214" s="169"/>
      <c r="BB214" s="169"/>
      <c r="BC214" s="169"/>
      <c r="BD214" s="169"/>
      <c r="BE214" s="169"/>
      <c r="BF214" s="169"/>
      <c r="BG214" s="169"/>
      <c r="BH214" s="169"/>
      <c r="BI214" s="169"/>
      <c r="BJ214" s="169"/>
      <c r="BK214" s="169"/>
      <c r="BL214" s="169"/>
      <c r="BM214" s="169"/>
      <c r="BN214" s="169"/>
      <c r="BO214" s="169"/>
      <c r="BP214" s="169"/>
      <c r="BQ214" s="169"/>
      <c r="BR214" s="169"/>
      <c r="BS214" s="169"/>
      <c r="BT214" s="169"/>
      <c r="BU214" s="169"/>
      <c r="BV214" s="169"/>
      <c r="BW214" s="169"/>
      <c r="BX214" s="169"/>
      <c r="BY214" s="169"/>
      <c r="BZ214" s="169"/>
    </row>
    <row r="215" spans="12:78" customFormat="1" ht="11.25" customHeight="1">
      <c r="L215" s="20"/>
      <c r="M215" s="508"/>
      <c r="N215" s="522"/>
      <c r="O215" s="166"/>
      <c r="AB215" s="251"/>
      <c r="AC215" s="251"/>
      <c r="AD215" s="251"/>
      <c r="AE215" s="241"/>
      <c r="AF215" s="241"/>
      <c r="AG215" s="241"/>
      <c r="AH215" s="169"/>
      <c r="AI215" s="169"/>
      <c r="AJ215" s="169"/>
      <c r="AK215" s="169"/>
      <c r="AL215" s="169"/>
      <c r="AM215" s="169"/>
      <c r="AN215" s="169"/>
      <c r="AO215" s="169"/>
      <c r="AP215" s="169"/>
      <c r="AQ215" s="169"/>
      <c r="AR215" s="169"/>
      <c r="AS215" s="169"/>
      <c r="AT215" s="169"/>
      <c r="AU215" s="169"/>
      <c r="AV215" s="169"/>
      <c r="AW215" s="169"/>
      <c r="AX215" s="169"/>
      <c r="AY215" s="169"/>
      <c r="AZ215" s="169"/>
      <c r="BA215" s="169"/>
      <c r="BB215" s="169"/>
      <c r="BC215" s="169"/>
      <c r="BD215" s="169"/>
      <c r="BE215" s="169"/>
      <c r="BF215" s="169"/>
      <c r="BG215" s="169"/>
      <c r="BH215" s="169"/>
      <c r="BI215" s="169"/>
      <c r="BJ215" s="169"/>
      <c r="BK215" s="169"/>
      <c r="BL215" s="169"/>
      <c r="BM215" s="169"/>
      <c r="BN215" s="169"/>
      <c r="BO215" s="169"/>
      <c r="BP215" s="169"/>
      <c r="BQ215" s="169"/>
      <c r="BR215" s="169"/>
      <c r="BS215" s="169"/>
      <c r="BT215" s="169"/>
      <c r="BU215" s="169"/>
      <c r="BV215" s="169"/>
      <c r="BW215" s="169"/>
      <c r="BX215" s="169"/>
      <c r="BY215" s="169"/>
      <c r="BZ215" s="169"/>
    </row>
    <row r="216" spans="12:78" customFormat="1" ht="11.25" customHeight="1">
      <c r="L216" s="20"/>
      <c r="M216" s="508"/>
      <c r="N216" s="522"/>
      <c r="O216" s="166"/>
      <c r="AB216" s="251"/>
      <c r="AC216" s="251"/>
      <c r="AD216" s="251"/>
      <c r="AE216" s="241"/>
      <c r="AF216" s="241"/>
      <c r="AG216" s="241"/>
      <c r="AH216" s="169"/>
      <c r="AI216" s="169"/>
      <c r="AJ216" s="169"/>
      <c r="AK216" s="169"/>
      <c r="AL216" s="169"/>
      <c r="AM216" s="169"/>
      <c r="AN216" s="169"/>
      <c r="AO216" s="169"/>
      <c r="AP216" s="169"/>
      <c r="AQ216" s="169"/>
      <c r="AR216" s="169"/>
      <c r="AS216" s="169"/>
      <c r="AT216" s="169"/>
      <c r="AU216" s="169"/>
      <c r="AV216" s="169"/>
      <c r="AW216" s="169"/>
      <c r="AX216" s="169"/>
      <c r="AY216" s="169"/>
      <c r="AZ216" s="169"/>
      <c r="BA216" s="169"/>
      <c r="BB216" s="169"/>
      <c r="BC216" s="169"/>
      <c r="BD216" s="169"/>
      <c r="BE216" s="169"/>
      <c r="BF216" s="169"/>
      <c r="BG216" s="169"/>
      <c r="BH216" s="169"/>
      <c r="BI216" s="169"/>
      <c r="BJ216" s="169"/>
      <c r="BK216" s="169"/>
      <c r="BL216" s="169"/>
      <c r="BM216" s="169"/>
      <c r="BN216" s="169"/>
      <c r="BO216" s="169"/>
      <c r="BP216" s="169"/>
      <c r="BQ216" s="169"/>
      <c r="BR216" s="169"/>
      <c r="BS216" s="169"/>
      <c r="BT216" s="169"/>
      <c r="BU216" s="169"/>
      <c r="BV216" s="169"/>
      <c r="BW216" s="169"/>
      <c r="BX216" s="169"/>
      <c r="BY216" s="169"/>
      <c r="BZ216" s="169"/>
    </row>
    <row r="217" spans="12:78" customFormat="1" ht="11.25" customHeight="1">
      <c r="L217" s="20"/>
      <c r="M217" s="508"/>
      <c r="N217" s="522"/>
      <c r="O217" s="166"/>
      <c r="AB217" s="251"/>
      <c r="AC217" s="251"/>
      <c r="AD217" s="251"/>
      <c r="AE217" s="241"/>
      <c r="AF217" s="241"/>
      <c r="AG217" s="241"/>
      <c r="AH217" s="169"/>
      <c r="AI217" s="169"/>
      <c r="AJ217" s="169"/>
      <c r="AK217" s="169"/>
      <c r="AL217" s="169"/>
      <c r="AM217" s="169"/>
      <c r="AN217" s="169"/>
      <c r="AO217" s="169"/>
      <c r="AP217" s="169"/>
      <c r="AQ217" s="169"/>
      <c r="AR217" s="169"/>
      <c r="AS217" s="169"/>
      <c r="AT217" s="169"/>
      <c r="AU217" s="169"/>
      <c r="AV217" s="169"/>
      <c r="AW217" s="169"/>
      <c r="AX217" s="169"/>
      <c r="AY217" s="169"/>
      <c r="AZ217" s="169"/>
      <c r="BA217" s="169"/>
      <c r="BB217" s="169"/>
      <c r="BC217" s="169"/>
      <c r="BD217" s="169"/>
      <c r="BE217" s="169"/>
      <c r="BF217" s="169"/>
      <c r="BG217" s="169"/>
      <c r="BH217" s="169"/>
      <c r="BI217" s="169"/>
      <c r="BJ217" s="169"/>
      <c r="BK217" s="169"/>
      <c r="BL217" s="169"/>
      <c r="BM217" s="169"/>
      <c r="BN217" s="169"/>
      <c r="BO217" s="169"/>
      <c r="BP217" s="169"/>
      <c r="BQ217" s="169"/>
      <c r="BR217" s="169"/>
      <c r="BS217" s="169"/>
      <c r="BT217" s="169"/>
      <c r="BU217" s="169"/>
      <c r="BV217" s="169"/>
      <c r="BW217" s="169"/>
      <c r="BX217" s="169"/>
      <c r="BY217" s="169"/>
      <c r="BZ217" s="169"/>
    </row>
    <row r="218" spans="12:78" customFormat="1" ht="11.25" customHeight="1">
      <c r="L218" s="20"/>
      <c r="M218" s="508"/>
      <c r="N218" s="522"/>
      <c r="O218" s="166"/>
      <c r="AB218" s="251"/>
      <c r="AC218" s="251"/>
      <c r="AD218" s="251"/>
      <c r="AE218" s="241"/>
      <c r="AF218" s="241"/>
      <c r="AG218" s="241"/>
      <c r="AH218" s="169"/>
      <c r="AI218" s="169"/>
      <c r="AJ218" s="169"/>
      <c r="AK218" s="169"/>
      <c r="AL218" s="169"/>
      <c r="AM218" s="169"/>
      <c r="AN218" s="169"/>
      <c r="AO218" s="169"/>
      <c r="AP218" s="169"/>
      <c r="AQ218" s="169"/>
      <c r="AR218" s="169"/>
      <c r="AS218" s="169"/>
      <c r="AT218" s="169"/>
      <c r="AU218" s="169"/>
      <c r="AV218" s="169"/>
      <c r="AW218" s="169"/>
      <c r="AX218" s="169"/>
      <c r="AY218" s="169"/>
      <c r="AZ218" s="169"/>
      <c r="BA218" s="169"/>
      <c r="BB218" s="169"/>
      <c r="BC218" s="169"/>
      <c r="BD218" s="169"/>
      <c r="BE218" s="169"/>
      <c r="BF218" s="169"/>
      <c r="BG218" s="169"/>
      <c r="BH218" s="169"/>
      <c r="BI218" s="169"/>
      <c r="BJ218" s="169"/>
      <c r="BK218" s="169"/>
      <c r="BL218" s="169"/>
      <c r="BM218" s="169"/>
      <c r="BN218" s="169"/>
      <c r="BO218" s="169"/>
      <c r="BP218" s="169"/>
      <c r="BQ218" s="169"/>
      <c r="BR218" s="169"/>
      <c r="BS218" s="169"/>
      <c r="BT218" s="169"/>
      <c r="BU218" s="169"/>
      <c r="BV218" s="169"/>
      <c r="BW218" s="169"/>
      <c r="BX218" s="169"/>
      <c r="BY218" s="169"/>
      <c r="BZ218" s="169"/>
    </row>
    <row r="219" spans="12:78" customFormat="1" ht="11.25" customHeight="1">
      <c r="L219" s="20"/>
      <c r="M219" s="508"/>
      <c r="N219" s="522"/>
      <c r="O219" s="166"/>
      <c r="AB219" s="251"/>
      <c r="AC219" s="251"/>
      <c r="AD219" s="251"/>
      <c r="AE219" s="241"/>
      <c r="AF219" s="241"/>
      <c r="AG219" s="241"/>
      <c r="AH219" s="169"/>
      <c r="AI219" s="169"/>
      <c r="AJ219" s="169"/>
      <c r="AK219" s="169"/>
      <c r="AL219" s="169"/>
      <c r="AM219" s="169"/>
      <c r="AN219" s="169"/>
      <c r="AO219" s="169"/>
      <c r="AP219" s="169"/>
      <c r="AQ219" s="169"/>
      <c r="AR219" s="169"/>
      <c r="AS219" s="169"/>
      <c r="AT219" s="169"/>
      <c r="AU219" s="169"/>
      <c r="AV219" s="169"/>
      <c r="AW219" s="169"/>
      <c r="AX219" s="169"/>
      <c r="AY219" s="169"/>
      <c r="AZ219" s="169"/>
      <c r="BA219" s="169"/>
      <c r="BB219" s="169"/>
      <c r="BC219" s="169"/>
      <c r="BD219" s="169"/>
      <c r="BE219" s="169"/>
      <c r="BF219" s="169"/>
      <c r="BG219" s="169"/>
      <c r="BH219" s="169"/>
      <c r="BI219" s="169"/>
      <c r="BJ219" s="169"/>
      <c r="BK219" s="169"/>
      <c r="BL219" s="169"/>
      <c r="BM219" s="169"/>
      <c r="BN219" s="169"/>
      <c r="BO219" s="169"/>
      <c r="BP219" s="169"/>
      <c r="BQ219" s="169"/>
      <c r="BR219" s="169"/>
      <c r="BS219" s="169"/>
      <c r="BT219" s="169"/>
      <c r="BU219" s="169"/>
      <c r="BV219" s="169"/>
      <c r="BW219" s="169"/>
      <c r="BX219" s="169"/>
      <c r="BY219" s="169"/>
      <c r="BZ219" s="169"/>
    </row>
    <row r="220" spans="12:78" customFormat="1" ht="11.25" customHeight="1">
      <c r="L220" s="20"/>
      <c r="M220" s="508"/>
      <c r="N220" s="522"/>
      <c r="O220" s="166"/>
      <c r="AB220" s="251"/>
      <c r="AC220" s="251"/>
      <c r="AD220" s="251"/>
      <c r="AE220" s="241"/>
      <c r="AF220" s="241"/>
      <c r="AG220" s="241"/>
      <c r="AH220" s="169"/>
      <c r="AI220" s="169"/>
      <c r="AJ220" s="169"/>
      <c r="AK220" s="169"/>
      <c r="AL220" s="169"/>
      <c r="AM220" s="169"/>
      <c r="AN220" s="169"/>
      <c r="AO220" s="169"/>
      <c r="AP220" s="169"/>
      <c r="AQ220" s="169"/>
      <c r="AR220" s="169"/>
      <c r="AS220" s="169"/>
      <c r="AT220" s="169"/>
      <c r="AU220" s="169"/>
      <c r="AV220" s="169"/>
      <c r="AW220" s="169"/>
      <c r="AX220" s="169"/>
      <c r="AY220" s="169"/>
      <c r="AZ220" s="169"/>
      <c r="BA220" s="169"/>
      <c r="BB220" s="169"/>
      <c r="BC220" s="169"/>
      <c r="BD220" s="169"/>
      <c r="BE220" s="169"/>
      <c r="BF220" s="169"/>
      <c r="BG220" s="169"/>
      <c r="BH220" s="169"/>
      <c r="BI220" s="169"/>
      <c r="BJ220" s="169"/>
      <c r="BK220" s="169"/>
      <c r="BL220" s="169"/>
      <c r="BM220" s="169"/>
      <c r="BN220" s="169"/>
      <c r="BO220" s="169"/>
      <c r="BP220" s="169"/>
      <c r="BQ220" s="169"/>
      <c r="BR220" s="169"/>
      <c r="BS220" s="169"/>
      <c r="BT220" s="169"/>
      <c r="BU220" s="169"/>
      <c r="BV220" s="169"/>
      <c r="BW220" s="169"/>
      <c r="BX220" s="169"/>
      <c r="BY220" s="169"/>
      <c r="BZ220" s="169"/>
    </row>
    <row r="221" spans="12:78" customFormat="1" ht="11.25" customHeight="1" thickBot="1">
      <c r="L221" s="20"/>
      <c r="M221" s="508"/>
      <c r="N221" s="522"/>
      <c r="O221" s="166"/>
      <c r="AB221" s="251"/>
      <c r="AC221" s="251"/>
      <c r="AD221" s="251"/>
      <c r="AE221" s="241"/>
      <c r="AF221" s="241"/>
      <c r="AG221" s="241"/>
      <c r="AH221" s="169"/>
      <c r="AI221" s="169"/>
      <c r="AJ221" s="169"/>
      <c r="AK221" s="169"/>
      <c r="AL221" s="169"/>
      <c r="AM221" s="169"/>
      <c r="AN221" s="169"/>
      <c r="AO221" s="169"/>
      <c r="AP221" s="169"/>
      <c r="AQ221" s="169"/>
      <c r="AR221" s="169"/>
      <c r="AS221" s="169"/>
      <c r="AT221" s="169"/>
      <c r="AU221" s="169"/>
      <c r="AV221" s="169"/>
      <c r="AW221" s="169"/>
      <c r="AX221" s="169"/>
      <c r="AY221" s="169"/>
      <c r="AZ221" s="169"/>
      <c r="BA221" s="169"/>
      <c r="BB221" s="169"/>
      <c r="BC221" s="169"/>
      <c r="BD221" s="169"/>
      <c r="BE221" s="169"/>
      <c r="BF221" s="169"/>
      <c r="BG221" s="169"/>
      <c r="BH221" s="169"/>
      <c r="BI221" s="169"/>
      <c r="BJ221" s="169"/>
      <c r="BK221" s="169"/>
      <c r="BL221" s="169"/>
      <c r="BM221" s="169"/>
      <c r="BN221" s="169"/>
      <c r="BO221" s="169"/>
      <c r="BP221" s="169"/>
      <c r="BQ221" s="169"/>
      <c r="BR221" s="169"/>
      <c r="BS221" s="169"/>
      <c r="BT221" s="169"/>
      <c r="BU221" s="169"/>
      <c r="BV221" s="169"/>
      <c r="BW221" s="169"/>
      <c r="BX221" s="169"/>
      <c r="BY221" s="169"/>
      <c r="BZ221" s="169"/>
    </row>
    <row r="222" spans="12:78" customFormat="1" ht="11.25" customHeight="1" thickTop="1" thickBot="1">
      <c r="L222" s="150"/>
      <c r="M222" s="570" t="s">
        <v>2132</v>
      </c>
      <c r="N222" s="494" t="s">
        <v>2133</v>
      </c>
      <c r="O222" s="163" t="s">
        <v>195</v>
      </c>
      <c r="AB222" s="251"/>
      <c r="AC222" s="251"/>
      <c r="AD222" s="251"/>
      <c r="AE222" s="521">
        <f>AF222+AG222</f>
        <v>0</v>
      </c>
      <c r="AF222" s="521">
        <f>AF203+AF208</f>
        <v>0</v>
      </c>
      <c r="AG222" s="521">
        <f>AG203+AG208</f>
        <v>0</v>
      </c>
      <c r="AH222" s="169"/>
      <c r="AI222" s="169"/>
      <c r="AJ222" s="169"/>
      <c r="AK222" s="169"/>
      <c r="AL222" s="169"/>
      <c r="AM222" s="169"/>
      <c r="AN222" s="169"/>
      <c r="AO222" s="169"/>
      <c r="AP222" s="169"/>
      <c r="AQ222" s="169"/>
      <c r="AR222" s="169"/>
      <c r="AS222" s="169"/>
      <c r="AT222" s="169"/>
      <c r="AU222" s="169"/>
      <c r="AV222" s="169"/>
      <c r="AW222" s="169"/>
      <c r="AX222" s="169"/>
      <c r="AY222" s="169"/>
      <c r="AZ222" s="169"/>
      <c r="BA222" s="169"/>
      <c r="BB222" s="169"/>
      <c r="BC222" s="169"/>
      <c r="BD222" s="169"/>
      <c r="BE222" s="169"/>
      <c r="BF222" s="169"/>
      <c r="BG222" s="169"/>
      <c r="BH222" s="169"/>
      <c r="BI222" s="169"/>
      <c r="BJ222" s="169"/>
      <c r="BK222" s="169"/>
      <c r="BL222" s="169"/>
      <c r="BM222" s="169"/>
      <c r="BN222" s="169"/>
      <c r="BO222" s="169"/>
      <c r="BP222" s="169"/>
      <c r="BQ222" s="169"/>
      <c r="BR222" s="169"/>
      <c r="BS222" s="169"/>
      <c r="BT222" s="169"/>
      <c r="BU222" s="169"/>
      <c r="BV222" s="169"/>
      <c r="BW222" s="169"/>
      <c r="BX222" s="169"/>
      <c r="BY222" s="169"/>
      <c r="BZ222" s="169"/>
    </row>
    <row r="223" spans="12:78" customFormat="1" ht="11.25" customHeight="1" thickTop="1">
      <c r="L223" s="20"/>
      <c r="M223" s="508"/>
      <c r="N223" s="522"/>
      <c r="O223" s="166"/>
      <c r="AB223" s="251"/>
      <c r="AC223" s="251"/>
      <c r="AD223" s="251"/>
      <c r="AE223" s="241"/>
      <c r="AF223" s="241"/>
      <c r="AG223" s="241"/>
      <c r="AH223" s="169"/>
      <c r="AI223" s="169"/>
      <c r="AJ223" s="169"/>
      <c r="AK223" s="169"/>
      <c r="AL223" s="169"/>
      <c r="AM223" s="169"/>
      <c r="AN223" s="169"/>
      <c r="AO223" s="169"/>
      <c r="AP223" s="169"/>
      <c r="AQ223" s="169"/>
      <c r="AR223" s="169"/>
      <c r="AS223" s="169"/>
      <c r="AT223" s="169"/>
      <c r="AU223" s="169"/>
      <c r="AV223" s="169"/>
      <c r="AW223" s="169"/>
      <c r="AX223" s="169"/>
      <c r="AY223" s="169"/>
      <c r="AZ223" s="169"/>
      <c r="BA223" s="169"/>
      <c r="BB223" s="169"/>
      <c r="BC223" s="169"/>
      <c r="BD223" s="169"/>
      <c r="BE223" s="169"/>
      <c r="BF223" s="169"/>
      <c r="BG223" s="169"/>
      <c r="BH223" s="169"/>
      <c r="BI223" s="169"/>
      <c r="BJ223" s="169"/>
      <c r="BK223" s="169"/>
      <c r="BL223" s="169"/>
      <c r="BM223" s="169"/>
      <c r="BN223" s="169"/>
      <c r="BO223" s="169"/>
      <c r="BP223" s="169"/>
      <c r="BQ223" s="169"/>
      <c r="BR223" s="169"/>
      <c r="BS223" s="169"/>
      <c r="BT223" s="169"/>
      <c r="BU223" s="169"/>
      <c r="BV223" s="169"/>
      <c r="BW223" s="169"/>
      <c r="BX223" s="169"/>
      <c r="BY223" s="169"/>
      <c r="BZ223" s="169"/>
    </row>
    <row r="224" spans="12:78" customFormat="1" ht="11.25" customHeight="1">
      <c r="L224" s="20"/>
      <c r="M224" s="508"/>
      <c r="N224" s="522"/>
      <c r="O224" s="166"/>
      <c r="AB224" s="251"/>
      <c r="AC224" s="251"/>
      <c r="AD224" s="251"/>
      <c r="AE224" s="241"/>
      <c r="AF224" s="241"/>
      <c r="AG224" s="241"/>
      <c r="AH224" s="169"/>
      <c r="AI224" s="169"/>
      <c r="AJ224" s="169"/>
      <c r="AK224" s="169"/>
      <c r="AL224" s="169"/>
      <c r="AM224" s="169"/>
      <c r="AN224" s="169"/>
      <c r="AO224" s="169"/>
      <c r="AP224" s="169"/>
      <c r="AQ224" s="169"/>
      <c r="AR224" s="169"/>
      <c r="AS224" s="169"/>
      <c r="AT224" s="169"/>
      <c r="AU224" s="169"/>
      <c r="AV224" s="169"/>
      <c r="AW224" s="169"/>
      <c r="AX224" s="169"/>
      <c r="AY224" s="169"/>
      <c r="AZ224" s="169"/>
      <c r="BA224" s="169"/>
      <c r="BB224" s="169"/>
      <c r="BC224" s="169"/>
      <c r="BD224" s="169"/>
      <c r="BE224" s="169"/>
      <c r="BF224" s="169"/>
      <c r="BG224" s="169"/>
      <c r="BH224" s="169"/>
      <c r="BI224" s="169"/>
      <c r="BJ224" s="169"/>
      <c r="BK224" s="169"/>
      <c r="BL224" s="169"/>
      <c r="BM224" s="169"/>
      <c r="BN224" s="169"/>
      <c r="BO224" s="169"/>
      <c r="BP224" s="169"/>
      <c r="BQ224" s="169"/>
      <c r="BR224" s="169"/>
      <c r="BS224" s="169"/>
      <c r="BT224" s="169"/>
      <c r="BU224" s="169"/>
      <c r="BV224" s="169"/>
      <c r="BW224" s="169"/>
      <c r="BX224" s="169"/>
      <c r="BY224" s="169"/>
      <c r="BZ224" s="169"/>
    </row>
    <row r="225" spans="12:78" customFormat="1" ht="11.25" customHeight="1">
      <c r="L225" s="20"/>
      <c r="M225" s="508"/>
      <c r="N225" s="522"/>
      <c r="O225" s="166"/>
      <c r="AB225" s="251"/>
      <c r="AC225" s="251"/>
      <c r="AD225" s="251"/>
      <c r="AE225" s="241"/>
      <c r="AF225" s="241"/>
      <c r="AG225" s="241"/>
      <c r="AH225" s="169"/>
      <c r="AI225" s="169"/>
      <c r="AJ225" s="169"/>
      <c r="AK225" s="169"/>
      <c r="AL225" s="169"/>
      <c r="AM225" s="169"/>
      <c r="AN225" s="169"/>
      <c r="AO225" s="169"/>
      <c r="AP225" s="169"/>
      <c r="AQ225" s="169"/>
      <c r="AR225" s="169"/>
      <c r="AS225" s="169"/>
      <c r="AT225" s="169"/>
      <c r="AU225" s="169"/>
      <c r="AV225" s="169"/>
      <c r="AW225" s="169"/>
      <c r="AX225" s="169"/>
      <c r="AY225" s="169"/>
      <c r="AZ225" s="169"/>
      <c r="BA225" s="169"/>
      <c r="BB225" s="169"/>
      <c r="BC225" s="169"/>
      <c r="BD225" s="169"/>
      <c r="BE225" s="169"/>
      <c r="BF225" s="169"/>
      <c r="BG225" s="169"/>
      <c r="BH225" s="169"/>
      <c r="BI225" s="169"/>
      <c r="BJ225" s="169"/>
      <c r="BK225" s="169"/>
      <c r="BL225" s="169"/>
      <c r="BM225" s="169"/>
      <c r="BN225" s="169"/>
      <c r="BO225" s="169"/>
      <c r="BP225" s="169"/>
      <c r="BQ225" s="169"/>
      <c r="BR225" s="169"/>
      <c r="BS225" s="169"/>
      <c r="BT225" s="169"/>
      <c r="BU225" s="169"/>
      <c r="BV225" s="169"/>
      <c r="BW225" s="169"/>
      <c r="BX225" s="169"/>
      <c r="BY225" s="169"/>
      <c r="BZ225" s="169"/>
    </row>
    <row r="226" spans="12:78" customFormat="1" ht="11.25" customHeight="1">
      <c r="L226" s="20"/>
      <c r="M226" s="508"/>
      <c r="N226" s="522"/>
      <c r="O226" s="166"/>
      <c r="AB226" s="251"/>
      <c r="AC226" s="251"/>
      <c r="AD226" s="251"/>
      <c r="AE226" s="241"/>
      <c r="AF226" s="241"/>
      <c r="AG226" s="241"/>
      <c r="AH226" s="169"/>
      <c r="AI226" s="169"/>
      <c r="AJ226" s="169"/>
      <c r="AK226" s="169"/>
      <c r="AL226" s="169"/>
      <c r="AM226" s="169"/>
      <c r="AN226" s="169"/>
      <c r="AO226" s="169"/>
      <c r="AP226" s="169"/>
      <c r="AQ226" s="169"/>
      <c r="AR226" s="169"/>
      <c r="AS226" s="169"/>
      <c r="AT226" s="169"/>
      <c r="AU226" s="169"/>
      <c r="AV226" s="169"/>
      <c r="AW226" s="169"/>
      <c r="AX226" s="169"/>
      <c r="AY226" s="169"/>
      <c r="AZ226" s="169"/>
      <c r="BA226" s="169"/>
      <c r="BB226" s="169"/>
      <c r="BC226" s="169"/>
      <c r="BD226" s="169"/>
      <c r="BE226" s="169"/>
      <c r="BF226" s="169"/>
      <c r="BG226" s="169"/>
      <c r="BH226" s="169"/>
      <c r="BI226" s="169"/>
      <c r="BJ226" s="169"/>
      <c r="BK226" s="169"/>
      <c r="BL226" s="169"/>
      <c r="BM226" s="169"/>
      <c r="BN226" s="169"/>
      <c r="BO226" s="169"/>
      <c r="BP226" s="169"/>
      <c r="BQ226" s="169"/>
      <c r="BR226" s="169"/>
      <c r="BS226" s="169"/>
      <c r="BT226" s="169"/>
      <c r="BU226" s="169"/>
      <c r="BV226" s="169"/>
      <c r="BW226" s="169"/>
      <c r="BX226" s="169"/>
      <c r="BY226" s="169"/>
      <c r="BZ226" s="169"/>
    </row>
    <row r="227" spans="12:78" customFormat="1" ht="11.25" customHeight="1">
      <c r="L227" s="20"/>
      <c r="M227" s="508"/>
      <c r="N227" s="522"/>
      <c r="O227" s="166"/>
      <c r="AB227" s="251"/>
      <c r="AC227" s="251"/>
      <c r="AD227" s="251"/>
      <c r="AE227" s="241"/>
      <c r="AF227" s="241"/>
      <c r="AG227" s="241"/>
      <c r="AH227" s="169"/>
      <c r="AI227" s="169"/>
      <c r="AJ227" s="169"/>
      <c r="AK227" s="169"/>
      <c r="AL227" s="169"/>
      <c r="AM227" s="169"/>
      <c r="AN227" s="169"/>
      <c r="AO227" s="169"/>
      <c r="AP227" s="169"/>
      <c r="AQ227" s="169"/>
      <c r="AR227" s="169"/>
      <c r="AS227" s="169"/>
      <c r="AT227" s="169"/>
      <c r="AU227" s="169"/>
      <c r="AV227" s="169"/>
      <c r="AW227" s="169"/>
      <c r="AX227" s="169"/>
      <c r="AY227" s="169"/>
      <c r="AZ227" s="169"/>
      <c r="BA227" s="169"/>
      <c r="BB227" s="169"/>
      <c r="BC227" s="169"/>
      <c r="BD227" s="169"/>
      <c r="BE227" s="169"/>
      <c r="BF227" s="169"/>
      <c r="BG227" s="169"/>
      <c r="BH227" s="169"/>
      <c r="BI227" s="169"/>
      <c r="BJ227" s="169"/>
      <c r="BK227" s="169"/>
      <c r="BL227" s="169"/>
      <c r="BM227" s="169"/>
      <c r="BN227" s="169"/>
      <c r="BO227" s="169"/>
      <c r="BP227" s="169"/>
      <c r="BQ227" s="169"/>
      <c r="BR227" s="169"/>
      <c r="BS227" s="169"/>
      <c r="BT227" s="169"/>
      <c r="BU227" s="169"/>
      <c r="BV227" s="169"/>
      <c r="BW227" s="169"/>
      <c r="BX227" s="169"/>
      <c r="BY227" s="169"/>
      <c r="BZ227" s="169"/>
    </row>
    <row r="228" spans="12:78" customFormat="1" ht="11.25" customHeight="1">
      <c r="L228" s="20"/>
      <c r="M228" s="508"/>
      <c r="N228" s="522"/>
      <c r="O228" s="166"/>
      <c r="AB228" s="251"/>
      <c r="AC228" s="251"/>
      <c r="AD228" s="251"/>
      <c r="AE228" s="241"/>
      <c r="AF228" s="241"/>
      <c r="AG228" s="241"/>
      <c r="AH228" s="169"/>
      <c r="AI228" s="169"/>
      <c r="AJ228" s="169"/>
      <c r="AK228" s="169"/>
      <c r="AL228" s="169"/>
      <c r="AM228" s="169"/>
      <c r="AN228" s="169"/>
      <c r="AO228" s="169"/>
      <c r="AP228" s="169"/>
      <c r="AQ228" s="169"/>
      <c r="AR228" s="169"/>
      <c r="AS228" s="169"/>
      <c r="AT228" s="169"/>
      <c r="AU228" s="169"/>
      <c r="AV228" s="169"/>
      <c r="AW228" s="169"/>
      <c r="AX228" s="169"/>
      <c r="AY228" s="169"/>
      <c r="AZ228" s="169"/>
      <c r="BA228" s="169"/>
      <c r="BB228" s="169"/>
      <c r="BC228" s="169"/>
      <c r="BD228" s="169"/>
      <c r="BE228" s="169"/>
      <c r="BF228" s="169"/>
      <c r="BG228" s="169"/>
      <c r="BH228" s="169"/>
      <c r="BI228" s="169"/>
      <c r="BJ228" s="169"/>
      <c r="BK228" s="169"/>
      <c r="BL228" s="169"/>
      <c r="BM228" s="169"/>
      <c r="BN228" s="169"/>
      <c r="BO228" s="169"/>
      <c r="BP228" s="169"/>
      <c r="BQ228" s="169"/>
      <c r="BR228" s="169"/>
      <c r="BS228" s="169"/>
      <c r="BT228" s="169"/>
      <c r="BU228" s="169"/>
      <c r="BV228" s="169"/>
      <c r="BW228" s="169"/>
      <c r="BX228" s="169"/>
      <c r="BY228" s="169"/>
      <c r="BZ228" s="169"/>
    </row>
    <row r="229" spans="12:78" customFormat="1" ht="11.25" customHeight="1">
      <c r="L229" s="20"/>
      <c r="M229" s="508"/>
      <c r="N229" s="522"/>
      <c r="O229" s="166"/>
      <c r="AB229" s="251"/>
      <c r="AC229" s="251"/>
      <c r="AD229" s="251"/>
      <c r="AE229" s="241"/>
      <c r="AF229" s="241"/>
      <c r="AG229" s="241"/>
      <c r="AH229" s="169"/>
      <c r="AI229" s="169"/>
      <c r="AJ229" s="169"/>
      <c r="AK229" s="169"/>
      <c r="AL229" s="169"/>
      <c r="AM229" s="169"/>
      <c r="AN229" s="169"/>
      <c r="AO229" s="169"/>
      <c r="AP229" s="169"/>
      <c r="AQ229" s="169"/>
      <c r="AR229" s="169"/>
      <c r="AS229" s="169"/>
      <c r="AT229" s="169"/>
      <c r="AU229" s="169"/>
      <c r="AV229" s="169"/>
      <c r="AW229" s="169"/>
      <c r="AX229" s="169"/>
      <c r="AY229" s="169"/>
      <c r="AZ229" s="169"/>
      <c r="BA229" s="169"/>
      <c r="BB229" s="169"/>
      <c r="BC229" s="169"/>
      <c r="BD229" s="169"/>
      <c r="BE229" s="169"/>
      <c r="BF229" s="169"/>
      <c r="BG229" s="169"/>
      <c r="BH229" s="169"/>
      <c r="BI229" s="169"/>
      <c r="BJ229" s="169"/>
      <c r="BK229" s="169"/>
      <c r="BL229" s="169"/>
      <c r="BM229" s="169"/>
      <c r="BN229" s="169"/>
      <c r="BO229" s="169"/>
      <c r="BP229" s="169"/>
      <c r="BQ229" s="169"/>
      <c r="BR229" s="169"/>
      <c r="BS229" s="169"/>
      <c r="BT229" s="169"/>
      <c r="BU229" s="169"/>
      <c r="BV229" s="169"/>
      <c r="BW229" s="169"/>
      <c r="BX229" s="169"/>
      <c r="BY229" s="169"/>
      <c r="BZ229" s="169"/>
    </row>
    <row r="230" spans="12:78" customFormat="1" ht="11.25" customHeight="1">
      <c r="L230" s="20"/>
      <c r="M230" s="508"/>
      <c r="N230" s="522"/>
      <c r="O230" s="166"/>
      <c r="AB230" s="251"/>
      <c r="AC230" s="251"/>
      <c r="AD230" s="251"/>
      <c r="AE230" s="241"/>
      <c r="AF230" s="241"/>
      <c r="AG230" s="241"/>
      <c r="AH230" s="169"/>
      <c r="AI230" s="169"/>
      <c r="AJ230" s="169"/>
      <c r="AK230" s="169"/>
      <c r="AL230" s="169"/>
      <c r="AM230" s="169"/>
      <c r="AN230" s="169"/>
      <c r="AO230" s="169"/>
      <c r="AP230" s="169"/>
      <c r="AQ230" s="169"/>
      <c r="AR230" s="169"/>
      <c r="AS230" s="169"/>
      <c r="AT230" s="169"/>
      <c r="AU230" s="169"/>
      <c r="AV230" s="169"/>
      <c r="AW230" s="169"/>
      <c r="AX230" s="169"/>
      <c r="AY230" s="169"/>
      <c r="AZ230" s="169"/>
      <c r="BA230" s="169"/>
      <c r="BB230" s="169"/>
      <c r="BC230" s="169"/>
      <c r="BD230" s="169"/>
      <c r="BE230" s="169"/>
      <c r="BF230" s="169"/>
      <c r="BG230" s="169"/>
      <c r="BH230" s="169"/>
      <c r="BI230" s="169"/>
      <c r="BJ230" s="169"/>
      <c r="BK230" s="169"/>
      <c r="BL230" s="169"/>
      <c r="BM230" s="169"/>
      <c r="BN230" s="169"/>
      <c r="BO230" s="169"/>
      <c r="BP230" s="169"/>
      <c r="BQ230" s="169"/>
      <c r="BR230" s="169"/>
      <c r="BS230" s="169"/>
      <c r="BT230" s="169"/>
      <c r="BU230" s="169"/>
      <c r="BV230" s="169"/>
      <c r="BW230" s="169"/>
      <c r="BX230" s="169"/>
      <c r="BY230" s="169"/>
      <c r="BZ230" s="169"/>
    </row>
    <row r="231" spans="12:78" customFormat="1" ht="11.25" customHeight="1">
      <c r="L231" s="20"/>
      <c r="M231" s="508"/>
      <c r="N231" s="522"/>
      <c r="O231" s="166"/>
      <c r="AB231" s="251"/>
      <c r="AC231" s="251"/>
      <c r="AD231" s="251"/>
      <c r="AE231" s="241"/>
      <c r="AF231" s="241"/>
      <c r="AG231" s="241"/>
      <c r="AH231" s="169"/>
      <c r="AI231" s="169"/>
      <c r="AJ231" s="169"/>
      <c r="AK231" s="169"/>
      <c r="AL231" s="169"/>
      <c r="AM231" s="169"/>
      <c r="AN231" s="169"/>
      <c r="AO231" s="169"/>
      <c r="AP231" s="169"/>
      <c r="AQ231" s="169"/>
      <c r="AR231" s="169"/>
      <c r="AS231" s="169"/>
      <c r="AT231" s="169"/>
      <c r="AU231" s="169"/>
      <c r="AV231" s="169"/>
      <c r="AW231" s="169"/>
      <c r="AX231" s="169"/>
      <c r="AY231" s="169"/>
      <c r="AZ231" s="169"/>
      <c r="BA231" s="169"/>
      <c r="BB231" s="169"/>
      <c r="BC231" s="169"/>
      <c r="BD231" s="169"/>
      <c r="BE231" s="169"/>
      <c r="BF231" s="169"/>
      <c r="BG231" s="169"/>
      <c r="BH231" s="169"/>
      <c r="BI231" s="169"/>
      <c r="BJ231" s="169"/>
      <c r="BK231" s="169"/>
      <c r="BL231" s="169"/>
      <c r="BM231" s="169"/>
      <c r="BN231" s="169"/>
      <c r="BO231" s="169"/>
      <c r="BP231" s="169"/>
      <c r="BQ231" s="169"/>
      <c r="BR231" s="169"/>
      <c r="BS231" s="169"/>
      <c r="BT231" s="169"/>
      <c r="BU231" s="169"/>
      <c r="BV231" s="169"/>
      <c r="BW231" s="169"/>
      <c r="BX231" s="169"/>
      <c r="BY231" s="169"/>
      <c r="BZ231" s="169"/>
    </row>
    <row r="232" spans="12:78" customFormat="1" ht="11.25" customHeight="1">
      <c r="L232" s="20"/>
      <c r="M232" s="508"/>
      <c r="N232" s="522"/>
      <c r="O232" s="166"/>
      <c r="AB232" s="251"/>
      <c r="AC232" s="251"/>
      <c r="AD232" s="251"/>
      <c r="AE232" s="241"/>
      <c r="AF232" s="241"/>
      <c r="AG232" s="241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</row>
    <row r="233" spans="12:78" customFormat="1" ht="11.25" customHeight="1">
      <c r="L233" s="20"/>
      <c r="M233" s="508"/>
      <c r="N233" s="522"/>
      <c r="O233" s="166"/>
      <c r="AB233" s="251"/>
      <c r="AC233" s="251"/>
      <c r="AD233" s="251"/>
      <c r="AE233" s="241"/>
      <c r="AF233" s="241"/>
      <c r="AG233" s="241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</row>
    <row r="234" spans="12:78" customFormat="1" ht="11.25" customHeight="1">
      <c r="L234" s="20"/>
      <c r="M234" s="508"/>
      <c r="N234" s="522"/>
      <c r="O234" s="166"/>
      <c r="AB234" s="251"/>
      <c r="AC234" s="251"/>
      <c r="AD234" s="251"/>
      <c r="AE234" s="241"/>
      <c r="AF234" s="241"/>
      <c r="AG234" s="241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</row>
    <row r="235" spans="12:78" customFormat="1" ht="11.25" customHeight="1">
      <c r="L235" s="20"/>
      <c r="M235" s="508"/>
      <c r="N235" s="522"/>
      <c r="O235" s="166"/>
      <c r="AB235" s="251"/>
      <c r="AC235" s="251"/>
      <c r="AD235" s="251"/>
      <c r="AE235" s="241"/>
      <c r="AF235" s="241"/>
      <c r="AG235" s="241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</row>
    <row r="236" spans="12:78" customFormat="1" ht="11.25" customHeight="1">
      <c r="L236" s="20"/>
      <c r="M236" s="508"/>
      <c r="N236" s="522"/>
      <c r="O236" s="166"/>
      <c r="AB236" s="251"/>
      <c r="AC236" s="251"/>
      <c r="AD236" s="251"/>
      <c r="AE236" s="241"/>
      <c r="AF236" s="241"/>
      <c r="AG236" s="241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</row>
    <row r="237" spans="12:78" customFormat="1" ht="11.25" customHeight="1">
      <c r="L237" s="20"/>
      <c r="M237" s="508"/>
      <c r="N237" s="522"/>
      <c r="O237" s="166"/>
      <c r="AB237" s="251"/>
      <c r="AC237" s="251"/>
      <c r="AD237" s="251"/>
      <c r="AE237" s="241"/>
      <c r="AF237" s="241"/>
      <c r="AG237" s="241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</row>
    <row r="238" spans="12:78" customFormat="1" ht="11.25" customHeight="1">
      <c r="L238" s="20"/>
      <c r="M238" s="508"/>
      <c r="N238" s="522"/>
      <c r="O238" s="166"/>
      <c r="AB238" s="251"/>
      <c r="AC238" s="251"/>
      <c r="AD238" s="251"/>
      <c r="AE238" s="241"/>
      <c r="AF238" s="241"/>
      <c r="AG238" s="241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169"/>
      <c r="AX238" s="169"/>
      <c r="AY238" s="169"/>
      <c r="AZ238" s="169"/>
      <c r="BA238" s="169"/>
      <c r="BB238" s="169"/>
      <c r="BC238" s="169"/>
      <c r="BD238" s="169"/>
      <c r="BE238" s="169"/>
      <c r="BF238" s="169"/>
      <c r="BG238" s="169"/>
      <c r="BH238" s="169"/>
      <c r="BI238" s="169"/>
      <c r="BJ238" s="169"/>
      <c r="BK238" s="169"/>
      <c r="BL238" s="169"/>
      <c r="BM238" s="169"/>
      <c r="BN238" s="169"/>
      <c r="BO238" s="169"/>
      <c r="BP238" s="169"/>
      <c r="BQ238" s="169"/>
      <c r="BR238" s="169"/>
      <c r="BS238" s="169"/>
      <c r="BT238" s="169"/>
      <c r="BU238" s="169"/>
      <c r="BV238" s="169"/>
      <c r="BW238" s="169"/>
      <c r="BX238" s="169"/>
      <c r="BY238" s="169"/>
      <c r="BZ238" s="169"/>
    </row>
    <row r="239" spans="12:78" customFormat="1" ht="11.25" customHeight="1">
      <c r="L239" s="20"/>
      <c r="M239" s="508"/>
      <c r="N239" s="522"/>
      <c r="O239" s="166"/>
      <c r="AB239" s="251"/>
      <c r="AC239" s="251"/>
      <c r="AD239" s="251"/>
      <c r="AE239" s="241"/>
      <c r="AF239" s="241"/>
      <c r="AG239" s="241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169"/>
      <c r="BM239" s="169"/>
      <c r="BN239" s="169"/>
      <c r="BO239" s="169"/>
      <c r="BP239" s="169"/>
      <c r="BQ239" s="169"/>
      <c r="BR239" s="169"/>
      <c r="BS239" s="169"/>
      <c r="BT239" s="169"/>
      <c r="BU239" s="169"/>
      <c r="BV239" s="169"/>
      <c r="BW239" s="169"/>
      <c r="BX239" s="169"/>
      <c r="BY239" s="169"/>
      <c r="BZ239" s="169"/>
    </row>
    <row r="240" spans="12:78" customFormat="1" ht="11.25" customHeight="1">
      <c r="L240" s="20"/>
      <c r="M240" s="516" t="s">
        <v>1056</v>
      </c>
      <c r="N240" s="489" t="s">
        <v>2140</v>
      </c>
      <c r="O240" s="163" t="s">
        <v>1026</v>
      </c>
      <c r="AB240" s="251"/>
      <c r="AC240" s="251"/>
      <c r="AD240" s="251"/>
      <c r="AE240" s="247">
        <f>AF240+AG240</f>
        <v>0</v>
      </c>
      <c r="AF240" s="262">
        <f>SUMIF(ВО.БПр!$BA$131:$BA$132,AF$17 &amp; ".0-" &amp; AF$9,ВО.БПр!$K$131:$K$132)/1000+SUMIF(ВО.БТр!$BA$131:$BA$132,AF$17 &amp; ".0-" &amp; AF$9,ВО.БТр!$O$131:$O$132)/1000</f>
        <v>0</v>
      </c>
      <c r="AG240" s="262">
        <f>SUMIF(ВО.БПр!$BA$131:$BA$132,AG$17 &amp; ".0-" &amp; AG$9,ВО.БПр!$K$131:$K$132)/1000+SUMIF(ВО.БТр!$BA$131:$BA$132,AG$17 &amp; ".0-" &amp; AG$9,ВО.БТр!$O$131:$O$132)/1000</f>
        <v>0</v>
      </c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</row>
    <row r="241" spans="12:78" customFormat="1" ht="11.25" customHeight="1">
      <c r="L241" s="20"/>
      <c r="M241" s="516" t="s">
        <v>1057</v>
      </c>
      <c r="N241" s="554" t="s">
        <v>2141</v>
      </c>
      <c r="O241" s="163" t="s">
        <v>1026</v>
      </c>
      <c r="AB241" s="251"/>
      <c r="AC241" s="251"/>
      <c r="AD241" s="251"/>
      <c r="AE241" s="247">
        <f>AF241+AG241</f>
        <v>0</v>
      </c>
      <c r="AF241" s="262">
        <f>SUMIF(ВО.БПр!$BA$131:$BA$132,AF$17 &amp; ".0-" &amp; AF$9,ВО.БПр!$M$131:$M$132)/1000+SUMIF(ВО.БТр!$BA$131:$BA$132,AF$17 &amp; ".0-" &amp; AF$9,ВО.БТр!$Q$131:$Q$132)/1000+SUMIF(ВО.БТр!$BA$131:$BA$132,AF$17 &amp; ".0-" &amp; AF$9,ВО.БТр!$T$131:$T$132)/1000+SUMIF(ВО.БТр!$BA$131:$BA$132,AF$17 &amp; ".0-" &amp; AF$9,ВО.БТр!$W$131:$W$132)/1000+SUMIF(ВО.БТр!$BA$131:$BA$132,AF$17 &amp; ".0-" &amp; AF$9,ВО.БТр!$Z$131:$Z$132)/1000</f>
        <v>0</v>
      </c>
      <c r="AG241" s="262">
        <f>SUMIF(ВО.БПр!$BA$131:$BA$132,AG$17 &amp; ".0-" &amp; AG$9,ВО.БПр!$M$131:$M$132)/1000+SUMIF(ВО.БТр!$BA$131:$BA$132,AG$17 &amp; ".0-" &amp; AG$9,ВО.БТр!$Q$131:$Q$132)/1000+SUMIF(ВО.БТр!$BA$131:$BA$132,AG$17 &amp; ".0-" &amp; AG$9,ВО.БТр!$T$131:$T$132)/1000+SUMIF(ВО.БТр!$BA$131:$BA$132,AG$17 &amp; ".0-" &amp; AG$9,ВО.БТр!$W$131:$W$132)/1000+SUMIF(ВО.БТр!$BA$131:$BA$132,AG$17 &amp; ".0-" &amp; AG$9,ВО.БТр!$Z$131:$Z$132)/1000</f>
        <v>0</v>
      </c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</row>
    <row r="242" spans="12:78" customFormat="1" ht="11.25" customHeight="1">
      <c r="L242" s="20"/>
      <c r="M242" s="516" t="s">
        <v>1058</v>
      </c>
      <c r="N242" s="554" t="s">
        <v>312</v>
      </c>
      <c r="O242" s="163"/>
      <c r="AB242" s="251"/>
      <c r="AC242" s="251"/>
      <c r="AD242" s="251"/>
      <c r="AE242" s="247">
        <f>IF(AE240=0,0,AE241/AE240)</f>
        <v>0</v>
      </c>
      <c r="AF242" s="247">
        <f>IF(AF240=0,0,AF241/AF240)</f>
        <v>0</v>
      </c>
      <c r="AG242" s="247">
        <f>IF(AG240=0,0,AG241/AG240)</f>
        <v>0</v>
      </c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</row>
    <row r="243" spans="12:78" customFormat="1" ht="11.25" customHeight="1">
      <c r="L243" s="20"/>
      <c r="M243" s="516" t="s">
        <v>1059</v>
      </c>
      <c r="N243" s="554" t="s">
        <v>2142</v>
      </c>
      <c r="O243" s="163" t="s">
        <v>1026</v>
      </c>
      <c r="AB243" s="251"/>
      <c r="AC243" s="251"/>
      <c r="AD243" s="251"/>
      <c r="AE243" s="247">
        <f>AF243+AG243</f>
        <v>0</v>
      </c>
      <c r="AF243" s="262">
        <f>SUMIF(ВО.БПр!$BA$131:$BA$132,AF$17 &amp; ".0-" &amp; AF$9,ВО.БПр!$N$131:$N$132)/1000+SUMIF(ВО.БПр!$BA$131:$BA$132,AF$17 &amp; ".0-" &amp; AF$9,ВО.БПр!$Q$131:$Q$132)/1000+SUMIF(ВО.БПр!$BA$131:$BA$132,AF$17 &amp; ".0-" &amp; AF$9,ВО.БПр!$T$131:$T$132)/1000+SUMIF(ВО.БТр!$BA$131:$BA$132,AF$17 &amp; ".0-" &amp; AF$9,ВО.БТр!$T$131:$T$132)/1000+SUMIF(ВО.БТр!$BA$131:$BA$132,AF$17 &amp; ".0-" &amp; AF$9,ВО.БТр!$W$131:$W$132)/1000+SUMIF(ВО.БТр!$BA$131:$BA$132,AF$17 &amp; ".0-" &amp; AF$9,ВО.БТр!$Z$131:$Z$132)/1000</f>
        <v>0</v>
      </c>
      <c r="AG243" s="262">
        <f>SUMIF(ВО.БПр!$BA$131:$BA$132,AG$17 &amp; ".0-" &amp; AG$9,ВО.БПр!$N$131:$N$132)/1000+SUMIF(ВО.БПр!$BA$131:$BA$132,AG$17 &amp; ".0-" &amp; AG$9,ВО.БПр!$Q$131:$Q$132)/1000+SUMIF(ВО.БПр!$BA$131:$BA$132,AG$17 &amp; ".0-" &amp; AG$9,ВО.БПр!$T$131:$T$132)/1000+SUMIF(ВО.БТр!$BA$131:$BA$132,AG$17 &amp; ".0-" &amp; AG$9,ВО.БТр!$T$131:$T$132)/1000+SUMIF(ВО.БТр!$BA$131:$BA$132,AG$17 &amp; ".0-" &amp; AG$9,ВО.БТр!$W$131:$W$132)/1000+SUMIF(ВО.БТр!$BA$131:$BA$132,AG$17 &amp; ".0-" &amp; AG$9,ВО.БТр!$Z$131:$Z$132)/1000</f>
        <v>0</v>
      </c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</row>
    <row r="244" spans="12:78" customFormat="1" ht="11.25" customHeight="1">
      <c r="L244" s="20"/>
      <c r="M244" s="532"/>
      <c r="N244" s="533"/>
      <c r="O244" s="422"/>
      <c r="AB244" s="251"/>
      <c r="AC244" s="251"/>
      <c r="AD244" s="251"/>
      <c r="AE244" s="261"/>
      <c r="AF244" s="261"/>
      <c r="AG244" s="261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</row>
    <row r="245" spans="12:78" customFormat="1" ht="11.25" customHeight="1">
      <c r="L245" s="20"/>
      <c r="M245" s="516" t="s">
        <v>1142</v>
      </c>
      <c r="N245" s="503" t="str">
        <f>IF(TEMPLATE_SPHERE_CODE="COLDVSNA","Объём отпуска воды",IF(TEMPLATE_SPHERE_CODE="VOTV","Объём сточных вод",""))</f>
        <v/>
      </c>
      <c r="O245" s="163" t="s">
        <v>1026</v>
      </c>
      <c r="AB245" s="251"/>
      <c r="AC245" s="251"/>
      <c r="AD245" s="251"/>
      <c r="AE245" s="264"/>
      <c r="AF245" s="265">
        <f>AF240</f>
        <v>0</v>
      </c>
      <c r="AG245" s="265">
        <f>AG240</f>
        <v>0</v>
      </c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</row>
    <row r="246" spans="12:78" customFormat="1" ht="11.25" customHeight="1">
      <c r="L246" s="20"/>
      <c r="M246" s="532"/>
      <c r="N246" s="533"/>
      <c r="O246" s="422"/>
      <c r="AB246" s="251"/>
      <c r="AC246" s="251"/>
      <c r="AD246" s="251"/>
      <c r="AE246" s="261"/>
      <c r="AF246" s="261"/>
      <c r="AG246" s="261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</row>
    <row r="247" spans="12:78" customFormat="1" ht="11.25" customHeight="1">
      <c r="L247" s="20"/>
      <c r="M247" s="516" t="s">
        <v>1143</v>
      </c>
      <c r="N247" s="490" t="s">
        <v>629</v>
      </c>
      <c r="O247" s="163" t="s">
        <v>755</v>
      </c>
      <c r="AB247" s="251"/>
      <c r="AC247" s="251"/>
      <c r="AD247" s="251"/>
      <c r="AE247" s="414">
        <f>IF(AE203=0,0,(AE208-AE207)/AE203*100)</f>
        <v>0</v>
      </c>
      <c r="AF247" s="414">
        <f>IF(AF203=0,0,(AF208-AF207)/AF203*100)</f>
        <v>0</v>
      </c>
      <c r="AG247" s="414">
        <f>IF(AG203=0,0,(AG208-AG207)/AG203*100)</f>
        <v>0</v>
      </c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</row>
    <row r="248" spans="12:78" customFormat="1" ht="11.25" customHeight="1">
      <c r="L248" s="20"/>
      <c r="M248" s="532"/>
      <c r="N248" s="533"/>
      <c r="O248" s="422"/>
      <c r="AB248" s="251"/>
      <c r="AC248" s="251"/>
      <c r="AD248" s="251"/>
      <c r="AE248" s="241"/>
      <c r="AF248" s="241"/>
      <c r="AG248" s="241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</row>
    <row r="249" spans="12:78" customFormat="1" ht="11.25" customHeight="1">
      <c r="L249" s="20"/>
      <c r="M249" s="508"/>
      <c r="N249" s="522"/>
      <c r="O249" s="166"/>
      <c r="AB249" s="251"/>
      <c r="AC249" s="251"/>
      <c r="AD249" s="251"/>
      <c r="AE249" s="241"/>
      <c r="AF249" s="241"/>
      <c r="AG249" s="241"/>
      <c r="AH249" s="169"/>
      <c r="AI249" s="169"/>
      <c r="AJ249" s="169"/>
      <c r="AK249" s="169"/>
      <c r="AL249" s="169"/>
      <c r="AM249" s="169"/>
      <c r="AN249" s="169"/>
      <c r="AO249" s="169"/>
      <c r="AP249" s="169"/>
      <c r="AQ249" s="169"/>
      <c r="AR249" s="169"/>
      <c r="AS249" s="169"/>
      <c r="AT249" s="169"/>
      <c r="AU249" s="169"/>
      <c r="AV249" s="169"/>
      <c r="AW249" s="169"/>
      <c r="AX249" s="169"/>
      <c r="AY249" s="169"/>
      <c r="AZ249" s="169"/>
      <c r="BA249" s="169"/>
      <c r="BB249" s="169"/>
      <c r="BC249" s="169"/>
      <c r="BD249" s="169"/>
      <c r="BE249" s="169"/>
      <c r="BF249" s="169"/>
      <c r="BG249" s="169"/>
      <c r="BH249" s="169"/>
      <c r="BI249" s="169"/>
      <c r="BJ249" s="169"/>
      <c r="BK249" s="169"/>
      <c r="BL249" s="169"/>
      <c r="BM249" s="169"/>
      <c r="BN249" s="169"/>
      <c r="BO249" s="169"/>
      <c r="BP249" s="169"/>
      <c r="BQ249" s="169"/>
      <c r="BR249" s="169"/>
      <c r="BS249" s="169"/>
      <c r="BT249" s="169"/>
      <c r="BU249" s="169"/>
      <c r="BV249" s="169"/>
      <c r="BW249" s="169"/>
      <c r="BX249" s="169"/>
      <c r="BY249" s="169"/>
      <c r="BZ249" s="169"/>
    </row>
    <row r="250" spans="12:78" customFormat="1" ht="11.25" customHeight="1">
      <c r="L250" s="20"/>
      <c r="M250" s="508"/>
      <c r="N250" s="522"/>
      <c r="O250" s="166"/>
      <c r="AB250" s="251"/>
      <c r="AC250" s="251"/>
      <c r="AD250" s="251"/>
      <c r="AE250" s="241"/>
      <c r="AF250" s="241"/>
      <c r="AG250" s="241"/>
      <c r="AH250" s="169"/>
      <c r="AI250" s="169"/>
      <c r="AJ250" s="169"/>
      <c r="AK250" s="169"/>
      <c r="AL250" s="169"/>
      <c r="AM250" s="169"/>
      <c r="AN250" s="169"/>
      <c r="AO250" s="169"/>
      <c r="AP250" s="169"/>
      <c r="AQ250" s="169"/>
      <c r="AR250" s="169"/>
      <c r="AS250" s="169"/>
      <c r="AT250" s="169"/>
      <c r="AU250" s="169"/>
      <c r="AV250" s="169"/>
      <c r="AW250" s="169"/>
      <c r="AX250" s="169"/>
      <c r="AY250" s="169"/>
      <c r="AZ250" s="169"/>
      <c r="BA250" s="169"/>
      <c r="BB250" s="169"/>
      <c r="BC250" s="169"/>
      <c r="BD250" s="169"/>
      <c r="BE250" s="169"/>
      <c r="BF250" s="169"/>
      <c r="BG250" s="169"/>
      <c r="BH250" s="169"/>
      <c r="BI250" s="169"/>
      <c r="BJ250" s="169"/>
      <c r="BK250" s="169"/>
      <c r="BL250" s="169"/>
      <c r="BM250" s="169"/>
      <c r="BN250" s="169"/>
      <c r="BO250" s="169"/>
      <c r="BP250" s="169"/>
      <c r="BQ250" s="169"/>
      <c r="BR250" s="169"/>
      <c r="BS250" s="169"/>
      <c r="BT250" s="169"/>
      <c r="BU250" s="169"/>
      <c r="BV250" s="169"/>
      <c r="BW250" s="169"/>
      <c r="BX250" s="169"/>
      <c r="BY250" s="169"/>
      <c r="BZ250" s="169"/>
    </row>
    <row r="251" spans="12:78" customFormat="1" ht="11.25" customHeight="1">
      <c r="L251" s="20"/>
      <c r="M251" s="508"/>
      <c r="N251" s="522"/>
      <c r="O251" s="166"/>
      <c r="AB251" s="251"/>
      <c r="AC251" s="251"/>
      <c r="AD251" s="251"/>
      <c r="AE251" s="241"/>
      <c r="AF251" s="241"/>
      <c r="AG251" s="241"/>
      <c r="AH251" s="169"/>
      <c r="AI251" s="169"/>
      <c r="AJ251" s="169"/>
      <c r="AK251" s="169"/>
      <c r="AL251" s="169"/>
      <c r="AM251" s="169"/>
      <c r="AN251" s="169"/>
      <c r="AO251" s="169"/>
      <c r="AP251" s="169"/>
      <c r="AQ251" s="169"/>
      <c r="AR251" s="169"/>
      <c r="AS251" s="169"/>
      <c r="AT251" s="169"/>
      <c r="AU251" s="169"/>
      <c r="AV251" s="169"/>
      <c r="AW251" s="169"/>
      <c r="AX251" s="169"/>
      <c r="AY251" s="169"/>
      <c r="AZ251" s="169"/>
      <c r="BA251" s="169"/>
      <c r="BB251" s="169"/>
      <c r="BC251" s="169"/>
      <c r="BD251" s="169"/>
      <c r="BE251" s="169"/>
      <c r="BF251" s="169"/>
      <c r="BG251" s="169"/>
      <c r="BH251" s="169"/>
      <c r="BI251" s="169"/>
      <c r="BJ251" s="169"/>
      <c r="BK251" s="169"/>
      <c r="BL251" s="169"/>
      <c r="BM251" s="169"/>
      <c r="BN251" s="169"/>
      <c r="BO251" s="169"/>
      <c r="BP251" s="169"/>
      <c r="BQ251" s="169"/>
      <c r="BR251" s="169"/>
      <c r="BS251" s="169"/>
      <c r="BT251" s="169"/>
      <c r="BU251" s="169"/>
      <c r="BV251" s="169"/>
      <c r="BW251" s="169"/>
      <c r="BX251" s="169"/>
      <c r="BY251" s="169"/>
      <c r="BZ251" s="169"/>
    </row>
    <row r="252" spans="12:78" customFormat="1" ht="11.25" customHeight="1">
      <c r="L252" s="20"/>
      <c r="M252" s="508"/>
      <c r="N252" s="522"/>
      <c r="O252" s="166"/>
      <c r="AB252" s="251"/>
      <c r="AC252" s="251"/>
      <c r="AD252" s="251"/>
      <c r="AE252" s="241"/>
      <c r="AF252" s="241"/>
      <c r="AG252" s="241"/>
      <c r="AH252" s="169"/>
      <c r="AI252" s="169"/>
      <c r="AJ252" s="169"/>
      <c r="AK252" s="169"/>
      <c r="AL252" s="169"/>
      <c r="AM252" s="169"/>
      <c r="AN252" s="169"/>
      <c r="AO252" s="169"/>
      <c r="AP252" s="169"/>
      <c r="AQ252" s="169"/>
      <c r="AR252" s="169"/>
      <c r="AS252" s="169"/>
      <c r="AT252" s="169"/>
      <c r="AU252" s="169"/>
      <c r="AV252" s="169"/>
      <c r="AW252" s="169"/>
      <c r="AX252" s="169"/>
      <c r="AY252" s="169"/>
      <c r="AZ252" s="169"/>
      <c r="BA252" s="169"/>
      <c r="BB252" s="169"/>
      <c r="BC252" s="169"/>
      <c r="BD252" s="169"/>
      <c r="BE252" s="169"/>
      <c r="BF252" s="169"/>
      <c r="BG252" s="169"/>
      <c r="BH252" s="169"/>
      <c r="BI252" s="169"/>
      <c r="BJ252" s="169"/>
      <c r="BK252" s="169"/>
      <c r="BL252" s="169"/>
      <c r="BM252" s="169"/>
      <c r="BN252" s="169"/>
      <c r="BO252" s="169"/>
      <c r="BP252" s="169"/>
      <c r="BQ252" s="169"/>
      <c r="BR252" s="169"/>
      <c r="BS252" s="169"/>
      <c r="BT252" s="169"/>
      <c r="BU252" s="169"/>
      <c r="BV252" s="169"/>
      <c r="BW252" s="169"/>
      <c r="BX252" s="169"/>
      <c r="BY252" s="169"/>
      <c r="BZ252" s="169"/>
    </row>
    <row r="253" spans="12:78" customFormat="1" ht="11.25" customHeight="1">
      <c r="L253" s="20"/>
      <c r="M253" s="508"/>
      <c r="N253" s="522"/>
      <c r="O253" s="166"/>
      <c r="AB253" s="251"/>
      <c r="AC253" s="251"/>
      <c r="AD253" s="251"/>
      <c r="AE253" s="241"/>
      <c r="AF253" s="241"/>
      <c r="AG253" s="241"/>
      <c r="AH253" s="169"/>
      <c r="AI253" s="169"/>
      <c r="AJ253" s="169"/>
      <c r="AK253" s="169"/>
      <c r="AL253" s="169"/>
      <c r="AM253" s="169"/>
      <c r="AN253" s="169"/>
      <c r="AO253" s="169"/>
      <c r="AP253" s="169"/>
      <c r="AQ253" s="169"/>
      <c r="AR253" s="169"/>
      <c r="AS253" s="169"/>
      <c r="AT253" s="169"/>
      <c r="AU253" s="169"/>
      <c r="AV253" s="169"/>
      <c r="AW253" s="169"/>
      <c r="AX253" s="169"/>
      <c r="AY253" s="169"/>
      <c r="AZ253" s="169"/>
      <c r="BA253" s="169"/>
      <c r="BB253" s="169"/>
      <c r="BC253" s="169"/>
      <c r="BD253" s="169"/>
      <c r="BE253" s="169"/>
      <c r="BF253" s="169"/>
      <c r="BG253" s="169"/>
      <c r="BH253" s="169"/>
      <c r="BI253" s="169"/>
      <c r="BJ253" s="169"/>
      <c r="BK253" s="169"/>
      <c r="BL253" s="169"/>
      <c r="BM253" s="169"/>
      <c r="BN253" s="169"/>
      <c r="BO253" s="169"/>
      <c r="BP253" s="169"/>
      <c r="BQ253" s="169"/>
      <c r="BR253" s="169"/>
      <c r="BS253" s="169"/>
      <c r="BT253" s="169"/>
      <c r="BU253" s="169"/>
      <c r="BV253" s="169"/>
      <c r="BW253" s="169"/>
      <c r="BX253" s="169"/>
      <c r="BY253" s="169"/>
      <c r="BZ253" s="169"/>
    </row>
    <row r="254" spans="12:78" customFormat="1" ht="11.25" customHeight="1">
      <c r="L254" s="20"/>
      <c r="M254" s="508"/>
      <c r="N254" s="522"/>
      <c r="O254" s="166"/>
      <c r="AB254" s="251"/>
      <c r="AC254" s="251"/>
      <c r="AD254" s="251"/>
      <c r="AE254" s="241"/>
      <c r="AF254" s="241"/>
      <c r="AG254" s="241"/>
      <c r="AH254" s="169"/>
      <c r="AI254" s="169"/>
      <c r="AJ254" s="169"/>
      <c r="AK254" s="169"/>
      <c r="AL254" s="169"/>
      <c r="AM254" s="169"/>
      <c r="AN254" s="169"/>
      <c r="AO254" s="169"/>
      <c r="AP254" s="169"/>
      <c r="AQ254" s="169"/>
      <c r="AR254" s="169"/>
      <c r="AS254" s="169"/>
      <c r="AT254" s="169"/>
      <c r="AU254" s="169"/>
      <c r="AV254" s="169"/>
      <c r="AW254" s="169"/>
      <c r="AX254" s="169"/>
      <c r="AY254" s="169"/>
      <c r="AZ254" s="169"/>
      <c r="BA254" s="169"/>
      <c r="BB254" s="169"/>
      <c r="BC254" s="169"/>
      <c r="BD254" s="169"/>
      <c r="BE254" s="169"/>
      <c r="BF254" s="169"/>
      <c r="BG254" s="169"/>
      <c r="BH254" s="169"/>
      <c r="BI254" s="169"/>
      <c r="BJ254" s="169"/>
      <c r="BK254" s="169"/>
      <c r="BL254" s="169"/>
      <c r="BM254" s="169"/>
      <c r="BN254" s="169"/>
      <c r="BO254" s="169"/>
      <c r="BP254" s="169"/>
      <c r="BQ254" s="169"/>
      <c r="BR254" s="169"/>
      <c r="BS254" s="169"/>
      <c r="BT254" s="169"/>
      <c r="BU254" s="169"/>
      <c r="BV254" s="169"/>
      <c r="BW254" s="169"/>
      <c r="BX254" s="169"/>
      <c r="BY254" s="169"/>
      <c r="BZ254" s="169"/>
    </row>
    <row r="255" spans="12:78" customFormat="1" ht="11.25" customHeight="1">
      <c r="L255" s="20"/>
      <c r="M255" s="508"/>
      <c r="N255" s="522"/>
      <c r="O255" s="166"/>
      <c r="AB255" s="251"/>
      <c r="AC255" s="251"/>
      <c r="AD255" s="251"/>
      <c r="AE255" s="241"/>
      <c r="AF255" s="241"/>
      <c r="AG255" s="241"/>
      <c r="AH255" s="169"/>
      <c r="AI255" s="169"/>
      <c r="AJ255" s="169"/>
      <c r="AK255" s="169"/>
      <c r="AL255" s="169"/>
      <c r="AM255" s="169"/>
      <c r="AN255" s="169"/>
      <c r="AO255" s="169"/>
      <c r="AP255" s="169"/>
      <c r="AQ255" s="169"/>
      <c r="AR255" s="169"/>
      <c r="AS255" s="169"/>
      <c r="AT255" s="169"/>
      <c r="AU255" s="169"/>
      <c r="AV255" s="169"/>
      <c r="AW255" s="169"/>
      <c r="AX255" s="169"/>
      <c r="AY255" s="169"/>
      <c r="AZ255" s="169"/>
      <c r="BA255" s="169"/>
      <c r="BB255" s="169"/>
      <c r="BC255" s="169"/>
      <c r="BD255" s="169"/>
      <c r="BE255" s="169"/>
      <c r="BF255" s="169"/>
      <c r="BG255" s="169"/>
      <c r="BH255" s="169"/>
      <c r="BI255" s="169"/>
      <c r="BJ255" s="169"/>
      <c r="BK255" s="169"/>
      <c r="BL255" s="169"/>
      <c r="BM255" s="169"/>
      <c r="BN255" s="169"/>
      <c r="BO255" s="169"/>
      <c r="BP255" s="169"/>
      <c r="BQ255" s="169"/>
      <c r="BR255" s="169"/>
      <c r="BS255" s="169"/>
      <c r="BT255" s="169"/>
      <c r="BU255" s="169"/>
      <c r="BV255" s="169"/>
      <c r="BW255" s="169"/>
      <c r="BX255" s="169"/>
      <c r="BY255" s="169"/>
      <c r="BZ255" s="169"/>
    </row>
    <row r="256" spans="12:78" customFormat="1" ht="11.25" customHeight="1">
      <c r="L256" s="20"/>
      <c r="M256" s="508"/>
      <c r="N256" s="522"/>
      <c r="O256" s="166"/>
      <c r="AB256" s="251"/>
      <c r="AC256" s="251"/>
      <c r="AD256" s="251"/>
      <c r="AE256" s="241"/>
      <c r="AF256" s="241"/>
      <c r="AG256" s="241"/>
      <c r="AH256" s="169"/>
      <c r="AI256" s="169"/>
      <c r="AJ256" s="169"/>
      <c r="AK256" s="169"/>
      <c r="AL256" s="169"/>
      <c r="AM256" s="169"/>
      <c r="AN256" s="169"/>
      <c r="AO256" s="169"/>
      <c r="AP256" s="169"/>
      <c r="AQ256" s="169"/>
      <c r="AR256" s="169"/>
      <c r="AS256" s="169"/>
      <c r="AT256" s="169"/>
      <c r="AU256" s="169"/>
      <c r="AV256" s="169"/>
      <c r="AW256" s="169"/>
      <c r="AX256" s="169"/>
      <c r="AY256" s="169"/>
      <c r="AZ256" s="169"/>
      <c r="BA256" s="169"/>
      <c r="BB256" s="169"/>
      <c r="BC256" s="169"/>
      <c r="BD256" s="169"/>
      <c r="BE256" s="169"/>
      <c r="BF256" s="169"/>
      <c r="BG256" s="169"/>
      <c r="BH256" s="169"/>
      <c r="BI256" s="169"/>
      <c r="BJ256" s="169"/>
      <c r="BK256" s="169"/>
      <c r="BL256" s="169"/>
      <c r="BM256" s="169"/>
      <c r="BN256" s="169"/>
      <c r="BO256" s="169"/>
      <c r="BP256" s="169"/>
      <c r="BQ256" s="169"/>
      <c r="BR256" s="169"/>
      <c r="BS256" s="169"/>
      <c r="BT256" s="169"/>
      <c r="BU256" s="169"/>
      <c r="BV256" s="169"/>
      <c r="BW256" s="169"/>
      <c r="BX256" s="169"/>
      <c r="BY256" s="169"/>
      <c r="BZ256" s="169"/>
    </row>
    <row r="257" spans="12:78" customFormat="1" ht="11.25" customHeight="1">
      <c r="L257" s="20"/>
      <c r="M257" s="508"/>
      <c r="N257" s="522"/>
      <c r="O257" s="166"/>
      <c r="AB257" s="251"/>
      <c r="AC257" s="251"/>
      <c r="AD257" s="251"/>
      <c r="AE257" s="241"/>
      <c r="AF257" s="241"/>
      <c r="AG257" s="241"/>
      <c r="AH257" s="169"/>
      <c r="AI257" s="169"/>
      <c r="AJ257" s="169"/>
      <c r="AK257" s="169"/>
      <c r="AL257" s="169"/>
      <c r="AM257" s="169"/>
      <c r="AN257" s="169"/>
      <c r="AO257" s="169"/>
      <c r="AP257" s="169"/>
      <c r="AQ257" s="169"/>
      <c r="AR257" s="169"/>
      <c r="AS257" s="169"/>
      <c r="AT257" s="169"/>
      <c r="AU257" s="169"/>
      <c r="AV257" s="169"/>
      <c r="AW257" s="169"/>
      <c r="AX257" s="169"/>
      <c r="AY257" s="169"/>
      <c r="AZ257" s="169"/>
      <c r="BA257" s="169"/>
      <c r="BB257" s="169"/>
      <c r="BC257" s="169"/>
      <c r="BD257" s="169"/>
      <c r="BE257" s="169"/>
      <c r="BF257" s="169"/>
      <c r="BG257" s="169"/>
      <c r="BH257" s="169"/>
      <c r="BI257" s="169"/>
      <c r="BJ257" s="169"/>
      <c r="BK257" s="169"/>
      <c r="BL257" s="169"/>
      <c r="BM257" s="169"/>
      <c r="BN257" s="169"/>
      <c r="BO257" s="169"/>
      <c r="BP257" s="169"/>
      <c r="BQ257" s="169"/>
      <c r="BR257" s="169"/>
      <c r="BS257" s="169"/>
      <c r="BT257" s="169"/>
      <c r="BU257" s="169"/>
      <c r="BV257" s="169"/>
      <c r="BW257" s="169"/>
      <c r="BX257" s="169"/>
      <c r="BY257" s="169"/>
      <c r="BZ257" s="169"/>
    </row>
    <row r="258" spans="12:78" customFormat="1" ht="11.25" customHeight="1">
      <c r="L258" s="20"/>
      <c r="M258" s="508"/>
      <c r="N258" s="522"/>
      <c r="O258" s="166"/>
      <c r="AB258" s="251"/>
      <c r="AC258" s="251"/>
      <c r="AD258" s="251"/>
      <c r="AE258" s="241"/>
      <c r="AF258" s="241"/>
      <c r="AG258" s="241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</row>
    <row r="259" spans="12:78" customFormat="1" ht="11.25" customHeight="1">
      <c r="L259" s="20"/>
      <c r="M259" s="508"/>
      <c r="N259" s="522"/>
      <c r="O259" s="166"/>
      <c r="AB259" s="251"/>
      <c r="AC259" s="251"/>
      <c r="AD259" s="251"/>
      <c r="AE259" s="241"/>
      <c r="AF259" s="241"/>
      <c r="AG259" s="241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</row>
    <row r="260" spans="12:78" customFormat="1" ht="11.25" customHeight="1">
      <c r="L260" s="20"/>
      <c r="M260" s="508"/>
      <c r="N260" s="522"/>
      <c r="O260" s="166"/>
      <c r="AB260" s="251"/>
      <c r="AC260" s="251"/>
      <c r="AD260" s="251"/>
      <c r="AE260" s="241"/>
      <c r="AF260" s="241"/>
      <c r="AG260" s="241"/>
      <c r="AH260" s="169"/>
      <c r="AI260" s="169"/>
      <c r="AJ260" s="169"/>
      <c r="AK260" s="169"/>
      <c r="AL260" s="169"/>
      <c r="AM260" s="169"/>
      <c r="AN260" s="169"/>
      <c r="AO260" s="169"/>
      <c r="AP260" s="169"/>
      <c r="AQ260" s="169"/>
      <c r="AR260" s="169"/>
      <c r="AS260" s="169"/>
      <c r="AT260" s="169"/>
      <c r="AU260" s="169"/>
      <c r="AV260" s="169"/>
      <c r="AW260" s="169"/>
      <c r="AX260" s="169"/>
      <c r="AY260" s="169"/>
      <c r="AZ260" s="169"/>
      <c r="BA260" s="169"/>
      <c r="BB260" s="169"/>
      <c r="BC260" s="169"/>
      <c r="BD260" s="169"/>
      <c r="BE260" s="169"/>
      <c r="BF260" s="169"/>
      <c r="BG260" s="169"/>
      <c r="BH260" s="169"/>
      <c r="BI260" s="169"/>
      <c r="BJ260" s="169"/>
      <c r="BK260" s="169"/>
      <c r="BL260" s="169"/>
      <c r="BM260" s="169"/>
      <c r="BN260" s="169"/>
      <c r="BO260" s="169"/>
      <c r="BP260" s="169"/>
      <c r="BQ260" s="169"/>
      <c r="BR260" s="169"/>
      <c r="BS260" s="169"/>
      <c r="BT260" s="169"/>
      <c r="BU260" s="169"/>
      <c r="BV260" s="169"/>
      <c r="BW260" s="169"/>
      <c r="BX260" s="169"/>
      <c r="BY260" s="169"/>
      <c r="BZ260" s="169"/>
    </row>
    <row r="261" spans="12:78" customFormat="1" ht="11.25" customHeight="1">
      <c r="L261" s="20"/>
      <c r="M261" s="508"/>
      <c r="N261" s="522"/>
      <c r="O261" s="166"/>
      <c r="AB261" s="251"/>
      <c r="AC261" s="251"/>
      <c r="AD261" s="251"/>
      <c r="AE261" s="241"/>
      <c r="AF261" s="241"/>
      <c r="AG261" s="241"/>
      <c r="AH261" s="169"/>
      <c r="AI261" s="169"/>
      <c r="AJ261" s="169"/>
      <c r="AK261" s="169"/>
      <c r="AL261" s="169"/>
      <c r="AM261" s="169"/>
      <c r="AN261" s="169"/>
      <c r="AO261" s="169"/>
      <c r="AP261" s="169"/>
      <c r="AQ261" s="169"/>
      <c r="AR261" s="169"/>
      <c r="AS261" s="169"/>
      <c r="AT261" s="169"/>
      <c r="AU261" s="169"/>
      <c r="AV261" s="169"/>
      <c r="AW261" s="169"/>
      <c r="AX261" s="169"/>
      <c r="AY261" s="169"/>
      <c r="AZ261" s="169"/>
      <c r="BA261" s="169"/>
      <c r="BB261" s="169"/>
      <c r="BC261" s="169"/>
      <c r="BD261" s="169"/>
      <c r="BE261" s="169"/>
      <c r="BF261" s="169"/>
      <c r="BG261" s="169"/>
      <c r="BH261" s="169"/>
      <c r="BI261" s="169"/>
      <c r="BJ261" s="169"/>
      <c r="BK261" s="169"/>
      <c r="BL261" s="169"/>
      <c r="BM261" s="169"/>
      <c r="BN261" s="169"/>
      <c r="BO261" s="169"/>
      <c r="BP261" s="169"/>
      <c r="BQ261" s="169"/>
      <c r="BR261" s="169"/>
      <c r="BS261" s="169"/>
      <c r="BT261" s="169"/>
      <c r="BU261" s="169"/>
      <c r="BV261" s="169"/>
      <c r="BW261" s="169"/>
      <c r="BX261" s="169"/>
      <c r="BY261" s="169"/>
      <c r="BZ261" s="169"/>
    </row>
    <row r="262" spans="12:78" customFormat="1" ht="11.25" customHeight="1">
      <c r="L262" s="20"/>
      <c r="M262" s="508"/>
      <c r="N262" s="522"/>
      <c r="O262" s="166"/>
      <c r="AB262" s="251"/>
      <c r="AC262" s="251"/>
      <c r="AD262" s="251"/>
      <c r="AE262" s="241"/>
      <c r="AF262" s="241"/>
      <c r="AG262" s="241"/>
      <c r="AH262" s="169"/>
      <c r="AI262" s="169"/>
      <c r="AJ262" s="169"/>
      <c r="AK262" s="169"/>
      <c r="AL262" s="169"/>
      <c r="AM262" s="169"/>
      <c r="AN262" s="169"/>
      <c r="AO262" s="169"/>
      <c r="AP262" s="169"/>
      <c r="AQ262" s="169"/>
      <c r="AR262" s="169"/>
      <c r="AS262" s="169"/>
      <c r="AT262" s="169"/>
      <c r="AU262" s="169"/>
      <c r="AV262" s="169"/>
      <c r="AW262" s="169"/>
      <c r="AX262" s="169"/>
      <c r="AY262" s="169"/>
      <c r="AZ262" s="169"/>
      <c r="BA262" s="169"/>
      <c r="BB262" s="169"/>
      <c r="BC262" s="169"/>
      <c r="BD262" s="169"/>
      <c r="BE262" s="169"/>
      <c r="BF262" s="169"/>
      <c r="BG262" s="169"/>
      <c r="BH262" s="169"/>
      <c r="BI262" s="169"/>
      <c r="BJ262" s="169"/>
      <c r="BK262" s="169"/>
      <c r="BL262" s="169"/>
      <c r="BM262" s="169"/>
      <c r="BN262" s="169"/>
      <c r="BO262" s="169"/>
      <c r="BP262" s="169"/>
      <c r="BQ262" s="169"/>
      <c r="BR262" s="169"/>
      <c r="BS262" s="169"/>
      <c r="BT262" s="169"/>
      <c r="BU262" s="169"/>
      <c r="BV262" s="169"/>
      <c r="BW262" s="169"/>
      <c r="BX262" s="169"/>
      <c r="BY262" s="169"/>
      <c r="BZ262" s="169"/>
    </row>
    <row r="263" spans="12:78" customFormat="1" ht="11.25" customHeight="1">
      <c r="L263" s="20"/>
      <c r="M263" s="508"/>
      <c r="N263" s="522"/>
      <c r="O263" s="166"/>
      <c r="AB263" s="251"/>
      <c r="AC263" s="251"/>
      <c r="AD263" s="251"/>
      <c r="AE263" s="241"/>
      <c r="AF263" s="241"/>
      <c r="AG263" s="241"/>
      <c r="AH263" s="169"/>
      <c r="AI263" s="169"/>
      <c r="AJ263" s="169"/>
      <c r="AK263" s="169"/>
      <c r="AL263" s="169"/>
      <c r="AM263" s="169"/>
      <c r="AN263" s="169"/>
      <c r="AO263" s="169"/>
      <c r="AP263" s="169"/>
      <c r="AQ263" s="169"/>
      <c r="AR263" s="169"/>
      <c r="AS263" s="169"/>
      <c r="AT263" s="169"/>
      <c r="AU263" s="169"/>
      <c r="AV263" s="169"/>
      <c r="AW263" s="169"/>
      <c r="AX263" s="169"/>
      <c r="AY263" s="169"/>
      <c r="AZ263" s="169"/>
      <c r="BA263" s="169"/>
      <c r="BB263" s="169"/>
      <c r="BC263" s="169"/>
      <c r="BD263" s="169"/>
      <c r="BE263" s="169"/>
      <c r="BF263" s="169"/>
      <c r="BG263" s="169"/>
      <c r="BH263" s="169"/>
      <c r="BI263" s="169"/>
      <c r="BJ263" s="169"/>
      <c r="BK263" s="169"/>
      <c r="BL263" s="169"/>
      <c r="BM263" s="169"/>
      <c r="BN263" s="169"/>
      <c r="BO263" s="169"/>
      <c r="BP263" s="169"/>
      <c r="BQ263" s="169"/>
      <c r="BR263" s="169"/>
      <c r="BS263" s="169"/>
      <c r="BT263" s="169"/>
      <c r="BU263" s="169"/>
      <c r="BV263" s="169"/>
      <c r="BW263" s="169"/>
      <c r="BX263" s="169"/>
      <c r="BY263" s="169"/>
      <c r="BZ263" s="169"/>
    </row>
    <row r="264" spans="12:78" customFormat="1" ht="11.25" customHeight="1">
      <c r="L264" s="20"/>
      <c r="M264" s="508"/>
      <c r="N264" s="522"/>
      <c r="O264" s="166"/>
      <c r="AB264" s="251"/>
      <c r="AC264" s="251"/>
      <c r="AD264" s="251"/>
      <c r="AE264" s="241"/>
      <c r="AF264" s="241"/>
      <c r="AG264" s="241"/>
      <c r="AH264" s="169"/>
      <c r="AI264" s="169"/>
      <c r="AJ264" s="169"/>
      <c r="AK264" s="169"/>
      <c r="AL264" s="169"/>
      <c r="AM264" s="169"/>
      <c r="AN264" s="169"/>
      <c r="AO264" s="169"/>
      <c r="AP264" s="169"/>
      <c r="AQ264" s="169"/>
      <c r="AR264" s="169"/>
      <c r="AS264" s="169"/>
      <c r="AT264" s="169"/>
      <c r="AU264" s="169"/>
      <c r="AV264" s="169"/>
      <c r="AW264" s="169"/>
      <c r="AX264" s="169"/>
      <c r="AY264" s="169"/>
      <c r="AZ264" s="169"/>
      <c r="BA264" s="169"/>
      <c r="BB264" s="169"/>
      <c r="BC264" s="169"/>
      <c r="BD264" s="169"/>
      <c r="BE264" s="169"/>
      <c r="BF264" s="169"/>
      <c r="BG264" s="169"/>
      <c r="BH264" s="169"/>
      <c r="BI264" s="169"/>
      <c r="BJ264" s="169"/>
      <c r="BK264" s="169"/>
      <c r="BL264" s="169"/>
      <c r="BM264" s="169"/>
      <c r="BN264" s="169"/>
      <c r="BO264" s="169"/>
      <c r="BP264" s="169"/>
      <c r="BQ264" s="169"/>
      <c r="BR264" s="169"/>
      <c r="BS264" s="169"/>
      <c r="BT264" s="169"/>
      <c r="BU264" s="169"/>
      <c r="BV264" s="169"/>
      <c r="BW264" s="169"/>
      <c r="BX264" s="169"/>
      <c r="BY264" s="169"/>
      <c r="BZ264" s="169"/>
    </row>
    <row r="265" spans="12:78" customFormat="1" ht="11.25" customHeight="1">
      <c r="L265" s="20"/>
      <c r="M265" s="508"/>
      <c r="N265" s="522"/>
      <c r="O265" s="166"/>
      <c r="AB265" s="251"/>
      <c r="AC265" s="251"/>
      <c r="AD265" s="251"/>
      <c r="AE265" s="241"/>
      <c r="AF265" s="241"/>
      <c r="AG265" s="241"/>
      <c r="AH265" s="169"/>
      <c r="AI265" s="169"/>
      <c r="AJ265" s="169"/>
      <c r="AK265" s="169"/>
      <c r="AL265" s="169"/>
      <c r="AM265" s="169"/>
      <c r="AN265" s="169"/>
      <c r="AO265" s="169"/>
      <c r="AP265" s="169"/>
      <c r="AQ265" s="169"/>
      <c r="AR265" s="169"/>
      <c r="AS265" s="169"/>
      <c r="AT265" s="169"/>
      <c r="AU265" s="169"/>
      <c r="AV265" s="169"/>
      <c r="AW265" s="169"/>
      <c r="AX265" s="169"/>
      <c r="AY265" s="169"/>
      <c r="AZ265" s="169"/>
      <c r="BA265" s="169"/>
      <c r="BB265" s="169"/>
      <c r="BC265" s="169"/>
      <c r="BD265" s="169"/>
      <c r="BE265" s="169"/>
      <c r="BF265" s="169"/>
      <c r="BG265" s="169"/>
      <c r="BH265" s="169"/>
      <c r="BI265" s="169"/>
      <c r="BJ265" s="169"/>
      <c r="BK265" s="169"/>
      <c r="BL265" s="169"/>
      <c r="BM265" s="169"/>
      <c r="BN265" s="169"/>
      <c r="BO265" s="169"/>
      <c r="BP265" s="169"/>
      <c r="BQ265" s="169"/>
      <c r="BR265" s="169"/>
      <c r="BS265" s="169"/>
      <c r="BT265" s="169"/>
      <c r="BU265" s="169"/>
      <c r="BV265" s="169"/>
      <c r="BW265" s="169"/>
      <c r="BX265" s="169"/>
      <c r="BY265" s="169"/>
      <c r="BZ265" s="169"/>
    </row>
    <row r="266" spans="12:78" customFormat="1" ht="11.25" customHeight="1">
      <c r="L266" s="20"/>
      <c r="M266" s="508"/>
      <c r="N266" s="522"/>
      <c r="O266" s="166"/>
      <c r="AB266" s="251"/>
      <c r="AC266" s="251"/>
      <c r="AD266" s="251"/>
      <c r="AE266" s="241"/>
      <c r="AF266" s="241"/>
      <c r="AG266" s="241"/>
      <c r="AH266" s="169"/>
      <c r="AI266" s="169"/>
      <c r="AJ266" s="169"/>
      <c r="AK266" s="169"/>
      <c r="AL266" s="169"/>
      <c r="AM266" s="169"/>
      <c r="AN266" s="169"/>
      <c r="AO266" s="169"/>
      <c r="AP266" s="169"/>
      <c r="AQ266" s="169"/>
      <c r="AR266" s="169"/>
      <c r="AS266" s="169"/>
      <c r="AT266" s="169"/>
      <c r="AU266" s="169"/>
      <c r="AV266" s="169"/>
      <c r="AW266" s="169"/>
      <c r="AX266" s="169"/>
      <c r="AY266" s="169"/>
      <c r="AZ266" s="169"/>
      <c r="BA266" s="169"/>
      <c r="BB266" s="169"/>
      <c r="BC266" s="169"/>
      <c r="BD266" s="169"/>
      <c r="BE266" s="169"/>
      <c r="BF266" s="169"/>
      <c r="BG266" s="169"/>
      <c r="BH266" s="169"/>
      <c r="BI266" s="169"/>
      <c r="BJ266" s="169"/>
      <c r="BK266" s="169"/>
      <c r="BL266" s="169"/>
      <c r="BM266" s="169"/>
      <c r="BN266" s="169"/>
      <c r="BO266" s="169"/>
      <c r="BP266" s="169"/>
      <c r="BQ266" s="169"/>
      <c r="BR266" s="169"/>
      <c r="BS266" s="169"/>
      <c r="BT266" s="169"/>
      <c r="BU266" s="169"/>
      <c r="BV266" s="169"/>
      <c r="BW266" s="169"/>
      <c r="BX266" s="169"/>
      <c r="BY266" s="169"/>
      <c r="BZ266" s="169"/>
    </row>
    <row r="267" spans="12:78" customFormat="1" ht="11.25" customHeight="1">
      <c r="L267" s="20"/>
      <c r="M267" s="508"/>
      <c r="N267" s="522"/>
      <c r="O267" s="166"/>
      <c r="AB267" s="251"/>
      <c r="AC267" s="251"/>
      <c r="AD267" s="251"/>
      <c r="AE267" s="241"/>
      <c r="AF267" s="241"/>
      <c r="AG267" s="241"/>
      <c r="AH267" s="169"/>
      <c r="AI267" s="169"/>
      <c r="AJ267" s="169"/>
      <c r="AK267" s="169"/>
      <c r="AL267" s="169"/>
      <c r="AM267" s="169"/>
      <c r="AN267" s="169"/>
      <c r="AO267" s="169"/>
      <c r="AP267" s="169"/>
      <c r="AQ267" s="169"/>
      <c r="AR267" s="169"/>
      <c r="AS267" s="169"/>
      <c r="AT267" s="169"/>
      <c r="AU267" s="169"/>
      <c r="AV267" s="169"/>
      <c r="AW267" s="169"/>
      <c r="AX267" s="169"/>
      <c r="AY267" s="169"/>
      <c r="AZ267" s="169"/>
      <c r="BA267" s="169"/>
      <c r="BB267" s="169"/>
      <c r="BC267" s="169"/>
      <c r="BD267" s="169"/>
      <c r="BE267" s="169"/>
      <c r="BF267" s="169"/>
      <c r="BG267" s="169"/>
      <c r="BH267" s="169"/>
      <c r="BI267" s="169"/>
      <c r="BJ267" s="169"/>
      <c r="BK267" s="169"/>
      <c r="BL267" s="169"/>
      <c r="BM267" s="169"/>
      <c r="BN267" s="169"/>
      <c r="BO267" s="169"/>
      <c r="BP267" s="169"/>
      <c r="BQ267" s="169"/>
      <c r="BR267" s="169"/>
      <c r="BS267" s="169"/>
      <c r="BT267" s="169"/>
      <c r="BU267" s="169"/>
      <c r="BV267" s="169"/>
      <c r="BW267" s="169"/>
      <c r="BX267" s="169"/>
      <c r="BY267" s="169"/>
      <c r="BZ267" s="169"/>
    </row>
    <row r="268" spans="12:78" customFormat="1" ht="11.25" customHeight="1">
      <c r="L268" s="20"/>
      <c r="M268" s="508"/>
      <c r="N268" s="522"/>
      <c r="O268" s="166"/>
      <c r="AB268" s="251"/>
      <c r="AC268" s="251"/>
      <c r="AD268" s="251"/>
      <c r="AE268" s="241"/>
      <c r="AF268" s="241"/>
      <c r="AG268" s="241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</row>
    <row r="269" spans="12:78" customFormat="1" ht="11.25" customHeight="1">
      <c r="L269" s="20"/>
      <c r="M269" s="508"/>
      <c r="N269" s="522"/>
      <c r="O269" s="166"/>
      <c r="AB269" s="251"/>
      <c r="AC269" s="251"/>
      <c r="AD269" s="251"/>
      <c r="AE269" s="241"/>
      <c r="AF269" s="241"/>
      <c r="AG269" s="241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</row>
    <row r="270" spans="12:78" customFormat="1" ht="11.25" customHeight="1">
      <c r="L270" s="20"/>
      <c r="M270" s="508"/>
      <c r="N270" s="522"/>
      <c r="O270" s="166"/>
      <c r="AB270" s="251"/>
      <c r="AC270" s="251"/>
      <c r="AD270" s="251"/>
      <c r="AE270" s="241"/>
      <c r="AF270" s="241"/>
      <c r="AG270" s="241"/>
      <c r="AH270" s="169"/>
      <c r="AI270" s="169"/>
      <c r="AJ270" s="169"/>
      <c r="AK270" s="169"/>
      <c r="AL270" s="169"/>
      <c r="AM270" s="169"/>
      <c r="AN270" s="169"/>
      <c r="AO270" s="169"/>
      <c r="AP270" s="169"/>
      <c r="AQ270" s="169"/>
      <c r="AR270" s="169"/>
      <c r="AS270" s="169"/>
      <c r="AT270" s="169"/>
      <c r="AU270" s="169"/>
      <c r="AV270" s="169"/>
      <c r="AW270" s="169"/>
      <c r="AX270" s="169"/>
      <c r="AY270" s="169"/>
      <c r="AZ270" s="169"/>
      <c r="BA270" s="169"/>
      <c r="BB270" s="169"/>
      <c r="BC270" s="169"/>
      <c r="BD270" s="169"/>
      <c r="BE270" s="169"/>
      <c r="BF270" s="169"/>
      <c r="BG270" s="169"/>
      <c r="BH270" s="169"/>
      <c r="BI270" s="169"/>
      <c r="BJ270" s="169"/>
      <c r="BK270" s="169"/>
      <c r="BL270" s="169"/>
      <c r="BM270" s="169"/>
      <c r="BN270" s="169"/>
      <c r="BO270" s="169"/>
      <c r="BP270" s="169"/>
      <c r="BQ270" s="169"/>
      <c r="BR270" s="169"/>
      <c r="BS270" s="169"/>
      <c r="BT270" s="169"/>
      <c r="BU270" s="169"/>
      <c r="BV270" s="169"/>
      <c r="BW270" s="169"/>
      <c r="BX270" s="169"/>
      <c r="BY270" s="169"/>
      <c r="BZ270" s="169"/>
    </row>
    <row r="271" spans="12:78" customFormat="1" ht="11.25" customHeight="1">
      <c r="L271" s="20"/>
      <c r="M271" s="508"/>
      <c r="N271" s="522"/>
      <c r="O271" s="166"/>
      <c r="AB271" s="251"/>
      <c r="AC271" s="251"/>
      <c r="AD271" s="251"/>
      <c r="AE271" s="241"/>
      <c r="AF271" s="241"/>
      <c r="AG271" s="241"/>
      <c r="AH271" s="169"/>
      <c r="AI271" s="169"/>
      <c r="AJ271" s="169"/>
      <c r="AK271" s="169"/>
      <c r="AL271" s="169"/>
      <c r="AM271" s="169"/>
      <c r="AN271" s="169"/>
      <c r="AO271" s="169"/>
      <c r="AP271" s="169"/>
      <c r="AQ271" s="169"/>
      <c r="AR271" s="169"/>
      <c r="AS271" s="169"/>
      <c r="AT271" s="169"/>
      <c r="AU271" s="169"/>
      <c r="AV271" s="169"/>
      <c r="AW271" s="169"/>
      <c r="AX271" s="169"/>
      <c r="AY271" s="169"/>
      <c r="AZ271" s="169"/>
      <c r="BA271" s="169"/>
      <c r="BB271" s="169"/>
      <c r="BC271" s="169"/>
      <c r="BD271" s="169"/>
      <c r="BE271" s="169"/>
      <c r="BF271" s="169"/>
      <c r="BG271" s="169"/>
      <c r="BH271" s="169"/>
      <c r="BI271" s="169"/>
      <c r="BJ271" s="169"/>
      <c r="BK271" s="169"/>
      <c r="BL271" s="169"/>
      <c r="BM271" s="169"/>
      <c r="BN271" s="169"/>
      <c r="BO271" s="169"/>
      <c r="BP271" s="169"/>
      <c r="BQ271" s="169"/>
      <c r="BR271" s="169"/>
      <c r="BS271" s="169"/>
      <c r="BT271" s="169"/>
      <c r="BU271" s="169"/>
      <c r="BV271" s="169"/>
      <c r="BW271" s="169"/>
      <c r="BX271" s="169"/>
      <c r="BY271" s="169"/>
      <c r="BZ271" s="169"/>
    </row>
    <row r="272" spans="12:78" customFormat="1" ht="11.25" customHeight="1">
      <c r="L272" s="20"/>
      <c r="M272" s="508"/>
      <c r="N272" s="522"/>
      <c r="O272" s="166"/>
      <c r="AB272" s="251"/>
      <c r="AC272" s="251"/>
      <c r="AD272" s="251"/>
      <c r="AE272" s="241"/>
      <c r="AF272" s="241"/>
      <c r="AG272" s="241"/>
      <c r="AH272" s="169"/>
      <c r="AI272" s="169"/>
      <c r="AJ272" s="169"/>
      <c r="AK272" s="169"/>
      <c r="AL272" s="169"/>
      <c r="AM272" s="169"/>
      <c r="AN272" s="169"/>
      <c r="AO272" s="169"/>
      <c r="AP272" s="169"/>
      <c r="AQ272" s="169"/>
      <c r="AR272" s="169"/>
      <c r="AS272" s="169"/>
      <c r="AT272" s="169"/>
      <c r="AU272" s="169"/>
      <c r="AV272" s="169"/>
      <c r="AW272" s="169"/>
      <c r="AX272" s="169"/>
      <c r="AY272" s="169"/>
      <c r="AZ272" s="169"/>
      <c r="BA272" s="169"/>
      <c r="BB272" s="169"/>
      <c r="BC272" s="169"/>
      <c r="BD272" s="169"/>
      <c r="BE272" s="169"/>
      <c r="BF272" s="169"/>
      <c r="BG272" s="169"/>
      <c r="BH272" s="169"/>
      <c r="BI272" s="169"/>
      <c r="BJ272" s="169"/>
      <c r="BK272" s="169"/>
      <c r="BL272" s="169"/>
      <c r="BM272" s="169"/>
      <c r="BN272" s="169"/>
      <c r="BO272" s="169"/>
      <c r="BP272" s="169"/>
      <c r="BQ272" s="169"/>
      <c r="BR272" s="169"/>
      <c r="BS272" s="169"/>
      <c r="BT272" s="169"/>
      <c r="BU272" s="169"/>
      <c r="BV272" s="169"/>
      <c r="BW272" s="169"/>
      <c r="BX272" s="169"/>
      <c r="BY272" s="169"/>
      <c r="BZ272" s="169"/>
    </row>
    <row r="273" spans="12:78" customFormat="1" ht="11.25" customHeight="1">
      <c r="L273" s="20"/>
      <c r="M273" s="508"/>
      <c r="N273" s="522"/>
      <c r="O273" s="166"/>
      <c r="AB273" s="251"/>
      <c r="AC273" s="251"/>
      <c r="AD273" s="251"/>
      <c r="AE273" s="241"/>
      <c r="AF273" s="241"/>
      <c r="AG273" s="241"/>
      <c r="AH273" s="169"/>
      <c r="AI273" s="169"/>
      <c r="AJ273" s="169"/>
      <c r="AK273" s="169"/>
      <c r="AL273" s="169"/>
      <c r="AM273" s="169"/>
      <c r="AN273" s="169"/>
      <c r="AO273" s="169"/>
      <c r="AP273" s="169"/>
      <c r="AQ273" s="169"/>
      <c r="AR273" s="169"/>
      <c r="AS273" s="169"/>
      <c r="AT273" s="169"/>
      <c r="AU273" s="169"/>
      <c r="AV273" s="169"/>
      <c r="AW273" s="169"/>
      <c r="AX273" s="169"/>
      <c r="AY273" s="169"/>
      <c r="AZ273" s="169"/>
      <c r="BA273" s="169"/>
      <c r="BB273" s="169"/>
      <c r="BC273" s="169"/>
      <c r="BD273" s="169"/>
      <c r="BE273" s="169"/>
      <c r="BF273" s="169"/>
      <c r="BG273" s="169"/>
      <c r="BH273" s="169"/>
      <c r="BI273" s="169"/>
      <c r="BJ273" s="169"/>
      <c r="BK273" s="169"/>
      <c r="BL273" s="169"/>
      <c r="BM273" s="169"/>
      <c r="BN273" s="169"/>
      <c r="BO273" s="169"/>
      <c r="BP273" s="169"/>
      <c r="BQ273" s="169"/>
      <c r="BR273" s="169"/>
      <c r="BS273" s="169"/>
      <c r="BT273" s="169"/>
      <c r="BU273" s="169"/>
      <c r="BV273" s="169"/>
      <c r="BW273" s="169"/>
      <c r="BX273" s="169"/>
      <c r="BY273" s="169"/>
      <c r="BZ273" s="169"/>
    </row>
    <row r="274" spans="12:78" customFormat="1" ht="11.25" customHeight="1">
      <c r="L274" s="20"/>
      <c r="M274" s="508"/>
      <c r="N274" s="522"/>
      <c r="O274" s="166"/>
      <c r="AB274" s="251"/>
      <c r="AC274" s="251"/>
      <c r="AD274" s="251"/>
      <c r="AE274" s="241"/>
      <c r="AF274" s="241"/>
      <c r="AG274" s="241"/>
      <c r="AH274" s="169"/>
      <c r="AI274" s="169"/>
      <c r="AJ274" s="169"/>
      <c r="AK274" s="169"/>
      <c r="AL274" s="169"/>
      <c r="AM274" s="169"/>
      <c r="AN274" s="169"/>
      <c r="AO274" s="169"/>
      <c r="AP274" s="169"/>
      <c r="AQ274" s="169"/>
      <c r="AR274" s="169"/>
      <c r="AS274" s="169"/>
      <c r="AT274" s="169"/>
      <c r="AU274" s="169"/>
      <c r="AV274" s="169"/>
      <c r="AW274" s="169"/>
      <c r="AX274" s="169"/>
      <c r="AY274" s="169"/>
      <c r="AZ274" s="169"/>
      <c r="BA274" s="169"/>
      <c r="BB274" s="169"/>
      <c r="BC274" s="169"/>
      <c r="BD274" s="169"/>
      <c r="BE274" s="169"/>
      <c r="BF274" s="169"/>
      <c r="BG274" s="169"/>
      <c r="BH274" s="169"/>
      <c r="BI274" s="169"/>
      <c r="BJ274" s="169"/>
      <c r="BK274" s="169"/>
      <c r="BL274" s="169"/>
      <c r="BM274" s="169"/>
      <c r="BN274" s="169"/>
      <c r="BO274" s="169"/>
      <c r="BP274" s="169"/>
      <c r="BQ274" s="169"/>
      <c r="BR274" s="169"/>
      <c r="BS274" s="169"/>
      <c r="BT274" s="169"/>
      <c r="BU274" s="169"/>
      <c r="BV274" s="169"/>
      <c r="BW274" s="169"/>
      <c r="BX274" s="169"/>
      <c r="BY274" s="169"/>
      <c r="BZ274" s="169"/>
    </row>
    <row r="275" spans="12:78" customFormat="1" ht="11.25" customHeight="1">
      <c r="L275" s="20"/>
      <c r="M275" s="508"/>
      <c r="N275" s="522"/>
      <c r="O275" s="166"/>
      <c r="AB275" s="251"/>
      <c r="AC275" s="251"/>
      <c r="AD275" s="251"/>
      <c r="AE275" s="241"/>
      <c r="AF275" s="241"/>
      <c r="AG275" s="241"/>
      <c r="AH275" s="169"/>
      <c r="AI275" s="169"/>
      <c r="AJ275" s="169"/>
      <c r="AK275" s="169"/>
      <c r="AL275" s="169"/>
      <c r="AM275" s="169"/>
      <c r="AN275" s="169"/>
      <c r="AO275" s="169"/>
      <c r="AP275" s="169"/>
      <c r="AQ275" s="169"/>
      <c r="AR275" s="169"/>
      <c r="AS275" s="169"/>
      <c r="AT275" s="169"/>
      <c r="AU275" s="169"/>
      <c r="AV275" s="169"/>
      <c r="AW275" s="169"/>
      <c r="AX275" s="169"/>
      <c r="AY275" s="169"/>
      <c r="AZ275" s="169"/>
      <c r="BA275" s="169"/>
      <c r="BB275" s="169"/>
      <c r="BC275" s="169"/>
      <c r="BD275" s="169"/>
      <c r="BE275" s="169"/>
      <c r="BF275" s="169"/>
      <c r="BG275" s="169"/>
      <c r="BH275" s="169"/>
      <c r="BI275" s="169"/>
      <c r="BJ275" s="169"/>
      <c r="BK275" s="169"/>
      <c r="BL275" s="169"/>
      <c r="BM275" s="169"/>
      <c r="BN275" s="169"/>
      <c r="BO275" s="169"/>
      <c r="BP275" s="169"/>
      <c r="BQ275" s="169"/>
      <c r="BR275" s="169"/>
      <c r="BS275" s="169"/>
      <c r="BT275" s="169"/>
      <c r="BU275" s="169"/>
      <c r="BV275" s="169"/>
      <c r="BW275" s="169"/>
      <c r="BX275" s="169"/>
      <c r="BY275" s="169"/>
      <c r="BZ275" s="169"/>
    </row>
    <row r="276" spans="12:78" customFormat="1" ht="11.25" customHeight="1">
      <c r="L276" s="20"/>
      <c r="M276" s="508"/>
      <c r="N276" s="522"/>
      <c r="O276" s="166"/>
      <c r="AB276" s="251"/>
      <c r="AC276" s="251"/>
      <c r="AD276" s="251"/>
      <c r="AE276" s="241"/>
      <c r="AF276" s="241"/>
      <c r="AG276" s="241"/>
      <c r="AH276" s="169"/>
      <c r="AI276" s="169"/>
      <c r="AJ276" s="169"/>
      <c r="AK276" s="169"/>
      <c r="AL276" s="169"/>
      <c r="AM276" s="169"/>
      <c r="AN276" s="169"/>
      <c r="AO276" s="169"/>
      <c r="AP276" s="169"/>
      <c r="AQ276" s="169"/>
      <c r="AR276" s="169"/>
      <c r="AS276" s="169"/>
      <c r="AT276" s="169"/>
      <c r="AU276" s="169"/>
      <c r="AV276" s="169"/>
      <c r="AW276" s="169"/>
      <c r="AX276" s="169"/>
      <c r="AY276" s="169"/>
      <c r="AZ276" s="169"/>
      <c r="BA276" s="169"/>
      <c r="BB276" s="169"/>
      <c r="BC276" s="169"/>
      <c r="BD276" s="169"/>
      <c r="BE276" s="169"/>
      <c r="BF276" s="169"/>
      <c r="BG276" s="169"/>
      <c r="BH276" s="169"/>
      <c r="BI276" s="169"/>
      <c r="BJ276" s="169"/>
      <c r="BK276" s="169"/>
      <c r="BL276" s="169"/>
      <c r="BM276" s="169"/>
      <c r="BN276" s="169"/>
      <c r="BO276" s="169"/>
      <c r="BP276" s="169"/>
      <c r="BQ276" s="169"/>
      <c r="BR276" s="169"/>
      <c r="BS276" s="169"/>
      <c r="BT276" s="169"/>
      <c r="BU276" s="169"/>
      <c r="BV276" s="169"/>
      <c r="BW276" s="169"/>
      <c r="BX276" s="169"/>
      <c r="BY276" s="169"/>
      <c r="BZ276" s="169"/>
    </row>
    <row r="277" spans="12:78" customFormat="1" ht="11.25" customHeight="1">
      <c r="L277" s="20"/>
      <c r="M277" s="508"/>
      <c r="N277" s="522"/>
      <c r="O277" s="166"/>
      <c r="AB277" s="251"/>
      <c r="AC277" s="251"/>
      <c r="AD277" s="251"/>
      <c r="AE277" s="241"/>
      <c r="AF277" s="241"/>
      <c r="AG277" s="241"/>
      <c r="AH277" s="169"/>
      <c r="AI277" s="169"/>
      <c r="AJ277" s="169"/>
      <c r="AK277" s="169"/>
      <c r="AL277" s="169"/>
      <c r="AM277" s="169"/>
      <c r="AN277" s="169"/>
      <c r="AO277" s="169"/>
      <c r="AP277" s="169"/>
      <c r="AQ277" s="169"/>
      <c r="AR277" s="169"/>
      <c r="AS277" s="169"/>
      <c r="AT277" s="169"/>
      <c r="AU277" s="169"/>
      <c r="AV277" s="169"/>
      <c r="AW277" s="169"/>
      <c r="AX277" s="169"/>
      <c r="AY277" s="169"/>
      <c r="AZ277" s="169"/>
      <c r="BA277" s="169"/>
      <c r="BB277" s="169"/>
      <c r="BC277" s="169"/>
      <c r="BD277" s="169"/>
      <c r="BE277" s="169"/>
      <c r="BF277" s="169"/>
      <c r="BG277" s="169"/>
      <c r="BH277" s="169"/>
      <c r="BI277" s="169"/>
      <c r="BJ277" s="169"/>
      <c r="BK277" s="169"/>
      <c r="BL277" s="169"/>
      <c r="BM277" s="169"/>
      <c r="BN277" s="169"/>
      <c r="BO277" s="169"/>
      <c r="BP277" s="169"/>
      <c r="BQ277" s="169"/>
      <c r="BR277" s="169"/>
      <c r="BS277" s="169"/>
      <c r="BT277" s="169"/>
      <c r="BU277" s="169"/>
      <c r="BV277" s="169"/>
      <c r="BW277" s="169"/>
      <c r="BX277" s="169"/>
      <c r="BY277" s="169"/>
      <c r="BZ277" s="169"/>
    </row>
    <row r="278" spans="12:78" customFormat="1" ht="11.25" customHeight="1">
      <c r="L278" s="20"/>
      <c r="M278" s="508"/>
      <c r="N278" s="522"/>
      <c r="O278" s="166"/>
      <c r="AB278" s="251"/>
      <c r="AC278" s="251"/>
      <c r="AD278" s="251"/>
      <c r="AE278" s="241"/>
      <c r="AF278" s="241"/>
      <c r="AG278" s="241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</row>
    <row r="279" spans="12:78" customFormat="1" ht="11.25" customHeight="1">
      <c r="L279" s="20"/>
      <c r="M279" s="508"/>
      <c r="N279" s="522"/>
      <c r="O279" s="166"/>
      <c r="AB279" s="251"/>
      <c r="AC279" s="251"/>
      <c r="AD279" s="251"/>
      <c r="AE279" s="241"/>
      <c r="AF279" s="241"/>
      <c r="AG279" s="241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</row>
    <row r="280" spans="12:78" customFormat="1" ht="11.25" customHeight="1">
      <c r="L280" s="20"/>
      <c r="M280" s="508"/>
      <c r="N280" s="522"/>
      <c r="O280" s="166"/>
      <c r="AB280" s="251"/>
      <c r="AC280" s="251"/>
      <c r="AD280" s="251"/>
      <c r="AE280" s="241"/>
      <c r="AF280" s="241"/>
      <c r="AG280" s="241"/>
      <c r="AH280" s="169"/>
      <c r="AI280" s="169"/>
      <c r="AJ280" s="169"/>
      <c r="AK280" s="169"/>
      <c r="AL280" s="169"/>
      <c r="AM280" s="169"/>
      <c r="AN280" s="169"/>
      <c r="AO280" s="169"/>
      <c r="AP280" s="169"/>
      <c r="AQ280" s="169"/>
      <c r="AR280" s="169"/>
      <c r="AS280" s="169"/>
      <c r="AT280" s="169"/>
      <c r="AU280" s="169"/>
      <c r="AV280" s="169"/>
      <c r="AW280" s="169"/>
      <c r="AX280" s="169"/>
      <c r="AY280" s="169"/>
      <c r="AZ280" s="169"/>
      <c r="BA280" s="169"/>
      <c r="BB280" s="169"/>
      <c r="BC280" s="169"/>
      <c r="BD280" s="169"/>
      <c r="BE280" s="169"/>
      <c r="BF280" s="169"/>
      <c r="BG280" s="169"/>
      <c r="BH280" s="169"/>
      <c r="BI280" s="169"/>
      <c r="BJ280" s="169"/>
      <c r="BK280" s="169"/>
      <c r="BL280" s="169"/>
      <c r="BM280" s="169"/>
      <c r="BN280" s="169"/>
      <c r="BO280" s="169"/>
      <c r="BP280" s="169"/>
      <c r="BQ280" s="169"/>
      <c r="BR280" s="169"/>
      <c r="BS280" s="169"/>
      <c r="BT280" s="169"/>
      <c r="BU280" s="169"/>
      <c r="BV280" s="169"/>
      <c r="BW280" s="169"/>
      <c r="BX280" s="169"/>
      <c r="BY280" s="169"/>
      <c r="BZ280" s="169"/>
    </row>
    <row r="281" spans="12:78" customFormat="1" ht="11.25" customHeight="1">
      <c r="L281" s="20"/>
      <c r="M281" s="508"/>
      <c r="N281" s="522"/>
      <c r="O281" s="166"/>
      <c r="AB281" s="251"/>
      <c r="AC281" s="251"/>
      <c r="AD281" s="251"/>
      <c r="AE281" s="241"/>
      <c r="AF281" s="241"/>
      <c r="AG281" s="241"/>
      <c r="AH281" s="169"/>
      <c r="AI281" s="169"/>
      <c r="AJ281" s="169"/>
      <c r="AK281" s="169"/>
      <c r="AL281" s="169"/>
      <c r="AM281" s="169"/>
      <c r="AN281" s="169"/>
      <c r="AO281" s="169"/>
      <c r="AP281" s="169"/>
      <c r="AQ281" s="169"/>
      <c r="AR281" s="169"/>
      <c r="AS281" s="169"/>
      <c r="AT281" s="169"/>
      <c r="AU281" s="169"/>
      <c r="AV281" s="169"/>
      <c r="AW281" s="169"/>
      <c r="AX281" s="169"/>
      <c r="AY281" s="169"/>
      <c r="AZ281" s="169"/>
      <c r="BA281" s="169"/>
      <c r="BB281" s="169"/>
      <c r="BC281" s="169"/>
      <c r="BD281" s="169"/>
      <c r="BE281" s="169"/>
      <c r="BF281" s="169"/>
      <c r="BG281" s="169"/>
      <c r="BH281" s="169"/>
      <c r="BI281" s="169"/>
      <c r="BJ281" s="169"/>
      <c r="BK281" s="169"/>
      <c r="BL281" s="169"/>
      <c r="BM281" s="169"/>
      <c r="BN281" s="169"/>
      <c r="BO281" s="169"/>
      <c r="BP281" s="169"/>
      <c r="BQ281" s="169"/>
      <c r="BR281" s="169"/>
      <c r="BS281" s="169"/>
      <c r="BT281" s="169"/>
      <c r="BU281" s="169"/>
      <c r="BV281" s="169"/>
      <c r="BW281" s="169"/>
      <c r="BX281" s="169"/>
      <c r="BY281" s="169"/>
      <c r="BZ281" s="169"/>
    </row>
    <row r="282" spans="12:78" customFormat="1" ht="11.25" customHeight="1">
      <c r="L282" s="20"/>
      <c r="M282" s="508"/>
      <c r="N282" s="522"/>
      <c r="O282" s="166"/>
      <c r="AB282" s="251"/>
      <c r="AC282" s="251"/>
      <c r="AD282" s="251"/>
      <c r="AE282" s="241"/>
      <c r="AF282" s="241"/>
      <c r="AG282" s="241"/>
      <c r="AH282" s="169"/>
      <c r="AI282" s="169"/>
      <c r="AJ282" s="169"/>
      <c r="AK282" s="169"/>
      <c r="AL282" s="169"/>
      <c r="AM282" s="169"/>
      <c r="AN282" s="169"/>
      <c r="AO282" s="169"/>
      <c r="AP282" s="169"/>
      <c r="AQ282" s="169"/>
      <c r="AR282" s="169"/>
      <c r="AS282" s="169"/>
      <c r="AT282" s="169"/>
      <c r="AU282" s="169"/>
      <c r="AV282" s="169"/>
      <c r="AW282" s="169"/>
      <c r="AX282" s="169"/>
      <c r="AY282" s="169"/>
      <c r="AZ282" s="169"/>
      <c r="BA282" s="169"/>
      <c r="BB282" s="169"/>
      <c r="BC282" s="169"/>
      <c r="BD282" s="169"/>
      <c r="BE282" s="169"/>
      <c r="BF282" s="169"/>
      <c r="BG282" s="169"/>
      <c r="BH282" s="169"/>
      <c r="BI282" s="169"/>
      <c r="BJ282" s="169"/>
      <c r="BK282" s="169"/>
      <c r="BL282" s="169"/>
      <c r="BM282" s="169"/>
      <c r="BN282" s="169"/>
      <c r="BO282" s="169"/>
      <c r="BP282" s="169"/>
      <c r="BQ282" s="169"/>
      <c r="BR282" s="169"/>
      <c r="BS282" s="169"/>
      <c r="BT282" s="169"/>
      <c r="BU282" s="169"/>
      <c r="BV282" s="169"/>
      <c r="BW282" s="169"/>
      <c r="BX282" s="169"/>
      <c r="BY282" s="169"/>
      <c r="BZ282" s="169"/>
    </row>
    <row r="283" spans="12:78" customFormat="1" ht="11.25" customHeight="1">
      <c r="L283" s="20"/>
      <c r="M283" s="508"/>
      <c r="N283" s="522"/>
      <c r="O283" s="166"/>
      <c r="AB283" s="251"/>
      <c r="AC283" s="251"/>
      <c r="AD283" s="251"/>
      <c r="AE283" s="241"/>
      <c r="AF283" s="241"/>
      <c r="AG283" s="241"/>
      <c r="AH283" s="169"/>
      <c r="AI283" s="169"/>
      <c r="AJ283" s="169"/>
      <c r="AK283" s="169"/>
      <c r="AL283" s="169"/>
      <c r="AM283" s="169"/>
      <c r="AN283" s="169"/>
      <c r="AO283" s="169"/>
      <c r="AP283" s="169"/>
      <c r="AQ283" s="169"/>
      <c r="AR283" s="169"/>
      <c r="AS283" s="169"/>
      <c r="AT283" s="169"/>
      <c r="AU283" s="169"/>
      <c r="AV283" s="169"/>
      <c r="AW283" s="169"/>
      <c r="AX283" s="169"/>
      <c r="AY283" s="169"/>
      <c r="AZ283" s="169"/>
      <c r="BA283" s="169"/>
      <c r="BB283" s="169"/>
      <c r="BC283" s="169"/>
      <c r="BD283" s="169"/>
      <c r="BE283" s="169"/>
      <c r="BF283" s="169"/>
      <c r="BG283" s="169"/>
      <c r="BH283" s="169"/>
      <c r="BI283" s="169"/>
      <c r="BJ283" s="169"/>
      <c r="BK283" s="169"/>
      <c r="BL283" s="169"/>
      <c r="BM283" s="169"/>
      <c r="BN283" s="169"/>
      <c r="BO283" s="169"/>
      <c r="BP283" s="169"/>
      <c r="BQ283" s="169"/>
      <c r="BR283" s="169"/>
      <c r="BS283" s="169"/>
      <c r="BT283" s="169"/>
      <c r="BU283" s="169"/>
      <c r="BV283" s="169"/>
      <c r="BW283" s="169"/>
      <c r="BX283" s="169"/>
      <c r="BY283" s="169"/>
      <c r="BZ283" s="169"/>
    </row>
    <row r="284" spans="12:78" customFormat="1" ht="11.25" customHeight="1">
      <c r="L284" s="20"/>
      <c r="M284" s="508"/>
      <c r="N284" s="522"/>
      <c r="O284" s="166"/>
      <c r="AB284" s="251"/>
      <c r="AC284" s="251"/>
      <c r="AD284" s="251"/>
      <c r="AE284" s="241"/>
      <c r="AF284" s="241"/>
      <c r="AG284" s="241"/>
      <c r="AH284" s="169"/>
      <c r="AI284" s="169"/>
      <c r="AJ284" s="169"/>
      <c r="AK284" s="169"/>
      <c r="AL284" s="169"/>
      <c r="AM284" s="169"/>
      <c r="AN284" s="169"/>
      <c r="AO284" s="169"/>
      <c r="AP284" s="169"/>
      <c r="AQ284" s="169"/>
      <c r="AR284" s="169"/>
      <c r="AS284" s="169"/>
      <c r="AT284" s="169"/>
      <c r="AU284" s="169"/>
      <c r="AV284" s="169"/>
      <c r="AW284" s="169"/>
      <c r="AX284" s="169"/>
      <c r="AY284" s="169"/>
      <c r="AZ284" s="169"/>
      <c r="BA284" s="169"/>
      <c r="BB284" s="169"/>
      <c r="BC284" s="169"/>
      <c r="BD284" s="169"/>
      <c r="BE284" s="169"/>
      <c r="BF284" s="169"/>
      <c r="BG284" s="169"/>
      <c r="BH284" s="169"/>
      <c r="BI284" s="169"/>
      <c r="BJ284" s="169"/>
      <c r="BK284" s="169"/>
      <c r="BL284" s="169"/>
      <c r="BM284" s="169"/>
      <c r="BN284" s="169"/>
      <c r="BO284" s="169"/>
      <c r="BP284" s="169"/>
      <c r="BQ284" s="169"/>
      <c r="BR284" s="169"/>
      <c r="BS284" s="169"/>
      <c r="BT284" s="169"/>
      <c r="BU284" s="169"/>
      <c r="BV284" s="169"/>
      <c r="BW284" s="169"/>
      <c r="BX284" s="169"/>
      <c r="BY284" s="169"/>
      <c r="BZ284" s="169"/>
    </row>
    <row r="285" spans="12:78" customFormat="1" ht="11.25" customHeight="1">
      <c r="L285" s="20"/>
      <c r="M285" s="508"/>
      <c r="N285" s="522"/>
      <c r="O285" s="166"/>
      <c r="AB285" s="251"/>
      <c r="AC285" s="251"/>
      <c r="AD285" s="251"/>
      <c r="AE285" s="241"/>
      <c r="AF285" s="241"/>
      <c r="AG285" s="241"/>
      <c r="AH285" s="169"/>
      <c r="AI285" s="169"/>
      <c r="AJ285" s="169"/>
      <c r="AK285" s="169"/>
      <c r="AL285" s="169"/>
      <c r="AM285" s="169"/>
      <c r="AN285" s="169"/>
      <c r="AO285" s="169"/>
      <c r="AP285" s="169"/>
      <c r="AQ285" s="169"/>
      <c r="AR285" s="169"/>
      <c r="AS285" s="169"/>
      <c r="AT285" s="169"/>
      <c r="AU285" s="169"/>
      <c r="AV285" s="169"/>
      <c r="AW285" s="169"/>
      <c r="AX285" s="169"/>
      <c r="AY285" s="169"/>
      <c r="AZ285" s="169"/>
      <c r="BA285" s="169"/>
      <c r="BB285" s="169"/>
      <c r="BC285" s="169"/>
      <c r="BD285" s="169"/>
      <c r="BE285" s="169"/>
      <c r="BF285" s="169"/>
      <c r="BG285" s="169"/>
      <c r="BH285" s="169"/>
      <c r="BI285" s="169"/>
      <c r="BJ285" s="169"/>
      <c r="BK285" s="169"/>
      <c r="BL285" s="169"/>
      <c r="BM285" s="169"/>
      <c r="BN285" s="169"/>
      <c r="BO285" s="169"/>
      <c r="BP285" s="169"/>
      <c r="BQ285" s="169"/>
      <c r="BR285" s="169"/>
      <c r="BS285" s="169"/>
      <c r="BT285" s="169"/>
      <c r="BU285" s="169"/>
      <c r="BV285" s="169"/>
      <c r="BW285" s="169"/>
      <c r="BX285" s="169"/>
      <c r="BY285" s="169"/>
      <c r="BZ285" s="169"/>
    </row>
    <row r="286" spans="12:78" customFormat="1" ht="11.25" customHeight="1">
      <c r="L286" s="20"/>
      <c r="M286" s="508"/>
      <c r="N286" s="522"/>
      <c r="O286" s="166"/>
      <c r="AB286" s="251"/>
      <c r="AC286" s="251"/>
      <c r="AD286" s="251"/>
      <c r="AE286" s="241"/>
      <c r="AF286" s="241"/>
      <c r="AG286" s="241"/>
      <c r="AH286" s="169"/>
      <c r="AI286" s="169"/>
      <c r="AJ286" s="169"/>
      <c r="AK286" s="169"/>
      <c r="AL286" s="169"/>
      <c r="AM286" s="169"/>
      <c r="AN286" s="169"/>
      <c r="AO286" s="169"/>
      <c r="AP286" s="169"/>
      <c r="AQ286" s="169"/>
      <c r="AR286" s="169"/>
      <c r="AS286" s="169"/>
      <c r="AT286" s="169"/>
      <c r="AU286" s="169"/>
      <c r="AV286" s="169"/>
      <c r="AW286" s="169"/>
      <c r="AX286" s="169"/>
      <c r="AY286" s="169"/>
      <c r="AZ286" s="169"/>
      <c r="BA286" s="169"/>
      <c r="BB286" s="169"/>
      <c r="BC286" s="169"/>
      <c r="BD286" s="169"/>
      <c r="BE286" s="169"/>
      <c r="BF286" s="169"/>
      <c r="BG286" s="169"/>
      <c r="BH286" s="169"/>
      <c r="BI286" s="169"/>
      <c r="BJ286" s="169"/>
      <c r="BK286" s="169"/>
      <c r="BL286" s="169"/>
      <c r="BM286" s="169"/>
      <c r="BN286" s="169"/>
      <c r="BO286" s="169"/>
      <c r="BP286" s="169"/>
      <c r="BQ286" s="169"/>
      <c r="BR286" s="169"/>
      <c r="BS286" s="169"/>
      <c r="BT286" s="169"/>
      <c r="BU286" s="169"/>
      <c r="BV286" s="169"/>
      <c r="BW286" s="169"/>
      <c r="BX286" s="169"/>
      <c r="BY286" s="169"/>
      <c r="BZ286" s="169"/>
    </row>
    <row r="287" spans="12:78" customFormat="1" ht="11.25" customHeight="1">
      <c r="L287" s="20"/>
      <c r="M287" s="508"/>
      <c r="N287" s="522"/>
      <c r="O287" s="166"/>
      <c r="AB287" s="251"/>
      <c r="AC287" s="251"/>
      <c r="AD287" s="251"/>
      <c r="AE287" s="241"/>
      <c r="AF287" s="241"/>
      <c r="AG287" s="241"/>
      <c r="AH287" s="169"/>
      <c r="AI287" s="169"/>
      <c r="AJ287" s="169"/>
      <c r="AK287" s="169"/>
      <c r="AL287" s="169"/>
      <c r="AM287" s="169"/>
      <c r="AN287" s="169"/>
      <c r="AO287" s="169"/>
      <c r="AP287" s="169"/>
      <c r="AQ287" s="169"/>
      <c r="AR287" s="169"/>
      <c r="AS287" s="169"/>
      <c r="AT287" s="169"/>
      <c r="AU287" s="169"/>
      <c r="AV287" s="169"/>
      <c r="AW287" s="169"/>
      <c r="AX287" s="169"/>
      <c r="AY287" s="169"/>
      <c r="AZ287" s="169"/>
      <c r="BA287" s="169"/>
      <c r="BB287" s="169"/>
      <c r="BC287" s="169"/>
      <c r="BD287" s="169"/>
      <c r="BE287" s="169"/>
      <c r="BF287" s="169"/>
      <c r="BG287" s="169"/>
      <c r="BH287" s="169"/>
      <c r="BI287" s="169"/>
      <c r="BJ287" s="169"/>
      <c r="BK287" s="169"/>
      <c r="BL287" s="169"/>
      <c r="BM287" s="169"/>
      <c r="BN287" s="169"/>
      <c r="BO287" s="169"/>
      <c r="BP287" s="169"/>
      <c r="BQ287" s="169"/>
      <c r="BR287" s="169"/>
      <c r="BS287" s="169"/>
      <c r="BT287" s="169"/>
      <c r="BU287" s="169"/>
      <c r="BV287" s="169"/>
      <c r="BW287" s="169"/>
      <c r="BX287" s="169"/>
      <c r="BY287" s="169"/>
      <c r="BZ287" s="169"/>
    </row>
    <row r="288" spans="12:78" customFormat="1" ht="11.25" customHeight="1">
      <c r="L288" s="20"/>
      <c r="M288" s="508"/>
      <c r="N288" s="522"/>
      <c r="O288" s="166"/>
      <c r="AB288" s="251"/>
      <c r="AC288" s="251"/>
      <c r="AD288" s="251"/>
      <c r="AE288" s="241"/>
      <c r="AF288" s="241"/>
      <c r="AG288" s="241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</row>
    <row r="289" spans="12:78" customFormat="1" ht="11.25" customHeight="1">
      <c r="L289" s="20"/>
      <c r="M289" s="508"/>
      <c r="N289" s="522"/>
      <c r="O289" s="166"/>
      <c r="AB289" s="251"/>
      <c r="AC289" s="251"/>
      <c r="AD289" s="251"/>
      <c r="AE289" s="261"/>
      <c r="AF289" s="261"/>
      <c r="AG289" s="261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</row>
    <row r="290" spans="12:78" customFormat="1" ht="11.25" customHeight="1">
      <c r="L290" s="20"/>
      <c r="M290" s="466" t="s">
        <v>1144</v>
      </c>
      <c r="N290" s="490" t="s">
        <v>2125</v>
      </c>
      <c r="O290" s="163" t="s">
        <v>195</v>
      </c>
      <c r="AB290" s="251"/>
      <c r="AC290" s="251"/>
      <c r="AD290" s="251"/>
      <c r="AE290" s="263">
        <f>AF290+AG290</f>
        <v>0</v>
      </c>
      <c r="AF290" s="263">
        <f>AF291-(AF205+AF208-AF207)</f>
        <v>0</v>
      </c>
      <c r="AG290" s="263">
        <f>AG291-(AG205+AG208-AG207)</f>
        <v>0</v>
      </c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</row>
    <row r="291" spans="12:78" customFormat="1" ht="11.25" customHeight="1">
      <c r="L291" s="20"/>
      <c r="M291" s="555" t="str">
        <f>M290 &amp; ".0.1"</f>
        <v>D.0.1</v>
      </c>
      <c r="N291" s="490" t="s">
        <v>2120</v>
      </c>
      <c r="O291" s="163" t="s">
        <v>195</v>
      </c>
      <c r="AB291" s="251"/>
      <c r="AC291" s="251"/>
      <c r="AD291" s="251"/>
      <c r="AE291" s="247">
        <f>AF291+AG291</f>
        <v>0</v>
      </c>
      <c r="AF291" s="247">
        <f>AF293+AF296+AF299+AF302+AF305+AF306</f>
        <v>0</v>
      </c>
      <c r="AG291" s="247">
        <f>AG293+AG296+AG299+AG302+AG305+AG306</f>
        <v>0</v>
      </c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</row>
    <row r="292" spans="12:78" customFormat="1" ht="11.25" customHeight="1">
      <c r="L292" s="20"/>
      <c r="M292" s="555" t="str">
        <f>M290 &amp; ".0.2"</f>
        <v>D.0.2</v>
      </c>
      <c r="N292" s="593" t="s">
        <v>44</v>
      </c>
      <c r="O292" s="162" t="s">
        <v>1026</v>
      </c>
      <c r="AB292" s="251"/>
      <c r="AC292" s="251"/>
      <c r="AD292" s="251"/>
      <c r="AE292" s="247">
        <f>AF292+AG292</f>
        <v>0</v>
      </c>
      <c r="AF292" s="247">
        <f>AF295+AF298+AF301+AF304</f>
        <v>0</v>
      </c>
      <c r="AG292" s="247">
        <f>AG295+AG298+AG301+AG304</f>
        <v>0</v>
      </c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</row>
    <row r="293" spans="12:78" customFormat="1" ht="11.25" customHeight="1">
      <c r="L293" s="20"/>
      <c r="M293" s="555" t="str">
        <f>M290 &amp; ".1"</f>
        <v>D.1</v>
      </c>
      <c r="N293" s="556" t="s">
        <v>602</v>
      </c>
      <c r="O293" s="163" t="s">
        <v>195</v>
      </c>
      <c r="AB293" s="251"/>
      <c r="AC293" s="251"/>
      <c r="AD293" s="251"/>
      <c r="AE293" s="247">
        <f>AF293+AG293</f>
        <v>0</v>
      </c>
      <c r="AF293" s="183">
        <f>AF294*AF295</f>
        <v>0</v>
      </c>
      <c r="AG293" s="183">
        <f>AG294*AG295</f>
        <v>0</v>
      </c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</row>
    <row r="294" spans="12:78" customFormat="1" ht="11.25" customHeight="1">
      <c r="L294" s="20"/>
      <c r="M294" s="466" t="str">
        <f>M293 &amp; ".1"</f>
        <v>D.1.1</v>
      </c>
      <c r="N294" s="557" t="s">
        <v>398</v>
      </c>
      <c r="O294" s="162" t="s">
        <v>397</v>
      </c>
      <c r="AB294" s="251"/>
      <c r="AC294" s="251"/>
      <c r="AD294" s="251"/>
      <c r="AE294" s="244">
        <f>IF(AE295=0,0,AE293/AE295)</f>
        <v>0</v>
      </c>
      <c r="AF294" s="590"/>
      <c r="AG294" s="590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</row>
    <row r="295" spans="12:78" customFormat="1" ht="11.25" customHeight="1">
      <c r="L295" s="20"/>
      <c r="M295" s="466" t="str">
        <f>M293 &amp; ".2"</f>
        <v>D.1.2</v>
      </c>
      <c r="N295" s="557" t="s">
        <v>283</v>
      </c>
      <c r="O295" s="162" t="s">
        <v>1026</v>
      </c>
      <c r="AB295" s="251"/>
      <c r="AC295" s="251"/>
      <c r="AD295" s="251"/>
      <c r="AE295" s="247">
        <f>AF295+AG295</f>
        <v>0</v>
      </c>
      <c r="AF295" s="262">
        <f>SUMIF(ВО.БПр!$BA$131:$BA$132,AF$17 &amp; ".0-" &amp; AF$9,ВО.БПр!$W$131:$W$132)/1000+SUMIF(ВО.БТр!$BA$131:$BA$132,AF$17 &amp; ".0-" &amp; AF$9,ВО.БТр!$Q$131:$Q$132)/1000</f>
        <v>0</v>
      </c>
      <c r="AG295" s="262">
        <f>SUMIF(ВО.БПр!$BA$131:$BA$132,AG$17 &amp; ".0-" &amp; AG$9,ВО.БПр!$W$131:$W$132)/1000+SUMIF(ВО.БТр!$BA$131:$BA$132,AG$17 &amp; ".0-" &amp; AG$9,ВО.БТр!$Q$131:$Q$132)/1000</f>
        <v>0</v>
      </c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</row>
    <row r="296" spans="12:78" customFormat="1" ht="11.25" customHeight="1">
      <c r="L296" s="20"/>
      <c r="M296" s="555" t="str">
        <f>M290 &amp; ".2"</f>
        <v>D.2</v>
      </c>
      <c r="N296" s="556" t="s">
        <v>161</v>
      </c>
      <c r="O296" s="163" t="s">
        <v>195</v>
      </c>
      <c r="AB296" s="251"/>
      <c r="AC296" s="251"/>
      <c r="AD296" s="251"/>
      <c r="AE296" s="247">
        <f>AF296+AG296</f>
        <v>0</v>
      </c>
      <c r="AF296" s="183">
        <f>AF297*AF298</f>
        <v>0</v>
      </c>
      <c r="AG296" s="183">
        <f>AG297*AG298</f>
        <v>0</v>
      </c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</row>
    <row r="297" spans="12:78" customFormat="1" ht="11.25" customHeight="1">
      <c r="L297" s="20"/>
      <c r="M297" s="466" t="str">
        <f>M296 &amp; ".1"</f>
        <v>D.2.1</v>
      </c>
      <c r="N297" s="557" t="s">
        <v>398</v>
      </c>
      <c r="O297" s="162" t="s">
        <v>397</v>
      </c>
      <c r="AB297" s="251"/>
      <c r="AC297" s="251"/>
      <c r="AD297" s="251"/>
      <c r="AE297" s="244">
        <f>IF(AE298=0,0,AE296/AE298)</f>
        <v>0</v>
      </c>
      <c r="AF297" s="590"/>
      <c r="AG297" s="590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</row>
    <row r="298" spans="12:78" customFormat="1" ht="11.25" customHeight="1">
      <c r="L298" s="20"/>
      <c r="M298" s="466" t="str">
        <f>M296 &amp; ".2"</f>
        <v>D.2.2</v>
      </c>
      <c r="N298" s="557" t="s">
        <v>283</v>
      </c>
      <c r="O298" s="162" t="s">
        <v>1026</v>
      </c>
      <c r="AB298" s="251"/>
      <c r="AC298" s="251"/>
      <c r="AD298" s="251"/>
      <c r="AE298" s="247">
        <f>AF298+AG298</f>
        <v>0</v>
      </c>
      <c r="AF298" s="262">
        <f>SUMIF(ВО.БПр!$BA$131:$BA$132,AF$17 &amp; ".0-" &amp; AF$9,ВО.БПр!$N$131:$N$132)/1000+SUMIF(ВО.БТр!$BA$131:$BA$132,AF$17 &amp; ".0-" &amp; AF$9,ВО.БТр!$T$131:$T$132)/1000</f>
        <v>0</v>
      </c>
      <c r="AG298" s="262">
        <f>SUMIF(ВО.БПр!$BA$131:$BA$132,AG$17 &amp; ".0-" &amp; AG$9,ВО.БПр!$N$131:$N$132)/1000+SUMIF(ВО.БТр!$BA$131:$BA$132,AG$17 &amp; ".0-" &amp; AG$9,ВО.БТр!$T$131:$T$132)/1000</f>
        <v>0</v>
      </c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</row>
    <row r="299" spans="12:78" customFormat="1" ht="11.25" customHeight="1">
      <c r="L299" s="20"/>
      <c r="M299" s="555" t="str">
        <f>M290 &amp; ".3"</f>
        <v>D.3</v>
      </c>
      <c r="N299" s="556" t="s">
        <v>162</v>
      </c>
      <c r="O299" s="163" t="s">
        <v>195</v>
      </c>
      <c r="AB299" s="251"/>
      <c r="AC299" s="251"/>
      <c r="AD299" s="251"/>
      <c r="AE299" s="247">
        <f>AF299+AG299</f>
        <v>0</v>
      </c>
      <c r="AF299" s="183">
        <f>AF300*AF301</f>
        <v>0</v>
      </c>
      <c r="AG299" s="183">
        <f>AG300*AG301</f>
        <v>0</v>
      </c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</row>
    <row r="300" spans="12:78" customFormat="1" ht="11.25" customHeight="1">
      <c r="L300" s="20"/>
      <c r="M300" s="466" t="str">
        <f>M299 &amp; ".1"</f>
        <v>D.3.1</v>
      </c>
      <c r="N300" s="557" t="s">
        <v>398</v>
      </c>
      <c r="O300" s="162" t="s">
        <v>397</v>
      </c>
      <c r="AB300" s="251"/>
      <c r="AC300" s="251"/>
      <c r="AD300" s="251"/>
      <c r="AE300" s="244">
        <f>IF(AE301=0,0,AE299/AE301)</f>
        <v>0</v>
      </c>
      <c r="AF300" s="590"/>
      <c r="AG300" s="590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</row>
    <row r="301" spans="12:78" customFormat="1" ht="11.25" customHeight="1">
      <c r="L301" s="20"/>
      <c r="M301" s="466" t="str">
        <f>M299 &amp; ".2"</f>
        <v>D.3.2</v>
      </c>
      <c r="N301" s="557" t="s">
        <v>283</v>
      </c>
      <c r="O301" s="162" t="s">
        <v>1026</v>
      </c>
      <c r="AB301" s="251"/>
      <c r="AC301" s="251"/>
      <c r="AD301" s="251"/>
      <c r="AE301" s="247">
        <f>AF301+AG301</f>
        <v>0</v>
      </c>
      <c r="AF301" s="262">
        <f>SUMIF(ВО.БПр!$BA$131:$BA$132,AF$17 &amp; ".0-" &amp; AF$9,ВО.БПр!$Q$131:$Q$132)/1000+SUMIF(ВО.БТр!$BA$131:$BA$132,AF$17 &amp; ".0-" &amp; AF$9,ВО.БТр!$W$131:$W$132)/1000</f>
        <v>0</v>
      </c>
      <c r="AG301" s="262">
        <f>SUMIF(ВО.БПр!$BA$131:$BA$132,AG$17 &amp; ".0-" &amp; AG$9,ВО.БПр!$Q$131:$Q$132)/1000+SUMIF(ВО.БТр!$BA$131:$BA$132,AG$17 &amp; ".0-" &amp; AG$9,ВО.БТр!$W$131:$W$132)/1000</f>
        <v>0</v>
      </c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</row>
    <row r="302" spans="12:78" customFormat="1" ht="11.25" customHeight="1">
      <c r="L302" s="20"/>
      <c r="M302" s="555" t="str">
        <f>M290 &amp; ".4"</f>
        <v>D.4</v>
      </c>
      <c r="N302" s="556" t="s">
        <v>169</v>
      </c>
      <c r="O302" s="163" t="s">
        <v>195</v>
      </c>
      <c r="AB302" s="251"/>
      <c r="AC302" s="251"/>
      <c r="AD302" s="251"/>
      <c r="AE302" s="247">
        <f>AF302+AG302</f>
        <v>0</v>
      </c>
      <c r="AF302" s="183">
        <f>AF303*AF304</f>
        <v>0</v>
      </c>
      <c r="AG302" s="183">
        <f>AG303*AG304</f>
        <v>0</v>
      </c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</row>
    <row r="303" spans="12:78" customFormat="1" ht="11.25" customHeight="1">
      <c r="L303" s="20"/>
      <c r="M303" s="466" t="str">
        <f>M302 &amp; ".1"</f>
        <v>D.4.1</v>
      </c>
      <c r="N303" s="557" t="s">
        <v>398</v>
      </c>
      <c r="O303" s="162" t="s">
        <v>397</v>
      </c>
      <c r="AB303" s="251"/>
      <c r="AC303" s="251"/>
      <c r="AD303" s="251"/>
      <c r="AE303" s="244">
        <f>IF(AE304=0,0,AE302/AE304)</f>
        <v>0</v>
      </c>
      <c r="AF303" s="590"/>
      <c r="AG303" s="590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</row>
    <row r="304" spans="12:78" customFormat="1" ht="11.25" customHeight="1">
      <c r="L304" s="20"/>
      <c r="M304" s="466" t="str">
        <f>M302 &amp; ".2"</f>
        <v>D.4.2</v>
      </c>
      <c r="N304" s="557" t="s">
        <v>283</v>
      </c>
      <c r="O304" s="162" t="s">
        <v>1026</v>
      </c>
      <c r="AB304" s="251"/>
      <c r="AC304" s="251"/>
      <c r="AD304" s="251"/>
      <c r="AE304" s="247">
        <f>AF304+AG304</f>
        <v>0</v>
      </c>
      <c r="AF304" s="262">
        <f>SUMIF(ВО.БПр!$BA$131:$BA$132,AF$17 &amp; ".0-" &amp; AF$9,ВО.БПр!$T$131:$T$132)/1000+SUMIF(ВО.БТр!$BA$131:$BA$132,AF$17 &amp; ".0-" &amp; AF$9,ВО.БТр!$Z$131:$Z$132)/1000</f>
        <v>0</v>
      </c>
      <c r="AG304" s="262">
        <f>SUMIF(ВО.БПр!$BA$131:$BA$132,AG$17 &amp; ".0-" &amp; AG$9,ВО.БПр!$T$131:$T$132)/1000+SUMIF(ВО.БТр!$BA$131:$BA$132,AG$17 &amp; ".0-" &amp; AG$9,ВО.БТр!$Z$131:$Z$132)/1000</f>
        <v>0</v>
      </c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</row>
    <row r="305" spans="12:90" customFormat="1" ht="11.25" customHeight="1">
      <c r="L305" s="150"/>
      <c r="M305" s="503" t="str">
        <f>M290 &amp; ".5"</f>
        <v>D.5</v>
      </c>
      <c r="N305" s="497" t="s">
        <v>2121</v>
      </c>
      <c r="O305" s="163" t="s">
        <v>195</v>
      </c>
      <c r="AB305" s="251"/>
      <c r="AC305" s="251"/>
      <c r="AD305" s="251"/>
      <c r="AE305" s="247">
        <f>AF305+AG305</f>
        <v>0</v>
      </c>
      <c r="AF305" s="245"/>
      <c r="AG305" s="245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</row>
    <row r="306" spans="12:90" customFormat="1" ht="11.25" customHeight="1">
      <c r="L306" s="150"/>
      <c r="M306" s="620" t="str">
        <f>M290 &amp; ".6"</f>
        <v>D.6</v>
      </c>
      <c r="N306" s="621" t="s">
        <v>2175</v>
      </c>
      <c r="O306" s="616" t="s">
        <v>195</v>
      </c>
      <c r="AB306" s="251"/>
      <c r="AC306" s="251"/>
      <c r="AD306" s="251"/>
      <c r="AE306" s="247">
        <f>AF306+AG306</f>
        <v>0</v>
      </c>
      <c r="AF306" s="245"/>
      <c r="AG306" s="245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</row>
    <row r="307" spans="12:90" ht="11.4">
      <c r="M307" s="500"/>
      <c r="N307" s="622"/>
      <c r="O307" s="166"/>
      <c r="AB307" s="251"/>
      <c r="AC307" s="251"/>
      <c r="AD307" s="251"/>
      <c r="AE307" s="241"/>
      <c r="AF307" s="241"/>
      <c r="AG307" s="241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</row>
    <row r="308" spans="12:90" ht="11.4">
      <c r="M308" s="500"/>
      <c r="N308" s="622"/>
      <c r="O308" s="166"/>
      <c r="AB308" s="251"/>
      <c r="AC308" s="251"/>
      <c r="AD308" s="251"/>
      <c r="AE308" s="241"/>
      <c r="AF308" s="241"/>
      <c r="AG308" s="241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</row>
    <row r="309" spans="12:90" ht="11.4">
      <c r="M309" s="500"/>
      <c r="N309" s="622"/>
      <c r="O309" s="166"/>
      <c r="AB309" s="251"/>
      <c r="AC309" s="251"/>
      <c r="AD309" s="251"/>
      <c r="AE309" s="241"/>
      <c r="AF309" s="241"/>
      <c r="AG309" s="241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</row>
    <row r="310" spans="12:90" ht="11.4">
      <c r="M310" s="500"/>
      <c r="N310" s="622"/>
      <c r="O310" s="166"/>
      <c r="AB310" s="251"/>
      <c r="AC310" s="251"/>
      <c r="AD310" s="251"/>
      <c r="AE310" s="241"/>
      <c r="AF310" s="241"/>
      <c r="AG310" s="241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</row>
    <row r="311" spans="12:90" ht="11.4">
      <c r="M311" s="500"/>
      <c r="N311" s="622"/>
      <c r="O311" s="166"/>
      <c r="AB311" s="251"/>
      <c r="AC311" s="251"/>
      <c r="AD311" s="251"/>
      <c r="AE311" s="241"/>
      <c r="AF311" s="241"/>
      <c r="AG311" s="24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</row>
    <row r="312" spans="12:90" ht="11.4">
      <c r="M312" s="500"/>
      <c r="N312" s="622"/>
      <c r="O312" s="166"/>
      <c r="AB312" s="251"/>
      <c r="AC312" s="251"/>
      <c r="AD312" s="251"/>
      <c r="AE312" s="241"/>
      <c r="AF312" s="241"/>
      <c r="AG312" s="241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</row>
    <row r="313" spans="12:90" ht="11.4">
      <c r="M313" s="623"/>
      <c r="N313" s="627" t="s">
        <v>2261</v>
      </c>
      <c r="O313" s="166"/>
      <c r="AB313" s="251"/>
      <c r="AC313" s="251"/>
      <c r="AD313" s="251"/>
      <c r="AE313" s="241"/>
      <c r="AF313" s="241"/>
      <c r="AG313" s="241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</row>
    <row r="314" spans="12:90" ht="11.4">
      <c r="M314" s="623"/>
      <c r="N314" s="627" t="s">
        <v>787</v>
      </c>
      <c r="O314" s="166"/>
      <c r="AB314" s="251"/>
      <c r="AC314" s="251"/>
      <c r="AD314" s="251"/>
      <c r="AE314" s="241"/>
      <c r="AF314" s="241"/>
      <c r="AG314" s="241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</row>
    <row r="315" spans="12:90" ht="20.399999999999999">
      <c r="M315" s="624"/>
      <c r="N315" s="503" t="str">
        <f>"Стоимость основных средств, относимых на источники производства (приём) " &amp; RESOURCE_IDENTIFIER</f>
        <v>Стоимость основных средств, относимых на источники производства (приём) ТЭ</v>
      </c>
      <c r="O315" s="163" t="s">
        <v>195</v>
      </c>
      <c r="AB315" s="251"/>
      <c r="AC315" s="251"/>
      <c r="AD315" s="251"/>
      <c r="AE315" s="241"/>
      <c r="AF315" s="241"/>
      <c r="AG315" s="241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</row>
    <row r="316" spans="12:90" ht="11.4">
      <c r="M316" s="624"/>
      <c r="N316" s="503" t="str">
        <f>"Количество " &amp; TEMPLATE_SPHERE_OKK_SOURCE</f>
        <v>Количество ТИ</v>
      </c>
      <c r="O316" s="163" t="s">
        <v>289</v>
      </c>
      <c r="AB316" s="251"/>
      <c r="AC316" s="251"/>
      <c r="AD316" s="251"/>
      <c r="AE316" s="241"/>
      <c r="AF316" s="241"/>
      <c r="AG316" s="241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</row>
    <row r="317" spans="12:90" ht="11.4">
      <c r="M317" s="624"/>
      <c r="N317" s="503" t="s">
        <v>2262</v>
      </c>
      <c r="O317" s="163" t="s">
        <v>755</v>
      </c>
      <c r="AB317" s="251"/>
      <c r="AC317" s="251"/>
      <c r="AD317" s="251"/>
      <c r="AE317" s="241"/>
      <c r="AF317" s="241"/>
      <c r="AG317" s="241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</row>
    <row r="318" spans="12:90" ht="11.4">
      <c r="M318" s="623"/>
      <c r="N318" s="627" t="s">
        <v>2263</v>
      </c>
      <c r="O318" s="166"/>
      <c r="AB318" s="251"/>
      <c r="AC318" s="251"/>
      <c r="AD318" s="251"/>
      <c r="AE318" s="241"/>
      <c r="AF318" s="241"/>
      <c r="AG318" s="241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</row>
    <row r="319" spans="12:90" ht="20.399999999999999">
      <c r="M319" s="624"/>
      <c r="N319" s="503" t="str">
        <f>"Стоимость основных средств, относимых на системы / сооружения для очистки " &amp; RESOURCE_IDENTIFIER</f>
        <v>Стоимость основных средств, относимых на системы / сооружения для очистки ТЭ</v>
      </c>
      <c r="O319" s="163" t="s">
        <v>195</v>
      </c>
      <c r="AB319" s="251"/>
      <c r="AC319" s="251"/>
      <c r="AD319" s="251"/>
      <c r="AE319" s="241"/>
      <c r="AF319" s="241"/>
      <c r="AG319" s="241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</row>
    <row r="320" spans="12:90" ht="11.4">
      <c r="M320" s="626"/>
      <c r="N320" s="495"/>
      <c r="O320" s="166"/>
      <c r="AB320" s="251"/>
      <c r="AC320" s="251"/>
      <c r="AD320" s="251"/>
      <c r="AE320" s="266"/>
      <c r="AF320" s="266"/>
      <c r="AG320" s="266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</row>
    <row r="321" spans="13:90" ht="11.4">
      <c r="M321" s="626"/>
      <c r="N321" s="495"/>
      <c r="O321" s="166"/>
      <c r="AB321" s="251"/>
      <c r="AC321" s="251"/>
      <c r="AD321" s="251"/>
      <c r="AE321" s="266"/>
      <c r="AF321" s="266"/>
      <c r="AG321" s="266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</row>
    <row r="322" spans="13:90" ht="11.4">
      <c r="M322" s="624"/>
      <c r="N322" s="503" t="s">
        <v>2262</v>
      </c>
      <c r="O322" s="163" t="s">
        <v>755</v>
      </c>
      <c r="AB322" s="251"/>
      <c r="AC322" s="251"/>
      <c r="AD322" s="251"/>
      <c r="AE322" s="241"/>
      <c r="AF322" s="241"/>
      <c r="AG322" s="241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</row>
    <row r="323" spans="13:90" ht="11.4">
      <c r="M323" s="623"/>
      <c r="N323" s="627" t="s">
        <v>2264</v>
      </c>
      <c r="O323" s="166"/>
      <c r="AB323" s="251"/>
      <c r="AC323" s="251"/>
      <c r="AD323" s="251"/>
      <c r="AE323" s="241"/>
      <c r="AF323" s="241"/>
      <c r="AG323" s="241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</row>
    <row r="324" spans="13:90" ht="20.399999999999999">
      <c r="M324" s="624"/>
      <c r="N324" s="503" t="s">
        <v>2265</v>
      </c>
      <c r="O324" s="163" t="s">
        <v>195</v>
      </c>
      <c r="AB324" s="251"/>
      <c r="AC324" s="251"/>
      <c r="AD324" s="251"/>
      <c r="AE324" s="241"/>
      <c r="AF324" s="241"/>
      <c r="AG324" s="241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</row>
    <row r="325" spans="13:90" ht="11.4">
      <c r="M325" s="624"/>
      <c r="N325" s="503" t="s">
        <v>2266</v>
      </c>
      <c r="O325" s="163" t="s">
        <v>2267</v>
      </c>
      <c r="AB325" s="251"/>
      <c r="AC325" s="251"/>
      <c r="AD325" s="251"/>
      <c r="AE325" s="241"/>
      <c r="AF325" s="241"/>
      <c r="AG325" s="241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</row>
    <row r="326" spans="13:90" ht="11.4">
      <c r="M326" s="624"/>
      <c r="N326" s="503" t="s">
        <v>2268</v>
      </c>
      <c r="O326" s="163" t="s">
        <v>2267</v>
      </c>
      <c r="AB326" s="251"/>
      <c r="AC326" s="251"/>
      <c r="AD326" s="251"/>
      <c r="AE326" s="241"/>
      <c r="AF326" s="241"/>
      <c r="AG326" s="241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</row>
    <row r="327" spans="13:90" ht="11.4">
      <c r="M327" s="623"/>
      <c r="N327" s="627" t="s">
        <v>788</v>
      </c>
      <c r="O327" s="166"/>
      <c r="AB327" s="251"/>
      <c r="AC327" s="251"/>
      <c r="AD327" s="251"/>
      <c r="AE327" s="241"/>
      <c r="AF327" s="241"/>
      <c r="AG327" s="241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</row>
    <row r="328" spans="13:90" ht="20.399999999999999">
      <c r="M328" s="624"/>
      <c r="N328" s="503" t="s">
        <v>2269</v>
      </c>
      <c r="O328" s="162" t="s">
        <v>1026</v>
      </c>
      <c r="AB328" s="251"/>
      <c r="AC328" s="251"/>
      <c r="AD328" s="251"/>
      <c r="AE328" s="241"/>
      <c r="AF328" s="241"/>
      <c r="AG328" s="241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</row>
    <row r="329" spans="13:90" ht="11.4">
      <c r="M329" s="624"/>
      <c r="N329" s="503" t="s">
        <v>2270</v>
      </c>
      <c r="O329" s="163" t="s">
        <v>2271</v>
      </c>
      <c r="AB329" s="251"/>
      <c r="AC329" s="251"/>
      <c r="AD329" s="251"/>
      <c r="AE329" s="241"/>
      <c r="AF329" s="241"/>
      <c r="AG329" s="241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</row>
    <row r="330" spans="13:90" ht="11.4">
      <c r="M330" s="624"/>
      <c r="N330" s="503" t="s">
        <v>2272</v>
      </c>
      <c r="O330" s="163" t="s">
        <v>2273</v>
      </c>
      <c r="AB330" s="251"/>
      <c r="AC330" s="251"/>
      <c r="AD330" s="251"/>
      <c r="AE330" s="241"/>
      <c r="AF330" s="241"/>
      <c r="AG330" s="241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</row>
    <row r="331" spans="13:90" ht="11.4">
      <c r="M331" s="500"/>
      <c r="N331" s="622"/>
      <c r="O331" s="166"/>
      <c r="AB331" s="251"/>
      <c r="AC331" s="251"/>
      <c r="AD331" s="251"/>
      <c r="AE331" s="241"/>
      <c r="AF331" s="241"/>
      <c r="AG331" s="24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</row>
    <row r="332" spans="13:90" ht="11.4">
      <c r="M332" s="500"/>
      <c r="N332" s="622"/>
      <c r="O332" s="166"/>
      <c r="AB332" s="251"/>
      <c r="AC332" s="251"/>
      <c r="AD332" s="251"/>
      <c r="AE332" s="241"/>
      <c r="AF332" s="241"/>
      <c r="AG332" s="241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</row>
    <row r="333" spans="13:90" ht="11.4">
      <c r="M333" s="509" t="s">
        <v>3002</v>
      </c>
      <c r="N333" s="740" t="s">
        <v>3003</v>
      </c>
      <c r="O333" s="443" t="s">
        <v>195</v>
      </c>
      <c r="AB333" s="741"/>
      <c r="AC333" s="741"/>
      <c r="AD333" s="741"/>
      <c r="AE333" s="256">
        <f>AF333+AG333</f>
        <v>0</v>
      </c>
      <c r="AF333" s="245"/>
      <c r="AG333" s="245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</row>
    <row r="334" spans="13:90" ht="11.4">
      <c r="M334" s="510" t="str">
        <f>M333 &amp; ".1"</f>
        <v>Э.1.1.1</v>
      </c>
      <c r="N334" s="742" t="s">
        <v>3004</v>
      </c>
      <c r="O334" s="443" t="s">
        <v>195</v>
      </c>
      <c r="AB334" s="741"/>
      <c r="AC334" s="741"/>
      <c r="AD334" s="741"/>
      <c r="AE334" s="256">
        <f>AF334+AG334</f>
        <v>0</v>
      </c>
      <c r="AF334" s="245"/>
      <c r="AG334" s="245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</row>
    <row r="335" spans="13:90" ht="11.4">
      <c r="M335" s="509" t="s">
        <v>3005</v>
      </c>
      <c r="N335" s="740" t="s">
        <v>3006</v>
      </c>
      <c r="O335" s="443" t="s">
        <v>195</v>
      </c>
      <c r="AB335" s="741"/>
      <c r="AC335" s="741"/>
      <c r="AD335" s="741"/>
      <c r="AE335" s="256">
        <f>AF335+AG335</f>
        <v>0</v>
      </c>
      <c r="AF335" s="245"/>
      <c r="AG335" s="24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</row>
    <row r="336" spans="13:90" ht="11.4">
      <c r="M336" s="743"/>
      <c r="N336" s="744"/>
      <c r="O336" s="442"/>
      <c r="AB336" s="741"/>
      <c r="AC336" s="741"/>
      <c r="AD336" s="741"/>
      <c r="AE336" s="241"/>
      <c r="AF336" s="241"/>
      <c r="AG336" s="241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</row>
    <row r="337" spans="13:78" ht="11.4">
      <c r="M337" s="509" t="s">
        <v>3007</v>
      </c>
      <c r="N337" s="740" t="s">
        <v>3008</v>
      </c>
      <c r="O337" s="687" t="s">
        <v>195</v>
      </c>
      <c r="AB337" s="741"/>
      <c r="AC337" s="741"/>
      <c r="AD337" s="741"/>
      <c r="AE337" s="256">
        <f t="shared" ref="AE337:AE352" si="9">AF337+AG337</f>
        <v>0</v>
      </c>
      <c r="AF337" s="245"/>
      <c r="AG337" s="245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</row>
    <row r="338" spans="13:78" ht="11.4">
      <c r="M338" s="510" t="str">
        <f>M337 &amp; ".1"</f>
        <v>Э.1.3.1</v>
      </c>
      <c r="N338" s="742" t="s">
        <v>3004</v>
      </c>
      <c r="O338" s="687" t="s">
        <v>195</v>
      </c>
      <c r="AB338" s="741"/>
      <c r="AC338" s="741"/>
      <c r="AD338" s="741"/>
      <c r="AE338" s="256">
        <f t="shared" si="9"/>
        <v>0</v>
      </c>
      <c r="AF338" s="245"/>
      <c r="AG338" s="245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</row>
    <row r="339" spans="13:78" ht="11.4">
      <c r="M339" s="509" t="s">
        <v>3009</v>
      </c>
      <c r="N339" s="740" t="s">
        <v>3010</v>
      </c>
      <c r="O339" s="687" t="s">
        <v>195</v>
      </c>
      <c r="AB339" s="741"/>
      <c r="AC339" s="741"/>
      <c r="AD339" s="741"/>
      <c r="AE339" s="256">
        <f t="shared" si="9"/>
        <v>0</v>
      </c>
      <c r="AF339" s="245"/>
      <c r="AG339" s="245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</row>
    <row r="340" spans="13:78" ht="11.4">
      <c r="M340" s="510" t="str">
        <f>M339 &amp; ".1"</f>
        <v>Э.1.4.1</v>
      </c>
      <c r="N340" s="742" t="s">
        <v>3004</v>
      </c>
      <c r="O340" s="687" t="s">
        <v>195</v>
      </c>
      <c r="AB340" s="741"/>
      <c r="AC340" s="741"/>
      <c r="AD340" s="741"/>
      <c r="AE340" s="256">
        <f t="shared" si="9"/>
        <v>0</v>
      </c>
      <c r="AF340" s="245"/>
      <c r="AG340" s="245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</row>
    <row r="341" spans="13:78" ht="11.4">
      <c r="M341" s="509" t="s">
        <v>3011</v>
      </c>
      <c r="N341" s="740" t="s">
        <v>3012</v>
      </c>
      <c r="O341" s="687" t="s">
        <v>195</v>
      </c>
      <c r="AB341" s="741"/>
      <c r="AC341" s="741"/>
      <c r="AD341" s="741"/>
      <c r="AE341" s="256">
        <f t="shared" si="9"/>
        <v>0</v>
      </c>
      <c r="AF341" s="245"/>
      <c r="AG341" s="245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</row>
    <row r="342" spans="13:78" ht="11.4">
      <c r="M342" s="510" t="str">
        <f>M341 &amp; ".1"</f>
        <v>Э.1.5.1</v>
      </c>
      <c r="N342" s="742" t="s">
        <v>3004</v>
      </c>
      <c r="O342" s="687" t="s">
        <v>195</v>
      </c>
      <c r="AB342" s="741"/>
      <c r="AC342" s="741"/>
      <c r="AD342" s="741"/>
      <c r="AE342" s="256">
        <f t="shared" si="9"/>
        <v>0</v>
      </c>
      <c r="AF342" s="245"/>
      <c r="AG342" s="245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</row>
    <row r="343" spans="13:78" ht="11.4">
      <c r="M343" s="509" t="s">
        <v>3013</v>
      </c>
      <c r="N343" s="740" t="s">
        <v>3014</v>
      </c>
      <c r="O343" s="687" t="s">
        <v>195</v>
      </c>
      <c r="AB343" s="741"/>
      <c r="AC343" s="741"/>
      <c r="AD343" s="741"/>
      <c r="AE343" s="256">
        <f t="shared" si="9"/>
        <v>0</v>
      </c>
      <c r="AF343" s="245"/>
      <c r="AG343" s="245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</row>
    <row r="344" spans="13:78" ht="11.4">
      <c r="M344" s="510" t="str">
        <f>M343 &amp; ".1"</f>
        <v>Э.1.6.1</v>
      </c>
      <c r="N344" s="742" t="s">
        <v>3004</v>
      </c>
      <c r="O344" s="687" t="s">
        <v>195</v>
      </c>
      <c r="AB344" s="741"/>
      <c r="AC344" s="741"/>
      <c r="AD344" s="741"/>
      <c r="AE344" s="256">
        <f t="shared" si="9"/>
        <v>0</v>
      </c>
      <c r="AF344" s="245"/>
      <c r="AG344" s="245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</row>
    <row r="345" spans="13:78" ht="11.4">
      <c r="M345" s="509" t="s">
        <v>3015</v>
      </c>
      <c r="N345" s="740" t="s">
        <v>3016</v>
      </c>
      <c r="O345" s="687" t="s">
        <v>195</v>
      </c>
      <c r="AB345" s="741"/>
      <c r="AC345" s="741"/>
      <c r="AD345" s="741"/>
      <c r="AE345" s="256">
        <f t="shared" si="9"/>
        <v>0</v>
      </c>
      <c r="AF345" s="245"/>
      <c r="AG345" s="2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</row>
    <row r="346" spans="13:78" ht="11.4">
      <c r="M346" s="510" t="str">
        <f>M345 &amp; ".1"</f>
        <v>Э.1.7.1</v>
      </c>
      <c r="N346" s="742" t="s">
        <v>3004</v>
      </c>
      <c r="O346" s="687" t="s">
        <v>195</v>
      </c>
      <c r="AB346" s="741"/>
      <c r="AC346" s="741"/>
      <c r="AD346" s="741"/>
      <c r="AE346" s="256">
        <f t="shared" si="9"/>
        <v>0</v>
      </c>
      <c r="AF346" s="245"/>
      <c r="AG346" s="245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</row>
    <row r="347" spans="13:78" ht="11.4">
      <c r="M347" s="509" t="s">
        <v>3017</v>
      </c>
      <c r="N347" s="740" t="s">
        <v>3018</v>
      </c>
      <c r="O347" s="687" t="s">
        <v>195</v>
      </c>
      <c r="AB347" s="741"/>
      <c r="AC347" s="741"/>
      <c r="AD347" s="741"/>
      <c r="AE347" s="256">
        <f t="shared" si="9"/>
        <v>0</v>
      </c>
      <c r="AF347" s="245"/>
      <c r="AG347" s="245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</row>
    <row r="348" spans="13:78" ht="11.4">
      <c r="M348" s="510" t="str">
        <f>M347 &amp; ".1"</f>
        <v>Э.1.8.1</v>
      </c>
      <c r="N348" s="742" t="s">
        <v>3004</v>
      </c>
      <c r="O348" s="687" t="s">
        <v>195</v>
      </c>
      <c r="AB348" s="741"/>
      <c r="AC348" s="741"/>
      <c r="AD348" s="741"/>
      <c r="AE348" s="256">
        <f t="shared" si="9"/>
        <v>0</v>
      </c>
      <c r="AF348" s="245"/>
      <c r="AG348" s="245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</row>
    <row r="349" spans="13:78" ht="11.4">
      <c r="M349" s="509" t="s">
        <v>3019</v>
      </c>
      <c r="N349" s="740" t="s">
        <v>3020</v>
      </c>
      <c r="O349" s="687" t="s">
        <v>195</v>
      </c>
      <c r="AB349" s="741"/>
      <c r="AC349" s="741"/>
      <c r="AD349" s="741"/>
      <c r="AE349" s="256">
        <f t="shared" si="9"/>
        <v>0</v>
      </c>
      <c r="AF349" s="245"/>
      <c r="AG349" s="245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</row>
    <row r="350" spans="13:78" ht="11.4">
      <c r="M350" s="510" t="str">
        <f>M349 &amp; ".1"</f>
        <v>Э.1.9.1</v>
      </c>
      <c r="N350" s="742" t="s">
        <v>3004</v>
      </c>
      <c r="O350" s="687" t="s">
        <v>195</v>
      </c>
      <c r="AB350" s="741"/>
      <c r="AC350" s="741"/>
      <c r="AD350" s="741"/>
      <c r="AE350" s="256">
        <f t="shared" si="9"/>
        <v>0</v>
      </c>
      <c r="AF350" s="245"/>
      <c r="AG350" s="245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</row>
    <row r="351" spans="13:78" ht="30.6">
      <c r="M351" s="509" t="s">
        <v>3021</v>
      </c>
      <c r="N351" s="738" t="str">
        <f>"Экономия инвестиционных расходов, сложившаяся в " &amp; PERIOD &amp; " году, предусмотренная в абзаце 3 пункта 67 Основ ценообразования"</f>
        <v>Экономия инвестиционных расходов, сложившаяся в 2024 году, предусмотренная в абзаце 3 пункта 67 Основ ценообразования</v>
      </c>
      <c r="O351" s="687" t="s">
        <v>195</v>
      </c>
      <c r="AB351" s="741"/>
      <c r="AC351" s="741"/>
      <c r="AD351" s="741"/>
      <c r="AE351" s="256">
        <f t="shared" si="9"/>
        <v>0</v>
      </c>
      <c r="AF351" s="245"/>
      <c r="AG351" s="245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</row>
    <row r="352" spans="13:78" ht="20.399999999999999">
      <c r="M352" s="509" t="s">
        <v>3022</v>
      </c>
      <c r="N352" s="739" t="s">
        <v>3023</v>
      </c>
      <c r="O352" s="687" t="s">
        <v>195</v>
      </c>
      <c r="AB352" s="741"/>
      <c r="AC352" s="741"/>
      <c r="AD352" s="741"/>
      <c r="AE352" s="256">
        <f t="shared" si="9"/>
        <v>0</v>
      </c>
      <c r="AF352" s="245"/>
      <c r="AG352" s="245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</row>
    <row r="353" spans="13:78" ht="20.399999999999999">
      <c r="M353" s="509" t="s">
        <v>3024</v>
      </c>
      <c r="N353" s="739" t="s">
        <v>3023</v>
      </c>
      <c r="O353" s="687" t="s">
        <v>755</v>
      </c>
      <c r="AB353" s="741"/>
      <c r="AC353" s="741"/>
      <c r="AD353" s="741"/>
      <c r="AE353" s="245"/>
      <c r="AF353" s="245"/>
      <c r="AG353" s="245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</row>
    <row r="354" spans="13:78" ht="11.4">
      <c r="M354" s="509" t="s">
        <v>3025</v>
      </c>
      <c r="N354" s="739" t="s">
        <v>3026</v>
      </c>
      <c r="O354" s="687" t="s">
        <v>195</v>
      </c>
      <c r="AB354" s="741"/>
      <c r="AC354" s="741"/>
      <c r="AD354" s="741"/>
      <c r="AE354" s="688">
        <f>AE351-AE352</f>
        <v>0</v>
      </c>
      <c r="AF354" s="688">
        <f>AF351-AF352</f>
        <v>0</v>
      </c>
      <c r="AG354" s="688">
        <f>AG351-AG352</f>
        <v>0</v>
      </c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</row>
    <row r="355" spans="13:78" ht="11.4">
      <c r="M355" s="509" t="s">
        <v>3027</v>
      </c>
      <c r="N355" s="739" t="s">
        <v>3026</v>
      </c>
      <c r="O355" s="687" t="s">
        <v>755</v>
      </c>
      <c r="AB355" s="741"/>
      <c r="AC355" s="741"/>
      <c r="AD355" s="741"/>
      <c r="AE355" s="245"/>
      <c r="AF355" s="245"/>
      <c r="AG355" s="24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</row>
    <row r="356" spans="13:78" ht="11.4">
      <c r="M356" s="510" t="str">
        <f>M351 &amp; ".1"</f>
        <v>Э.1.10.1</v>
      </c>
      <c r="N356" s="737" t="s">
        <v>3004</v>
      </c>
      <c r="O356" s="687" t="s">
        <v>195</v>
      </c>
      <c r="AB356" s="741"/>
      <c r="AC356" s="741"/>
      <c r="AD356" s="741"/>
      <c r="AE356" s="256">
        <f>AF356+AG356</f>
        <v>0</v>
      </c>
      <c r="AF356" s="245"/>
      <c r="AG356" s="245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</row>
    <row r="357" spans="13:78" ht="30.6">
      <c r="M357" s="509" t="s">
        <v>3028</v>
      </c>
      <c r="N357" s="738" t="str">
        <f>"Экономия инвестиционных расходов, сложившаяся в " &amp; PERIOD &amp; " году, предусмотренная в абзаце 4 пункта 67 Основ ценообразования"</f>
        <v>Экономия инвестиционных расходов, сложившаяся в 2024 году, предусмотренная в абзаце 4 пункта 67 Основ ценообразования</v>
      </c>
      <c r="O357" s="687" t="s">
        <v>195</v>
      </c>
      <c r="AB357" s="741"/>
      <c r="AC357" s="741"/>
      <c r="AD357" s="741"/>
      <c r="AE357" s="256">
        <f>AF357+AG357</f>
        <v>0</v>
      </c>
      <c r="AF357" s="245"/>
      <c r="AG357" s="245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</row>
    <row r="358" spans="13:78" ht="11.4">
      <c r="M358" s="510" t="str">
        <f>M357 &amp; ".1"</f>
        <v>Э.1.11.1</v>
      </c>
      <c r="N358" s="737" t="s">
        <v>3004</v>
      </c>
      <c r="O358" s="687" t="s">
        <v>195</v>
      </c>
      <c r="AB358" s="741"/>
      <c r="AC358" s="741"/>
      <c r="AD358" s="741"/>
      <c r="AE358" s="256">
        <f>AF358+AG358</f>
        <v>0</v>
      </c>
      <c r="AF358" s="245"/>
      <c r="AG358" s="245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</row>
    <row r="359" spans="13:78" ht="11.4">
      <c r="M359" s="500"/>
      <c r="N359" s="472"/>
      <c r="O359" s="166"/>
      <c r="AB359" s="741"/>
      <c r="AC359" s="741"/>
      <c r="AD359" s="741"/>
      <c r="AE359" s="241"/>
      <c r="AF359" s="241"/>
      <c r="AG359" s="241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</row>
    <row r="360" spans="13:78" ht="11.4">
      <c r="M360" s="500"/>
      <c r="N360" s="472"/>
      <c r="O360" s="166"/>
      <c r="AB360" s="741"/>
      <c r="AC360" s="741"/>
      <c r="AD360" s="741"/>
      <c r="AE360" s="241"/>
      <c r="AF360" s="241"/>
      <c r="AG360" s="241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</row>
    <row r="361" spans="13:78" ht="59.25" customHeight="1">
      <c r="M361" s="745" t="s">
        <v>3029</v>
      </c>
      <c r="N361" s="519" t="s">
        <v>3030</v>
      </c>
      <c r="O361" s="687" t="s">
        <v>195</v>
      </c>
      <c r="AB361" s="741"/>
      <c r="AC361" s="741"/>
      <c r="AD361" s="741"/>
      <c r="AE361" s="256">
        <f>AF361+AG361</f>
        <v>0</v>
      </c>
      <c r="AF361" s="245"/>
      <c r="AG361" s="245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</row>
    <row r="362" spans="13:78" ht="11.4">
      <c r="M362" s="500"/>
      <c r="N362" s="622"/>
      <c r="O362" s="166"/>
      <c r="AB362" s="251"/>
      <c r="AC362" s="251"/>
      <c r="AD362" s="251"/>
      <c r="AE362" s="241"/>
      <c r="AF362" s="241"/>
      <c r="AG362" s="241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</row>
    <row r="363" spans="13:78" ht="11.4">
      <c r="M363" s="500"/>
      <c r="N363" s="622"/>
      <c r="O363" s="166"/>
      <c r="AB363" s="251"/>
      <c r="AC363" s="251"/>
      <c r="AD363" s="251"/>
      <c r="AE363" s="241"/>
      <c r="AF363" s="241"/>
      <c r="AG363" s="241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</row>
    <row r="364" spans="13:78" ht="11.4">
      <c r="M364" s="45"/>
      <c r="N364" s="45"/>
      <c r="O364" s="45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</row>
  </sheetData>
  <sheetProtection formatColumns="0" formatRows="0"/>
  <mergeCells count="12">
    <mergeCell ref="M19:M20"/>
    <mergeCell ref="N19:N20"/>
    <mergeCell ref="O19:O20"/>
    <mergeCell ref="AB19:AD19"/>
    <mergeCell ref="AB20:AD20"/>
    <mergeCell ref="AB21:AD21"/>
    <mergeCell ref="AH21:AV21"/>
    <mergeCell ref="AB22:AD22"/>
    <mergeCell ref="AH22:AV22"/>
    <mergeCell ref="AB2:AD2"/>
    <mergeCell ref="AB14:AD14"/>
    <mergeCell ref="AB18:AD18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CH_VERTICAL5">
    <tabColor indexed="47"/>
  </sheetPr>
  <dimension ref="A2:AU350"/>
  <sheetViews>
    <sheetView showGridLines="0" zoomScale="85" zoomScaleNormal="85" workbookViewId="0"/>
  </sheetViews>
  <sheetFormatPr defaultColWidth="9.125" defaultRowHeight="11.25" customHeight="1"/>
  <cols>
    <col min="1" max="11" width="0.875" customWidth="1"/>
    <col min="12" max="12" width="2.75" style="2" customWidth="1"/>
    <col min="13" max="13" width="12.75" style="2" customWidth="1"/>
    <col min="14" max="14" width="48.875" style="2" customWidth="1"/>
    <col min="15" max="15" width="10.75" style="2" customWidth="1"/>
    <col min="16" max="27" width="0.875" customWidth="1"/>
    <col min="28" max="45" width="8.75" style="2" customWidth="1"/>
    <col min="46" max="47" width="2.75" style="2" customWidth="1"/>
    <col min="48" max="16384" width="9.125" style="2"/>
  </cols>
  <sheetData>
    <row r="2" spans="28:47" ht="11.25" customHeight="1">
      <c r="AB2" s="916" t="s">
        <v>2086</v>
      </c>
      <c r="AC2" s="916"/>
      <c r="AD2" s="916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</row>
    <row r="3" spans="28:47" customFormat="1" ht="11.25" customHeight="1"/>
    <row r="4" spans="28:47" customFormat="1" ht="11.25" customHeight="1"/>
    <row r="5" spans="28:47" ht="11.25" customHeight="1">
      <c r="AB5" s="157"/>
      <c r="AC5" s="157"/>
      <c r="AD5" s="157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28:47" ht="11.25" customHeight="1">
      <c r="AB6" s="157">
        <v>12</v>
      </c>
      <c r="AC6" s="157">
        <v>6</v>
      </c>
      <c r="AD6" s="157">
        <v>6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28:47" ht="11.25" customHeight="1">
      <c r="AB7" s="147"/>
      <c r="AC7" s="147"/>
      <c r="AD7" s="14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28:47" customFormat="1" ht="11.25" customHeight="1">
      <c r="AB8" s="172"/>
      <c r="AC8" s="172"/>
      <c r="AD8" s="172"/>
    </row>
    <row r="9" spans="28:47" customFormat="1" ht="11.25" customHeight="1">
      <c r="AB9" s="143" t="s">
        <v>275</v>
      </c>
      <c r="AC9" s="143" t="s">
        <v>194</v>
      </c>
      <c r="AD9" s="143" t="s">
        <v>609</v>
      </c>
    </row>
    <row r="10" spans="28:47" customFormat="1" ht="11.25" customHeight="1">
      <c r="AB10" s="215"/>
      <c r="AC10" s="215"/>
      <c r="AD10" s="215"/>
    </row>
    <row r="11" spans="28:47" customFormat="1" ht="11.25" customHeight="1">
      <c r="AB11" s="143"/>
      <c r="AC11" s="143"/>
      <c r="AD11" s="143"/>
    </row>
    <row r="12" spans="28:47" customFormat="1" ht="11.25" customHeight="1">
      <c r="AB12" s="147"/>
      <c r="AC12" s="147"/>
      <c r="AD12" s="147"/>
    </row>
    <row r="13" spans="28:47" customFormat="1" ht="11.25" customHeight="1">
      <c r="AB13" s="214" t="s">
        <v>20</v>
      </c>
      <c r="AC13" s="214" t="s">
        <v>273</v>
      </c>
      <c r="AD13" s="214" t="s">
        <v>274</v>
      </c>
    </row>
    <row r="14" spans="28:47" ht="11.25" customHeight="1">
      <c r="AB14" s="919"/>
      <c r="AC14" s="920"/>
      <c r="AD14" s="924"/>
      <c r="AE14"/>
      <c r="AF14"/>
      <c r="AG14"/>
      <c r="AH14"/>
      <c r="AI14"/>
      <c r="AJ14"/>
      <c r="AK14" s="928" t="s">
        <v>2087</v>
      </c>
      <c r="AL14" s="928"/>
      <c r="AM14" s="928"/>
      <c r="AN14"/>
      <c r="AO14"/>
      <c r="AP14"/>
      <c r="AQ14"/>
      <c r="AR14"/>
      <c r="AS14"/>
      <c r="AT14"/>
      <c r="AU14"/>
    </row>
    <row r="15" spans="28:47" ht="11.25" customHeight="1">
      <c r="AB15" s="167" t="str">
        <f>AB17 &amp; "_" &amp; AB9</f>
        <v>0_Y</v>
      </c>
      <c r="AC15" s="167" t="str">
        <f>AC17 &amp; "_" &amp; AC9</f>
        <v>0_I</v>
      </c>
      <c r="AD15" s="167" t="str">
        <f>AD17 &amp; "_" &amp; AD9</f>
        <v>0_II</v>
      </c>
      <c r="AE15"/>
      <c r="AF15"/>
      <c r="AG15"/>
      <c r="AH15"/>
      <c r="AI15"/>
      <c r="AJ15"/>
      <c r="AK15" s="928" t="s">
        <v>2088</v>
      </c>
      <c r="AL15" s="928"/>
      <c r="AM15" s="928"/>
      <c r="AN15"/>
      <c r="AO15"/>
      <c r="AP15"/>
      <c r="AQ15"/>
      <c r="AR15"/>
      <c r="AS15"/>
      <c r="AT15"/>
      <c r="AU15"/>
    </row>
    <row r="16" spans="28:47" customFormat="1" ht="11.25" customHeight="1">
      <c r="AB16" s="158"/>
      <c r="AC16" s="158"/>
      <c r="AD16" s="158"/>
      <c r="AK16" s="928" t="s">
        <v>2089</v>
      </c>
      <c r="AL16" s="928"/>
      <c r="AM16" s="928"/>
    </row>
    <row r="17" spans="12:47" customFormat="1" ht="11.25" customHeight="1">
      <c r="AB17" s="167">
        <f>AB19</f>
        <v>0</v>
      </c>
      <c r="AC17" s="167">
        <f>AB19</f>
        <v>0</v>
      </c>
      <c r="AD17" s="167">
        <f>AB19</f>
        <v>0</v>
      </c>
      <c r="AK17" s="928" t="s">
        <v>2090</v>
      </c>
      <c r="AL17" s="928"/>
      <c r="AM17" s="928"/>
    </row>
    <row r="18" spans="12:47" customFormat="1" ht="11.25" customHeight="1">
      <c r="AB18" s="918" t="s">
        <v>134</v>
      </c>
      <c r="AC18" s="918"/>
      <c r="AD18" s="918"/>
      <c r="AK18" s="928" t="s">
        <v>2095</v>
      </c>
      <c r="AL18" s="928"/>
      <c r="AM18" s="928"/>
    </row>
    <row r="19" spans="12:47" ht="11.25" customHeight="1">
      <c r="L19" s="118"/>
      <c r="M19" s="908" t="s">
        <v>104</v>
      </c>
      <c r="N19" s="910" t="s">
        <v>196</v>
      </c>
      <c r="O19" s="912" t="s">
        <v>683</v>
      </c>
      <c r="AB19" s="919"/>
      <c r="AC19" s="920"/>
      <c r="AD19" s="924"/>
      <c r="AE19"/>
      <c r="AF19"/>
      <c r="AG19"/>
      <c r="AH19"/>
      <c r="AI19"/>
      <c r="AJ19"/>
      <c r="AK19" s="928" t="s">
        <v>2096</v>
      </c>
      <c r="AL19" s="928"/>
      <c r="AM19" s="928"/>
      <c r="AN19"/>
      <c r="AO19"/>
      <c r="AP19"/>
      <c r="AQ19"/>
      <c r="AR19"/>
      <c r="AS19"/>
      <c r="AT19"/>
      <c r="AU19"/>
    </row>
    <row r="20" spans="12:47" ht="11.25" customHeight="1">
      <c r="L20" s="118"/>
      <c r="M20" s="909"/>
      <c r="N20" s="911"/>
      <c r="O20" s="913"/>
      <c r="AB20" s="934"/>
      <c r="AC20" s="935"/>
      <c r="AD20" s="936"/>
      <c r="AE20"/>
      <c r="AF20"/>
      <c r="AG20"/>
      <c r="AH20"/>
      <c r="AI20"/>
      <c r="AJ20"/>
      <c r="AK20" s="928" t="s">
        <v>2097</v>
      </c>
      <c r="AL20" s="928"/>
      <c r="AM20" s="928"/>
      <c r="AN20"/>
      <c r="AO20"/>
      <c r="AP20"/>
      <c r="AQ20"/>
      <c r="AR20"/>
      <c r="AS20"/>
      <c r="AT20"/>
      <c r="AU20"/>
    </row>
    <row r="21" spans="12:47" ht="11.25" customHeight="1">
      <c r="L21" s="9"/>
      <c r="M21" s="175"/>
      <c r="N21" s="176" t="s">
        <v>197</v>
      </c>
      <c r="O21" s="177"/>
      <c r="AB21" s="934"/>
      <c r="AC21" s="935"/>
      <c r="AD21" s="936"/>
      <c r="AE21"/>
      <c r="AF21"/>
      <c r="AG21"/>
      <c r="AH21"/>
      <c r="AI21"/>
      <c r="AJ21"/>
      <c r="AK21" s="928" t="s">
        <v>2098</v>
      </c>
      <c r="AL21" s="928"/>
      <c r="AM21" s="928"/>
      <c r="AN21"/>
      <c r="AO21"/>
      <c r="AP21"/>
      <c r="AQ21"/>
      <c r="AR21"/>
      <c r="AS21"/>
      <c r="AT21"/>
      <c r="AU21"/>
    </row>
    <row r="22" spans="12:47" ht="11.25" customHeight="1">
      <c r="L22" s="9"/>
      <c r="M22" s="175"/>
      <c r="N22" s="180" t="str">
        <f>IF(CALC_IDENTIFIER="","",CALC_IDENTIFIER)</f>
        <v/>
      </c>
      <c r="O22" s="192"/>
      <c r="AB22" s="931"/>
      <c r="AC22" s="932"/>
      <c r="AD22" s="933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</row>
    <row r="23" spans="12:47" customFormat="1" ht="11.4">
      <c r="M23" s="560"/>
      <c r="N23" s="533"/>
      <c r="O23" s="422"/>
      <c r="AB23" s="251"/>
      <c r="AC23" s="251"/>
      <c r="AD23" s="251"/>
      <c r="AE23" s="261"/>
      <c r="AF23" s="261"/>
      <c r="AG23" s="261"/>
      <c r="AH23" s="251"/>
      <c r="AI23" s="251"/>
      <c r="AJ23" s="251"/>
      <c r="AK23" s="261"/>
      <c r="AL23" s="261"/>
      <c r="AM23" s="261"/>
      <c r="AN23" s="251"/>
      <c r="AO23" s="251"/>
      <c r="AP23" s="251"/>
      <c r="AQ23" s="261"/>
      <c r="AR23" s="261"/>
      <c r="AS23" s="261"/>
      <c r="AT23" s="2"/>
      <c r="AU23" s="2"/>
    </row>
    <row r="24" spans="12:47" customFormat="1" ht="11.4">
      <c r="M24" s="560"/>
      <c r="N24" s="533"/>
      <c r="O24" s="422"/>
      <c r="AB24" s="251"/>
      <c r="AC24" s="251"/>
      <c r="AD24" s="251"/>
      <c r="AE24" s="261"/>
      <c r="AF24" s="261"/>
      <c r="AG24" s="261"/>
      <c r="AH24" s="251"/>
      <c r="AI24" s="251"/>
      <c r="AJ24" s="251"/>
      <c r="AK24" s="261"/>
      <c r="AL24" s="261"/>
      <c r="AM24" s="261"/>
      <c r="AN24" s="251"/>
      <c r="AO24" s="251"/>
      <c r="AP24" s="251"/>
      <c r="AQ24" s="261"/>
      <c r="AR24" s="261"/>
      <c r="AS24" s="261"/>
      <c r="AT24" s="2"/>
      <c r="AU24" s="2"/>
    </row>
    <row r="25" spans="12:47" customFormat="1" ht="11.4">
      <c r="M25" s="516" t="s">
        <v>610</v>
      </c>
      <c r="N25" s="463" t="s">
        <v>1916</v>
      </c>
      <c r="O25" s="420" t="s">
        <v>195</v>
      </c>
      <c r="AB25" s="251"/>
      <c r="AC25" s="251"/>
      <c r="AD25" s="251"/>
      <c r="AE25" s="247">
        <f>AF25+AG25</f>
        <v>0</v>
      </c>
      <c r="AF25" s="244">
        <f>SUM(AF27,AF64,AF92,AF346)</f>
        <v>0</v>
      </c>
      <c r="AG25" s="244">
        <f>SUM(AG27,AG64,AG92,AG346)</f>
        <v>0</v>
      </c>
      <c r="AH25" s="251"/>
      <c r="AI25" s="251"/>
      <c r="AJ25" s="251"/>
      <c r="AK25" s="247"/>
      <c r="AL25" s="244"/>
      <c r="AM25" s="244"/>
      <c r="AN25" s="251"/>
      <c r="AO25" s="251"/>
      <c r="AP25" s="251"/>
      <c r="AQ25" s="247"/>
      <c r="AR25" s="244"/>
      <c r="AS25" s="244"/>
      <c r="AT25" s="2"/>
      <c r="AU25" s="2"/>
    </row>
    <row r="26" spans="12:47" customFormat="1" ht="11.4">
      <c r="M26" s="560"/>
      <c r="N26" s="533"/>
      <c r="O26" s="422"/>
      <c r="AB26" s="251"/>
      <c r="AC26" s="251"/>
      <c r="AD26" s="251"/>
      <c r="AE26" s="261"/>
      <c r="AF26" s="261"/>
      <c r="AG26" s="261"/>
      <c r="AH26" s="251"/>
      <c r="AI26" s="251"/>
      <c r="AJ26" s="251"/>
      <c r="AK26" s="261"/>
      <c r="AL26" s="261"/>
      <c r="AM26" s="261"/>
      <c r="AN26" s="251"/>
      <c r="AO26" s="251"/>
      <c r="AP26" s="251"/>
      <c r="AQ26" s="261"/>
      <c r="AR26" s="261"/>
      <c r="AS26" s="261"/>
      <c r="AT26" s="2"/>
      <c r="AU26" s="2"/>
    </row>
    <row r="27" spans="12:47" customFormat="1" ht="11.4">
      <c r="M27" s="561" t="s">
        <v>1349</v>
      </c>
      <c r="N27" s="567" t="s">
        <v>1907</v>
      </c>
      <c r="O27" s="420" t="s">
        <v>195</v>
      </c>
      <c r="AB27" s="251"/>
      <c r="AC27" s="251"/>
      <c r="AD27" s="251"/>
      <c r="AE27" s="247">
        <f>AF27+AG27</f>
        <v>0</v>
      </c>
      <c r="AF27" s="244">
        <f>SUMIF(ВО.Р!$AO$28:$AO$63,ВО.Р!$AO$27,ВО.Р!AF$28:AF$63)</f>
        <v>0</v>
      </c>
      <c r="AG27" s="244">
        <f>SUMIF(ВО.Р!$AO$28:$AO$63,ВО.Р!$AO$27,ВО.Р!AG$28:AG$63)</f>
        <v>0</v>
      </c>
      <c r="AH27" s="251"/>
      <c r="AI27" s="251"/>
      <c r="AJ27" s="251"/>
      <c r="AK27" s="247"/>
      <c r="AL27" s="244"/>
      <c r="AM27" s="244"/>
      <c r="AN27" s="251"/>
      <c r="AO27" s="251"/>
      <c r="AP27" s="251"/>
      <c r="AQ27" s="247"/>
      <c r="AR27" s="244"/>
      <c r="AS27" s="244"/>
      <c r="AT27" s="2"/>
      <c r="AU27" s="2"/>
    </row>
    <row r="28" spans="12:47" customFormat="1" ht="11.4">
      <c r="M28" s="560"/>
      <c r="N28" s="533"/>
      <c r="O28" s="422"/>
      <c r="AB28" s="251"/>
      <c r="AC28" s="251"/>
      <c r="AD28" s="251"/>
      <c r="AE28" s="261"/>
      <c r="AF28" s="261"/>
      <c r="AG28" s="261"/>
      <c r="AH28" s="251"/>
      <c r="AI28" s="251"/>
      <c r="AJ28" s="251"/>
      <c r="AK28" s="261"/>
      <c r="AL28" s="261"/>
      <c r="AM28" s="261"/>
      <c r="AN28" s="251"/>
      <c r="AO28" s="251"/>
      <c r="AP28" s="251"/>
      <c r="AQ28" s="261"/>
      <c r="AR28" s="261"/>
      <c r="AS28" s="261"/>
      <c r="AT28" s="2"/>
      <c r="AU28" s="2"/>
    </row>
    <row r="29" spans="12:47" customFormat="1" ht="20.399999999999999">
      <c r="M29" s="561" t="s">
        <v>2081</v>
      </c>
      <c r="N29" s="559" t="s">
        <v>1908</v>
      </c>
      <c r="O29" s="420" t="s">
        <v>195</v>
      </c>
      <c r="AB29" s="251"/>
      <c r="AC29" s="251"/>
      <c r="AD29" s="251"/>
      <c r="AE29" s="252"/>
      <c r="AF29" s="524"/>
      <c r="AG29" s="524"/>
      <c r="AH29" s="251"/>
      <c r="AI29" s="251"/>
      <c r="AJ29" s="251"/>
      <c r="AK29" s="247">
        <f>AL29+AM29</f>
        <v>0</v>
      </c>
      <c r="AL29" s="244">
        <f>AL30*AL31/1000</f>
        <v>0</v>
      </c>
      <c r="AM29" s="244">
        <f>AM30*AM31/1000</f>
        <v>0</v>
      </c>
      <c r="AN29" s="251"/>
      <c r="AO29" s="251"/>
      <c r="AP29" s="251"/>
      <c r="AQ29" s="252"/>
      <c r="AR29" s="524"/>
      <c r="AS29" s="524"/>
      <c r="AT29" s="2"/>
      <c r="AU29" s="2"/>
    </row>
    <row r="30" spans="12:47" customFormat="1" ht="11.4">
      <c r="M30" s="562" t="str">
        <f>M29 &amp; ".P"</f>
        <v>HDSFAL.P</v>
      </c>
      <c r="N30" s="531" t="s">
        <v>842</v>
      </c>
      <c r="O30" s="420" t="s">
        <v>23</v>
      </c>
      <c r="AB30" s="251"/>
      <c r="AC30" s="251"/>
      <c r="AD30" s="251"/>
      <c r="AE30" s="252"/>
      <c r="AF30" s="524"/>
      <c r="AG30" s="524"/>
      <c r="AH30" s="251"/>
      <c r="AI30" s="251"/>
      <c r="AJ30" s="251"/>
      <c r="AK30" s="247">
        <f>IF(AK31=0,0,AK29*1000/AK31)</f>
        <v>0</v>
      </c>
      <c r="AL30" s="221"/>
      <c r="AM30" s="221"/>
      <c r="AN30" s="251"/>
      <c r="AO30" s="251"/>
      <c r="AP30" s="251"/>
      <c r="AQ30" s="252"/>
      <c r="AR30" s="524"/>
      <c r="AS30" s="524"/>
      <c r="AT30" s="2"/>
      <c r="AU30" s="2"/>
    </row>
    <row r="31" spans="12:47" customFormat="1" ht="11.4">
      <c r="M31" s="562" t="str">
        <f>M29 &amp; ".V"</f>
        <v>HDSFAL.V</v>
      </c>
      <c r="N31" s="531" t="s">
        <v>245</v>
      </c>
      <c r="O31" s="420" t="s">
        <v>289</v>
      </c>
      <c r="AB31" s="251"/>
      <c r="AC31" s="251"/>
      <c r="AD31" s="251"/>
      <c r="AE31" s="524"/>
      <c r="AF31" s="524"/>
      <c r="AG31" s="524"/>
      <c r="AH31" s="251"/>
      <c r="AI31" s="251"/>
      <c r="AJ31" s="251"/>
      <c r="AK31" s="247">
        <f>AL31+AM31</f>
        <v>0</v>
      </c>
      <c r="AL31" s="221"/>
      <c r="AM31" s="221"/>
      <c r="AN31" s="251"/>
      <c r="AO31" s="251"/>
      <c r="AP31" s="251"/>
      <c r="AQ31" s="524"/>
      <c r="AR31" s="524"/>
      <c r="AS31" s="524"/>
      <c r="AT31" s="2"/>
      <c r="AU31" s="2"/>
    </row>
    <row r="32" spans="12:47" customFormat="1" ht="11.4">
      <c r="M32" s="561" t="s">
        <v>1998</v>
      </c>
      <c r="N32" s="559" t="s">
        <v>1909</v>
      </c>
      <c r="O32" s="420" t="s">
        <v>195</v>
      </c>
      <c r="AB32" s="251"/>
      <c r="AC32" s="251"/>
      <c r="AD32" s="251"/>
      <c r="AE32" s="252"/>
      <c r="AF32" s="524"/>
      <c r="AG32" s="524"/>
      <c r="AH32" s="251"/>
      <c r="AI32" s="251"/>
      <c r="AJ32" s="251"/>
      <c r="AK32" s="247">
        <f>AL32+AM32</f>
        <v>0</v>
      </c>
      <c r="AL32" s="244">
        <f>AL33*AL34/1000</f>
        <v>0</v>
      </c>
      <c r="AM32" s="244">
        <f>AM33*AM34/1000</f>
        <v>0</v>
      </c>
      <c r="AN32" s="251"/>
      <c r="AO32" s="251"/>
      <c r="AP32" s="251"/>
      <c r="AQ32" s="252"/>
      <c r="AR32" s="524"/>
      <c r="AS32" s="524"/>
      <c r="AT32" s="2"/>
      <c r="AU32" s="2"/>
    </row>
    <row r="33" spans="13:47" customFormat="1" ht="11.4">
      <c r="M33" s="562" t="str">
        <f>M32 &amp; ".P"</f>
        <v>FES.P</v>
      </c>
      <c r="N33" s="531" t="s">
        <v>842</v>
      </c>
      <c r="O33" s="420" t="s">
        <v>23</v>
      </c>
      <c r="AB33" s="251"/>
      <c r="AC33" s="251"/>
      <c r="AD33" s="251"/>
      <c r="AE33" s="252"/>
      <c r="AF33" s="524"/>
      <c r="AG33" s="524"/>
      <c r="AH33" s="251"/>
      <c r="AI33" s="251"/>
      <c r="AJ33" s="251"/>
      <c r="AK33" s="247">
        <f>IF(AK34=0,0,AK32*1000/AK34)</f>
        <v>0</v>
      </c>
      <c r="AL33" s="221"/>
      <c r="AM33" s="221"/>
      <c r="AN33" s="251"/>
      <c r="AO33" s="251"/>
      <c r="AP33" s="251"/>
      <c r="AQ33" s="252"/>
      <c r="AR33" s="524"/>
      <c r="AS33" s="524"/>
      <c r="AT33" s="2"/>
      <c r="AU33" s="2"/>
    </row>
    <row r="34" spans="13:47" customFormat="1" ht="11.4">
      <c r="M34" s="562" t="str">
        <f>M32 &amp; ".V"</f>
        <v>FES.V</v>
      </c>
      <c r="N34" s="531" t="s">
        <v>245</v>
      </c>
      <c r="O34" s="420" t="s">
        <v>289</v>
      </c>
      <c r="AB34" s="251"/>
      <c r="AC34" s="251"/>
      <c r="AD34" s="251"/>
      <c r="AE34" s="524"/>
      <c r="AF34" s="524"/>
      <c r="AG34" s="524"/>
      <c r="AH34" s="251"/>
      <c r="AI34" s="251"/>
      <c r="AJ34" s="251"/>
      <c r="AK34" s="247">
        <f>AL34+AM34</f>
        <v>0</v>
      </c>
      <c r="AL34" s="221"/>
      <c r="AM34" s="221"/>
      <c r="AN34" s="251"/>
      <c r="AO34" s="251"/>
      <c r="AP34" s="251"/>
      <c r="AQ34" s="524"/>
      <c r="AR34" s="524"/>
      <c r="AS34" s="524"/>
      <c r="AT34" s="2"/>
      <c r="AU34" s="2"/>
    </row>
    <row r="35" spans="13:47" customFormat="1" ht="11.4">
      <c r="M35" s="561" t="s">
        <v>2082</v>
      </c>
      <c r="N35" s="559" t="s">
        <v>1910</v>
      </c>
      <c r="O35" s="420" t="s">
        <v>195</v>
      </c>
      <c r="AB35" s="251"/>
      <c r="AC35" s="251"/>
      <c r="AD35" s="251"/>
      <c r="AE35" s="252"/>
      <c r="AF35" s="524"/>
      <c r="AG35" s="524"/>
      <c r="AH35" s="251"/>
      <c r="AI35" s="251"/>
      <c r="AJ35" s="251"/>
      <c r="AK35" s="247">
        <f>AL35+AM35</f>
        <v>0</v>
      </c>
      <c r="AL35" s="244">
        <f>AL36*AL37/1000</f>
        <v>0</v>
      </c>
      <c r="AM35" s="244">
        <f>AM36*AM37/1000</f>
        <v>0</v>
      </c>
      <c r="AN35" s="251"/>
      <c r="AO35" s="251"/>
      <c r="AP35" s="251"/>
      <c r="AQ35" s="252"/>
      <c r="AR35" s="524"/>
      <c r="AS35" s="524"/>
      <c r="AT35" s="2"/>
      <c r="AU35" s="2"/>
    </row>
    <row r="36" spans="13:47" customFormat="1" ht="11.4">
      <c r="M36" s="562" t="str">
        <f>M35 &amp; ".P"</f>
        <v>OXCLAL.P</v>
      </c>
      <c r="N36" s="531" t="s">
        <v>842</v>
      </c>
      <c r="O36" s="420" t="s">
        <v>23</v>
      </c>
      <c r="AB36" s="251"/>
      <c r="AC36" s="251"/>
      <c r="AD36" s="251"/>
      <c r="AE36" s="252"/>
      <c r="AF36" s="524"/>
      <c r="AG36" s="524"/>
      <c r="AH36" s="251"/>
      <c r="AI36" s="251"/>
      <c r="AJ36" s="251"/>
      <c r="AK36" s="247">
        <f>IF(AK37=0,0,AK35*1000/AK37)</f>
        <v>0</v>
      </c>
      <c r="AL36" s="221"/>
      <c r="AM36" s="221"/>
      <c r="AN36" s="251"/>
      <c r="AO36" s="251"/>
      <c r="AP36" s="251"/>
      <c r="AQ36" s="252"/>
      <c r="AR36" s="524"/>
      <c r="AS36" s="524"/>
      <c r="AT36" s="2"/>
      <c r="AU36" s="2"/>
    </row>
    <row r="37" spans="13:47" customFormat="1" ht="11.25" customHeight="1">
      <c r="M37" s="562" t="str">
        <f>M35 &amp; ".V"</f>
        <v>OXCLAL.V</v>
      </c>
      <c r="N37" s="531" t="s">
        <v>245</v>
      </c>
      <c r="O37" s="420" t="s">
        <v>289</v>
      </c>
      <c r="AB37" s="251"/>
      <c r="AC37" s="251"/>
      <c r="AD37" s="251"/>
      <c r="AE37" s="524"/>
      <c r="AF37" s="524"/>
      <c r="AG37" s="524"/>
      <c r="AH37" s="251"/>
      <c r="AI37" s="251"/>
      <c r="AJ37" s="251"/>
      <c r="AK37" s="247">
        <f>AL37+AM37</f>
        <v>0</v>
      </c>
      <c r="AL37" s="221"/>
      <c r="AM37" s="221"/>
      <c r="AN37" s="251"/>
      <c r="AO37" s="251"/>
      <c r="AP37" s="251"/>
      <c r="AQ37" s="524"/>
      <c r="AR37" s="524"/>
      <c r="AS37" s="524"/>
      <c r="AT37" s="2"/>
      <c r="AU37" s="2"/>
    </row>
    <row r="38" spans="13:47" customFormat="1" ht="11.25" customHeight="1">
      <c r="M38" s="638" t="s">
        <v>2303</v>
      </c>
      <c r="N38" s="559" t="s">
        <v>2304</v>
      </c>
      <c r="O38" s="420" t="s">
        <v>195</v>
      </c>
      <c r="AB38" s="251"/>
      <c r="AC38" s="251"/>
      <c r="AD38" s="251"/>
      <c r="AE38" s="252"/>
      <c r="AF38" s="524"/>
      <c r="AG38" s="524"/>
      <c r="AH38" s="251"/>
      <c r="AI38" s="251"/>
      <c r="AJ38" s="251"/>
      <c r="AK38" s="247">
        <f>AL38+AM38</f>
        <v>0</v>
      </c>
      <c r="AL38" s="244">
        <f>AL39*AL40/1000</f>
        <v>0</v>
      </c>
      <c r="AM38" s="244">
        <f>AM39*AM40/1000</f>
        <v>0</v>
      </c>
      <c r="AN38" s="251"/>
      <c r="AO38" s="251"/>
      <c r="AP38" s="251"/>
      <c r="AQ38" s="252"/>
      <c r="AR38" s="524"/>
      <c r="AS38" s="524"/>
      <c r="AT38" s="2"/>
      <c r="AU38" s="2"/>
    </row>
    <row r="39" spans="13:47" customFormat="1" ht="11.25" customHeight="1">
      <c r="M39" s="639" t="str">
        <f>M38 &amp; ".P"</f>
        <v>OXCLAL10.P</v>
      </c>
      <c r="N39" s="531" t="s">
        <v>842</v>
      </c>
      <c r="O39" s="420" t="s">
        <v>23</v>
      </c>
      <c r="AB39" s="251"/>
      <c r="AC39" s="251"/>
      <c r="AD39" s="251"/>
      <c r="AE39" s="252"/>
      <c r="AF39" s="524"/>
      <c r="AG39" s="524"/>
      <c r="AH39" s="251"/>
      <c r="AI39" s="251"/>
      <c r="AJ39" s="251"/>
      <c r="AK39" s="247">
        <f>IF(AK40=0,0,AK38*1000/AK40)</f>
        <v>0</v>
      </c>
      <c r="AL39" s="221"/>
      <c r="AM39" s="221"/>
      <c r="AN39" s="251"/>
      <c r="AO39" s="251"/>
      <c r="AP39" s="251"/>
      <c r="AQ39" s="252"/>
      <c r="AR39" s="524"/>
      <c r="AS39" s="524"/>
      <c r="AT39" s="2"/>
      <c r="AU39" s="2"/>
    </row>
    <row r="40" spans="13:47" customFormat="1" ht="11.25" customHeight="1">
      <c r="M40" s="639" t="str">
        <f>M38 &amp; ".V"</f>
        <v>OXCLAL10.V</v>
      </c>
      <c r="N40" s="531" t="s">
        <v>245</v>
      </c>
      <c r="O40" s="420" t="s">
        <v>289</v>
      </c>
      <c r="AB40" s="251"/>
      <c r="AC40" s="251"/>
      <c r="AD40" s="251"/>
      <c r="AE40" s="524"/>
      <c r="AF40" s="524"/>
      <c r="AG40" s="524"/>
      <c r="AH40" s="251"/>
      <c r="AI40" s="251"/>
      <c r="AJ40" s="251"/>
      <c r="AK40" s="247">
        <f>AL40+AM40</f>
        <v>0</v>
      </c>
      <c r="AL40" s="221"/>
      <c r="AM40" s="221"/>
      <c r="AN40" s="251"/>
      <c r="AO40" s="251"/>
      <c r="AP40" s="251"/>
      <c r="AQ40" s="524"/>
      <c r="AR40" s="524"/>
      <c r="AS40" s="524"/>
      <c r="AT40" s="2"/>
      <c r="AU40" s="2"/>
    </row>
    <row r="41" spans="13:47" customFormat="1" ht="11.25" customHeight="1">
      <c r="M41" s="638" t="s">
        <v>2305</v>
      </c>
      <c r="N41" s="559" t="s">
        <v>2306</v>
      </c>
      <c r="O41" s="420" t="s">
        <v>195</v>
      </c>
      <c r="AB41" s="251"/>
      <c r="AC41" s="251"/>
      <c r="AD41" s="251"/>
      <c r="AE41" s="252"/>
      <c r="AF41" s="524"/>
      <c r="AG41" s="524"/>
      <c r="AH41" s="251"/>
      <c r="AI41" s="251"/>
      <c r="AJ41" s="251"/>
      <c r="AK41" s="247">
        <f>AL41+AM41</f>
        <v>0</v>
      </c>
      <c r="AL41" s="244">
        <f>AL42*AL43/1000</f>
        <v>0</v>
      </c>
      <c r="AM41" s="244">
        <f>AM42*AM43/1000</f>
        <v>0</v>
      </c>
      <c r="AN41" s="251"/>
      <c r="AO41" s="251"/>
      <c r="AP41" s="251"/>
      <c r="AQ41" s="252"/>
      <c r="AR41" s="524"/>
      <c r="AS41" s="524"/>
      <c r="AT41" s="2"/>
      <c r="AU41" s="2"/>
    </row>
    <row r="42" spans="13:47" customFormat="1" ht="11.25" customHeight="1">
      <c r="M42" s="639" t="str">
        <f>M41 &amp; ".P"</f>
        <v>OXCLAL18.P</v>
      </c>
      <c r="N42" s="531" t="s">
        <v>842</v>
      </c>
      <c r="O42" s="420" t="s">
        <v>23</v>
      </c>
      <c r="AB42" s="251"/>
      <c r="AC42" s="251"/>
      <c r="AD42" s="251"/>
      <c r="AE42" s="252"/>
      <c r="AF42" s="524"/>
      <c r="AG42" s="524"/>
      <c r="AH42" s="251"/>
      <c r="AI42" s="251"/>
      <c r="AJ42" s="251"/>
      <c r="AK42" s="247">
        <f>IF(AK43=0,0,AK41*1000/AK43)</f>
        <v>0</v>
      </c>
      <c r="AL42" s="221"/>
      <c r="AM42" s="221"/>
      <c r="AN42" s="251"/>
      <c r="AO42" s="251"/>
      <c r="AP42" s="251"/>
      <c r="AQ42" s="252"/>
      <c r="AR42" s="524"/>
      <c r="AS42" s="524"/>
      <c r="AT42" s="2"/>
      <c r="AU42" s="2"/>
    </row>
    <row r="43" spans="13:47" customFormat="1" ht="11.25" customHeight="1">
      <c r="M43" s="639" t="str">
        <f>M41 &amp; ".V"</f>
        <v>OXCLAL18.V</v>
      </c>
      <c r="N43" s="531" t="s">
        <v>245</v>
      </c>
      <c r="O43" s="420" t="s">
        <v>289</v>
      </c>
      <c r="AB43" s="251"/>
      <c r="AC43" s="251"/>
      <c r="AD43" s="251"/>
      <c r="AE43" s="524"/>
      <c r="AF43" s="524"/>
      <c r="AG43" s="524"/>
      <c r="AH43" s="251"/>
      <c r="AI43" s="251"/>
      <c r="AJ43" s="251"/>
      <c r="AK43" s="247">
        <f>AL43+AM43</f>
        <v>0</v>
      </c>
      <c r="AL43" s="221"/>
      <c r="AM43" s="221"/>
      <c r="AN43" s="251"/>
      <c r="AO43" s="251"/>
      <c r="AP43" s="251"/>
      <c r="AQ43" s="524"/>
      <c r="AR43" s="524"/>
      <c r="AS43" s="524"/>
      <c r="AT43" s="2"/>
      <c r="AU43" s="2"/>
    </row>
    <row r="44" spans="13:47" customFormat="1" ht="11.25" customHeight="1">
      <c r="M44" s="638" t="s">
        <v>2307</v>
      </c>
      <c r="N44" s="559" t="s">
        <v>2308</v>
      </c>
      <c r="O44" s="420" t="s">
        <v>195</v>
      </c>
      <c r="AB44" s="251"/>
      <c r="AC44" s="251"/>
      <c r="AD44" s="251"/>
      <c r="AE44" s="252"/>
      <c r="AF44" s="524"/>
      <c r="AG44" s="524"/>
      <c r="AH44" s="251"/>
      <c r="AI44" s="251"/>
      <c r="AJ44" s="251"/>
      <c r="AK44" s="247">
        <f>AL44+AM44</f>
        <v>0</v>
      </c>
      <c r="AL44" s="244">
        <f>AL45*AL46/1000</f>
        <v>0</v>
      </c>
      <c r="AM44" s="244">
        <f>AM45*AM46/1000</f>
        <v>0</v>
      </c>
      <c r="AN44" s="251"/>
      <c r="AO44" s="251"/>
      <c r="AP44" s="251"/>
      <c r="AQ44" s="252"/>
      <c r="AR44" s="524"/>
      <c r="AS44" s="524"/>
      <c r="AT44" s="2"/>
      <c r="AU44" s="2"/>
    </row>
    <row r="45" spans="13:47" customFormat="1" ht="11.25" customHeight="1">
      <c r="M45" s="639" t="str">
        <f>M44 &amp; ".P"</f>
        <v>OXCLAL30.P</v>
      </c>
      <c r="N45" s="531" t="s">
        <v>842</v>
      </c>
      <c r="O45" s="420" t="s">
        <v>23</v>
      </c>
      <c r="AB45" s="251"/>
      <c r="AC45" s="251"/>
      <c r="AD45" s="251"/>
      <c r="AE45" s="252"/>
      <c r="AF45" s="524"/>
      <c r="AG45" s="524"/>
      <c r="AH45" s="251"/>
      <c r="AI45" s="251"/>
      <c r="AJ45" s="251"/>
      <c r="AK45" s="247">
        <f>IF(AK46=0,0,AK44*1000/AK46)</f>
        <v>0</v>
      </c>
      <c r="AL45" s="221"/>
      <c r="AM45" s="221"/>
      <c r="AN45" s="251"/>
      <c r="AO45" s="251"/>
      <c r="AP45" s="251"/>
      <c r="AQ45" s="252"/>
      <c r="AR45" s="524"/>
      <c r="AS45" s="524"/>
      <c r="AT45" s="2"/>
      <c r="AU45" s="2"/>
    </row>
    <row r="46" spans="13:47" customFormat="1" ht="11.25" customHeight="1">
      <c r="M46" s="639" t="str">
        <f>M44 &amp; ".V"</f>
        <v>OXCLAL30.V</v>
      </c>
      <c r="N46" s="531" t="s">
        <v>245</v>
      </c>
      <c r="O46" s="420" t="s">
        <v>289</v>
      </c>
      <c r="AB46" s="251"/>
      <c r="AC46" s="251"/>
      <c r="AD46" s="251"/>
      <c r="AE46" s="524"/>
      <c r="AF46" s="524"/>
      <c r="AG46" s="524"/>
      <c r="AH46" s="251"/>
      <c r="AI46" s="251"/>
      <c r="AJ46" s="251"/>
      <c r="AK46" s="247">
        <f>AL46+AM46</f>
        <v>0</v>
      </c>
      <c r="AL46" s="221"/>
      <c r="AM46" s="221"/>
      <c r="AN46" s="251"/>
      <c r="AO46" s="251"/>
      <c r="AP46" s="251"/>
      <c r="AQ46" s="524"/>
      <c r="AR46" s="524"/>
      <c r="AS46" s="524"/>
      <c r="AT46" s="2"/>
      <c r="AU46" s="2"/>
    </row>
    <row r="47" spans="13:47" ht="11.4">
      <c r="M47" s="561" t="s">
        <v>2083</v>
      </c>
      <c r="N47" s="559" t="s">
        <v>1911</v>
      </c>
      <c r="O47" s="420" t="s">
        <v>195</v>
      </c>
      <c r="AB47" s="251"/>
      <c r="AC47" s="251"/>
      <c r="AD47" s="251"/>
      <c r="AE47" s="252"/>
      <c r="AF47" s="524"/>
      <c r="AG47" s="524"/>
      <c r="AH47" s="251"/>
      <c r="AI47" s="251"/>
      <c r="AJ47" s="251"/>
      <c r="AK47" s="247">
        <f>AL47+AM47</f>
        <v>0</v>
      </c>
      <c r="AL47" s="244">
        <f>AL48*AL49/1000</f>
        <v>0</v>
      </c>
      <c r="AM47" s="244">
        <f>AM48*AM49/1000</f>
        <v>0</v>
      </c>
      <c r="AN47" s="251"/>
      <c r="AO47" s="251"/>
      <c r="AP47" s="251"/>
      <c r="AQ47" s="252"/>
      <c r="AR47" s="524"/>
      <c r="AS47" s="524"/>
    </row>
    <row r="48" spans="13:47" ht="11.4">
      <c r="M48" s="562" t="str">
        <f>M47 &amp; ".P"</f>
        <v>PLOXCLAL.P</v>
      </c>
      <c r="N48" s="531" t="s">
        <v>842</v>
      </c>
      <c r="O48" s="420" t="s">
        <v>23</v>
      </c>
      <c r="AB48" s="251"/>
      <c r="AC48" s="251"/>
      <c r="AD48" s="251"/>
      <c r="AE48" s="252"/>
      <c r="AF48" s="524"/>
      <c r="AG48" s="524"/>
      <c r="AH48" s="251"/>
      <c r="AI48" s="251"/>
      <c r="AJ48" s="251"/>
      <c r="AK48" s="247">
        <f>IF(AK49=0,0,AK47*1000/AK49)</f>
        <v>0</v>
      </c>
      <c r="AL48" s="221"/>
      <c r="AM48" s="221"/>
      <c r="AN48" s="251"/>
      <c r="AO48" s="251"/>
      <c r="AP48" s="251"/>
      <c r="AQ48" s="252"/>
      <c r="AR48" s="524"/>
      <c r="AS48" s="524"/>
    </row>
    <row r="49" spans="13:45" ht="11.4">
      <c r="M49" s="562" t="str">
        <f>M47 &amp; ".V"</f>
        <v>PLOXCLAL.V</v>
      </c>
      <c r="N49" s="531" t="s">
        <v>245</v>
      </c>
      <c r="O49" s="420" t="s">
        <v>289</v>
      </c>
      <c r="AB49" s="251"/>
      <c r="AC49" s="251"/>
      <c r="AD49" s="251"/>
      <c r="AE49" s="524"/>
      <c r="AF49" s="524"/>
      <c r="AG49" s="524"/>
      <c r="AH49" s="251"/>
      <c r="AI49" s="251"/>
      <c r="AJ49" s="251"/>
      <c r="AK49" s="247">
        <f>AL49+AM49</f>
        <v>0</v>
      </c>
      <c r="AL49" s="221"/>
      <c r="AM49" s="221"/>
      <c r="AN49" s="251"/>
      <c r="AO49" s="251"/>
      <c r="AP49" s="251"/>
      <c r="AQ49" s="524"/>
      <c r="AR49" s="524"/>
      <c r="AS49" s="524"/>
    </row>
    <row r="50" spans="13:45" ht="11.4">
      <c r="M50" s="638" t="s">
        <v>2309</v>
      </c>
      <c r="N50" s="559" t="s">
        <v>2310</v>
      </c>
      <c r="O50" s="420" t="s">
        <v>195</v>
      </c>
      <c r="AB50" s="251"/>
      <c r="AC50" s="251"/>
      <c r="AD50" s="251"/>
      <c r="AE50" s="252"/>
      <c r="AF50" s="524"/>
      <c r="AG50" s="524"/>
      <c r="AH50" s="251"/>
      <c r="AI50" s="251"/>
      <c r="AJ50" s="251"/>
      <c r="AK50" s="247">
        <f>AL50+AM50</f>
        <v>0</v>
      </c>
      <c r="AL50" s="244">
        <f>AL51*AL52/1000</f>
        <v>0</v>
      </c>
      <c r="AM50" s="244">
        <f>AM51*AM52/1000</f>
        <v>0</v>
      </c>
      <c r="AN50" s="251"/>
      <c r="AO50" s="251"/>
      <c r="AP50" s="251"/>
      <c r="AQ50" s="252"/>
      <c r="AR50" s="524"/>
      <c r="AS50" s="524"/>
    </row>
    <row r="51" spans="13:45" ht="11.4">
      <c r="M51" s="639" t="str">
        <f>M50 &amp; ".P"</f>
        <v>PLOXCLAL10.P</v>
      </c>
      <c r="N51" s="531" t="s">
        <v>842</v>
      </c>
      <c r="O51" s="420" t="s">
        <v>23</v>
      </c>
      <c r="AB51" s="251"/>
      <c r="AC51" s="251"/>
      <c r="AD51" s="251"/>
      <c r="AE51" s="252"/>
      <c r="AF51" s="524"/>
      <c r="AG51" s="524"/>
      <c r="AH51" s="251"/>
      <c r="AI51" s="251"/>
      <c r="AJ51" s="251"/>
      <c r="AK51" s="247">
        <f>IF(AK52=0,0,AK50*1000/AK52)</f>
        <v>0</v>
      </c>
      <c r="AL51" s="221"/>
      <c r="AM51" s="221"/>
      <c r="AN51" s="251"/>
      <c r="AO51" s="251"/>
      <c r="AP51" s="251"/>
      <c r="AQ51" s="252"/>
      <c r="AR51" s="524"/>
      <c r="AS51" s="524"/>
    </row>
    <row r="52" spans="13:45" ht="11.4">
      <c r="M52" s="639" t="str">
        <f>M50 &amp; ".V"</f>
        <v>PLOXCLAL10.V</v>
      </c>
      <c r="N52" s="531" t="s">
        <v>245</v>
      </c>
      <c r="O52" s="420" t="s">
        <v>289</v>
      </c>
      <c r="AB52" s="251"/>
      <c r="AC52" s="251"/>
      <c r="AD52" s="251"/>
      <c r="AE52" s="524"/>
      <c r="AF52" s="524"/>
      <c r="AG52" s="524"/>
      <c r="AH52" s="251"/>
      <c r="AI52" s="251"/>
      <c r="AJ52" s="251"/>
      <c r="AK52" s="247">
        <f>AL52+AM52</f>
        <v>0</v>
      </c>
      <c r="AL52" s="221"/>
      <c r="AM52" s="221"/>
      <c r="AN52" s="251"/>
      <c r="AO52" s="251"/>
      <c r="AP52" s="251"/>
      <c r="AQ52" s="524"/>
      <c r="AR52" s="524"/>
      <c r="AS52" s="524"/>
    </row>
    <row r="53" spans="13:45" ht="11.4">
      <c r="M53" s="638" t="s">
        <v>2311</v>
      </c>
      <c r="N53" s="559" t="s">
        <v>2312</v>
      </c>
      <c r="O53" s="420" t="s">
        <v>195</v>
      </c>
      <c r="AB53" s="251"/>
      <c r="AC53" s="251"/>
      <c r="AD53" s="251"/>
      <c r="AE53" s="252"/>
      <c r="AF53" s="524"/>
      <c r="AG53" s="524"/>
      <c r="AH53" s="251"/>
      <c r="AI53" s="251"/>
      <c r="AJ53" s="251"/>
      <c r="AK53" s="247">
        <f>AL53+AM53</f>
        <v>0</v>
      </c>
      <c r="AL53" s="244">
        <f>AL54*AL55/1000</f>
        <v>0</v>
      </c>
      <c r="AM53" s="244">
        <f>AM54*AM55/1000</f>
        <v>0</v>
      </c>
      <c r="AN53" s="251"/>
      <c r="AO53" s="251"/>
      <c r="AP53" s="251"/>
      <c r="AQ53" s="252"/>
      <c r="AR53" s="524"/>
      <c r="AS53" s="524"/>
    </row>
    <row r="54" spans="13:45" ht="11.4">
      <c r="M54" s="639" t="str">
        <f>M53 &amp; ".P"</f>
        <v>PLOXCLAL18.P</v>
      </c>
      <c r="N54" s="531" t="s">
        <v>842</v>
      </c>
      <c r="O54" s="420" t="s">
        <v>23</v>
      </c>
      <c r="AB54" s="251"/>
      <c r="AC54" s="251"/>
      <c r="AD54" s="251"/>
      <c r="AE54" s="252"/>
      <c r="AF54" s="524"/>
      <c r="AG54" s="524"/>
      <c r="AH54" s="251"/>
      <c r="AI54" s="251"/>
      <c r="AJ54" s="251"/>
      <c r="AK54" s="247">
        <f>IF(AK55=0,0,AK53*1000/AK55)</f>
        <v>0</v>
      </c>
      <c r="AL54" s="221"/>
      <c r="AM54" s="221"/>
      <c r="AN54" s="251"/>
      <c r="AO54" s="251"/>
      <c r="AP54" s="251"/>
      <c r="AQ54" s="252"/>
      <c r="AR54" s="524"/>
      <c r="AS54" s="524"/>
    </row>
    <row r="55" spans="13:45" ht="11.4">
      <c r="M55" s="639" t="str">
        <f>M53 &amp; ".V"</f>
        <v>PLOXCLAL18.V</v>
      </c>
      <c r="N55" s="531" t="s">
        <v>245</v>
      </c>
      <c r="O55" s="420" t="s">
        <v>289</v>
      </c>
      <c r="AB55" s="251"/>
      <c r="AC55" s="251"/>
      <c r="AD55" s="251"/>
      <c r="AE55" s="524"/>
      <c r="AF55" s="524"/>
      <c r="AG55" s="524"/>
      <c r="AH55" s="251"/>
      <c r="AI55" s="251"/>
      <c r="AJ55" s="251"/>
      <c r="AK55" s="247">
        <f>AL55+AM55</f>
        <v>0</v>
      </c>
      <c r="AL55" s="221"/>
      <c r="AM55" s="221"/>
      <c r="AN55" s="251"/>
      <c r="AO55" s="251"/>
      <c r="AP55" s="251"/>
      <c r="AQ55" s="524"/>
      <c r="AR55" s="524"/>
      <c r="AS55" s="524"/>
    </row>
    <row r="56" spans="13:45" ht="11.4">
      <c r="M56" s="638" t="s">
        <v>2313</v>
      </c>
      <c r="N56" s="559" t="s">
        <v>2314</v>
      </c>
      <c r="O56" s="420" t="s">
        <v>195</v>
      </c>
      <c r="AB56" s="251"/>
      <c r="AC56" s="251"/>
      <c r="AD56" s="251"/>
      <c r="AE56" s="252"/>
      <c r="AF56" s="524"/>
      <c r="AG56" s="524"/>
      <c r="AH56" s="251"/>
      <c r="AI56" s="251"/>
      <c r="AJ56" s="251"/>
      <c r="AK56" s="247">
        <f>AL56+AM56</f>
        <v>0</v>
      </c>
      <c r="AL56" s="244">
        <f>AL57*AL58/1000</f>
        <v>0</v>
      </c>
      <c r="AM56" s="244">
        <f>AM57*AM58/1000</f>
        <v>0</v>
      </c>
      <c r="AN56" s="251"/>
      <c r="AO56" s="251"/>
      <c r="AP56" s="251"/>
      <c r="AQ56" s="252"/>
      <c r="AR56" s="524"/>
      <c r="AS56" s="524"/>
    </row>
    <row r="57" spans="13:45" ht="11.4">
      <c r="M57" s="639" t="str">
        <f>M56 &amp; ".P"</f>
        <v>PLOXCLAL30.P</v>
      </c>
      <c r="N57" s="531" t="s">
        <v>842</v>
      </c>
      <c r="O57" s="420" t="s">
        <v>23</v>
      </c>
      <c r="AB57" s="251"/>
      <c r="AC57" s="251"/>
      <c r="AD57" s="251"/>
      <c r="AE57" s="252"/>
      <c r="AF57" s="524"/>
      <c r="AG57" s="524"/>
      <c r="AH57" s="251"/>
      <c r="AI57" s="251"/>
      <c r="AJ57" s="251"/>
      <c r="AK57" s="247">
        <f>IF(AK58=0,0,AK56*1000/AK58)</f>
        <v>0</v>
      </c>
      <c r="AL57" s="221"/>
      <c r="AM57" s="221"/>
      <c r="AN57" s="251"/>
      <c r="AO57" s="251"/>
      <c r="AP57" s="251"/>
      <c r="AQ57" s="252"/>
      <c r="AR57" s="524"/>
      <c r="AS57" s="524"/>
    </row>
    <row r="58" spans="13:45" ht="11.4">
      <c r="M58" s="639" t="str">
        <f>M56 &amp; ".V"</f>
        <v>PLOXCLAL30.V</v>
      </c>
      <c r="N58" s="531" t="s">
        <v>245</v>
      </c>
      <c r="O58" s="420" t="s">
        <v>289</v>
      </c>
      <c r="AB58" s="251"/>
      <c r="AC58" s="251"/>
      <c r="AD58" s="251"/>
      <c r="AE58" s="524"/>
      <c r="AF58" s="524"/>
      <c r="AG58" s="524"/>
      <c r="AH58" s="251"/>
      <c r="AI58" s="251"/>
      <c r="AJ58" s="251"/>
      <c r="AK58" s="247">
        <f>AL58+AM58</f>
        <v>0</v>
      </c>
      <c r="AL58" s="221"/>
      <c r="AM58" s="221"/>
      <c r="AN58" s="251"/>
      <c r="AO58" s="251"/>
      <c r="AP58" s="251"/>
      <c r="AQ58" s="524"/>
      <c r="AR58" s="524"/>
      <c r="AS58" s="524"/>
    </row>
    <row r="59" spans="13:45" ht="11.4">
      <c r="M59" s="561" t="s">
        <v>2036</v>
      </c>
      <c r="N59" s="559" t="s">
        <v>1912</v>
      </c>
      <c r="O59" s="420" t="s">
        <v>195</v>
      </c>
      <c r="AB59" s="251"/>
      <c r="AC59" s="251"/>
      <c r="AD59" s="251"/>
      <c r="AE59" s="252"/>
      <c r="AF59" s="524"/>
      <c r="AG59" s="524"/>
      <c r="AH59" s="251"/>
      <c r="AI59" s="251"/>
      <c r="AJ59" s="251"/>
      <c r="AK59" s="247">
        <f>AL59+AM59</f>
        <v>0</v>
      </c>
      <c r="AL59" s="244">
        <f>AL60*AL61/1000</f>
        <v>0</v>
      </c>
      <c r="AM59" s="244">
        <f>AM60*AM61/1000</f>
        <v>0</v>
      </c>
      <c r="AN59" s="251"/>
      <c r="AO59" s="251"/>
      <c r="AP59" s="251"/>
      <c r="AQ59" s="252"/>
      <c r="AR59" s="524"/>
      <c r="AS59" s="524"/>
    </row>
    <row r="60" spans="13:45" ht="11.4">
      <c r="M60" s="562" t="str">
        <f>M59 &amp; ".P"</f>
        <v>SFAL.P</v>
      </c>
      <c r="N60" s="531" t="s">
        <v>842</v>
      </c>
      <c r="O60" s="420" t="s">
        <v>23</v>
      </c>
      <c r="AB60" s="251"/>
      <c r="AC60" s="251"/>
      <c r="AD60" s="251"/>
      <c r="AE60" s="252"/>
      <c r="AF60" s="524"/>
      <c r="AG60" s="524"/>
      <c r="AH60" s="251"/>
      <c r="AI60" s="251"/>
      <c r="AJ60" s="251"/>
      <c r="AK60" s="247">
        <f>IF(AK61=0,0,AK59*1000/AK61)</f>
        <v>0</v>
      </c>
      <c r="AL60" s="221"/>
      <c r="AM60" s="221"/>
      <c r="AN60" s="251"/>
      <c r="AO60" s="251"/>
      <c r="AP60" s="251"/>
      <c r="AQ60" s="252"/>
      <c r="AR60" s="524"/>
      <c r="AS60" s="524"/>
    </row>
    <row r="61" spans="13:45" ht="11.4">
      <c r="M61" s="562" t="str">
        <f>M59 &amp; ".V"</f>
        <v>SFAL.V</v>
      </c>
      <c r="N61" s="531" t="s">
        <v>245</v>
      </c>
      <c r="O61" s="420" t="s">
        <v>289</v>
      </c>
      <c r="AB61" s="251"/>
      <c r="AC61" s="251"/>
      <c r="AD61" s="251"/>
      <c r="AE61" s="524"/>
      <c r="AF61" s="524"/>
      <c r="AG61" s="524"/>
      <c r="AH61" s="251"/>
      <c r="AI61" s="251"/>
      <c r="AJ61" s="251"/>
      <c r="AK61" s="247">
        <f>AL61+AM61</f>
        <v>0</v>
      </c>
      <c r="AL61" s="221"/>
      <c r="AM61" s="221"/>
      <c r="AN61" s="251"/>
      <c r="AO61" s="251"/>
      <c r="AP61" s="251"/>
      <c r="AQ61" s="524"/>
      <c r="AR61" s="524"/>
      <c r="AS61" s="524"/>
    </row>
    <row r="62" spans="13:45" ht="11.4">
      <c r="M62" s="561" t="s">
        <v>1356</v>
      </c>
      <c r="N62" s="559" t="s">
        <v>307</v>
      </c>
      <c r="O62" s="420" t="s">
        <v>195</v>
      </c>
      <c r="AB62" s="251"/>
      <c r="AC62" s="251"/>
      <c r="AD62" s="251"/>
      <c r="AE62" s="252"/>
      <c r="AF62" s="524"/>
      <c r="AG62" s="524"/>
      <c r="AH62" s="251"/>
      <c r="AI62" s="251"/>
      <c r="AJ62" s="251"/>
      <c r="AK62" s="247">
        <f>AL62+AM62</f>
        <v>0</v>
      </c>
      <c r="AL62" s="221"/>
      <c r="AM62" s="221"/>
      <c r="AN62" s="251"/>
      <c r="AO62" s="251"/>
      <c r="AP62" s="251"/>
      <c r="AQ62" s="252"/>
      <c r="AR62" s="524"/>
      <c r="AS62" s="524"/>
    </row>
    <row r="63" spans="13:45" ht="11.4">
      <c r="M63" s="560"/>
      <c r="N63" s="533"/>
      <c r="O63" s="422"/>
      <c r="AB63" s="251"/>
      <c r="AC63" s="251"/>
      <c r="AD63" s="251"/>
      <c r="AE63" s="261"/>
      <c r="AF63" s="261"/>
      <c r="AG63" s="261"/>
      <c r="AH63" s="251"/>
      <c r="AI63" s="251"/>
      <c r="AJ63" s="251"/>
      <c r="AK63" s="261"/>
      <c r="AL63" s="261"/>
      <c r="AM63" s="261"/>
      <c r="AN63" s="251"/>
      <c r="AO63" s="251"/>
      <c r="AP63" s="251"/>
      <c r="AQ63" s="261"/>
      <c r="AR63" s="261"/>
      <c r="AS63" s="261"/>
    </row>
    <row r="64" spans="13:45" ht="11.4">
      <c r="M64" s="561" t="s">
        <v>1996</v>
      </c>
      <c r="N64" s="567" t="s">
        <v>1913</v>
      </c>
      <c r="O64" s="420" t="s">
        <v>195</v>
      </c>
      <c r="AB64" s="251"/>
      <c r="AC64" s="251"/>
      <c r="AD64" s="251"/>
      <c r="AE64" s="247">
        <f>AF64+AG64</f>
        <v>0</v>
      </c>
      <c r="AF64" s="244">
        <f>SUMIF(ВО.Р!$AO$65:$AO$91,ВО.Р!$AO$64,ВО.Р!AF$65:AF$91)</f>
        <v>0</v>
      </c>
      <c r="AG64" s="244">
        <f>SUMIF(ВО.Р!$AO$65:$AO$91,ВО.Р!$AO$64,ВО.Р!AG$65:AG$91)</f>
        <v>0</v>
      </c>
      <c r="AH64" s="251"/>
      <c r="AI64" s="251"/>
      <c r="AJ64" s="251"/>
      <c r="AK64" s="247"/>
      <c r="AL64" s="244"/>
      <c r="AM64" s="244"/>
      <c r="AN64" s="251"/>
      <c r="AO64" s="251"/>
      <c r="AP64" s="251"/>
      <c r="AQ64" s="247"/>
      <c r="AR64" s="244"/>
      <c r="AS64" s="244"/>
    </row>
    <row r="65" spans="13:45" ht="11.4">
      <c r="M65" s="560"/>
      <c r="N65" s="533"/>
      <c r="O65" s="422"/>
      <c r="AB65" s="251"/>
      <c r="AC65" s="251"/>
      <c r="AD65" s="251"/>
      <c r="AE65" s="261"/>
      <c r="AF65" s="261"/>
      <c r="AG65" s="261"/>
      <c r="AH65" s="251"/>
      <c r="AI65" s="251"/>
      <c r="AJ65" s="251"/>
      <c r="AK65" s="261"/>
      <c r="AL65" s="261"/>
      <c r="AM65" s="261"/>
      <c r="AN65" s="251"/>
      <c r="AO65" s="251"/>
      <c r="AP65" s="251"/>
      <c r="AQ65" s="261"/>
      <c r="AR65" s="261"/>
      <c r="AS65" s="261"/>
    </row>
    <row r="66" spans="13:45" ht="11.4">
      <c r="M66" s="561" t="s">
        <v>1999</v>
      </c>
      <c r="N66" s="559" t="s">
        <v>1914</v>
      </c>
      <c r="O66" s="420" t="s">
        <v>195</v>
      </c>
      <c r="AB66" s="251"/>
      <c r="AC66" s="251"/>
      <c r="AD66" s="251"/>
      <c r="AE66" s="252"/>
      <c r="AF66" s="524"/>
      <c r="AG66" s="524"/>
      <c r="AH66" s="251"/>
      <c r="AI66" s="251"/>
      <c r="AJ66" s="251"/>
      <c r="AK66" s="247">
        <f>AL66+AM66</f>
        <v>0</v>
      </c>
      <c r="AL66" s="244">
        <f>AL67*AL68/1000</f>
        <v>0</v>
      </c>
      <c r="AM66" s="244">
        <f>AM67*AM68/1000</f>
        <v>0</v>
      </c>
      <c r="AN66" s="251"/>
      <c r="AO66" s="251"/>
      <c r="AP66" s="251"/>
      <c r="AQ66" s="252"/>
      <c r="AR66" s="524"/>
      <c r="AS66" s="524"/>
    </row>
    <row r="67" spans="13:45" ht="11.4">
      <c r="M67" s="562" t="str">
        <f>M66 &amp; ".P"</f>
        <v>MGFLK.P</v>
      </c>
      <c r="N67" s="531" t="s">
        <v>842</v>
      </c>
      <c r="O67" s="420" t="s">
        <v>23</v>
      </c>
      <c r="AB67" s="251"/>
      <c r="AC67" s="251"/>
      <c r="AD67" s="251"/>
      <c r="AE67" s="252"/>
      <c r="AF67" s="524"/>
      <c r="AG67" s="524"/>
      <c r="AH67" s="251"/>
      <c r="AI67" s="251"/>
      <c r="AJ67" s="251"/>
      <c r="AK67" s="247">
        <f>IF(AK68=0,0,AK66*1000/AK68)</f>
        <v>0</v>
      </c>
      <c r="AL67" s="221"/>
      <c r="AM67" s="221"/>
      <c r="AN67" s="251"/>
      <c r="AO67" s="251"/>
      <c r="AP67" s="251"/>
      <c r="AQ67" s="252"/>
      <c r="AR67" s="524"/>
      <c r="AS67" s="524"/>
    </row>
    <row r="68" spans="13:45" ht="11.4">
      <c r="M68" s="562" t="str">
        <f>M66 &amp; ".V"</f>
        <v>MGFLK.V</v>
      </c>
      <c r="N68" s="531" t="s">
        <v>245</v>
      </c>
      <c r="O68" s="420" t="s">
        <v>289</v>
      </c>
      <c r="AB68" s="251"/>
      <c r="AC68" s="251"/>
      <c r="AD68" s="251"/>
      <c r="AE68" s="524"/>
      <c r="AF68" s="524"/>
      <c r="AG68" s="524"/>
      <c r="AH68" s="251"/>
      <c r="AI68" s="251"/>
      <c r="AJ68" s="251"/>
      <c r="AK68" s="247">
        <f>AL68+AM68</f>
        <v>0</v>
      </c>
      <c r="AL68" s="221"/>
      <c r="AM68" s="221"/>
      <c r="AN68" s="251"/>
      <c r="AO68" s="251"/>
      <c r="AP68" s="251"/>
      <c r="AQ68" s="524"/>
      <c r="AR68" s="524"/>
      <c r="AS68" s="524"/>
    </row>
    <row r="69" spans="13:45" ht="11.4">
      <c r="M69" s="561" t="s">
        <v>2000</v>
      </c>
      <c r="N69" s="559" t="s">
        <v>1915</v>
      </c>
      <c r="O69" s="420" t="s">
        <v>195</v>
      </c>
      <c r="AB69" s="251"/>
      <c r="AC69" s="251"/>
      <c r="AD69" s="251"/>
      <c r="AE69" s="252"/>
      <c r="AF69" s="524"/>
      <c r="AG69" s="524"/>
      <c r="AH69" s="251"/>
      <c r="AI69" s="251"/>
      <c r="AJ69" s="251"/>
      <c r="AK69" s="247">
        <f>AL69+AM69</f>
        <v>0</v>
      </c>
      <c r="AL69" s="244">
        <f>AL70*AL71/1000</f>
        <v>0</v>
      </c>
      <c r="AM69" s="244">
        <f>AM70*AM71/1000</f>
        <v>0</v>
      </c>
      <c r="AN69" s="251"/>
      <c r="AO69" s="251"/>
      <c r="AP69" s="251"/>
      <c r="AQ69" s="252"/>
      <c r="AR69" s="524"/>
      <c r="AS69" s="524"/>
    </row>
    <row r="70" spans="13:45" ht="11.4">
      <c r="M70" s="562" t="str">
        <f>M69 &amp; ".P"</f>
        <v>PRSTL.P</v>
      </c>
      <c r="N70" s="531" t="s">
        <v>842</v>
      </c>
      <c r="O70" s="420" t="s">
        <v>23</v>
      </c>
      <c r="AB70" s="251"/>
      <c r="AC70" s="251"/>
      <c r="AD70" s="251"/>
      <c r="AE70" s="252"/>
      <c r="AF70" s="524"/>
      <c r="AG70" s="524"/>
      <c r="AH70" s="251"/>
      <c r="AI70" s="251"/>
      <c r="AJ70" s="251"/>
      <c r="AK70" s="247">
        <f>IF(AK71=0,0,AK69*1000/AK71)</f>
        <v>0</v>
      </c>
      <c r="AL70" s="221"/>
      <c r="AM70" s="221"/>
      <c r="AN70" s="251"/>
      <c r="AO70" s="251"/>
      <c r="AP70" s="251"/>
      <c r="AQ70" s="252"/>
      <c r="AR70" s="524"/>
      <c r="AS70" s="524"/>
    </row>
    <row r="71" spans="13:45" ht="11.4">
      <c r="M71" s="562" t="str">
        <f>M69 &amp; ".V"</f>
        <v>PRSTL.V</v>
      </c>
      <c r="N71" s="531" t="s">
        <v>245</v>
      </c>
      <c r="O71" s="420" t="s">
        <v>289</v>
      </c>
      <c r="AB71" s="251"/>
      <c r="AC71" s="251"/>
      <c r="AD71" s="251"/>
      <c r="AE71" s="524"/>
      <c r="AF71" s="524"/>
      <c r="AG71" s="524"/>
      <c r="AH71" s="251"/>
      <c r="AI71" s="251"/>
      <c r="AJ71" s="251"/>
      <c r="AK71" s="247">
        <f>AL71+AM71</f>
        <v>0</v>
      </c>
      <c r="AL71" s="221"/>
      <c r="AM71" s="221"/>
      <c r="AN71" s="251"/>
      <c r="AO71" s="251"/>
      <c r="AP71" s="251"/>
      <c r="AQ71" s="524"/>
      <c r="AR71" s="524"/>
      <c r="AS71" s="524"/>
    </row>
    <row r="72" spans="13:45" ht="11.4">
      <c r="M72" s="639" t="s">
        <v>2315</v>
      </c>
      <c r="N72" s="559" t="s">
        <v>2316</v>
      </c>
      <c r="O72" s="420" t="s">
        <v>195</v>
      </c>
      <c r="AB72" s="251"/>
      <c r="AC72" s="251"/>
      <c r="AD72" s="251"/>
      <c r="AE72" s="252"/>
      <c r="AF72" s="524"/>
      <c r="AG72" s="524"/>
      <c r="AH72" s="251"/>
      <c r="AI72" s="251"/>
      <c r="AJ72" s="251"/>
      <c r="AK72" s="247">
        <f>AL72+AM72</f>
        <v>0</v>
      </c>
      <c r="AL72" s="244">
        <f>AL73*AL74/1000</f>
        <v>0</v>
      </c>
      <c r="AM72" s="244">
        <f>AM73*AM74/1000</f>
        <v>0</v>
      </c>
      <c r="AN72" s="251"/>
      <c r="AO72" s="251"/>
      <c r="AP72" s="251"/>
      <c r="AQ72" s="252"/>
      <c r="AR72" s="524"/>
      <c r="AS72" s="524"/>
    </row>
    <row r="73" spans="13:45" ht="11.4">
      <c r="M73" s="639" t="str">
        <f>M72 &amp; ".P"</f>
        <v>PRSTL853.P</v>
      </c>
      <c r="N73" s="531" t="s">
        <v>842</v>
      </c>
      <c r="O73" s="420" t="s">
        <v>23</v>
      </c>
      <c r="AB73" s="251"/>
      <c r="AC73" s="251"/>
      <c r="AD73" s="251"/>
      <c r="AE73" s="252"/>
      <c r="AF73" s="524"/>
      <c r="AG73" s="524"/>
      <c r="AH73" s="251"/>
      <c r="AI73" s="251"/>
      <c r="AJ73" s="251"/>
      <c r="AK73" s="247">
        <f>IF(AK74=0,0,AK72*1000/AK74)</f>
        <v>0</v>
      </c>
      <c r="AL73" s="221"/>
      <c r="AM73" s="221"/>
      <c r="AN73" s="251"/>
      <c r="AO73" s="251"/>
      <c r="AP73" s="251"/>
      <c r="AQ73" s="252"/>
      <c r="AR73" s="524"/>
      <c r="AS73" s="524"/>
    </row>
    <row r="74" spans="13:45" ht="11.4">
      <c r="M74" s="639" t="str">
        <f>M72 &amp; ".V"</f>
        <v>PRSTL853.V</v>
      </c>
      <c r="N74" s="531" t="s">
        <v>245</v>
      </c>
      <c r="O74" s="420" t="s">
        <v>289</v>
      </c>
      <c r="AB74" s="251"/>
      <c r="AC74" s="251"/>
      <c r="AD74" s="251"/>
      <c r="AE74" s="524"/>
      <c r="AF74" s="524"/>
      <c r="AG74" s="524"/>
      <c r="AH74" s="251"/>
      <c r="AI74" s="251"/>
      <c r="AJ74" s="251"/>
      <c r="AK74" s="247">
        <f>AL74+AM74</f>
        <v>0</v>
      </c>
      <c r="AL74" s="221"/>
      <c r="AM74" s="221"/>
      <c r="AN74" s="251"/>
      <c r="AO74" s="251"/>
      <c r="AP74" s="251"/>
      <c r="AQ74" s="524"/>
      <c r="AR74" s="524"/>
      <c r="AS74" s="524"/>
    </row>
    <row r="75" spans="13:45" ht="11.4">
      <c r="M75" s="639" t="s">
        <v>2317</v>
      </c>
      <c r="N75" s="559" t="s">
        <v>2318</v>
      </c>
      <c r="O75" s="420" t="s">
        <v>195</v>
      </c>
      <c r="AB75" s="251"/>
      <c r="AC75" s="251"/>
      <c r="AD75" s="251"/>
      <c r="AE75" s="252"/>
      <c r="AF75" s="524"/>
      <c r="AG75" s="524"/>
      <c r="AH75" s="251"/>
      <c r="AI75" s="251"/>
      <c r="AJ75" s="251"/>
      <c r="AK75" s="247">
        <f>AL75+AM75</f>
        <v>0</v>
      </c>
      <c r="AL75" s="244">
        <f>AL76*AL77/1000</f>
        <v>0</v>
      </c>
      <c r="AM75" s="244">
        <f>AM76*AM77/1000</f>
        <v>0</v>
      </c>
      <c r="AN75" s="251"/>
      <c r="AO75" s="251"/>
      <c r="AP75" s="251"/>
      <c r="AQ75" s="252"/>
      <c r="AR75" s="524"/>
      <c r="AS75" s="524"/>
    </row>
    <row r="76" spans="13:45" ht="11.4">
      <c r="M76" s="639" t="str">
        <f>M75 &amp; ".P"</f>
        <v>PRSTL650.P</v>
      </c>
      <c r="N76" s="531" t="s">
        <v>842</v>
      </c>
      <c r="O76" s="420" t="s">
        <v>23</v>
      </c>
      <c r="AB76" s="251"/>
      <c r="AC76" s="251"/>
      <c r="AD76" s="251"/>
      <c r="AE76" s="252"/>
      <c r="AF76" s="524"/>
      <c r="AG76" s="524"/>
      <c r="AH76" s="251"/>
      <c r="AI76" s="251"/>
      <c r="AJ76" s="251"/>
      <c r="AK76" s="247">
        <f>IF(AK77=0,0,AK75*1000/AK77)</f>
        <v>0</v>
      </c>
      <c r="AL76" s="221"/>
      <c r="AM76" s="221"/>
      <c r="AN76" s="251"/>
      <c r="AO76" s="251"/>
      <c r="AP76" s="251"/>
      <c r="AQ76" s="252"/>
      <c r="AR76" s="524"/>
      <c r="AS76" s="524"/>
    </row>
    <row r="77" spans="13:45" ht="11.4">
      <c r="M77" s="639" t="str">
        <f>M75 &amp; ".V"</f>
        <v>PRSTL650.V</v>
      </c>
      <c r="N77" s="531" t="s">
        <v>245</v>
      </c>
      <c r="O77" s="420" t="s">
        <v>289</v>
      </c>
      <c r="AB77" s="251"/>
      <c r="AC77" s="251"/>
      <c r="AD77" s="251"/>
      <c r="AE77" s="524"/>
      <c r="AF77" s="524"/>
      <c r="AG77" s="524"/>
      <c r="AH77" s="251"/>
      <c r="AI77" s="251"/>
      <c r="AJ77" s="251"/>
      <c r="AK77" s="247">
        <f>AL77+AM77</f>
        <v>0</v>
      </c>
      <c r="AL77" s="221"/>
      <c r="AM77" s="221"/>
      <c r="AN77" s="251"/>
      <c r="AO77" s="251"/>
      <c r="AP77" s="251"/>
      <c r="AQ77" s="524"/>
      <c r="AR77" s="524"/>
      <c r="AS77" s="524"/>
    </row>
    <row r="78" spans="13:45" ht="11.4">
      <c r="M78" s="639" t="s">
        <v>2319</v>
      </c>
      <c r="N78" s="559" t="s">
        <v>2320</v>
      </c>
      <c r="O78" s="420" t="s">
        <v>195</v>
      </c>
      <c r="AB78" s="251"/>
      <c r="AC78" s="251"/>
      <c r="AD78" s="251"/>
      <c r="AE78" s="252"/>
      <c r="AF78" s="524"/>
      <c r="AG78" s="524"/>
      <c r="AH78" s="251"/>
      <c r="AI78" s="251"/>
      <c r="AJ78" s="251"/>
      <c r="AK78" s="247">
        <f>AL78+AM78</f>
        <v>0</v>
      </c>
      <c r="AL78" s="244">
        <f>AL79*AL80/1000</f>
        <v>0</v>
      </c>
      <c r="AM78" s="244">
        <f>AM79*AM80/1000</f>
        <v>0</v>
      </c>
      <c r="AN78" s="251"/>
      <c r="AO78" s="251"/>
      <c r="AP78" s="251"/>
      <c r="AQ78" s="252"/>
      <c r="AR78" s="524"/>
      <c r="AS78" s="524"/>
    </row>
    <row r="79" spans="13:45" ht="11.4">
      <c r="M79" s="639" t="str">
        <f>M78 &amp; ".P"</f>
        <v>PRSTL2515.P</v>
      </c>
      <c r="N79" s="531" t="s">
        <v>842</v>
      </c>
      <c r="O79" s="420" t="s">
        <v>23</v>
      </c>
      <c r="AB79" s="251"/>
      <c r="AC79" s="251"/>
      <c r="AD79" s="251"/>
      <c r="AE79" s="252"/>
      <c r="AF79" s="524"/>
      <c r="AG79" s="524"/>
      <c r="AH79" s="251"/>
      <c r="AI79" s="251"/>
      <c r="AJ79" s="251"/>
      <c r="AK79" s="247">
        <f>IF(AK80=0,0,AK78*1000/AK80)</f>
        <v>0</v>
      </c>
      <c r="AL79" s="221"/>
      <c r="AM79" s="221"/>
      <c r="AN79" s="251"/>
      <c r="AO79" s="251"/>
      <c r="AP79" s="251"/>
      <c r="AQ79" s="252"/>
      <c r="AR79" s="524"/>
      <c r="AS79" s="524"/>
    </row>
    <row r="80" spans="13:45" ht="11.4">
      <c r="M80" s="639" t="str">
        <f>M78 &amp; ".V"</f>
        <v>PRSTL2515.V</v>
      </c>
      <c r="N80" s="531" t="s">
        <v>245</v>
      </c>
      <c r="O80" s="420" t="s">
        <v>289</v>
      </c>
      <c r="AB80" s="251"/>
      <c r="AC80" s="251"/>
      <c r="AD80" s="251"/>
      <c r="AE80" s="524"/>
      <c r="AF80" s="524"/>
      <c r="AG80" s="524"/>
      <c r="AH80" s="251"/>
      <c r="AI80" s="251"/>
      <c r="AJ80" s="251"/>
      <c r="AK80" s="247">
        <f>AL80+AM80</f>
        <v>0</v>
      </c>
      <c r="AL80" s="221"/>
      <c r="AM80" s="221"/>
      <c r="AN80" s="251"/>
      <c r="AO80" s="251"/>
      <c r="AP80" s="251"/>
      <c r="AQ80" s="524"/>
      <c r="AR80" s="524"/>
      <c r="AS80" s="524"/>
    </row>
    <row r="81" spans="13:45" ht="11.4">
      <c r="M81" s="639" t="s">
        <v>2321</v>
      </c>
      <c r="N81" s="559" t="s">
        <v>2322</v>
      </c>
      <c r="O81" s="420" t="s">
        <v>195</v>
      </c>
      <c r="AB81" s="251"/>
      <c r="AC81" s="251"/>
      <c r="AD81" s="251"/>
      <c r="AE81" s="252"/>
      <c r="AF81" s="524"/>
      <c r="AG81" s="524"/>
      <c r="AH81" s="251"/>
      <c r="AI81" s="251"/>
      <c r="AJ81" s="251"/>
      <c r="AK81" s="247">
        <f>AL81+AM81</f>
        <v>0</v>
      </c>
      <c r="AL81" s="244">
        <f>AL82*AL83/1000</f>
        <v>0</v>
      </c>
      <c r="AM81" s="244">
        <f>AM82*AM83/1000</f>
        <v>0</v>
      </c>
      <c r="AN81" s="251"/>
      <c r="AO81" s="251"/>
      <c r="AP81" s="251"/>
      <c r="AQ81" s="252"/>
      <c r="AR81" s="524"/>
      <c r="AS81" s="524"/>
    </row>
    <row r="82" spans="13:45" ht="11.4">
      <c r="M82" s="639" t="str">
        <f>M81 &amp; ".P"</f>
        <v>GRLIFEK47.P</v>
      </c>
      <c r="N82" s="531" t="s">
        <v>842</v>
      </c>
      <c r="O82" s="420" t="s">
        <v>23</v>
      </c>
      <c r="AB82" s="251"/>
      <c r="AC82" s="251"/>
      <c r="AD82" s="251"/>
      <c r="AE82" s="252"/>
      <c r="AF82" s="524"/>
      <c r="AG82" s="524"/>
      <c r="AH82" s="251"/>
      <c r="AI82" s="251"/>
      <c r="AJ82" s="251"/>
      <c r="AK82" s="247">
        <f>IF(AK83=0,0,AK81*1000/AK83)</f>
        <v>0</v>
      </c>
      <c r="AL82" s="221"/>
      <c r="AM82" s="221"/>
      <c r="AN82" s="251"/>
      <c r="AO82" s="251"/>
      <c r="AP82" s="251"/>
      <c r="AQ82" s="252"/>
      <c r="AR82" s="524"/>
      <c r="AS82" s="524"/>
    </row>
    <row r="83" spans="13:45" ht="11.4">
      <c r="M83" s="639" t="str">
        <f>M81 &amp; ".V"</f>
        <v>GRLIFEK47.V</v>
      </c>
      <c r="N83" s="531" t="s">
        <v>245</v>
      </c>
      <c r="O83" s="420" t="s">
        <v>289</v>
      </c>
      <c r="AB83" s="251"/>
      <c r="AC83" s="251"/>
      <c r="AD83" s="251"/>
      <c r="AE83" s="524"/>
      <c r="AF83" s="524"/>
      <c r="AG83" s="524"/>
      <c r="AH83" s="251"/>
      <c r="AI83" s="251"/>
      <c r="AJ83" s="251"/>
      <c r="AK83" s="247">
        <f>AL83+AM83</f>
        <v>0</v>
      </c>
      <c r="AL83" s="221"/>
      <c r="AM83" s="221"/>
      <c r="AN83" s="251"/>
      <c r="AO83" s="251"/>
      <c r="AP83" s="251"/>
      <c r="AQ83" s="524"/>
      <c r="AR83" s="524"/>
      <c r="AS83" s="524"/>
    </row>
    <row r="84" spans="13:45" ht="11.4">
      <c r="M84" s="639" t="s">
        <v>2323</v>
      </c>
      <c r="N84" s="559" t="s">
        <v>2324</v>
      </c>
      <c r="O84" s="420" t="s">
        <v>195</v>
      </c>
      <c r="AB84" s="251"/>
      <c r="AC84" s="251"/>
      <c r="AD84" s="251"/>
      <c r="AE84" s="252"/>
      <c r="AF84" s="524"/>
      <c r="AG84" s="524"/>
      <c r="AH84" s="251"/>
      <c r="AI84" s="251"/>
      <c r="AJ84" s="251"/>
      <c r="AK84" s="247">
        <f>AL84+AM84</f>
        <v>0</v>
      </c>
      <c r="AL84" s="244">
        <f>AL85*AL86/1000</f>
        <v>0</v>
      </c>
      <c r="AM84" s="244">
        <f>AM85*AM86/1000</f>
        <v>0</v>
      </c>
      <c r="AN84" s="251"/>
      <c r="AO84" s="251"/>
      <c r="AP84" s="251"/>
      <c r="AQ84" s="252"/>
      <c r="AR84" s="524"/>
      <c r="AS84" s="524"/>
    </row>
    <row r="85" spans="13:45" ht="11.4">
      <c r="M85" s="639" t="str">
        <f>M84 &amp; ".P"</f>
        <v>GRLIFEK41.P</v>
      </c>
      <c r="N85" s="531" t="s">
        <v>842</v>
      </c>
      <c r="O85" s="420" t="s">
        <v>23</v>
      </c>
      <c r="AB85" s="251"/>
      <c r="AC85" s="251"/>
      <c r="AD85" s="251"/>
      <c r="AE85" s="252"/>
      <c r="AF85" s="524"/>
      <c r="AG85" s="524"/>
      <c r="AH85" s="251"/>
      <c r="AI85" s="251"/>
      <c r="AJ85" s="251"/>
      <c r="AK85" s="247">
        <f>IF(AK86=0,0,AK84*1000/AK86)</f>
        <v>0</v>
      </c>
      <c r="AL85" s="221"/>
      <c r="AM85" s="221"/>
      <c r="AN85" s="251"/>
      <c r="AO85" s="251"/>
      <c r="AP85" s="251"/>
      <c r="AQ85" s="252"/>
      <c r="AR85" s="524"/>
      <c r="AS85" s="524"/>
    </row>
    <row r="86" spans="13:45" ht="11.4">
      <c r="M86" s="639" t="str">
        <f>M84 &amp; ".V"</f>
        <v>GRLIFEK41.V</v>
      </c>
      <c r="N86" s="531" t="s">
        <v>245</v>
      </c>
      <c r="O86" s="420" t="s">
        <v>289</v>
      </c>
      <c r="AB86" s="251"/>
      <c r="AC86" s="251"/>
      <c r="AD86" s="251"/>
      <c r="AE86" s="524"/>
      <c r="AF86" s="524"/>
      <c r="AG86" s="524"/>
      <c r="AH86" s="251"/>
      <c r="AI86" s="251"/>
      <c r="AJ86" s="251"/>
      <c r="AK86" s="247">
        <f>AL86+AM86</f>
        <v>0</v>
      </c>
      <c r="AL86" s="221"/>
      <c r="AM86" s="221"/>
      <c r="AN86" s="251"/>
      <c r="AO86" s="251"/>
      <c r="AP86" s="251"/>
      <c r="AQ86" s="524"/>
      <c r="AR86" s="524"/>
      <c r="AS86" s="524"/>
    </row>
    <row r="87" spans="13:45" ht="11.4">
      <c r="M87" s="639" t="s">
        <v>2325</v>
      </c>
      <c r="N87" s="559" t="s">
        <v>2326</v>
      </c>
      <c r="O87" s="420" t="s">
        <v>195</v>
      </c>
      <c r="AB87" s="251"/>
      <c r="AC87" s="251"/>
      <c r="AD87" s="251"/>
      <c r="AE87" s="252"/>
      <c r="AF87" s="524"/>
      <c r="AG87" s="524"/>
      <c r="AH87" s="251"/>
      <c r="AI87" s="251"/>
      <c r="AJ87" s="251"/>
      <c r="AK87" s="247">
        <f>AL87+AM87</f>
        <v>0</v>
      </c>
      <c r="AL87" s="244">
        <f>AL88*AL89/1000</f>
        <v>0</v>
      </c>
      <c r="AM87" s="244">
        <f>AM88*AM89/1000</f>
        <v>0</v>
      </c>
      <c r="AN87" s="251"/>
      <c r="AO87" s="251"/>
      <c r="AP87" s="251"/>
      <c r="AQ87" s="252"/>
      <c r="AR87" s="524"/>
      <c r="AS87" s="524"/>
    </row>
    <row r="88" spans="13:45" ht="11.4">
      <c r="M88" s="639" t="str">
        <f>M87 &amp; ".P"</f>
        <v>GRLIFEA10PV.P</v>
      </c>
      <c r="N88" s="531" t="s">
        <v>842</v>
      </c>
      <c r="O88" s="420" t="s">
        <v>23</v>
      </c>
      <c r="AB88" s="251"/>
      <c r="AC88" s="251"/>
      <c r="AD88" s="251"/>
      <c r="AE88" s="252"/>
      <c r="AF88" s="524"/>
      <c r="AG88" s="524"/>
      <c r="AH88" s="251"/>
      <c r="AI88" s="251"/>
      <c r="AJ88" s="251"/>
      <c r="AK88" s="247">
        <f>IF(AK89=0,0,AK87*1000/AK89)</f>
        <v>0</v>
      </c>
      <c r="AL88" s="221"/>
      <c r="AM88" s="221"/>
      <c r="AN88" s="251"/>
      <c r="AO88" s="251"/>
      <c r="AP88" s="251"/>
      <c r="AQ88" s="252"/>
      <c r="AR88" s="524"/>
      <c r="AS88" s="524"/>
    </row>
    <row r="89" spans="13:45" ht="11.4">
      <c r="M89" s="639" t="str">
        <f>M87 &amp; ".V"</f>
        <v>GRLIFEA10PV.V</v>
      </c>
      <c r="N89" s="531" t="s">
        <v>245</v>
      </c>
      <c r="O89" s="420" t="s">
        <v>289</v>
      </c>
      <c r="AB89" s="251"/>
      <c r="AC89" s="251"/>
      <c r="AD89" s="251"/>
      <c r="AE89" s="524"/>
      <c r="AF89" s="524"/>
      <c r="AG89" s="524"/>
      <c r="AH89" s="251"/>
      <c r="AI89" s="251"/>
      <c r="AJ89" s="251"/>
      <c r="AK89" s="247">
        <f>AL89+AM89</f>
        <v>0</v>
      </c>
      <c r="AL89" s="221"/>
      <c r="AM89" s="221"/>
      <c r="AN89" s="251"/>
      <c r="AO89" s="251"/>
      <c r="AP89" s="251"/>
      <c r="AQ89" s="524"/>
      <c r="AR89" s="524"/>
      <c r="AS89" s="524"/>
    </row>
    <row r="90" spans="13:45" ht="11.4">
      <c r="M90" s="561" t="s">
        <v>1356</v>
      </c>
      <c r="N90" s="559" t="s">
        <v>307</v>
      </c>
      <c r="O90" s="420" t="s">
        <v>195</v>
      </c>
      <c r="AB90" s="251"/>
      <c r="AC90" s="251"/>
      <c r="AD90" s="251"/>
      <c r="AE90" s="252"/>
      <c r="AF90" s="524"/>
      <c r="AG90" s="524"/>
      <c r="AH90" s="251"/>
      <c r="AI90" s="251"/>
      <c r="AJ90" s="251"/>
      <c r="AK90" s="247">
        <f>AL90+AM90</f>
        <v>0</v>
      </c>
      <c r="AL90" s="221"/>
      <c r="AM90" s="221"/>
      <c r="AN90" s="251"/>
      <c r="AO90" s="251"/>
      <c r="AP90" s="251"/>
      <c r="AQ90" s="252"/>
      <c r="AR90" s="524"/>
      <c r="AS90" s="524"/>
    </row>
    <row r="91" spans="13:45" ht="11.4">
      <c r="M91" s="560"/>
      <c r="N91" s="533"/>
      <c r="O91" s="422"/>
      <c r="AB91" s="251"/>
      <c r="AC91" s="251"/>
      <c r="AD91" s="251"/>
      <c r="AE91" s="261"/>
      <c r="AF91" s="261"/>
      <c r="AG91" s="261"/>
      <c r="AH91" s="251"/>
      <c r="AI91" s="251"/>
      <c r="AJ91" s="251"/>
      <c r="AK91" s="261"/>
      <c r="AL91" s="261"/>
      <c r="AM91" s="261"/>
      <c r="AN91" s="251"/>
      <c r="AO91" s="251"/>
      <c r="AP91" s="251"/>
      <c r="AQ91" s="261"/>
      <c r="AR91" s="261"/>
      <c r="AS91" s="261"/>
    </row>
    <row r="92" spans="13:45" ht="11.4">
      <c r="M92" s="561" t="s">
        <v>1997</v>
      </c>
      <c r="N92" s="567" t="s">
        <v>1906</v>
      </c>
      <c r="O92" s="420" t="s">
        <v>195</v>
      </c>
      <c r="AB92" s="251"/>
      <c r="AC92" s="251"/>
      <c r="AD92" s="251"/>
      <c r="AE92" s="247">
        <f>AF92+AG92</f>
        <v>0</v>
      </c>
      <c r="AF92" s="244">
        <f>SUMIF(ВО.Р!$AO$93:$AO$344,ВО.Р!$AO$92,ВО.Р!AF$93:AF$344)</f>
        <v>0</v>
      </c>
      <c r="AG92" s="244">
        <f>SUMIF(ВО.Р!$AO$93:$AO$344,ВО.Р!$AO$92,ВО.Р!AG$93:AG$344)</f>
        <v>0</v>
      </c>
      <c r="AH92" s="251"/>
      <c r="AI92" s="251"/>
      <c r="AJ92" s="251"/>
      <c r="AK92" s="247"/>
      <c r="AL92" s="244"/>
      <c r="AM92" s="244"/>
      <c r="AN92" s="251"/>
      <c r="AO92" s="251"/>
      <c r="AP92" s="251"/>
      <c r="AQ92" s="247"/>
      <c r="AR92" s="244"/>
      <c r="AS92" s="244"/>
    </row>
    <row r="93" spans="13:45" ht="11.4">
      <c r="M93" s="560"/>
      <c r="N93" s="533"/>
      <c r="O93" s="422"/>
      <c r="AB93" s="251"/>
      <c r="AC93" s="251"/>
      <c r="AD93" s="251"/>
      <c r="AE93" s="261"/>
      <c r="AF93" s="261"/>
      <c r="AG93" s="261"/>
      <c r="AH93" s="251"/>
      <c r="AI93" s="251"/>
      <c r="AJ93" s="251"/>
      <c r="AK93" s="261"/>
      <c r="AL93" s="261"/>
      <c r="AM93" s="261"/>
      <c r="AN93" s="251"/>
      <c r="AO93" s="251"/>
      <c r="AP93" s="251"/>
      <c r="AQ93" s="261"/>
      <c r="AR93" s="261"/>
      <c r="AS93" s="261"/>
    </row>
    <row r="94" spans="13:45" ht="11.4">
      <c r="M94" s="561" t="s">
        <v>2001</v>
      </c>
      <c r="N94" s="559" t="s">
        <v>1917</v>
      </c>
      <c r="O94" s="420" t="s">
        <v>195</v>
      </c>
      <c r="AB94" s="251"/>
      <c r="AC94" s="251"/>
      <c r="AD94" s="251"/>
      <c r="AE94" s="252"/>
      <c r="AF94" s="524"/>
      <c r="AG94" s="524"/>
      <c r="AH94" s="251"/>
      <c r="AI94" s="251"/>
      <c r="AJ94" s="251"/>
      <c r="AK94" s="247">
        <f>AL94+AM94</f>
        <v>0</v>
      </c>
      <c r="AL94" s="244">
        <f>AL95*AL96/1000</f>
        <v>0</v>
      </c>
      <c r="AM94" s="244">
        <f>AM95*AM96/1000</f>
        <v>0</v>
      </c>
      <c r="AN94" s="251"/>
      <c r="AO94" s="251"/>
      <c r="AP94" s="251"/>
      <c r="AQ94" s="252"/>
      <c r="AR94" s="524"/>
      <c r="AS94" s="524"/>
    </row>
    <row r="95" spans="13:45" ht="11.4">
      <c r="M95" s="562" t="str">
        <f>M94 &amp; ".P"</f>
        <v>AGRP.P</v>
      </c>
      <c r="N95" s="531" t="s">
        <v>842</v>
      </c>
      <c r="O95" s="420" t="s">
        <v>23</v>
      </c>
      <c r="AB95" s="251"/>
      <c r="AC95" s="251"/>
      <c r="AD95" s="251"/>
      <c r="AE95" s="252"/>
      <c r="AF95" s="524"/>
      <c r="AG95" s="524"/>
      <c r="AH95" s="251"/>
      <c r="AI95" s="251"/>
      <c r="AJ95" s="251"/>
      <c r="AK95" s="247">
        <f>IF(AK96=0,0,AK94*1000/AK96)</f>
        <v>0</v>
      </c>
      <c r="AL95" s="221"/>
      <c r="AM95" s="221"/>
      <c r="AN95" s="251"/>
      <c r="AO95" s="251"/>
      <c r="AP95" s="251"/>
      <c r="AQ95" s="252"/>
      <c r="AR95" s="524"/>
      <c r="AS95" s="524"/>
    </row>
    <row r="96" spans="13:45" ht="11.4">
      <c r="M96" s="562" t="str">
        <f>M94 &amp; ".V"</f>
        <v>AGRP.V</v>
      </c>
      <c r="N96" s="531" t="s">
        <v>245</v>
      </c>
      <c r="O96" s="420" t="s">
        <v>289</v>
      </c>
      <c r="AB96" s="251"/>
      <c r="AC96" s="251"/>
      <c r="AD96" s="251"/>
      <c r="AE96" s="524"/>
      <c r="AF96" s="524"/>
      <c r="AG96" s="524"/>
      <c r="AH96" s="251"/>
      <c r="AI96" s="251"/>
      <c r="AJ96" s="251"/>
      <c r="AK96" s="247">
        <f>AL96+AM96</f>
        <v>0</v>
      </c>
      <c r="AL96" s="221"/>
      <c r="AM96" s="221"/>
      <c r="AN96" s="251"/>
      <c r="AO96" s="251"/>
      <c r="AP96" s="251"/>
      <c r="AQ96" s="524"/>
      <c r="AR96" s="524"/>
      <c r="AS96" s="524"/>
    </row>
    <row r="97" spans="13:45" ht="11.4">
      <c r="M97" s="561" t="s">
        <v>2002</v>
      </c>
      <c r="N97" s="559" t="s">
        <v>1918</v>
      </c>
      <c r="O97" s="420" t="s">
        <v>195</v>
      </c>
      <c r="AB97" s="251"/>
      <c r="AC97" s="251"/>
      <c r="AD97" s="251"/>
      <c r="AE97" s="252"/>
      <c r="AF97" s="524"/>
      <c r="AG97" s="524"/>
      <c r="AH97" s="251"/>
      <c r="AI97" s="251"/>
      <c r="AJ97" s="251"/>
      <c r="AK97" s="247">
        <f>AL97+AM97</f>
        <v>0</v>
      </c>
      <c r="AL97" s="244">
        <f>AL98*AL99/1000</f>
        <v>0</v>
      </c>
      <c r="AM97" s="244">
        <f>AM98*AM99/1000</f>
        <v>0</v>
      </c>
      <c r="AN97" s="251"/>
      <c r="AO97" s="251"/>
      <c r="AP97" s="251"/>
      <c r="AQ97" s="252"/>
      <c r="AR97" s="524"/>
      <c r="AS97" s="524"/>
    </row>
    <row r="98" spans="13:45" ht="11.4">
      <c r="M98" s="562" t="str">
        <f>M97 &amp; ".P"</f>
        <v>AGRE.P</v>
      </c>
      <c r="N98" s="531" t="s">
        <v>842</v>
      </c>
      <c r="O98" s="420" t="s">
        <v>23</v>
      </c>
      <c r="AB98" s="251"/>
      <c r="AC98" s="251"/>
      <c r="AD98" s="251"/>
      <c r="AE98" s="252"/>
      <c r="AF98" s="524"/>
      <c r="AG98" s="524"/>
      <c r="AH98" s="251"/>
      <c r="AI98" s="251"/>
      <c r="AJ98" s="251"/>
      <c r="AK98" s="247">
        <f>IF(AK99=0,0,AK97*1000/AK99)</f>
        <v>0</v>
      </c>
      <c r="AL98" s="221"/>
      <c r="AM98" s="221"/>
      <c r="AN98" s="251"/>
      <c r="AO98" s="251"/>
      <c r="AP98" s="251"/>
      <c r="AQ98" s="252"/>
      <c r="AR98" s="524"/>
      <c r="AS98" s="524"/>
    </row>
    <row r="99" spans="13:45" ht="11.4">
      <c r="M99" s="562" t="str">
        <f>M97 &amp; ".V"</f>
        <v>AGRE.V</v>
      </c>
      <c r="N99" s="531" t="s">
        <v>245</v>
      </c>
      <c r="O99" s="420" t="s">
        <v>289</v>
      </c>
      <c r="AB99" s="251"/>
      <c r="AC99" s="251"/>
      <c r="AD99" s="251"/>
      <c r="AE99" s="524"/>
      <c r="AF99" s="524"/>
      <c r="AG99" s="524"/>
      <c r="AH99" s="251"/>
      <c r="AI99" s="251"/>
      <c r="AJ99" s="251"/>
      <c r="AK99" s="247">
        <f>AL99+AM99</f>
        <v>0</v>
      </c>
      <c r="AL99" s="221"/>
      <c r="AM99" s="221"/>
      <c r="AN99" s="251"/>
      <c r="AO99" s="251"/>
      <c r="AP99" s="251"/>
      <c r="AQ99" s="524"/>
      <c r="AR99" s="524"/>
      <c r="AS99" s="524"/>
    </row>
    <row r="100" spans="13:45" ht="11.4">
      <c r="M100" s="561" t="s">
        <v>2037</v>
      </c>
      <c r="N100" s="559" t="s">
        <v>1919</v>
      </c>
      <c r="O100" s="420" t="s">
        <v>195</v>
      </c>
      <c r="AB100" s="251"/>
      <c r="AC100" s="251"/>
      <c r="AD100" s="251"/>
      <c r="AE100" s="252"/>
      <c r="AF100" s="524"/>
      <c r="AG100" s="524"/>
      <c r="AH100" s="251"/>
      <c r="AI100" s="251"/>
      <c r="AJ100" s="251"/>
      <c r="AK100" s="247">
        <f>AL100+AM100</f>
        <v>0</v>
      </c>
      <c r="AL100" s="244">
        <f>AL101*AL102/1000</f>
        <v>0</v>
      </c>
      <c r="AM100" s="244">
        <f>AM101*AM102/1000</f>
        <v>0</v>
      </c>
      <c r="AN100" s="251"/>
      <c r="AO100" s="251"/>
      <c r="AP100" s="251"/>
      <c r="AQ100" s="252"/>
      <c r="AR100" s="524"/>
      <c r="AS100" s="524"/>
    </row>
    <row r="101" spans="13:45" ht="11.4">
      <c r="M101" s="562" t="str">
        <f>M100 &amp; ".P"</f>
        <v>ALOX.P</v>
      </c>
      <c r="N101" s="531" t="s">
        <v>842</v>
      </c>
      <c r="O101" s="420" t="s">
        <v>23</v>
      </c>
      <c r="AB101" s="251"/>
      <c r="AC101" s="251"/>
      <c r="AD101" s="251"/>
      <c r="AE101" s="252"/>
      <c r="AF101" s="524"/>
      <c r="AG101" s="524"/>
      <c r="AH101" s="251"/>
      <c r="AI101" s="251"/>
      <c r="AJ101" s="251"/>
      <c r="AK101" s="247">
        <f>IF(AK102=0,0,AK100*1000/AK102)</f>
        <v>0</v>
      </c>
      <c r="AL101" s="221"/>
      <c r="AM101" s="221"/>
      <c r="AN101" s="251"/>
      <c r="AO101" s="251"/>
      <c r="AP101" s="251"/>
      <c r="AQ101" s="252"/>
      <c r="AR101" s="524"/>
      <c r="AS101" s="524"/>
    </row>
    <row r="102" spans="13:45" ht="11.4">
      <c r="M102" s="562" t="str">
        <f>M100 &amp; ".V"</f>
        <v>ALOX.V</v>
      </c>
      <c r="N102" s="531" t="s">
        <v>245</v>
      </c>
      <c r="O102" s="420" t="s">
        <v>289</v>
      </c>
      <c r="AB102" s="251"/>
      <c r="AC102" s="251"/>
      <c r="AD102" s="251"/>
      <c r="AE102" s="524"/>
      <c r="AF102" s="524"/>
      <c r="AG102" s="524"/>
      <c r="AH102" s="251"/>
      <c r="AI102" s="251"/>
      <c r="AJ102" s="251"/>
      <c r="AK102" s="247">
        <f>AL102+AM102</f>
        <v>0</v>
      </c>
      <c r="AL102" s="221"/>
      <c r="AM102" s="221"/>
      <c r="AN102" s="251"/>
      <c r="AO102" s="251"/>
      <c r="AP102" s="251"/>
      <c r="AQ102" s="524"/>
      <c r="AR102" s="524"/>
      <c r="AS102" s="524"/>
    </row>
    <row r="103" spans="13:45" ht="11.4">
      <c r="M103" s="561" t="s">
        <v>2038</v>
      </c>
      <c r="N103" s="559" t="s">
        <v>1920</v>
      </c>
      <c r="O103" s="420" t="s">
        <v>195</v>
      </c>
      <c r="AB103" s="251"/>
      <c r="AC103" s="251"/>
      <c r="AD103" s="251"/>
      <c r="AE103" s="252"/>
      <c r="AF103" s="524"/>
      <c r="AG103" s="524"/>
      <c r="AH103" s="251"/>
      <c r="AI103" s="251"/>
      <c r="AJ103" s="251"/>
      <c r="AK103" s="247">
        <f>AL103+AM103</f>
        <v>0</v>
      </c>
      <c r="AL103" s="244">
        <f>AL104*AL105/1000</f>
        <v>0</v>
      </c>
      <c r="AM103" s="244">
        <f>AM104*AM105/1000</f>
        <v>0</v>
      </c>
      <c r="AN103" s="251"/>
      <c r="AO103" s="251"/>
      <c r="AP103" s="251"/>
      <c r="AQ103" s="252"/>
      <c r="AR103" s="524"/>
      <c r="AS103" s="524"/>
    </row>
    <row r="104" spans="13:45" ht="11.4">
      <c r="M104" s="562" t="str">
        <f>M103 &amp; ".P"</f>
        <v>ALS.P</v>
      </c>
      <c r="N104" s="531" t="s">
        <v>842</v>
      </c>
      <c r="O104" s="420" t="s">
        <v>23</v>
      </c>
      <c r="AB104" s="251"/>
      <c r="AC104" s="251"/>
      <c r="AD104" s="251"/>
      <c r="AE104" s="252"/>
      <c r="AF104" s="524"/>
      <c r="AG104" s="524"/>
      <c r="AH104" s="251"/>
      <c r="AI104" s="251"/>
      <c r="AJ104" s="251"/>
      <c r="AK104" s="247">
        <f>IF(AK105=0,0,AK103*1000/AK105)</f>
        <v>0</v>
      </c>
      <c r="AL104" s="221"/>
      <c r="AM104" s="221"/>
      <c r="AN104" s="251"/>
      <c r="AO104" s="251"/>
      <c r="AP104" s="251"/>
      <c r="AQ104" s="252"/>
      <c r="AR104" s="524"/>
      <c r="AS104" s="524"/>
    </row>
    <row r="105" spans="13:45" ht="11.4">
      <c r="M105" s="562" t="str">
        <f>M103 &amp; ".V"</f>
        <v>ALS.V</v>
      </c>
      <c r="N105" s="531" t="s">
        <v>245</v>
      </c>
      <c r="O105" s="420" t="s">
        <v>289</v>
      </c>
      <c r="AB105" s="251"/>
      <c r="AC105" s="251"/>
      <c r="AD105" s="251"/>
      <c r="AE105" s="524"/>
      <c r="AF105" s="524"/>
      <c r="AG105" s="524"/>
      <c r="AH105" s="251"/>
      <c r="AI105" s="251"/>
      <c r="AJ105" s="251"/>
      <c r="AK105" s="247">
        <f>AL105+AM105</f>
        <v>0</v>
      </c>
      <c r="AL105" s="221"/>
      <c r="AM105" s="221"/>
      <c r="AN105" s="251"/>
      <c r="AO105" s="251"/>
      <c r="AP105" s="251"/>
      <c r="AQ105" s="524"/>
      <c r="AR105" s="524"/>
      <c r="AS105" s="524"/>
    </row>
    <row r="106" spans="13:45" ht="11.4">
      <c r="M106" s="561" t="s">
        <v>2003</v>
      </c>
      <c r="N106" s="559" t="s">
        <v>1921</v>
      </c>
      <c r="O106" s="420" t="s">
        <v>195</v>
      </c>
      <c r="AB106" s="251"/>
      <c r="AC106" s="251"/>
      <c r="AD106" s="251"/>
      <c r="AE106" s="252"/>
      <c r="AF106" s="524"/>
      <c r="AG106" s="524"/>
      <c r="AH106" s="251"/>
      <c r="AI106" s="251"/>
      <c r="AJ106" s="251"/>
      <c r="AK106" s="247">
        <f>AL106+AM106</f>
        <v>0</v>
      </c>
      <c r="AL106" s="244">
        <f>AL107*AL108/1000</f>
        <v>0</v>
      </c>
      <c r="AM106" s="244">
        <f>AM107*AM108/1000</f>
        <v>0</v>
      </c>
      <c r="AN106" s="251"/>
      <c r="AO106" s="251"/>
      <c r="AP106" s="251"/>
      <c r="AQ106" s="252"/>
      <c r="AR106" s="524"/>
      <c r="AS106" s="524"/>
    </row>
    <row r="107" spans="13:45" ht="11.4">
      <c r="M107" s="562" t="str">
        <f>M106 &amp; ".P"</f>
        <v>AM.P</v>
      </c>
      <c r="N107" s="531" t="s">
        <v>842</v>
      </c>
      <c r="O107" s="420" t="s">
        <v>23</v>
      </c>
      <c r="AB107" s="251"/>
      <c r="AC107" s="251"/>
      <c r="AD107" s="251"/>
      <c r="AE107" s="252"/>
      <c r="AF107" s="524"/>
      <c r="AG107" s="524"/>
      <c r="AH107" s="251"/>
      <c r="AI107" s="251"/>
      <c r="AJ107" s="251"/>
      <c r="AK107" s="247">
        <f>IF(AK108=0,0,AK106*1000/AK108)</f>
        <v>0</v>
      </c>
      <c r="AL107" s="221"/>
      <c r="AM107" s="221"/>
      <c r="AN107" s="251"/>
      <c r="AO107" s="251"/>
      <c r="AP107" s="251"/>
      <c r="AQ107" s="252"/>
      <c r="AR107" s="524"/>
      <c r="AS107" s="524"/>
    </row>
    <row r="108" spans="13:45" ht="11.4">
      <c r="M108" s="562" t="str">
        <f>M106 &amp; ".V"</f>
        <v>AM.V</v>
      </c>
      <c r="N108" s="531" t="s">
        <v>245</v>
      </c>
      <c r="O108" s="420" t="s">
        <v>289</v>
      </c>
      <c r="AB108" s="251"/>
      <c r="AC108" s="251"/>
      <c r="AD108" s="251"/>
      <c r="AE108" s="524"/>
      <c r="AF108" s="524"/>
      <c r="AG108" s="524"/>
      <c r="AH108" s="251"/>
      <c r="AI108" s="251"/>
      <c r="AJ108" s="251"/>
      <c r="AK108" s="247">
        <f>AL108+AM108</f>
        <v>0</v>
      </c>
      <c r="AL108" s="221"/>
      <c r="AM108" s="221"/>
      <c r="AN108" s="251"/>
      <c r="AO108" s="251"/>
      <c r="AP108" s="251"/>
      <c r="AQ108" s="524"/>
      <c r="AR108" s="524"/>
      <c r="AS108" s="524"/>
    </row>
    <row r="109" spans="13:45" ht="11.4">
      <c r="M109" s="561" t="s">
        <v>2004</v>
      </c>
      <c r="N109" s="559" t="s">
        <v>1922</v>
      </c>
      <c r="O109" s="420" t="s">
        <v>195</v>
      </c>
      <c r="AB109" s="251"/>
      <c r="AC109" s="251"/>
      <c r="AD109" s="251"/>
      <c r="AE109" s="252"/>
      <c r="AF109" s="524"/>
      <c r="AG109" s="524"/>
      <c r="AH109" s="251"/>
      <c r="AI109" s="251"/>
      <c r="AJ109" s="251"/>
      <c r="AK109" s="247">
        <f>AL109+AM109</f>
        <v>0</v>
      </c>
      <c r="AL109" s="244">
        <f>AL110*AL111/1000</f>
        <v>0</v>
      </c>
      <c r="AM109" s="244">
        <f>AM110*AM111/1000</f>
        <v>0</v>
      </c>
      <c r="AN109" s="251"/>
      <c r="AO109" s="251"/>
      <c r="AP109" s="251"/>
      <c r="AQ109" s="252"/>
      <c r="AR109" s="524"/>
      <c r="AS109" s="524"/>
    </row>
    <row r="110" spans="13:45" ht="11.4">
      <c r="M110" s="562" t="str">
        <f>M109 &amp; ".P"</f>
        <v>AMW.P</v>
      </c>
      <c r="N110" s="531" t="s">
        <v>842</v>
      </c>
      <c r="O110" s="420" t="s">
        <v>23</v>
      </c>
      <c r="AB110" s="251"/>
      <c r="AC110" s="251"/>
      <c r="AD110" s="251"/>
      <c r="AE110" s="252"/>
      <c r="AF110" s="524"/>
      <c r="AG110" s="524"/>
      <c r="AH110" s="251"/>
      <c r="AI110" s="251"/>
      <c r="AJ110" s="251"/>
      <c r="AK110" s="247">
        <f>IF(AK111=0,0,AK109*1000/AK111)</f>
        <v>0</v>
      </c>
      <c r="AL110" s="221"/>
      <c r="AM110" s="221"/>
      <c r="AN110" s="251"/>
      <c r="AO110" s="251"/>
      <c r="AP110" s="251"/>
      <c r="AQ110" s="252"/>
      <c r="AR110" s="524"/>
      <c r="AS110" s="524"/>
    </row>
    <row r="111" spans="13:45" ht="11.4">
      <c r="M111" s="562" t="str">
        <f>M109 &amp; ".V"</f>
        <v>AMW.V</v>
      </c>
      <c r="N111" s="531" t="s">
        <v>245</v>
      </c>
      <c r="O111" s="420" t="s">
        <v>289</v>
      </c>
      <c r="AB111" s="251"/>
      <c r="AC111" s="251"/>
      <c r="AD111" s="251"/>
      <c r="AE111" s="524"/>
      <c r="AF111" s="524"/>
      <c r="AG111" s="524"/>
      <c r="AH111" s="251"/>
      <c r="AI111" s="251"/>
      <c r="AJ111" s="251"/>
      <c r="AK111" s="247">
        <f>AL111+AM111</f>
        <v>0</v>
      </c>
      <c r="AL111" s="221"/>
      <c r="AM111" s="221"/>
      <c r="AN111" s="251"/>
      <c r="AO111" s="251"/>
      <c r="AP111" s="251"/>
      <c r="AQ111" s="524"/>
      <c r="AR111" s="524"/>
      <c r="AS111" s="524"/>
    </row>
    <row r="112" spans="13:45" ht="11.4">
      <c r="M112" s="561" t="s">
        <v>2005</v>
      </c>
      <c r="N112" s="559" t="s">
        <v>1923</v>
      </c>
      <c r="O112" s="420" t="s">
        <v>195</v>
      </c>
      <c r="AB112" s="251"/>
      <c r="AC112" s="251"/>
      <c r="AD112" s="251"/>
      <c r="AE112" s="252"/>
      <c r="AF112" s="524"/>
      <c r="AG112" s="524"/>
      <c r="AH112" s="251"/>
      <c r="AI112" s="251"/>
      <c r="AJ112" s="251"/>
      <c r="AK112" s="247">
        <f>AL112+AM112</f>
        <v>0</v>
      </c>
      <c r="AL112" s="244">
        <f>AL113*AL114/1000</f>
        <v>0</v>
      </c>
      <c r="AM112" s="244">
        <f>AM113*AM114/1000</f>
        <v>0</v>
      </c>
      <c r="AN112" s="251"/>
      <c r="AO112" s="251"/>
      <c r="AP112" s="251"/>
      <c r="AQ112" s="252"/>
      <c r="AR112" s="524"/>
      <c r="AS112" s="524"/>
    </row>
    <row r="113" spans="13:45" ht="11.4">
      <c r="M113" s="562" t="str">
        <f>M112 &amp; ".P"</f>
        <v>AMN.P</v>
      </c>
      <c r="N113" s="531" t="s">
        <v>842</v>
      </c>
      <c r="O113" s="420" t="s">
        <v>23</v>
      </c>
      <c r="AB113" s="251"/>
      <c r="AC113" s="251"/>
      <c r="AD113" s="251"/>
      <c r="AE113" s="252"/>
      <c r="AF113" s="524"/>
      <c r="AG113" s="524"/>
      <c r="AH113" s="251"/>
      <c r="AI113" s="251"/>
      <c r="AJ113" s="251"/>
      <c r="AK113" s="247">
        <f>IF(AK114=0,0,AK112*1000/AK114)</f>
        <v>0</v>
      </c>
      <c r="AL113" s="221"/>
      <c r="AM113" s="221"/>
      <c r="AN113" s="251"/>
      <c r="AO113" s="251"/>
      <c r="AP113" s="251"/>
      <c r="AQ113" s="252"/>
      <c r="AR113" s="524"/>
      <c r="AS113" s="524"/>
    </row>
    <row r="114" spans="13:45" ht="11.4">
      <c r="M114" s="562" t="str">
        <f>M112 &amp; ".V"</f>
        <v>AMN.V</v>
      </c>
      <c r="N114" s="531" t="s">
        <v>245</v>
      </c>
      <c r="O114" s="420" t="s">
        <v>289</v>
      </c>
      <c r="AB114" s="251"/>
      <c r="AC114" s="251"/>
      <c r="AD114" s="251"/>
      <c r="AE114" s="524"/>
      <c r="AF114" s="524"/>
      <c r="AG114" s="524"/>
      <c r="AH114" s="251"/>
      <c r="AI114" s="251"/>
      <c r="AJ114" s="251"/>
      <c r="AK114" s="247">
        <f>AL114+AM114</f>
        <v>0</v>
      </c>
      <c r="AL114" s="221"/>
      <c r="AM114" s="221"/>
      <c r="AN114" s="251"/>
      <c r="AO114" s="251"/>
      <c r="AP114" s="251"/>
      <c r="AQ114" s="524"/>
      <c r="AR114" s="524"/>
      <c r="AS114" s="524"/>
    </row>
    <row r="115" spans="13:45" ht="11.4">
      <c r="M115" s="561" t="s">
        <v>2039</v>
      </c>
      <c r="N115" s="559" t="s">
        <v>1924</v>
      </c>
      <c r="O115" s="420" t="s">
        <v>195</v>
      </c>
      <c r="AB115" s="251"/>
      <c r="AC115" s="251"/>
      <c r="AD115" s="251"/>
      <c r="AE115" s="252"/>
      <c r="AF115" s="524"/>
      <c r="AG115" s="524"/>
      <c r="AH115" s="251"/>
      <c r="AI115" s="251"/>
      <c r="AJ115" s="251"/>
      <c r="AK115" s="247">
        <f>AL115+AM115</f>
        <v>0</v>
      </c>
      <c r="AL115" s="244">
        <f>AL116*AL117/1000</f>
        <v>0</v>
      </c>
      <c r="AM115" s="244">
        <f>AM116*AM117/1000</f>
        <v>0</v>
      </c>
      <c r="AN115" s="251"/>
      <c r="AO115" s="251"/>
      <c r="AP115" s="251"/>
      <c r="AQ115" s="252"/>
      <c r="AR115" s="524"/>
      <c r="AS115" s="524"/>
    </row>
    <row r="116" spans="13:45" ht="11.4">
      <c r="M116" s="562" t="str">
        <f>M115 &amp; ".P"</f>
        <v>AMNCL.P</v>
      </c>
      <c r="N116" s="531" t="s">
        <v>842</v>
      </c>
      <c r="O116" s="420" t="s">
        <v>23</v>
      </c>
      <c r="AB116" s="251"/>
      <c r="AC116" s="251"/>
      <c r="AD116" s="251"/>
      <c r="AE116" s="252"/>
      <c r="AF116" s="524"/>
      <c r="AG116" s="524"/>
      <c r="AH116" s="251"/>
      <c r="AI116" s="251"/>
      <c r="AJ116" s="251"/>
      <c r="AK116" s="247">
        <f>IF(AK117=0,0,AK115*1000/AK117)</f>
        <v>0</v>
      </c>
      <c r="AL116" s="221"/>
      <c r="AM116" s="221"/>
      <c r="AN116" s="251"/>
      <c r="AO116" s="251"/>
      <c r="AP116" s="251"/>
      <c r="AQ116" s="252"/>
      <c r="AR116" s="524"/>
      <c r="AS116" s="524"/>
    </row>
    <row r="117" spans="13:45" ht="11.4">
      <c r="M117" s="562" t="str">
        <f>M115 &amp; ".V"</f>
        <v>AMNCL.V</v>
      </c>
      <c r="N117" s="531" t="s">
        <v>245</v>
      </c>
      <c r="O117" s="420" t="s">
        <v>289</v>
      </c>
      <c r="AB117" s="251"/>
      <c r="AC117" s="251"/>
      <c r="AD117" s="251"/>
      <c r="AE117" s="524"/>
      <c r="AF117" s="524"/>
      <c r="AG117" s="524"/>
      <c r="AH117" s="251"/>
      <c r="AI117" s="251"/>
      <c r="AJ117" s="251"/>
      <c r="AK117" s="247">
        <f>AL117+AM117</f>
        <v>0</v>
      </c>
      <c r="AL117" s="221"/>
      <c r="AM117" s="221"/>
      <c r="AN117" s="251"/>
      <c r="AO117" s="251"/>
      <c r="AP117" s="251"/>
      <c r="AQ117" s="524"/>
      <c r="AR117" s="524"/>
      <c r="AS117" s="524"/>
    </row>
    <row r="118" spans="13:45" ht="11.4">
      <c r="M118" s="561" t="s">
        <v>2040</v>
      </c>
      <c r="N118" s="559" t="s">
        <v>1925</v>
      </c>
      <c r="O118" s="420" t="s">
        <v>195</v>
      </c>
      <c r="AB118" s="251"/>
      <c r="AC118" s="251"/>
      <c r="AD118" s="251"/>
      <c r="AE118" s="252"/>
      <c r="AF118" s="524"/>
      <c r="AG118" s="524"/>
      <c r="AH118" s="251"/>
      <c r="AI118" s="251"/>
      <c r="AJ118" s="251"/>
      <c r="AK118" s="247">
        <f>AL118+AM118</f>
        <v>0</v>
      </c>
      <c r="AL118" s="244">
        <f>AL119*AL120/1000</f>
        <v>0</v>
      </c>
      <c r="AM118" s="244">
        <f>AM119*AM120/1000</f>
        <v>0</v>
      </c>
      <c r="AN118" s="251"/>
      <c r="AO118" s="251"/>
      <c r="AP118" s="251"/>
      <c r="AQ118" s="252"/>
      <c r="AR118" s="524"/>
      <c r="AS118" s="524"/>
    </row>
    <row r="119" spans="13:45" ht="11.4">
      <c r="M119" s="562" t="str">
        <f>M118 &amp; ".P"</f>
        <v>BACL.P</v>
      </c>
      <c r="N119" s="531" t="s">
        <v>842</v>
      </c>
      <c r="O119" s="420" t="s">
        <v>23</v>
      </c>
      <c r="AB119" s="251"/>
      <c r="AC119" s="251"/>
      <c r="AD119" s="251"/>
      <c r="AE119" s="252"/>
      <c r="AF119" s="524"/>
      <c r="AG119" s="524"/>
      <c r="AH119" s="251"/>
      <c r="AI119" s="251"/>
      <c r="AJ119" s="251"/>
      <c r="AK119" s="247">
        <f>IF(AK120=0,0,AK118*1000/AK120)</f>
        <v>0</v>
      </c>
      <c r="AL119" s="221"/>
      <c r="AM119" s="221"/>
      <c r="AN119" s="251"/>
      <c r="AO119" s="251"/>
      <c r="AP119" s="251"/>
      <c r="AQ119" s="252"/>
      <c r="AR119" s="524"/>
      <c r="AS119" s="524"/>
    </row>
    <row r="120" spans="13:45" ht="11.4">
      <c r="M120" s="562" t="str">
        <f>M118 &amp; ".V"</f>
        <v>BACL.V</v>
      </c>
      <c r="N120" s="531" t="s">
        <v>245</v>
      </c>
      <c r="O120" s="420" t="s">
        <v>289</v>
      </c>
      <c r="AB120" s="251"/>
      <c r="AC120" s="251"/>
      <c r="AD120" s="251"/>
      <c r="AE120" s="524"/>
      <c r="AF120" s="524"/>
      <c r="AG120" s="524"/>
      <c r="AH120" s="251"/>
      <c r="AI120" s="251"/>
      <c r="AJ120" s="251"/>
      <c r="AK120" s="247">
        <f>AL120+AM120</f>
        <v>0</v>
      </c>
      <c r="AL120" s="221"/>
      <c r="AM120" s="221"/>
      <c r="AN120" s="251"/>
      <c r="AO120" s="251"/>
      <c r="AP120" s="251"/>
      <c r="AQ120" s="524"/>
      <c r="AR120" s="524"/>
      <c r="AS120" s="524"/>
    </row>
    <row r="121" spans="13:45" ht="11.4">
      <c r="M121" s="561" t="s">
        <v>2006</v>
      </c>
      <c r="N121" s="559" t="s">
        <v>1926</v>
      </c>
      <c r="O121" s="420" t="s">
        <v>195</v>
      </c>
      <c r="AB121" s="251"/>
      <c r="AC121" s="251"/>
      <c r="AD121" s="251"/>
      <c r="AE121" s="252"/>
      <c r="AF121" s="524"/>
      <c r="AG121" s="524"/>
      <c r="AH121" s="251"/>
      <c r="AI121" s="251"/>
      <c r="AJ121" s="251"/>
      <c r="AK121" s="247">
        <f>AL121+AM121</f>
        <v>0</v>
      </c>
      <c r="AL121" s="244">
        <f>AL122*AL123/1000</f>
        <v>0</v>
      </c>
      <c r="AM121" s="244">
        <f>AM122*AM123/1000</f>
        <v>0</v>
      </c>
      <c r="AN121" s="251"/>
      <c r="AO121" s="251"/>
      <c r="AP121" s="251"/>
      <c r="AQ121" s="252"/>
      <c r="AR121" s="524"/>
      <c r="AS121" s="524"/>
    </row>
    <row r="122" spans="13:45" ht="11.4">
      <c r="M122" s="562" t="str">
        <f>M121 &amp; ".P"</f>
        <v>BIOX.P</v>
      </c>
      <c r="N122" s="531" t="s">
        <v>842</v>
      </c>
      <c r="O122" s="420" t="s">
        <v>23</v>
      </c>
      <c r="AB122" s="251"/>
      <c r="AC122" s="251"/>
      <c r="AD122" s="251"/>
      <c r="AE122" s="252"/>
      <c r="AF122" s="524"/>
      <c r="AG122" s="524"/>
      <c r="AH122" s="251"/>
      <c r="AI122" s="251"/>
      <c r="AJ122" s="251"/>
      <c r="AK122" s="247">
        <f>IF(AK123=0,0,AK121*1000/AK123)</f>
        <v>0</v>
      </c>
      <c r="AL122" s="221"/>
      <c r="AM122" s="221"/>
      <c r="AN122" s="251"/>
      <c r="AO122" s="251"/>
      <c r="AP122" s="251"/>
      <c r="AQ122" s="252"/>
      <c r="AR122" s="524"/>
      <c r="AS122" s="524"/>
    </row>
    <row r="123" spans="13:45" ht="11.4">
      <c r="M123" s="562" t="str">
        <f>M121 &amp; ".V"</f>
        <v>BIOX.V</v>
      </c>
      <c r="N123" s="531" t="s">
        <v>245</v>
      </c>
      <c r="O123" s="420" t="s">
        <v>289</v>
      </c>
      <c r="AB123" s="251"/>
      <c r="AC123" s="251"/>
      <c r="AD123" s="251"/>
      <c r="AE123" s="524"/>
      <c r="AF123" s="524"/>
      <c r="AG123" s="524"/>
      <c r="AH123" s="251"/>
      <c r="AI123" s="251"/>
      <c r="AJ123" s="251"/>
      <c r="AK123" s="247">
        <f>AL123+AM123</f>
        <v>0</v>
      </c>
      <c r="AL123" s="221"/>
      <c r="AM123" s="221"/>
      <c r="AN123" s="251"/>
      <c r="AO123" s="251"/>
      <c r="AP123" s="251"/>
      <c r="AQ123" s="524"/>
      <c r="AR123" s="524"/>
      <c r="AS123" s="524"/>
    </row>
    <row r="124" spans="13:45" ht="11.4">
      <c r="M124" s="561" t="s">
        <v>2007</v>
      </c>
      <c r="N124" s="559" t="s">
        <v>1927</v>
      </c>
      <c r="O124" s="420" t="s">
        <v>195</v>
      </c>
      <c r="AB124" s="251"/>
      <c r="AC124" s="251"/>
      <c r="AD124" s="251"/>
      <c r="AE124" s="252"/>
      <c r="AF124" s="524"/>
      <c r="AG124" s="524"/>
      <c r="AH124" s="251"/>
      <c r="AI124" s="251"/>
      <c r="AJ124" s="251"/>
      <c r="AK124" s="247">
        <f>AL124+AM124</f>
        <v>0</v>
      </c>
      <c r="AL124" s="244">
        <f>AL125*AL126/1000</f>
        <v>0</v>
      </c>
      <c r="AM124" s="244">
        <f>AM125*AM126/1000</f>
        <v>0</v>
      </c>
      <c r="AN124" s="251"/>
      <c r="AO124" s="251"/>
      <c r="AP124" s="251"/>
      <c r="AQ124" s="252"/>
      <c r="AR124" s="524"/>
      <c r="AS124" s="524"/>
    </row>
    <row r="125" spans="13:45" ht="11.4">
      <c r="M125" s="562" t="str">
        <f>M124 &amp; ".P"</f>
        <v>BRFNL.P</v>
      </c>
      <c r="N125" s="531" t="s">
        <v>842</v>
      </c>
      <c r="O125" s="420" t="s">
        <v>23</v>
      </c>
      <c r="AB125" s="251"/>
      <c r="AC125" s="251"/>
      <c r="AD125" s="251"/>
      <c r="AE125" s="252"/>
      <c r="AF125" s="524"/>
      <c r="AG125" s="524"/>
      <c r="AH125" s="251"/>
      <c r="AI125" s="251"/>
      <c r="AJ125" s="251"/>
      <c r="AK125" s="247">
        <f>IF(AK126=0,0,AK124*1000/AK126)</f>
        <v>0</v>
      </c>
      <c r="AL125" s="221"/>
      <c r="AM125" s="221"/>
      <c r="AN125" s="251"/>
      <c r="AO125" s="251"/>
      <c r="AP125" s="251"/>
      <c r="AQ125" s="252"/>
      <c r="AR125" s="524"/>
      <c r="AS125" s="524"/>
    </row>
    <row r="126" spans="13:45" ht="11.4">
      <c r="M126" s="562" t="str">
        <f>M124 &amp; ".V"</f>
        <v>BRFNL.V</v>
      </c>
      <c r="N126" s="531" t="s">
        <v>245</v>
      </c>
      <c r="O126" s="420" t="s">
        <v>289</v>
      </c>
      <c r="AB126" s="251"/>
      <c r="AC126" s="251"/>
      <c r="AD126" s="251"/>
      <c r="AE126" s="524"/>
      <c r="AF126" s="524"/>
      <c r="AG126" s="524"/>
      <c r="AH126" s="251"/>
      <c r="AI126" s="251"/>
      <c r="AJ126" s="251"/>
      <c r="AK126" s="247">
        <f>AL126+AM126</f>
        <v>0</v>
      </c>
      <c r="AL126" s="221"/>
      <c r="AM126" s="221"/>
      <c r="AN126" s="251"/>
      <c r="AO126" s="251"/>
      <c r="AP126" s="251"/>
      <c r="AQ126" s="524"/>
      <c r="AR126" s="524"/>
      <c r="AS126" s="524"/>
    </row>
    <row r="127" spans="13:45" ht="11.4">
      <c r="M127" s="561" t="s">
        <v>2008</v>
      </c>
      <c r="N127" s="559" t="s">
        <v>1928</v>
      </c>
      <c r="O127" s="420" t="s">
        <v>195</v>
      </c>
      <c r="AB127" s="251"/>
      <c r="AC127" s="251"/>
      <c r="AD127" s="251"/>
      <c r="AE127" s="252"/>
      <c r="AF127" s="524"/>
      <c r="AG127" s="524"/>
      <c r="AH127" s="251"/>
      <c r="AI127" s="251"/>
      <c r="AJ127" s="251"/>
      <c r="AK127" s="247">
        <f>AL127+AM127</f>
        <v>0</v>
      </c>
      <c r="AL127" s="244">
        <f>AL128*AL129/1000</f>
        <v>0</v>
      </c>
      <c r="AM127" s="244">
        <f>AM128*AM129/1000</f>
        <v>0</v>
      </c>
      <c r="AN127" s="251"/>
      <c r="AO127" s="251"/>
      <c r="AP127" s="251"/>
      <c r="AQ127" s="252"/>
      <c r="AR127" s="524"/>
      <c r="AS127" s="524"/>
    </row>
    <row r="128" spans="13:45" ht="11.4">
      <c r="M128" s="562" t="str">
        <f>M127 &amp; ".P"</f>
        <v>HDOX.P</v>
      </c>
      <c r="N128" s="531" t="s">
        <v>842</v>
      </c>
      <c r="O128" s="420" t="s">
        <v>23</v>
      </c>
      <c r="AB128" s="251"/>
      <c r="AC128" s="251"/>
      <c r="AD128" s="251"/>
      <c r="AE128" s="252"/>
      <c r="AF128" s="524"/>
      <c r="AG128" s="524"/>
      <c r="AH128" s="251"/>
      <c r="AI128" s="251"/>
      <c r="AJ128" s="251"/>
      <c r="AK128" s="247">
        <f>IF(AK129=0,0,AK127*1000/AK129)</f>
        <v>0</v>
      </c>
      <c r="AL128" s="221"/>
      <c r="AM128" s="221"/>
      <c r="AN128" s="251"/>
      <c r="AO128" s="251"/>
      <c r="AP128" s="251"/>
      <c r="AQ128" s="252"/>
      <c r="AR128" s="524"/>
      <c r="AS128" s="524"/>
    </row>
    <row r="129" spans="13:45" ht="11.4">
      <c r="M129" s="562" t="str">
        <f>M127 &amp; ".V"</f>
        <v>HDOX.V</v>
      </c>
      <c r="N129" s="531" t="s">
        <v>245</v>
      </c>
      <c r="O129" s="420" t="s">
        <v>289</v>
      </c>
      <c r="AB129" s="251"/>
      <c r="AC129" s="251"/>
      <c r="AD129" s="251"/>
      <c r="AE129" s="524"/>
      <c r="AF129" s="524"/>
      <c r="AG129" s="524"/>
      <c r="AH129" s="251"/>
      <c r="AI129" s="251"/>
      <c r="AJ129" s="251"/>
      <c r="AK129" s="247">
        <f>AL129+AM129</f>
        <v>0</v>
      </c>
      <c r="AL129" s="221"/>
      <c r="AM129" s="221"/>
      <c r="AN129" s="251"/>
      <c r="AO129" s="251"/>
      <c r="AP129" s="251"/>
      <c r="AQ129" s="524"/>
      <c r="AR129" s="524"/>
      <c r="AS129" s="524"/>
    </row>
    <row r="130" spans="13:45" ht="11.4">
      <c r="M130" s="561" t="s">
        <v>2009</v>
      </c>
      <c r="N130" s="559" t="s">
        <v>1929</v>
      </c>
      <c r="O130" s="420" t="s">
        <v>195</v>
      </c>
      <c r="AB130" s="251"/>
      <c r="AC130" s="251"/>
      <c r="AD130" s="251"/>
      <c r="AE130" s="252"/>
      <c r="AF130" s="524"/>
      <c r="AG130" s="524"/>
      <c r="AH130" s="251"/>
      <c r="AI130" s="251"/>
      <c r="AJ130" s="251"/>
      <c r="AK130" s="247">
        <f>AL130+AM130</f>
        <v>0</v>
      </c>
      <c r="AL130" s="244">
        <f>AL131*AL132/1000</f>
        <v>0</v>
      </c>
      <c r="AM130" s="244">
        <f>AM131*AM132/1000</f>
        <v>0</v>
      </c>
      <c r="AN130" s="251"/>
      <c r="AO130" s="251"/>
      <c r="AP130" s="251"/>
      <c r="AQ130" s="252"/>
      <c r="AR130" s="524"/>
      <c r="AS130" s="524"/>
    </row>
    <row r="131" spans="13:45" ht="11.4">
      <c r="M131" s="562" t="str">
        <f>M130 &amp; ".P"</f>
        <v>GEXN.P</v>
      </c>
      <c r="N131" s="531" t="s">
        <v>842</v>
      </c>
      <c r="O131" s="420" t="s">
        <v>23</v>
      </c>
      <c r="AB131" s="251"/>
      <c r="AC131" s="251"/>
      <c r="AD131" s="251"/>
      <c r="AE131" s="252"/>
      <c r="AF131" s="524"/>
      <c r="AG131" s="524"/>
      <c r="AH131" s="251"/>
      <c r="AI131" s="251"/>
      <c r="AJ131" s="251"/>
      <c r="AK131" s="247">
        <f>IF(AK132=0,0,AK130*1000/AK132)</f>
        <v>0</v>
      </c>
      <c r="AL131" s="221"/>
      <c r="AM131" s="221"/>
      <c r="AN131" s="251"/>
      <c r="AO131" s="251"/>
      <c r="AP131" s="251"/>
      <c r="AQ131" s="252"/>
      <c r="AR131" s="524"/>
      <c r="AS131" s="524"/>
    </row>
    <row r="132" spans="13:45" ht="11.4">
      <c r="M132" s="562" t="str">
        <f>M130 &amp; ".V"</f>
        <v>GEXN.V</v>
      </c>
      <c r="N132" s="531" t="s">
        <v>245</v>
      </c>
      <c r="O132" s="420" t="s">
        <v>289</v>
      </c>
      <c r="AB132" s="251"/>
      <c r="AC132" s="251"/>
      <c r="AD132" s="251"/>
      <c r="AE132" s="524"/>
      <c r="AF132" s="524"/>
      <c r="AG132" s="524"/>
      <c r="AH132" s="251"/>
      <c r="AI132" s="251"/>
      <c r="AJ132" s="251"/>
      <c r="AK132" s="247">
        <f>AL132+AM132</f>
        <v>0</v>
      </c>
      <c r="AL132" s="221"/>
      <c r="AM132" s="221"/>
      <c r="AN132" s="251"/>
      <c r="AO132" s="251"/>
      <c r="AP132" s="251"/>
      <c r="AQ132" s="524"/>
      <c r="AR132" s="524"/>
      <c r="AS132" s="524"/>
    </row>
    <row r="133" spans="13:45" ht="11.4">
      <c r="M133" s="561" t="s">
        <v>2041</v>
      </c>
      <c r="N133" s="559" t="s">
        <v>1930</v>
      </c>
      <c r="O133" s="420" t="s">
        <v>195</v>
      </c>
      <c r="AB133" s="251"/>
      <c r="AC133" s="251"/>
      <c r="AD133" s="251"/>
      <c r="AE133" s="252"/>
      <c r="AF133" s="524"/>
      <c r="AG133" s="524"/>
      <c r="AH133" s="251"/>
      <c r="AI133" s="251"/>
      <c r="AJ133" s="251"/>
      <c r="AK133" s="247">
        <f>AL133+AM133</f>
        <v>0</v>
      </c>
      <c r="AL133" s="244">
        <f>AL134*AL135/1000</f>
        <v>0</v>
      </c>
      <c r="AM133" s="244">
        <f>AM134*AM135/1000</f>
        <v>0</v>
      </c>
      <c r="AN133" s="251"/>
      <c r="AO133" s="251"/>
      <c r="AP133" s="251"/>
      <c r="AQ133" s="252"/>
      <c r="AR133" s="524"/>
      <c r="AS133" s="524"/>
    </row>
    <row r="134" spans="13:45" ht="11.4">
      <c r="M134" s="562" t="str">
        <f>M133 &amp; ".P"</f>
        <v>HDOXCL.P</v>
      </c>
      <c r="N134" s="531" t="s">
        <v>842</v>
      </c>
      <c r="O134" s="420" t="s">
        <v>23</v>
      </c>
      <c r="AB134" s="251"/>
      <c r="AC134" s="251"/>
      <c r="AD134" s="251"/>
      <c r="AE134" s="252"/>
      <c r="AF134" s="524"/>
      <c r="AG134" s="524"/>
      <c r="AH134" s="251"/>
      <c r="AI134" s="251"/>
      <c r="AJ134" s="251"/>
      <c r="AK134" s="247">
        <f>IF(AK135=0,0,AK133*1000/AK135)</f>
        <v>0</v>
      </c>
      <c r="AL134" s="221"/>
      <c r="AM134" s="221"/>
      <c r="AN134" s="251"/>
      <c r="AO134" s="251"/>
      <c r="AP134" s="251"/>
      <c r="AQ134" s="252"/>
      <c r="AR134" s="524"/>
      <c r="AS134" s="524"/>
    </row>
    <row r="135" spans="13:45" ht="11.4">
      <c r="M135" s="562" t="str">
        <f>M133 &amp; ".V"</f>
        <v>HDOXCL.V</v>
      </c>
      <c r="N135" s="531" t="s">
        <v>245</v>
      </c>
      <c r="O135" s="420" t="s">
        <v>289</v>
      </c>
      <c r="AB135" s="251"/>
      <c r="AC135" s="251"/>
      <c r="AD135" s="251"/>
      <c r="AE135" s="524"/>
      <c r="AF135" s="524"/>
      <c r="AG135" s="524"/>
      <c r="AH135" s="251"/>
      <c r="AI135" s="251"/>
      <c r="AJ135" s="251"/>
      <c r="AK135" s="247">
        <f>AL135+AM135</f>
        <v>0</v>
      </c>
      <c r="AL135" s="221"/>
      <c r="AM135" s="221"/>
      <c r="AN135" s="251"/>
      <c r="AO135" s="251"/>
      <c r="AP135" s="251"/>
      <c r="AQ135" s="524"/>
      <c r="AR135" s="524"/>
      <c r="AS135" s="524"/>
    </row>
    <row r="136" spans="13:45" ht="11.4">
      <c r="M136" s="561" t="s">
        <v>2042</v>
      </c>
      <c r="N136" s="559" t="s">
        <v>1931</v>
      </c>
      <c r="O136" s="420" t="s">
        <v>195</v>
      </c>
      <c r="AB136" s="251"/>
      <c r="AC136" s="251"/>
      <c r="AD136" s="251"/>
      <c r="AE136" s="252"/>
      <c r="AF136" s="524"/>
      <c r="AG136" s="524"/>
      <c r="AH136" s="251"/>
      <c r="AI136" s="251"/>
      <c r="AJ136" s="251"/>
      <c r="AK136" s="247">
        <f>AL136+AM136</f>
        <v>0</v>
      </c>
      <c r="AL136" s="244">
        <f>AL137*AL138/1000</f>
        <v>0</v>
      </c>
      <c r="AM136" s="244">
        <f>AM137*AM138/1000</f>
        <v>0</v>
      </c>
      <c r="AN136" s="251"/>
      <c r="AO136" s="251"/>
      <c r="AP136" s="251"/>
      <c r="AQ136" s="252"/>
      <c r="AR136" s="524"/>
      <c r="AS136" s="524"/>
    </row>
    <row r="137" spans="13:45" ht="11.4">
      <c r="M137" s="562" t="str">
        <f>M136 &amp; ".P"</f>
        <v>HDCLCA.P</v>
      </c>
      <c r="N137" s="531" t="s">
        <v>842</v>
      </c>
      <c r="O137" s="420" t="s">
        <v>23</v>
      </c>
      <c r="AB137" s="251"/>
      <c r="AC137" s="251"/>
      <c r="AD137" s="251"/>
      <c r="AE137" s="252"/>
      <c r="AF137" s="524"/>
      <c r="AG137" s="524"/>
      <c r="AH137" s="251"/>
      <c r="AI137" s="251"/>
      <c r="AJ137" s="251"/>
      <c r="AK137" s="247">
        <f>IF(AK138=0,0,AK136*1000/AK138)</f>
        <v>0</v>
      </c>
      <c r="AL137" s="221"/>
      <c r="AM137" s="221"/>
      <c r="AN137" s="251"/>
      <c r="AO137" s="251"/>
      <c r="AP137" s="251"/>
      <c r="AQ137" s="252"/>
      <c r="AR137" s="524"/>
      <c r="AS137" s="524"/>
    </row>
    <row r="138" spans="13:45" ht="11.4">
      <c r="M138" s="562" t="str">
        <f>M136 &amp; ".V"</f>
        <v>HDCLCA.V</v>
      </c>
      <c r="N138" s="531" t="s">
        <v>245</v>
      </c>
      <c r="O138" s="420" t="s">
        <v>289</v>
      </c>
      <c r="AB138" s="251"/>
      <c r="AC138" s="251"/>
      <c r="AD138" s="251"/>
      <c r="AE138" s="524"/>
      <c r="AF138" s="524"/>
      <c r="AG138" s="524"/>
      <c r="AH138" s="251"/>
      <c r="AI138" s="251"/>
      <c r="AJ138" s="251"/>
      <c r="AK138" s="247">
        <f>AL138+AM138</f>
        <v>0</v>
      </c>
      <c r="AL138" s="221"/>
      <c r="AM138" s="221"/>
      <c r="AN138" s="251"/>
      <c r="AO138" s="251"/>
      <c r="AP138" s="251"/>
      <c r="AQ138" s="524"/>
      <c r="AR138" s="524"/>
      <c r="AS138" s="524"/>
    </row>
    <row r="139" spans="13:45" ht="11.4">
      <c r="M139" s="561" t="s">
        <v>2043</v>
      </c>
      <c r="N139" s="559" t="s">
        <v>1932</v>
      </c>
      <c r="O139" s="420" t="s">
        <v>195</v>
      </c>
      <c r="AB139" s="251"/>
      <c r="AC139" s="251"/>
      <c r="AD139" s="251"/>
      <c r="AE139" s="252"/>
      <c r="AF139" s="524"/>
      <c r="AG139" s="524"/>
      <c r="AH139" s="251"/>
      <c r="AI139" s="251"/>
      <c r="AJ139" s="251"/>
      <c r="AK139" s="247">
        <f>AL139+AM139</f>
        <v>0</v>
      </c>
      <c r="AL139" s="244">
        <f>AL140*AL141/1000</f>
        <v>0</v>
      </c>
      <c r="AM139" s="244">
        <f>AM140*AM141/1000</f>
        <v>0</v>
      </c>
      <c r="AN139" s="251"/>
      <c r="AO139" s="251"/>
      <c r="AP139" s="251"/>
      <c r="AQ139" s="252"/>
      <c r="AR139" s="524"/>
      <c r="AS139" s="524"/>
    </row>
    <row r="140" spans="13:45" ht="11.4">
      <c r="M140" s="562" t="str">
        <f>M139 &amp; ".P"</f>
        <v>HPCLCA.P</v>
      </c>
      <c r="N140" s="531" t="s">
        <v>842</v>
      </c>
      <c r="O140" s="420" t="s">
        <v>23</v>
      </c>
      <c r="AB140" s="251"/>
      <c r="AC140" s="251"/>
      <c r="AD140" s="251"/>
      <c r="AE140" s="252"/>
      <c r="AF140" s="524"/>
      <c r="AG140" s="524"/>
      <c r="AH140" s="251"/>
      <c r="AI140" s="251"/>
      <c r="AJ140" s="251"/>
      <c r="AK140" s="247">
        <f>IF(AK141=0,0,AK139*1000/AK141)</f>
        <v>0</v>
      </c>
      <c r="AL140" s="221"/>
      <c r="AM140" s="221"/>
      <c r="AN140" s="251"/>
      <c r="AO140" s="251"/>
      <c r="AP140" s="251"/>
      <c r="AQ140" s="252"/>
      <c r="AR140" s="524"/>
      <c r="AS140" s="524"/>
    </row>
    <row r="141" spans="13:45" ht="11.4">
      <c r="M141" s="562" t="str">
        <f>M139 &amp; ".V"</f>
        <v>HPCLCA.V</v>
      </c>
      <c r="N141" s="531" t="s">
        <v>245</v>
      </c>
      <c r="O141" s="420" t="s">
        <v>289</v>
      </c>
      <c r="AB141" s="251"/>
      <c r="AC141" s="251"/>
      <c r="AD141" s="251"/>
      <c r="AE141" s="524"/>
      <c r="AF141" s="524"/>
      <c r="AG141" s="524"/>
      <c r="AH141" s="251"/>
      <c r="AI141" s="251"/>
      <c r="AJ141" s="251"/>
      <c r="AK141" s="247">
        <f>AL141+AM141</f>
        <v>0</v>
      </c>
      <c r="AL141" s="221"/>
      <c r="AM141" s="221"/>
      <c r="AN141" s="251"/>
      <c r="AO141" s="251"/>
      <c r="AP141" s="251"/>
      <c r="AQ141" s="524"/>
      <c r="AR141" s="524"/>
      <c r="AS141" s="524"/>
    </row>
    <row r="142" spans="13:45" ht="11.4">
      <c r="M142" s="561" t="s">
        <v>2044</v>
      </c>
      <c r="N142" s="559" t="s">
        <v>1933</v>
      </c>
      <c r="O142" s="420" t="s">
        <v>195</v>
      </c>
      <c r="AB142" s="251"/>
      <c r="AC142" s="251"/>
      <c r="AD142" s="251"/>
      <c r="AE142" s="252"/>
      <c r="AF142" s="524"/>
      <c r="AG142" s="524"/>
      <c r="AH142" s="251"/>
      <c r="AI142" s="251"/>
      <c r="AJ142" s="251"/>
      <c r="AK142" s="247">
        <f>AL142+AM142</f>
        <v>0</v>
      </c>
      <c r="AL142" s="244">
        <f>AL143*AL144/1000</f>
        <v>0</v>
      </c>
      <c r="AM142" s="244">
        <f>AM143*AM144/1000</f>
        <v>0</v>
      </c>
      <c r="AN142" s="251"/>
      <c r="AO142" s="251"/>
      <c r="AP142" s="251"/>
      <c r="AQ142" s="252"/>
      <c r="AR142" s="524"/>
      <c r="AS142" s="524"/>
    </row>
    <row r="143" spans="13:45" ht="11.4">
      <c r="M143" s="562" t="str">
        <f>M142 &amp; ".P"</f>
        <v>HPCLNA.P</v>
      </c>
      <c r="N143" s="531" t="s">
        <v>842</v>
      </c>
      <c r="O143" s="420" t="s">
        <v>23</v>
      </c>
      <c r="AB143" s="251"/>
      <c r="AC143" s="251"/>
      <c r="AD143" s="251"/>
      <c r="AE143" s="252"/>
      <c r="AF143" s="524"/>
      <c r="AG143" s="524"/>
      <c r="AH143" s="251"/>
      <c r="AI143" s="251"/>
      <c r="AJ143" s="251"/>
      <c r="AK143" s="247">
        <f>IF(AK144=0,0,AK142*1000/AK144)</f>
        <v>0</v>
      </c>
      <c r="AL143" s="221"/>
      <c r="AM143" s="221"/>
      <c r="AN143" s="251"/>
      <c r="AO143" s="251"/>
      <c r="AP143" s="251"/>
      <c r="AQ143" s="252"/>
      <c r="AR143" s="524"/>
      <c r="AS143" s="524"/>
    </row>
    <row r="144" spans="13:45" ht="11.4">
      <c r="M144" s="562" t="str">
        <f>M142 &amp; ".V"</f>
        <v>HPCLNA.V</v>
      </c>
      <c r="N144" s="531" t="s">
        <v>245</v>
      </c>
      <c r="O144" s="420" t="s">
        <v>289</v>
      </c>
      <c r="AB144" s="251"/>
      <c r="AC144" s="251"/>
      <c r="AD144" s="251"/>
      <c r="AE144" s="524"/>
      <c r="AF144" s="524"/>
      <c r="AG144" s="524"/>
      <c r="AH144" s="251"/>
      <c r="AI144" s="251"/>
      <c r="AJ144" s="251"/>
      <c r="AK144" s="247">
        <f>AL144+AM144</f>
        <v>0</v>
      </c>
      <c r="AL144" s="221"/>
      <c r="AM144" s="221"/>
      <c r="AN144" s="251"/>
      <c r="AO144" s="251"/>
      <c r="AP144" s="251"/>
      <c r="AQ144" s="524"/>
      <c r="AR144" s="524"/>
      <c r="AS144" s="524"/>
    </row>
    <row r="145" spans="13:45" ht="11.4">
      <c r="M145" s="561" t="s">
        <v>2045</v>
      </c>
      <c r="N145" s="559" t="s">
        <v>1934</v>
      </c>
      <c r="O145" s="420" t="s">
        <v>195</v>
      </c>
      <c r="AB145" s="251"/>
      <c r="AC145" s="251"/>
      <c r="AD145" s="251"/>
      <c r="AE145" s="252"/>
      <c r="AF145" s="524"/>
      <c r="AG145" s="524"/>
      <c r="AH145" s="251"/>
      <c r="AI145" s="251"/>
      <c r="AJ145" s="251"/>
      <c r="AK145" s="247">
        <f>AL145+AM145</f>
        <v>0</v>
      </c>
      <c r="AL145" s="244">
        <f>AL146*AL147/1000</f>
        <v>0</v>
      </c>
      <c r="AM145" s="244">
        <f>AM146*AM147/1000</f>
        <v>0</v>
      </c>
      <c r="AN145" s="251"/>
      <c r="AO145" s="251"/>
      <c r="AP145" s="251"/>
      <c r="AQ145" s="252"/>
      <c r="AR145" s="524"/>
      <c r="AS145" s="524"/>
    </row>
    <row r="146" spans="13:45" ht="11.4">
      <c r="M146" s="562" t="str">
        <f>M145 &amp; ".P"</f>
        <v>GLC.P</v>
      </c>
      <c r="N146" s="531" t="s">
        <v>842</v>
      </c>
      <c r="O146" s="420" t="s">
        <v>23</v>
      </c>
      <c r="AB146" s="251"/>
      <c r="AC146" s="251"/>
      <c r="AD146" s="251"/>
      <c r="AE146" s="252"/>
      <c r="AF146" s="524"/>
      <c r="AG146" s="524"/>
      <c r="AH146" s="251"/>
      <c r="AI146" s="251"/>
      <c r="AJ146" s="251"/>
      <c r="AK146" s="247">
        <f>IF(AK147=0,0,AK145*1000/AK147)</f>
        <v>0</v>
      </c>
      <c r="AL146" s="221"/>
      <c r="AM146" s="221"/>
      <c r="AN146" s="251"/>
      <c r="AO146" s="251"/>
      <c r="AP146" s="251"/>
      <c r="AQ146" s="252"/>
      <c r="AR146" s="524"/>
      <c r="AS146" s="524"/>
    </row>
    <row r="147" spans="13:45" ht="11.4">
      <c r="M147" s="562" t="str">
        <f>M145 &amp; ".V"</f>
        <v>GLC.V</v>
      </c>
      <c r="N147" s="531" t="s">
        <v>245</v>
      </c>
      <c r="O147" s="420" t="s">
        <v>289</v>
      </c>
      <c r="AB147" s="251"/>
      <c r="AC147" s="251"/>
      <c r="AD147" s="251"/>
      <c r="AE147" s="524"/>
      <c r="AF147" s="524"/>
      <c r="AG147" s="524"/>
      <c r="AH147" s="251"/>
      <c r="AI147" s="251"/>
      <c r="AJ147" s="251"/>
      <c r="AK147" s="247">
        <f>AL147+AM147</f>
        <v>0</v>
      </c>
      <c r="AL147" s="221"/>
      <c r="AM147" s="221"/>
      <c r="AN147" s="251"/>
      <c r="AO147" s="251"/>
      <c r="AP147" s="251"/>
      <c r="AQ147" s="524"/>
      <c r="AR147" s="524"/>
      <c r="AS147" s="524"/>
    </row>
    <row r="148" spans="13:45" ht="11.4">
      <c r="M148" s="561" t="s">
        <v>2010</v>
      </c>
      <c r="N148" s="559" t="s">
        <v>1935</v>
      </c>
      <c r="O148" s="420" t="s">
        <v>195</v>
      </c>
      <c r="AB148" s="251"/>
      <c r="AC148" s="251"/>
      <c r="AD148" s="251"/>
      <c r="AE148" s="252"/>
      <c r="AF148" s="524"/>
      <c r="AG148" s="524"/>
      <c r="AH148" s="251"/>
      <c r="AI148" s="251"/>
      <c r="AJ148" s="251"/>
      <c r="AK148" s="247">
        <f>AL148+AM148</f>
        <v>0</v>
      </c>
      <c r="AL148" s="244">
        <f>AL149*AL150/1000</f>
        <v>0</v>
      </c>
      <c r="AM148" s="244">
        <f>AM149*AM150/1000</f>
        <v>0</v>
      </c>
      <c r="AN148" s="251"/>
      <c r="AO148" s="251"/>
      <c r="AP148" s="251"/>
      <c r="AQ148" s="252"/>
      <c r="AR148" s="524"/>
      <c r="AS148" s="524"/>
    </row>
    <row r="149" spans="13:45" ht="11.4">
      <c r="M149" s="562" t="str">
        <f>M148 &amp; ".P"</f>
        <v>DFNLCD.P</v>
      </c>
      <c r="N149" s="531" t="s">
        <v>842</v>
      </c>
      <c r="O149" s="420" t="s">
        <v>23</v>
      </c>
      <c r="AB149" s="251"/>
      <c r="AC149" s="251"/>
      <c r="AD149" s="251"/>
      <c r="AE149" s="252"/>
      <c r="AF149" s="524"/>
      <c r="AG149" s="524"/>
      <c r="AH149" s="251"/>
      <c r="AI149" s="251"/>
      <c r="AJ149" s="251"/>
      <c r="AK149" s="247">
        <f>IF(AK150=0,0,AK148*1000/AK150)</f>
        <v>0</v>
      </c>
      <c r="AL149" s="221"/>
      <c r="AM149" s="221"/>
      <c r="AN149" s="251"/>
      <c r="AO149" s="251"/>
      <c r="AP149" s="251"/>
      <c r="AQ149" s="252"/>
      <c r="AR149" s="524"/>
      <c r="AS149" s="524"/>
    </row>
    <row r="150" spans="13:45" ht="11.4">
      <c r="M150" s="562" t="str">
        <f>M148 &amp; ".V"</f>
        <v>DFNLCD.V</v>
      </c>
      <c r="N150" s="531" t="s">
        <v>245</v>
      </c>
      <c r="O150" s="420" t="s">
        <v>289</v>
      </c>
      <c r="AB150" s="251"/>
      <c r="AC150" s="251"/>
      <c r="AD150" s="251"/>
      <c r="AE150" s="524"/>
      <c r="AF150" s="524"/>
      <c r="AG150" s="524"/>
      <c r="AH150" s="251"/>
      <c r="AI150" s="251"/>
      <c r="AJ150" s="251"/>
      <c r="AK150" s="247">
        <f>AL150+AM150</f>
        <v>0</v>
      </c>
      <c r="AL150" s="221"/>
      <c r="AM150" s="221"/>
      <c r="AN150" s="251"/>
      <c r="AO150" s="251"/>
      <c r="AP150" s="251"/>
      <c r="AQ150" s="524"/>
      <c r="AR150" s="524"/>
      <c r="AS150" s="524"/>
    </row>
    <row r="151" spans="13:45" ht="11.4">
      <c r="M151" s="561" t="s">
        <v>2011</v>
      </c>
      <c r="N151" s="559" t="s">
        <v>1936</v>
      </c>
      <c r="O151" s="420" t="s">
        <v>195</v>
      </c>
      <c r="AB151" s="251"/>
      <c r="AC151" s="251"/>
      <c r="AD151" s="251"/>
      <c r="AE151" s="252"/>
      <c r="AF151" s="524"/>
      <c r="AG151" s="524"/>
      <c r="AH151" s="251"/>
      <c r="AI151" s="251"/>
      <c r="AJ151" s="251"/>
      <c r="AK151" s="247">
        <f>AL151+AM151</f>
        <v>0</v>
      </c>
      <c r="AL151" s="244">
        <f>AL152*AL153/1000</f>
        <v>0</v>
      </c>
      <c r="AM151" s="244">
        <f>AM152*AM153/1000</f>
        <v>0</v>
      </c>
      <c r="AN151" s="251"/>
      <c r="AO151" s="251"/>
      <c r="AP151" s="251"/>
      <c r="AQ151" s="252"/>
      <c r="AR151" s="524"/>
      <c r="AS151" s="524"/>
    </row>
    <row r="152" spans="13:45" ht="11.4">
      <c r="M152" s="562" t="str">
        <f>M151 &amp; ".P"</f>
        <v>DFNLCN.P</v>
      </c>
      <c r="N152" s="531" t="s">
        <v>842</v>
      </c>
      <c r="O152" s="420" t="s">
        <v>23</v>
      </c>
      <c r="AB152" s="251"/>
      <c r="AC152" s="251"/>
      <c r="AD152" s="251"/>
      <c r="AE152" s="252"/>
      <c r="AF152" s="524"/>
      <c r="AG152" s="524"/>
      <c r="AH152" s="251"/>
      <c r="AI152" s="251"/>
      <c r="AJ152" s="251"/>
      <c r="AK152" s="247">
        <f>IF(AK153=0,0,AK151*1000/AK153)</f>
        <v>0</v>
      </c>
      <c r="AL152" s="221"/>
      <c r="AM152" s="221"/>
      <c r="AN152" s="251"/>
      <c r="AO152" s="251"/>
      <c r="AP152" s="251"/>
      <c r="AQ152" s="252"/>
      <c r="AR152" s="524"/>
      <c r="AS152" s="524"/>
    </row>
    <row r="153" spans="13:45" ht="11.4">
      <c r="M153" s="562" t="str">
        <f>M151 &amp; ".V"</f>
        <v>DFNLCN.V</v>
      </c>
      <c r="N153" s="531" t="s">
        <v>245</v>
      </c>
      <c r="O153" s="420" t="s">
        <v>289</v>
      </c>
      <c r="AB153" s="251"/>
      <c r="AC153" s="251"/>
      <c r="AD153" s="251"/>
      <c r="AE153" s="524"/>
      <c r="AF153" s="524"/>
      <c r="AG153" s="524"/>
      <c r="AH153" s="251"/>
      <c r="AI153" s="251"/>
      <c r="AJ153" s="251"/>
      <c r="AK153" s="247">
        <f>AL153+AM153</f>
        <v>0</v>
      </c>
      <c r="AL153" s="221"/>
      <c r="AM153" s="221"/>
      <c r="AN153" s="251"/>
      <c r="AO153" s="251"/>
      <c r="AP153" s="251"/>
      <c r="AQ153" s="524"/>
      <c r="AR153" s="524"/>
      <c r="AS153" s="524"/>
    </row>
    <row r="154" spans="13:45" ht="11.4">
      <c r="M154" s="561" t="s">
        <v>1998</v>
      </c>
      <c r="N154" s="559" t="s">
        <v>1937</v>
      </c>
      <c r="O154" s="420" t="s">
        <v>195</v>
      </c>
      <c r="AB154" s="251"/>
      <c r="AC154" s="251"/>
      <c r="AD154" s="251"/>
      <c r="AE154" s="252"/>
      <c r="AF154" s="524"/>
      <c r="AG154" s="524"/>
      <c r="AH154" s="251"/>
      <c r="AI154" s="251"/>
      <c r="AJ154" s="251"/>
      <c r="AK154" s="247">
        <f>AL154+AM154</f>
        <v>0</v>
      </c>
      <c r="AL154" s="244">
        <f>AL155*AL156/1000</f>
        <v>0</v>
      </c>
      <c r="AM154" s="244">
        <f>AM155*AM156/1000</f>
        <v>0</v>
      </c>
      <c r="AN154" s="251"/>
      <c r="AO154" s="251"/>
      <c r="AP154" s="251"/>
      <c r="AQ154" s="252"/>
      <c r="AR154" s="524"/>
      <c r="AS154" s="524"/>
    </row>
    <row r="155" spans="13:45" ht="11.4">
      <c r="M155" s="562" t="str">
        <f>M154 &amp; ".P"</f>
        <v>FES.P</v>
      </c>
      <c r="N155" s="531" t="s">
        <v>842</v>
      </c>
      <c r="O155" s="420" t="s">
        <v>23</v>
      </c>
      <c r="AB155" s="251"/>
      <c r="AC155" s="251"/>
      <c r="AD155" s="251"/>
      <c r="AE155" s="252"/>
      <c r="AF155" s="524"/>
      <c r="AG155" s="524"/>
      <c r="AH155" s="251"/>
      <c r="AI155" s="251"/>
      <c r="AJ155" s="251"/>
      <c r="AK155" s="247">
        <f>IF(AK156=0,0,AK154*1000/AK156)</f>
        <v>0</v>
      </c>
      <c r="AL155" s="221"/>
      <c r="AM155" s="221"/>
      <c r="AN155" s="251"/>
      <c r="AO155" s="251"/>
      <c r="AP155" s="251"/>
      <c r="AQ155" s="252"/>
      <c r="AR155" s="524"/>
      <c r="AS155" s="524"/>
    </row>
    <row r="156" spans="13:45" ht="11.4">
      <c r="M156" s="562" t="str">
        <f>M154 &amp; ".V"</f>
        <v>FES.V</v>
      </c>
      <c r="N156" s="531" t="s">
        <v>245</v>
      </c>
      <c r="O156" s="420" t="s">
        <v>289</v>
      </c>
      <c r="AB156" s="251"/>
      <c r="AC156" s="251"/>
      <c r="AD156" s="251"/>
      <c r="AE156" s="524"/>
      <c r="AF156" s="524"/>
      <c r="AG156" s="524"/>
      <c r="AH156" s="251"/>
      <c r="AI156" s="251"/>
      <c r="AJ156" s="251"/>
      <c r="AK156" s="247">
        <f>AL156+AM156</f>
        <v>0</v>
      </c>
      <c r="AL156" s="221"/>
      <c r="AM156" s="221"/>
      <c r="AN156" s="251"/>
      <c r="AO156" s="251"/>
      <c r="AP156" s="251"/>
      <c r="AQ156" s="524"/>
      <c r="AR156" s="524"/>
      <c r="AS156" s="524"/>
    </row>
    <row r="157" spans="13:45" ht="11.4">
      <c r="M157" s="561" t="s">
        <v>2046</v>
      </c>
      <c r="N157" s="559" t="s">
        <v>1938</v>
      </c>
      <c r="O157" s="420" t="s">
        <v>195</v>
      </c>
      <c r="AB157" s="251"/>
      <c r="AC157" s="251"/>
      <c r="AD157" s="251"/>
      <c r="AE157" s="252"/>
      <c r="AF157" s="524"/>
      <c r="AG157" s="524"/>
      <c r="AH157" s="251"/>
      <c r="AI157" s="251"/>
      <c r="AJ157" s="251"/>
      <c r="AK157" s="247">
        <f>AL157+AM157</f>
        <v>0</v>
      </c>
      <c r="AL157" s="244">
        <f>AL158*AL159/1000</f>
        <v>0</v>
      </c>
      <c r="AM157" s="244">
        <f>AM158*AM159/1000</f>
        <v>0</v>
      </c>
      <c r="AN157" s="251"/>
      <c r="AO157" s="251"/>
      <c r="AP157" s="251"/>
      <c r="AQ157" s="252"/>
      <c r="AR157" s="524"/>
      <c r="AS157" s="524"/>
    </row>
    <row r="158" spans="13:45" ht="11.4">
      <c r="M158" s="562" t="str">
        <f>M157 &amp; ".P"</f>
        <v>FECL.P</v>
      </c>
      <c r="N158" s="531" t="s">
        <v>842</v>
      </c>
      <c r="O158" s="420" t="s">
        <v>23</v>
      </c>
      <c r="AB158" s="251"/>
      <c r="AC158" s="251"/>
      <c r="AD158" s="251"/>
      <c r="AE158" s="252"/>
      <c r="AF158" s="524"/>
      <c r="AG158" s="524"/>
      <c r="AH158" s="251"/>
      <c r="AI158" s="251"/>
      <c r="AJ158" s="251"/>
      <c r="AK158" s="247">
        <f>IF(AK159=0,0,AK157*1000/AK159)</f>
        <v>0</v>
      </c>
      <c r="AL158" s="221"/>
      <c r="AM158" s="221"/>
      <c r="AN158" s="251"/>
      <c r="AO158" s="251"/>
      <c r="AP158" s="251"/>
      <c r="AQ158" s="252"/>
      <c r="AR158" s="524"/>
      <c r="AS158" s="524"/>
    </row>
    <row r="159" spans="13:45" ht="11.4">
      <c r="M159" s="562" t="str">
        <f>M157 &amp; ".V"</f>
        <v>FECL.V</v>
      </c>
      <c r="N159" s="531" t="s">
        <v>245</v>
      </c>
      <c r="O159" s="420" t="s">
        <v>289</v>
      </c>
      <c r="AB159" s="251"/>
      <c r="AC159" s="251"/>
      <c r="AD159" s="251"/>
      <c r="AE159" s="524"/>
      <c r="AF159" s="524"/>
      <c r="AG159" s="524"/>
      <c r="AH159" s="251"/>
      <c r="AI159" s="251"/>
      <c r="AJ159" s="251"/>
      <c r="AK159" s="247">
        <f>AL159+AM159</f>
        <v>0</v>
      </c>
      <c r="AL159" s="221"/>
      <c r="AM159" s="221"/>
      <c r="AN159" s="251"/>
      <c r="AO159" s="251"/>
      <c r="AP159" s="251"/>
      <c r="AQ159" s="524"/>
      <c r="AR159" s="524"/>
      <c r="AS159" s="524"/>
    </row>
    <row r="160" spans="13:45" ht="11.4">
      <c r="M160" s="561" t="s">
        <v>2047</v>
      </c>
      <c r="N160" s="559" t="s">
        <v>1939</v>
      </c>
      <c r="O160" s="420" t="s">
        <v>195</v>
      </c>
      <c r="AB160" s="251"/>
      <c r="AC160" s="251"/>
      <c r="AD160" s="251"/>
      <c r="AE160" s="252"/>
      <c r="AF160" s="524"/>
      <c r="AG160" s="524"/>
      <c r="AH160" s="251"/>
      <c r="AI160" s="251"/>
      <c r="AJ160" s="251"/>
      <c r="AK160" s="247">
        <f>AL160+AM160</f>
        <v>0</v>
      </c>
      <c r="AL160" s="244">
        <f>AL161*AL162/1000</f>
        <v>0</v>
      </c>
      <c r="AM160" s="244">
        <f>AM161*AM162/1000</f>
        <v>0</v>
      </c>
      <c r="AN160" s="251"/>
      <c r="AO160" s="251"/>
      <c r="AP160" s="251"/>
      <c r="AQ160" s="252"/>
      <c r="AR160" s="524"/>
      <c r="AS160" s="524"/>
    </row>
    <row r="161" spans="13:45" ht="11.4">
      <c r="M161" s="562" t="str">
        <f>M160 &amp; ".P"</f>
        <v>LIMENP.P</v>
      </c>
      <c r="N161" s="531" t="s">
        <v>842</v>
      </c>
      <c r="O161" s="420" t="s">
        <v>23</v>
      </c>
      <c r="AB161" s="251"/>
      <c r="AC161" s="251"/>
      <c r="AD161" s="251"/>
      <c r="AE161" s="252"/>
      <c r="AF161" s="524"/>
      <c r="AG161" s="524"/>
      <c r="AH161" s="251"/>
      <c r="AI161" s="251"/>
      <c r="AJ161" s="251"/>
      <c r="AK161" s="247">
        <f>IF(AK162=0,0,AK160*1000/AK162)</f>
        <v>0</v>
      </c>
      <c r="AL161" s="221"/>
      <c r="AM161" s="221"/>
      <c r="AN161" s="251"/>
      <c r="AO161" s="251"/>
      <c r="AP161" s="251"/>
      <c r="AQ161" s="252"/>
      <c r="AR161" s="524"/>
      <c r="AS161" s="524"/>
    </row>
    <row r="162" spans="13:45" ht="11.4">
      <c r="M162" s="562" t="str">
        <f>M160 &amp; ".V"</f>
        <v>LIMENP.V</v>
      </c>
      <c r="N162" s="531" t="s">
        <v>245</v>
      </c>
      <c r="O162" s="420" t="s">
        <v>289</v>
      </c>
      <c r="AB162" s="251"/>
      <c r="AC162" s="251"/>
      <c r="AD162" s="251"/>
      <c r="AE162" s="524"/>
      <c r="AF162" s="524"/>
      <c r="AG162" s="524"/>
      <c r="AH162" s="251"/>
      <c r="AI162" s="251"/>
      <c r="AJ162" s="251"/>
      <c r="AK162" s="247">
        <f>AL162+AM162</f>
        <v>0</v>
      </c>
      <c r="AL162" s="221"/>
      <c r="AM162" s="221"/>
      <c r="AN162" s="251"/>
      <c r="AO162" s="251"/>
      <c r="AP162" s="251"/>
      <c r="AQ162" s="524"/>
      <c r="AR162" s="524"/>
      <c r="AS162" s="524"/>
    </row>
    <row r="163" spans="13:45" ht="11.4">
      <c r="M163" s="561" t="s">
        <v>2048</v>
      </c>
      <c r="N163" s="559" t="s">
        <v>1940</v>
      </c>
      <c r="O163" s="420" t="s">
        <v>195</v>
      </c>
      <c r="AB163" s="251"/>
      <c r="AC163" s="251"/>
      <c r="AD163" s="251"/>
      <c r="AE163" s="252"/>
      <c r="AF163" s="524"/>
      <c r="AG163" s="524"/>
      <c r="AH163" s="251"/>
      <c r="AI163" s="251"/>
      <c r="AJ163" s="251"/>
      <c r="AK163" s="247">
        <f>AL163+AM163</f>
        <v>0</v>
      </c>
      <c r="AL163" s="244">
        <f>AL164*AL165/1000</f>
        <v>0</v>
      </c>
      <c r="AM163" s="244">
        <f>AM164*AM165/1000</f>
        <v>0</v>
      </c>
      <c r="AN163" s="251"/>
      <c r="AO163" s="251"/>
      <c r="AP163" s="251"/>
      <c r="AQ163" s="252"/>
      <c r="AR163" s="524"/>
      <c r="AS163" s="524"/>
    </row>
    <row r="164" spans="13:45" ht="11.4">
      <c r="M164" s="562" t="str">
        <f>M163 &amp; ".P"</f>
        <v>LIMENH.P</v>
      </c>
      <c r="N164" s="531" t="s">
        <v>842</v>
      </c>
      <c r="O164" s="420" t="s">
        <v>23</v>
      </c>
      <c r="AB164" s="251"/>
      <c r="AC164" s="251"/>
      <c r="AD164" s="251"/>
      <c r="AE164" s="252"/>
      <c r="AF164" s="524"/>
      <c r="AG164" s="524"/>
      <c r="AH164" s="251"/>
      <c r="AI164" s="251"/>
      <c r="AJ164" s="251"/>
      <c r="AK164" s="247">
        <f>IF(AK165=0,0,AK163*1000/AK165)</f>
        <v>0</v>
      </c>
      <c r="AL164" s="221"/>
      <c r="AM164" s="221"/>
      <c r="AN164" s="251"/>
      <c r="AO164" s="251"/>
      <c r="AP164" s="251"/>
      <c r="AQ164" s="252"/>
      <c r="AR164" s="524"/>
      <c r="AS164" s="524"/>
    </row>
    <row r="165" spans="13:45" ht="11.4">
      <c r="M165" s="562" t="str">
        <f>M163 &amp; ".V"</f>
        <v>LIMENH.V</v>
      </c>
      <c r="N165" s="531" t="s">
        <v>245</v>
      </c>
      <c r="O165" s="420" t="s">
        <v>289</v>
      </c>
      <c r="AB165" s="251"/>
      <c r="AC165" s="251"/>
      <c r="AD165" s="251"/>
      <c r="AE165" s="524"/>
      <c r="AF165" s="524"/>
      <c r="AG165" s="524"/>
      <c r="AH165" s="251"/>
      <c r="AI165" s="251"/>
      <c r="AJ165" s="251"/>
      <c r="AK165" s="247">
        <f>AL165+AM165</f>
        <v>0</v>
      </c>
      <c r="AL165" s="221"/>
      <c r="AM165" s="221"/>
      <c r="AN165" s="251"/>
      <c r="AO165" s="251"/>
      <c r="AP165" s="251"/>
      <c r="AQ165" s="524"/>
      <c r="AR165" s="524"/>
      <c r="AS165" s="524"/>
    </row>
    <row r="166" spans="13:45" ht="11.4">
      <c r="M166" s="561" t="s">
        <v>2049</v>
      </c>
      <c r="N166" s="559" t="s">
        <v>1941</v>
      </c>
      <c r="O166" s="420" t="s">
        <v>195</v>
      </c>
      <c r="AB166" s="251"/>
      <c r="AC166" s="251"/>
      <c r="AD166" s="251"/>
      <c r="AE166" s="252"/>
      <c r="AF166" s="524"/>
      <c r="AG166" s="524"/>
      <c r="AH166" s="251"/>
      <c r="AI166" s="251"/>
      <c r="AJ166" s="251"/>
      <c r="AK166" s="247">
        <f>AL166+AM166</f>
        <v>0</v>
      </c>
      <c r="AL166" s="244">
        <f>AL167*AL168/1000</f>
        <v>0</v>
      </c>
      <c r="AM166" s="244">
        <f>AM167*AM168/1000</f>
        <v>0</v>
      </c>
      <c r="AN166" s="251"/>
      <c r="AO166" s="251"/>
      <c r="AP166" s="251"/>
      <c r="AQ166" s="252"/>
      <c r="AR166" s="524"/>
      <c r="AS166" s="524"/>
    </row>
    <row r="167" spans="13:45" ht="11.4">
      <c r="M167" s="562" t="str">
        <f>M166 &amp; ".P"</f>
        <v>LIMECL.P</v>
      </c>
      <c r="N167" s="531" t="s">
        <v>842</v>
      </c>
      <c r="O167" s="420" t="s">
        <v>23</v>
      </c>
      <c r="AB167" s="251"/>
      <c r="AC167" s="251"/>
      <c r="AD167" s="251"/>
      <c r="AE167" s="252"/>
      <c r="AF167" s="524"/>
      <c r="AG167" s="524"/>
      <c r="AH167" s="251"/>
      <c r="AI167" s="251"/>
      <c r="AJ167" s="251"/>
      <c r="AK167" s="247">
        <f>IF(AK168=0,0,AK166*1000/AK168)</f>
        <v>0</v>
      </c>
      <c r="AL167" s="221"/>
      <c r="AM167" s="221"/>
      <c r="AN167" s="251"/>
      <c r="AO167" s="251"/>
      <c r="AP167" s="251"/>
      <c r="AQ167" s="252"/>
      <c r="AR167" s="524"/>
      <c r="AS167" s="524"/>
    </row>
    <row r="168" spans="13:45" ht="11.4">
      <c r="M168" s="562" t="str">
        <f>M166 &amp; ".V"</f>
        <v>LIMECL.V</v>
      </c>
      <c r="N168" s="531" t="s">
        <v>245</v>
      </c>
      <c r="O168" s="420" t="s">
        <v>289</v>
      </c>
      <c r="AB168" s="251"/>
      <c r="AC168" s="251"/>
      <c r="AD168" s="251"/>
      <c r="AE168" s="524"/>
      <c r="AF168" s="524"/>
      <c r="AG168" s="524"/>
      <c r="AH168" s="251"/>
      <c r="AI168" s="251"/>
      <c r="AJ168" s="251"/>
      <c r="AK168" s="247">
        <f>AL168+AM168</f>
        <v>0</v>
      </c>
      <c r="AL168" s="221"/>
      <c r="AM168" s="221"/>
      <c r="AN168" s="251"/>
      <c r="AO168" s="251"/>
      <c r="AP168" s="251"/>
      <c r="AQ168" s="524"/>
      <c r="AR168" s="524"/>
      <c r="AS168" s="524"/>
    </row>
    <row r="169" spans="13:45" ht="11.4">
      <c r="M169" s="561" t="s">
        <v>2050</v>
      </c>
      <c r="N169" s="559" t="s">
        <v>1942</v>
      </c>
      <c r="O169" s="420" t="s">
        <v>195</v>
      </c>
      <c r="AB169" s="251"/>
      <c r="AC169" s="251"/>
      <c r="AD169" s="251"/>
      <c r="AE169" s="252"/>
      <c r="AF169" s="524"/>
      <c r="AG169" s="524"/>
      <c r="AH169" s="251"/>
      <c r="AI169" s="251"/>
      <c r="AJ169" s="251"/>
      <c r="AK169" s="247">
        <f>AL169+AM169</f>
        <v>0</v>
      </c>
      <c r="AL169" s="244">
        <f>AL170*AL171/1000</f>
        <v>0</v>
      </c>
      <c r="AM169" s="244">
        <f>AM170*AM171/1000</f>
        <v>0</v>
      </c>
      <c r="AN169" s="251"/>
      <c r="AO169" s="251"/>
      <c r="AP169" s="251"/>
      <c r="AQ169" s="252"/>
      <c r="AR169" s="524"/>
      <c r="AS169" s="524"/>
    </row>
    <row r="170" spans="13:45" ht="11.4">
      <c r="M170" s="562" t="str">
        <f>M169 &amp; ".P"</f>
        <v>KN.P</v>
      </c>
      <c r="N170" s="531" t="s">
        <v>842</v>
      </c>
      <c r="O170" s="420" t="s">
        <v>23</v>
      </c>
      <c r="AB170" s="251"/>
      <c r="AC170" s="251"/>
      <c r="AD170" s="251"/>
      <c r="AE170" s="252"/>
      <c r="AF170" s="524"/>
      <c r="AG170" s="524"/>
      <c r="AH170" s="251"/>
      <c r="AI170" s="251"/>
      <c r="AJ170" s="251"/>
      <c r="AK170" s="247">
        <f>IF(AK171=0,0,AK169*1000/AK171)</f>
        <v>0</v>
      </c>
      <c r="AL170" s="221"/>
      <c r="AM170" s="221"/>
      <c r="AN170" s="251"/>
      <c r="AO170" s="251"/>
      <c r="AP170" s="251"/>
      <c r="AQ170" s="252"/>
      <c r="AR170" s="524"/>
      <c r="AS170" s="524"/>
    </row>
    <row r="171" spans="13:45" ht="11.4">
      <c r="M171" s="562" t="str">
        <f>M169 &amp; ".V"</f>
        <v>KN.V</v>
      </c>
      <c r="N171" s="531" t="s">
        <v>245</v>
      </c>
      <c r="O171" s="420" t="s">
        <v>289</v>
      </c>
      <c r="AB171" s="251"/>
      <c r="AC171" s="251"/>
      <c r="AD171" s="251"/>
      <c r="AE171" s="524"/>
      <c r="AF171" s="524"/>
      <c r="AG171" s="524"/>
      <c r="AH171" s="251"/>
      <c r="AI171" s="251"/>
      <c r="AJ171" s="251"/>
      <c r="AK171" s="247">
        <f>AL171+AM171</f>
        <v>0</v>
      </c>
      <c r="AL171" s="221"/>
      <c r="AM171" s="221"/>
      <c r="AN171" s="251"/>
      <c r="AO171" s="251"/>
      <c r="AP171" s="251"/>
      <c r="AQ171" s="524"/>
      <c r="AR171" s="524"/>
      <c r="AS171" s="524"/>
    </row>
    <row r="172" spans="13:45" ht="11.4">
      <c r="M172" s="561" t="s">
        <v>2051</v>
      </c>
      <c r="N172" s="559" t="s">
        <v>1943</v>
      </c>
      <c r="O172" s="420" t="s">
        <v>195</v>
      </c>
      <c r="AB172" s="251"/>
      <c r="AC172" s="251"/>
      <c r="AD172" s="251"/>
      <c r="AE172" s="252"/>
      <c r="AF172" s="524"/>
      <c r="AG172" s="524"/>
      <c r="AH172" s="251"/>
      <c r="AI172" s="251"/>
      <c r="AJ172" s="251"/>
      <c r="AK172" s="247">
        <f>AL172+AM172</f>
        <v>0</v>
      </c>
      <c r="AL172" s="244">
        <f>AL173*AL174/1000</f>
        <v>0</v>
      </c>
      <c r="AM172" s="244">
        <f>AM173*AM174/1000</f>
        <v>0</v>
      </c>
      <c r="AN172" s="251"/>
      <c r="AO172" s="251"/>
      <c r="AP172" s="251"/>
      <c r="AQ172" s="252"/>
      <c r="AR172" s="524"/>
      <c r="AS172" s="524"/>
    </row>
    <row r="173" spans="13:45" ht="11.4">
      <c r="M173" s="562" t="str">
        <f>M172 &amp; ".P"</f>
        <v>KCR.P</v>
      </c>
      <c r="N173" s="531" t="s">
        <v>842</v>
      </c>
      <c r="O173" s="420" t="s">
        <v>23</v>
      </c>
      <c r="AB173" s="251"/>
      <c r="AC173" s="251"/>
      <c r="AD173" s="251"/>
      <c r="AE173" s="252"/>
      <c r="AF173" s="524"/>
      <c r="AG173" s="524"/>
      <c r="AH173" s="251"/>
      <c r="AI173" s="251"/>
      <c r="AJ173" s="251"/>
      <c r="AK173" s="247">
        <f>IF(AK174=0,0,AK172*1000/AK174)</f>
        <v>0</v>
      </c>
      <c r="AL173" s="221"/>
      <c r="AM173" s="221"/>
      <c r="AN173" s="251"/>
      <c r="AO173" s="251"/>
      <c r="AP173" s="251"/>
      <c r="AQ173" s="252"/>
      <c r="AR173" s="524"/>
      <c r="AS173" s="524"/>
    </row>
    <row r="174" spans="13:45" ht="11.4">
      <c r="M174" s="562" t="str">
        <f>M172 &amp; ".V"</f>
        <v>KCR.V</v>
      </c>
      <c r="N174" s="531" t="s">
        <v>245</v>
      </c>
      <c r="O174" s="420" t="s">
        <v>289</v>
      </c>
      <c r="AB174" s="251"/>
      <c r="AC174" s="251"/>
      <c r="AD174" s="251"/>
      <c r="AE174" s="524"/>
      <c r="AF174" s="524"/>
      <c r="AG174" s="524"/>
      <c r="AH174" s="251"/>
      <c r="AI174" s="251"/>
      <c r="AJ174" s="251"/>
      <c r="AK174" s="247">
        <f>AL174+AM174</f>
        <v>0</v>
      </c>
      <c r="AL174" s="221"/>
      <c r="AM174" s="221"/>
      <c r="AN174" s="251"/>
      <c r="AO174" s="251"/>
      <c r="AP174" s="251"/>
      <c r="AQ174" s="524"/>
      <c r="AR174" s="524"/>
      <c r="AS174" s="524"/>
    </row>
    <row r="175" spans="13:45" ht="11.4">
      <c r="M175" s="561" t="s">
        <v>2052</v>
      </c>
      <c r="N175" s="559" t="s">
        <v>1944</v>
      </c>
      <c r="O175" s="420" t="s">
        <v>195</v>
      </c>
      <c r="AB175" s="251"/>
      <c r="AC175" s="251"/>
      <c r="AD175" s="251"/>
      <c r="AE175" s="252"/>
      <c r="AF175" s="524"/>
      <c r="AG175" s="524"/>
      <c r="AH175" s="251"/>
      <c r="AI175" s="251"/>
      <c r="AJ175" s="251"/>
      <c r="AK175" s="247">
        <f>AL175+AM175</f>
        <v>0</v>
      </c>
      <c r="AL175" s="244">
        <f>AL176*AL177/1000</f>
        <v>0</v>
      </c>
      <c r="AM175" s="244">
        <f>AM176*AM177/1000</f>
        <v>0</v>
      </c>
      <c r="AN175" s="251"/>
      <c r="AO175" s="251"/>
      <c r="AP175" s="251"/>
      <c r="AQ175" s="252"/>
      <c r="AR175" s="524"/>
      <c r="AS175" s="524"/>
    </row>
    <row r="176" spans="13:45" ht="11.4">
      <c r="M176" s="562" t="str">
        <f>M175 &amp; ".P"</f>
        <v>KI.P</v>
      </c>
      <c r="N176" s="531" t="s">
        <v>842</v>
      </c>
      <c r="O176" s="420" t="s">
        <v>23</v>
      </c>
      <c r="AB176" s="251"/>
      <c r="AC176" s="251"/>
      <c r="AD176" s="251"/>
      <c r="AE176" s="252"/>
      <c r="AF176" s="524"/>
      <c r="AG176" s="524"/>
      <c r="AH176" s="251"/>
      <c r="AI176" s="251"/>
      <c r="AJ176" s="251"/>
      <c r="AK176" s="247">
        <f>IF(AK177=0,0,AK175*1000/AK177)</f>
        <v>0</v>
      </c>
      <c r="AL176" s="221"/>
      <c r="AM176" s="221"/>
      <c r="AN176" s="251"/>
      <c r="AO176" s="251"/>
      <c r="AP176" s="251"/>
      <c r="AQ176" s="252"/>
      <c r="AR176" s="524"/>
      <c r="AS176" s="524"/>
    </row>
    <row r="177" spans="13:45" ht="11.4">
      <c r="M177" s="562" t="str">
        <f>M175 &amp; ".V"</f>
        <v>KI.V</v>
      </c>
      <c r="N177" s="531" t="s">
        <v>245</v>
      </c>
      <c r="O177" s="420" t="s">
        <v>289</v>
      </c>
      <c r="AB177" s="251"/>
      <c r="AC177" s="251"/>
      <c r="AD177" s="251"/>
      <c r="AE177" s="524"/>
      <c r="AF177" s="524"/>
      <c r="AG177" s="524"/>
      <c r="AH177" s="251"/>
      <c r="AI177" s="251"/>
      <c r="AJ177" s="251"/>
      <c r="AK177" s="247">
        <f>AL177+AM177</f>
        <v>0</v>
      </c>
      <c r="AL177" s="221"/>
      <c r="AM177" s="221"/>
      <c r="AN177" s="251"/>
      <c r="AO177" s="251"/>
      <c r="AP177" s="251"/>
      <c r="AQ177" s="524"/>
      <c r="AR177" s="524"/>
      <c r="AS177" s="524"/>
    </row>
    <row r="178" spans="13:45" ht="11.4">
      <c r="M178" s="561" t="s">
        <v>2053</v>
      </c>
      <c r="N178" s="559" t="s">
        <v>1945</v>
      </c>
      <c r="O178" s="420" t="s">
        <v>195</v>
      </c>
      <c r="AB178" s="251"/>
      <c r="AC178" s="251"/>
      <c r="AD178" s="251"/>
      <c r="AE178" s="252"/>
      <c r="AF178" s="524"/>
      <c r="AG178" s="524"/>
      <c r="AH178" s="251"/>
      <c r="AI178" s="251"/>
      <c r="AJ178" s="251"/>
      <c r="AK178" s="247">
        <f>AL178+AM178</f>
        <v>0</v>
      </c>
      <c r="AL178" s="244">
        <f>AL179*AL180/1000</f>
        <v>0</v>
      </c>
      <c r="AM178" s="244">
        <f>AM179*AM180/1000</f>
        <v>0</v>
      </c>
      <c r="AN178" s="251"/>
      <c r="AO178" s="251"/>
      <c r="AP178" s="251"/>
      <c r="AQ178" s="252"/>
      <c r="AR178" s="524"/>
      <c r="AS178" s="524"/>
    </row>
    <row r="179" spans="13:45" ht="11.4">
      <c r="M179" s="562" t="str">
        <f>M178 &amp; ".P"</f>
        <v>KMN.P</v>
      </c>
      <c r="N179" s="531" t="s">
        <v>842</v>
      </c>
      <c r="O179" s="420" t="s">
        <v>23</v>
      </c>
      <c r="AB179" s="251"/>
      <c r="AC179" s="251"/>
      <c r="AD179" s="251"/>
      <c r="AE179" s="252"/>
      <c r="AF179" s="524"/>
      <c r="AG179" s="524"/>
      <c r="AH179" s="251"/>
      <c r="AI179" s="251"/>
      <c r="AJ179" s="251"/>
      <c r="AK179" s="247">
        <f>IF(AK180=0,0,AK178*1000/AK180)</f>
        <v>0</v>
      </c>
      <c r="AL179" s="221"/>
      <c r="AM179" s="221"/>
      <c r="AN179" s="251"/>
      <c r="AO179" s="251"/>
      <c r="AP179" s="251"/>
      <c r="AQ179" s="252"/>
      <c r="AR179" s="524"/>
      <c r="AS179" s="524"/>
    </row>
    <row r="180" spans="13:45" ht="11.4">
      <c r="M180" s="562" t="str">
        <f>M178 &amp; ".V"</f>
        <v>KMN.V</v>
      </c>
      <c r="N180" s="531" t="s">
        <v>245</v>
      </c>
      <c r="O180" s="420" t="s">
        <v>289</v>
      </c>
      <c r="AB180" s="251"/>
      <c r="AC180" s="251"/>
      <c r="AD180" s="251"/>
      <c r="AE180" s="524"/>
      <c r="AF180" s="524"/>
      <c r="AG180" s="524"/>
      <c r="AH180" s="251"/>
      <c r="AI180" s="251"/>
      <c r="AJ180" s="251"/>
      <c r="AK180" s="247">
        <f>AL180+AM180</f>
        <v>0</v>
      </c>
      <c r="AL180" s="221"/>
      <c r="AM180" s="221"/>
      <c r="AN180" s="251"/>
      <c r="AO180" s="251"/>
      <c r="AP180" s="251"/>
      <c r="AQ180" s="524"/>
      <c r="AR180" s="524"/>
      <c r="AS180" s="524"/>
    </row>
    <row r="181" spans="13:45" ht="11.4">
      <c r="M181" s="561" t="s">
        <v>2054</v>
      </c>
      <c r="N181" s="559" t="s">
        <v>1946</v>
      </c>
      <c r="O181" s="420" t="s">
        <v>195</v>
      </c>
      <c r="AB181" s="251"/>
      <c r="AC181" s="251"/>
      <c r="AD181" s="251"/>
      <c r="AE181" s="252"/>
      <c r="AF181" s="524"/>
      <c r="AG181" s="524"/>
      <c r="AH181" s="251"/>
      <c r="AI181" s="251"/>
      <c r="AJ181" s="251"/>
      <c r="AK181" s="247">
        <f>AL181+AM181</f>
        <v>0</v>
      </c>
      <c r="AL181" s="244">
        <f>AL182*AL183/1000</f>
        <v>0</v>
      </c>
      <c r="AM181" s="244">
        <f>AM182*AM183/1000</f>
        <v>0</v>
      </c>
      <c r="AN181" s="251"/>
      <c r="AO181" s="251"/>
      <c r="AP181" s="251"/>
      <c r="AQ181" s="252"/>
      <c r="AR181" s="524"/>
      <c r="AS181" s="524"/>
    </row>
    <row r="182" spans="13:45" ht="11.4">
      <c r="M182" s="562" t="str">
        <f>M181 &amp; ".P"</f>
        <v>KP.P</v>
      </c>
      <c r="N182" s="531" t="s">
        <v>842</v>
      </c>
      <c r="O182" s="420" t="s">
        <v>23</v>
      </c>
      <c r="AB182" s="251"/>
      <c r="AC182" s="251"/>
      <c r="AD182" s="251"/>
      <c r="AE182" s="252"/>
      <c r="AF182" s="524"/>
      <c r="AG182" s="524"/>
      <c r="AH182" s="251"/>
      <c r="AI182" s="251"/>
      <c r="AJ182" s="251"/>
      <c r="AK182" s="247">
        <f>IF(AK183=0,0,AK181*1000/AK183)</f>
        <v>0</v>
      </c>
      <c r="AL182" s="221"/>
      <c r="AM182" s="221"/>
      <c r="AN182" s="251"/>
      <c r="AO182" s="251"/>
      <c r="AP182" s="251"/>
      <c r="AQ182" s="252"/>
      <c r="AR182" s="524"/>
      <c r="AS182" s="524"/>
    </row>
    <row r="183" spans="13:45" ht="11.4">
      <c r="M183" s="562" t="str">
        <f>M181 &amp; ".V"</f>
        <v>KP.V</v>
      </c>
      <c r="N183" s="531" t="s">
        <v>245</v>
      </c>
      <c r="O183" s="420" t="s">
        <v>289</v>
      </c>
      <c r="AB183" s="251"/>
      <c r="AC183" s="251"/>
      <c r="AD183" s="251"/>
      <c r="AE183" s="524"/>
      <c r="AF183" s="524"/>
      <c r="AG183" s="524"/>
      <c r="AH183" s="251"/>
      <c r="AI183" s="251"/>
      <c r="AJ183" s="251"/>
      <c r="AK183" s="247">
        <f>AL183+AM183</f>
        <v>0</v>
      </c>
      <c r="AL183" s="221"/>
      <c r="AM183" s="221"/>
      <c r="AN183" s="251"/>
      <c r="AO183" s="251"/>
      <c r="AP183" s="251"/>
      <c r="AQ183" s="524"/>
      <c r="AR183" s="524"/>
      <c r="AS183" s="524"/>
    </row>
    <row r="184" spans="13:45" ht="11.4">
      <c r="M184" s="561" t="s">
        <v>2055</v>
      </c>
      <c r="N184" s="559" t="s">
        <v>1947</v>
      </c>
      <c r="O184" s="420" t="s">
        <v>195</v>
      </c>
      <c r="AB184" s="251"/>
      <c r="AC184" s="251"/>
      <c r="AD184" s="251"/>
      <c r="AE184" s="252"/>
      <c r="AF184" s="524"/>
      <c r="AG184" s="524"/>
      <c r="AH184" s="251"/>
      <c r="AI184" s="251"/>
      <c r="AJ184" s="251"/>
      <c r="AK184" s="247">
        <f>AL184+AM184</f>
        <v>0</v>
      </c>
      <c r="AL184" s="244">
        <f>AL185*AL186/1000</f>
        <v>0</v>
      </c>
      <c r="AM184" s="244">
        <f>AM185*AM186/1000</f>
        <v>0</v>
      </c>
      <c r="AN184" s="251"/>
      <c r="AO184" s="251"/>
      <c r="AP184" s="251"/>
      <c r="AQ184" s="252"/>
      <c r="AR184" s="524"/>
      <c r="AS184" s="524"/>
    </row>
    <row r="185" spans="13:45" ht="11.4">
      <c r="M185" s="562" t="str">
        <f>M184 &amp; ".P"</f>
        <v>HCL.P</v>
      </c>
      <c r="N185" s="531" t="s">
        <v>842</v>
      </c>
      <c r="O185" s="420" t="s">
        <v>23</v>
      </c>
      <c r="AB185" s="251"/>
      <c r="AC185" s="251"/>
      <c r="AD185" s="251"/>
      <c r="AE185" s="252"/>
      <c r="AF185" s="524"/>
      <c r="AG185" s="524"/>
      <c r="AH185" s="251"/>
      <c r="AI185" s="251"/>
      <c r="AJ185" s="251"/>
      <c r="AK185" s="247">
        <f>IF(AK186=0,0,AK184*1000/AK186)</f>
        <v>0</v>
      </c>
      <c r="AL185" s="221"/>
      <c r="AM185" s="221"/>
      <c r="AN185" s="251"/>
      <c r="AO185" s="251"/>
      <c r="AP185" s="251"/>
      <c r="AQ185" s="252"/>
      <c r="AR185" s="524"/>
      <c r="AS185" s="524"/>
    </row>
    <row r="186" spans="13:45" ht="11.4">
      <c r="M186" s="562" t="str">
        <f>M184 &amp; ".V"</f>
        <v>HCL.V</v>
      </c>
      <c r="N186" s="531" t="s">
        <v>245</v>
      </c>
      <c r="O186" s="420" t="s">
        <v>289</v>
      </c>
      <c r="AB186" s="251"/>
      <c r="AC186" s="251"/>
      <c r="AD186" s="251"/>
      <c r="AE186" s="524"/>
      <c r="AF186" s="524"/>
      <c r="AG186" s="524"/>
      <c r="AH186" s="251"/>
      <c r="AI186" s="251"/>
      <c r="AJ186" s="251"/>
      <c r="AK186" s="247">
        <f>AL186+AM186</f>
        <v>0</v>
      </c>
      <c r="AL186" s="221"/>
      <c r="AM186" s="221"/>
      <c r="AN186" s="251"/>
      <c r="AO186" s="251"/>
      <c r="AP186" s="251"/>
      <c r="AQ186" s="524"/>
      <c r="AR186" s="524"/>
      <c r="AS186" s="524"/>
    </row>
    <row r="187" spans="13:45" ht="11.4">
      <c r="M187" s="561" t="s">
        <v>2056</v>
      </c>
      <c r="N187" s="559" t="s">
        <v>1948</v>
      </c>
      <c r="O187" s="420" t="s">
        <v>195</v>
      </c>
      <c r="AB187" s="251"/>
      <c r="AC187" s="251"/>
      <c r="AD187" s="251"/>
      <c r="AE187" s="252"/>
      <c r="AF187" s="524"/>
      <c r="AG187" s="524"/>
      <c r="AH187" s="251"/>
      <c r="AI187" s="251"/>
      <c r="AJ187" s="251"/>
      <c r="AK187" s="247">
        <f>AL187+AM187</f>
        <v>0</v>
      </c>
      <c r="AL187" s="244">
        <f>AL188*AL189/1000</f>
        <v>0</v>
      </c>
      <c r="AM187" s="244">
        <f>AM188*AM189/1000</f>
        <v>0</v>
      </c>
      <c r="AN187" s="251"/>
      <c r="AO187" s="251"/>
      <c r="AP187" s="251"/>
      <c r="AQ187" s="252"/>
      <c r="AR187" s="524"/>
      <c r="AS187" s="524"/>
    </row>
    <row r="188" spans="13:45" ht="11.4">
      <c r="M188" s="562" t="str">
        <f>M187 &amp; ".P"</f>
        <v>KNA.P</v>
      </c>
      <c r="N188" s="531" t="s">
        <v>842</v>
      </c>
      <c r="O188" s="420" t="s">
        <v>23</v>
      </c>
      <c r="AB188" s="251"/>
      <c r="AC188" s="251"/>
      <c r="AD188" s="251"/>
      <c r="AE188" s="252"/>
      <c r="AF188" s="524"/>
      <c r="AG188" s="524"/>
      <c r="AH188" s="251"/>
      <c r="AI188" s="251"/>
      <c r="AJ188" s="251"/>
      <c r="AK188" s="247">
        <f>IF(AK189=0,0,AK187*1000/AK189)</f>
        <v>0</v>
      </c>
      <c r="AL188" s="221"/>
      <c r="AM188" s="221"/>
      <c r="AN188" s="251"/>
      <c r="AO188" s="251"/>
      <c r="AP188" s="251"/>
      <c r="AQ188" s="252"/>
      <c r="AR188" s="524"/>
      <c r="AS188" s="524"/>
    </row>
    <row r="189" spans="13:45" ht="11.4">
      <c r="M189" s="562" t="str">
        <f>M187 &amp; ".V"</f>
        <v>KNA.V</v>
      </c>
      <c r="N189" s="531" t="s">
        <v>245</v>
      </c>
      <c r="O189" s="420" t="s">
        <v>289</v>
      </c>
      <c r="AB189" s="251"/>
      <c r="AC189" s="251"/>
      <c r="AD189" s="251"/>
      <c r="AE189" s="524"/>
      <c r="AF189" s="524"/>
      <c r="AG189" s="524"/>
      <c r="AH189" s="251"/>
      <c r="AI189" s="251"/>
      <c r="AJ189" s="251"/>
      <c r="AK189" s="247">
        <f>AL189+AM189</f>
        <v>0</v>
      </c>
      <c r="AL189" s="221"/>
      <c r="AM189" s="221"/>
      <c r="AN189" s="251"/>
      <c r="AO189" s="251"/>
      <c r="AP189" s="251"/>
      <c r="AQ189" s="524"/>
      <c r="AR189" s="524"/>
      <c r="AS189" s="524"/>
    </row>
    <row r="190" spans="13:45" ht="11.4">
      <c r="M190" s="561" t="s">
        <v>2057</v>
      </c>
      <c r="N190" s="559" t="s">
        <v>1949</v>
      </c>
      <c r="O190" s="420" t="s">
        <v>195</v>
      </c>
      <c r="AB190" s="251"/>
      <c r="AC190" s="251"/>
      <c r="AD190" s="251"/>
      <c r="AE190" s="252"/>
      <c r="AF190" s="524"/>
      <c r="AG190" s="524"/>
      <c r="AH190" s="251"/>
      <c r="AI190" s="251"/>
      <c r="AJ190" s="251"/>
      <c r="AK190" s="247">
        <f>AL190+AM190</f>
        <v>0</v>
      </c>
      <c r="AL190" s="244">
        <f>AL191*AL192/1000</f>
        <v>0</v>
      </c>
      <c r="AM190" s="244">
        <f>AM191*AM192/1000</f>
        <v>0</v>
      </c>
      <c r="AN190" s="251"/>
      <c r="AO190" s="251"/>
      <c r="AP190" s="251"/>
      <c r="AQ190" s="252"/>
      <c r="AR190" s="524"/>
      <c r="AS190" s="524"/>
    </row>
    <row r="191" spans="13:45" ht="11.4">
      <c r="M191" s="562" t="str">
        <f>M190 &amp; ".P"</f>
        <v>CAC.P</v>
      </c>
      <c r="N191" s="531" t="s">
        <v>842</v>
      </c>
      <c r="O191" s="420" t="s">
        <v>23</v>
      </c>
      <c r="AB191" s="251"/>
      <c r="AC191" s="251"/>
      <c r="AD191" s="251"/>
      <c r="AE191" s="252"/>
      <c r="AF191" s="524"/>
      <c r="AG191" s="524"/>
      <c r="AH191" s="251"/>
      <c r="AI191" s="251"/>
      <c r="AJ191" s="251"/>
      <c r="AK191" s="247">
        <f>IF(AK192=0,0,AK190*1000/AK192)</f>
        <v>0</v>
      </c>
      <c r="AL191" s="221"/>
      <c r="AM191" s="221"/>
      <c r="AN191" s="251"/>
      <c r="AO191" s="251"/>
      <c r="AP191" s="251"/>
      <c r="AQ191" s="252"/>
      <c r="AR191" s="524"/>
      <c r="AS191" s="524"/>
    </row>
    <row r="192" spans="13:45" ht="11.4">
      <c r="M192" s="562" t="str">
        <f>M190 &amp; ".V"</f>
        <v>CAC.V</v>
      </c>
      <c r="N192" s="531" t="s">
        <v>245</v>
      </c>
      <c r="O192" s="420" t="s">
        <v>289</v>
      </c>
      <c r="AB192" s="251"/>
      <c r="AC192" s="251"/>
      <c r="AD192" s="251"/>
      <c r="AE192" s="524"/>
      <c r="AF192" s="524"/>
      <c r="AG192" s="524"/>
      <c r="AH192" s="251"/>
      <c r="AI192" s="251"/>
      <c r="AJ192" s="251"/>
      <c r="AK192" s="247">
        <f>AL192+AM192</f>
        <v>0</v>
      </c>
      <c r="AL192" s="221"/>
      <c r="AM192" s="221"/>
      <c r="AN192" s="251"/>
      <c r="AO192" s="251"/>
      <c r="AP192" s="251"/>
      <c r="AQ192" s="524"/>
      <c r="AR192" s="524"/>
      <c r="AS192" s="524"/>
    </row>
    <row r="193" spans="13:45" ht="11.4">
      <c r="M193" s="561" t="s">
        <v>2058</v>
      </c>
      <c r="N193" s="559" t="s">
        <v>1950</v>
      </c>
      <c r="O193" s="420" t="s">
        <v>195</v>
      </c>
      <c r="AB193" s="251"/>
      <c r="AC193" s="251"/>
      <c r="AD193" s="251"/>
      <c r="AE193" s="252"/>
      <c r="AF193" s="524"/>
      <c r="AG193" s="524"/>
      <c r="AH193" s="251"/>
      <c r="AI193" s="251"/>
      <c r="AJ193" s="251"/>
      <c r="AK193" s="247">
        <f>AL193+AM193</f>
        <v>0</v>
      </c>
      <c r="AL193" s="244">
        <f>AL194*AL195/1000</f>
        <v>0</v>
      </c>
      <c r="AM193" s="244">
        <f>AM194*AM195/1000</f>
        <v>0</v>
      </c>
      <c r="AN193" s="251"/>
      <c r="AO193" s="251"/>
      <c r="AP193" s="251"/>
      <c r="AQ193" s="252"/>
      <c r="AR193" s="524"/>
      <c r="AS193" s="524"/>
    </row>
    <row r="194" spans="13:45" ht="11.4">
      <c r="M194" s="562" t="str">
        <f>M193 &amp; ".P"</f>
        <v>CACL.P</v>
      </c>
      <c r="N194" s="531" t="s">
        <v>842</v>
      </c>
      <c r="O194" s="420" t="s">
        <v>23</v>
      </c>
      <c r="AB194" s="251"/>
      <c r="AC194" s="251"/>
      <c r="AD194" s="251"/>
      <c r="AE194" s="252"/>
      <c r="AF194" s="524"/>
      <c r="AG194" s="524"/>
      <c r="AH194" s="251"/>
      <c r="AI194" s="251"/>
      <c r="AJ194" s="251"/>
      <c r="AK194" s="247">
        <f>IF(AK195=0,0,AK193*1000/AK195)</f>
        <v>0</v>
      </c>
      <c r="AL194" s="221"/>
      <c r="AM194" s="221"/>
      <c r="AN194" s="251"/>
      <c r="AO194" s="251"/>
      <c r="AP194" s="251"/>
      <c r="AQ194" s="252"/>
      <c r="AR194" s="524"/>
      <c r="AS194" s="524"/>
    </row>
    <row r="195" spans="13:45" ht="11.4">
      <c r="M195" s="562" t="str">
        <f>M193 &amp; ".V"</f>
        <v>CACL.V</v>
      </c>
      <c r="N195" s="531" t="s">
        <v>245</v>
      </c>
      <c r="O195" s="420" t="s">
        <v>289</v>
      </c>
      <c r="AB195" s="251"/>
      <c r="AC195" s="251"/>
      <c r="AD195" s="251"/>
      <c r="AE195" s="524"/>
      <c r="AF195" s="524"/>
      <c r="AG195" s="524"/>
      <c r="AH195" s="251"/>
      <c r="AI195" s="251"/>
      <c r="AJ195" s="251"/>
      <c r="AK195" s="247">
        <f>AL195+AM195</f>
        <v>0</v>
      </c>
      <c r="AL195" s="221"/>
      <c r="AM195" s="221"/>
      <c r="AN195" s="251"/>
      <c r="AO195" s="251"/>
      <c r="AP195" s="251"/>
      <c r="AQ195" s="524"/>
      <c r="AR195" s="524"/>
      <c r="AS195" s="524"/>
    </row>
    <row r="196" spans="13:45" ht="11.4">
      <c r="M196" s="561" t="s">
        <v>2059</v>
      </c>
      <c r="N196" s="559" t="s">
        <v>1951</v>
      </c>
      <c r="O196" s="420" t="s">
        <v>195</v>
      </c>
      <c r="AB196" s="251"/>
      <c r="AC196" s="251"/>
      <c r="AD196" s="251"/>
      <c r="AE196" s="252"/>
      <c r="AF196" s="524"/>
      <c r="AG196" s="524"/>
      <c r="AH196" s="251"/>
      <c r="AI196" s="251"/>
      <c r="AJ196" s="251"/>
      <c r="AK196" s="247">
        <f>AL196+AM196</f>
        <v>0</v>
      </c>
      <c r="AL196" s="244">
        <f>AL197*AL198/1000</f>
        <v>0</v>
      </c>
      <c r="AM196" s="244">
        <f>AM197*AM198/1000</f>
        <v>0</v>
      </c>
      <c r="AN196" s="251"/>
      <c r="AO196" s="251"/>
      <c r="AP196" s="251"/>
      <c r="AQ196" s="252"/>
      <c r="AR196" s="524"/>
      <c r="AS196" s="524"/>
    </row>
    <row r="197" spans="13:45" ht="11.4">
      <c r="M197" s="562" t="str">
        <f>M196 &amp; ".P"</f>
        <v>CAHPCL.P</v>
      </c>
      <c r="N197" s="531" t="s">
        <v>842</v>
      </c>
      <c r="O197" s="420" t="s">
        <v>23</v>
      </c>
      <c r="AB197" s="251"/>
      <c r="AC197" s="251"/>
      <c r="AD197" s="251"/>
      <c r="AE197" s="252"/>
      <c r="AF197" s="524"/>
      <c r="AG197" s="524"/>
      <c r="AH197" s="251"/>
      <c r="AI197" s="251"/>
      <c r="AJ197" s="251"/>
      <c r="AK197" s="247">
        <f>IF(AK198=0,0,AK196*1000/AK198)</f>
        <v>0</v>
      </c>
      <c r="AL197" s="221"/>
      <c r="AM197" s="221"/>
      <c r="AN197" s="251"/>
      <c r="AO197" s="251"/>
      <c r="AP197" s="251"/>
      <c r="AQ197" s="252"/>
      <c r="AR197" s="524"/>
      <c r="AS197" s="524"/>
    </row>
    <row r="198" spans="13:45" ht="11.4">
      <c r="M198" s="562" t="str">
        <f>M196 &amp; ".V"</f>
        <v>CAHPCL.V</v>
      </c>
      <c r="N198" s="531" t="s">
        <v>245</v>
      </c>
      <c r="O198" s="420" t="s">
        <v>289</v>
      </c>
      <c r="AB198" s="251"/>
      <c r="AC198" s="251"/>
      <c r="AD198" s="251"/>
      <c r="AE198" s="524"/>
      <c r="AF198" s="524"/>
      <c r="AG198" s="524"/>
      <c r="AH198" s="251"/>
      <c r="AI198" s="251"/>
      <c r="AJ198" s="251"/>
      <c r="AK198" s="247">
        <f>AL198+AM198</f>
        <v>0</v>
      </c>
      <c r="AL198" s="221"/>
      <c r="AM198" s="221"/>
      <c r="AN198" s="251"/>
      <c r="AO198" s="251"/>
      <c r="AP198" s="251"/>
      <c r="AQ198" s="524"/>
      <c r="AR198" s="524"/>
      <c r="AS198" s="524"/>
    </row>
    <row r="199" spans="13:45" ht="11.4">
      <c r="M199" s="561" t="s">
        <v>2060</v>
      </c>
      <c r="N199" s="559" t="s">
        <v>1952</v>
      </c>
      <c r="O199" s="420" t="s">
        <v>195</v>
      </c>
      <c r="AB199" s="251"/>
      <c r="AC199" s="251"/>
      <c r="AD199" s="251"/>
      <c r="AE199" s="252"/>
      <c r="AF199" s="524"/>
      <c r="AG199" s="524"/>
      <c r="AH199" s="251"/>
      <c r="AI199" s="251"/>
      <c r="AJ199" s="251"/>
      <c r="AK199" s="247">
        <f>AL199+AM199</f>
        <v>0</v>
      </c>
      <c r="AL199" s="244">
        <f>AL200*AL201/1000</f>
        <v>0</v>
      </c>
      <c r="AM199" s="244">
        <f>AM200*AM201/1000</f>
        <v>0</v>
      </c>
      <c r="AN199" s="251"/>
      <c r="AO199" s="251"/>
      <c r="AP199" s="251"/>
      <c r="AQ199" s="252"/>
      <c r="AR199" s="524"/>
      <c r="AS199" s="524"/>
    </row>
    <row r="200" spans="13:45" ht="11.4">
      <c r="M200" s="562" t="str">
        <f>M199 &amp; ".P"</f>
        <v>SAND.P</v>
      </c>
      <c r="N200" s="531" t="s">
        <v>842</v>
      </c>
      <c r="O200" s="420" t="s">
        <v>23</v>
      </c>
      <c r="AB200" s="251"/>
      <c r="AC200" s="251"/>
      <c r="AD200" s="251"/>
      <c r="AE200" s="252"/>
      <c r="AF200" s="524"/>
      <c r="AG200" s="524"/>
      <c r="AH200" s="251"/>
      <c r="AI200" s="251"/>
      <c r="AJ200" s="251"/>
      <c r="AK200" s="247">
        <f>IF(AK201=0,0,AK199*1000/AK201)</f>
        <v>0</v>
      </c>
      <c r="AL200" s="221"/>
      <c r="AM200" s="221"/>
      <c r="AN200" s="251"/>
      <c r="AO200" s="251"/>
      <c r="AP200" s="251"/>
      <c r="AQ200" s="252"/>
      <c r="AR200" s="524"/>
      <c r="AS200" s="524"/>
    </row>
    <row r="201" spans="13:45" ht="11.4">
      <c r="M201" s="562" t="str">
        <f>M199 &amp; ".V"</f>
        <v>SAND.V</v>
      </c>
      <c r="N201" s="531" t="s">
        <v>245</v>
      </c>
      <c r="O201" s="420" t="s">
        <v>289</v>
      </c>
      <c r="AB201" s="251"/>
      <c r="AC201" s="251"/>
      <c r="AD201" s="251"/>
      <c r="AE201" s="524"/>
      <c r="AF201" s="524"/>
      <c r="AG201" s="524"/>
      <c r="AH201" s="251"/>
      <c r="AI201" s="251"/>
      <c r="AJ201" s="251"/>
      <c r="AK201" s="247">
        <f>AL201+AM201</f>
        <v>0</v>
      </c>
      <c r="AL201" s="221"/>
      <c r="AM201" s="221"/>
      <c r="AN201" s="251"/>
      <c r="AO201" s="251"/>
      <c r="AP201" s="251"/>
      <c r="AQ201" s="524"/>
      <c r="AR201" s="524"/>
      <c r="AS201" s="524"/>
    </row>
    <row r="202" spans="13:45" ht="11.4">
      <c r="M202" s="561" t="s">
        <v>2061</v>
      </c>
      <c r="N202" s="559" t="s">
        <v>1953</v>
      </c>
      <c r="O202" s="420" t="s">
        <v>195</v>
      </c>
      <c r="AB202" s="251"/>
      <c r="AC202" s="251"/>
      <c r="AD202" s="251"/>
      <c r="AE202" s="252"/>
      <c r="AF202" s="524"/>
      <c r="AG202" s="524"/>
      <c r="AH202" s="251"/>
      <c r="AI202" s="251"/>
      <c r="AJ202" s="251"/>
      <c r="AK202" s="247">
        <f>AL202+AM202</f>
        <v>0</v>
      </c>
      <c r="AL202" s="244">
        <f>AL203*AL204/1000</f>
        <v>0</v>
      </c>
      <c r="AM202" s="244">
        <f>AM203*AM204/1000</f>
        <v>0</v>
      </c>
      <c r="AN202" s="251"/>
      <c r="AO202" s="251"/>
      <c r="AP202" s="251"/>
      <c r="AQ202" s="252"/>
      <c r="AR202" s="524"/>
      <c r="AS202" s="524"/>
    </row>
    <row r="203" spans="13:45" ht="11.4">
      <c r="M203" s="562" t="str">
        <f>M202 &amp; ".P"</f>
        <v>ACIDN.P</v>
      </c>
      <c r="N203" s="531" t="s">
        <v>842</v>
      </c>
      <c r="O203" s="420" t="s">
        <v>23</v>
      </c>
      <c r="AB203" s="251"/>
      <c r="AC203" s="251"/>
      <c r="AD203" s="251"/>
      <c r="AE203" s="252"/>
      <c r="AF203" s="524"/>
      <c r="AG203" s="524"/>
      <c r="AH203" s="251"/>
      <c r="AI203" s="251"/>
      <c r="AJ203" s="251"/>
      <c r="AK203" s="247">
        <f>IF(AK204=0,0,AK202*1000/AK204)</f>
        <v>0</v>
      </c>
      <c r="AL203" s="221"/>
      <c r="AM203" s="221"/>
      <c r="AN203" s="251"/>
      <c r="AO203" s="251"/>
      <c r="AP203" s="251"/>
      <c r="AQ203" s="252"/>
      <c r="AR203" s="524"/>
      <c r="AS203" s="524"/>
    </row>
    <row r="204" spans="13:45" ht="11.4">
      <c r="M204" s="562" t="str">
        <f>M202 &amp; ".V"</f>
        <v>ACIDN.V</v>
      </c>
      <c r="N204" s="531" t="s">
        <v>245</v>
      </c>
      <c r="O204" s="420" t="s">
        <v>289</v>
      </c>
      <c r="AB204" s="251"/>
      <c r="AC204" s="251"/>
      <c r="AD204" s="251"/>
      <c r="AE204" s="524"/>
      <c r="AF204" s="524"/>
      <c r="AG204" s="524"/>
      <c r="AH204" s="251"/>
      <c r="AI204" s="251"/>
      <c r="AJ204" s="251"/>
      <c r="AK204" s="247">
        <f>AL204+AM204</f>
        <v>0</v>
      </c>
      <c r="AL204" s="221"/>
      <c r="AM204" s="221"/>
      <c r="AN204" s="251"/>
      <c r="AO204" s="251"/>
      <c r="AP204" s="251"/>
      <c r="AQ204" s="524"/>
      <c r="AR204" s="524"/>
      <c r="AS204" s="524"/>
    </row>
    <row r="205" spans="13:45" ht="11.4">
      <c r="M205" s="561" t="s">
        <v>2062</v>
      </c>
      <c r="N205" s="559" t="s">
        <v>1954</v>
      </c>
      <c r="O205" s="420" t="s">
        <v>195</v>
      </c>
      <c r="AB205" s="251"/>
      <c r="AC205" s="251"/>
      <c r="AD205" s="251"/>
      <c r="AE205" s="252"/>
      <c r="AF205" s="524"/>
      <c r="AG205" s="524"/>
      <c r="AH205" s="251"/>
      <c r="AI205" s="251"/>
      <c r="AJ205" s="251"/>
      <c r="AK205" s="247">
        <f>AL205+AM205</f>
        <v>0</v>
      </c>
      <c r="AL205" s="244">
        <f>AL206*AL207/1000</f>
        <v>0</v>
      </c>
      <c r="AM205" s="244">
        <f>AM206*AM207/1000</f>
        <v>0</v>
      </c>
      <c r="AN205" s="251"/>
      <c r="AO205" s="251"/>
      <c r="AP205" s="251"/>
      <c r="AQ205" s="252"/>
      <c r="AR205" s="524"/>
      <c r="AS205" s="524"/>
    </row>
    <row r="206" spans="13:45" ht="11.4">
      <c r="M206" s="562" t="str">
        <f>M205 &amp; ".P"</f>
        <v>ACIDA.P</v>
      </c>
      <c r="N206" s="531" t="s">
        <v>842</v>
      </c>
      <c r="O206" s="420" t="s">
        <v>23</v>
      </c>
      <c r="AB206" s="251"/>
      <c r="AC206" s="251"/>
      <c r="AD206" s="251"/>
      <c r="AE206" s="252"/>
      <c r="AF206" s="524"/>
      <c r="AG206" s="524"/>
      <c r="AH206" s="251"/>
      <c r="AI206" s="251"/>
      <c r="AJ206" s="251"/>
      <c r="AK206" s="247">
        <f>IF(AK207=0,0,AK205*1000/AK207)</f>
        <v>0</v>
      </c>
      <c r="AL206" s="221"/>
      <c r="AM206" s="221"/>
      <c r="AN206" s="251"/>
      <c r="AO206" s="251"/>
      <c r="AP206" s="251"/>
      <c r="AQ206" s="252"/>
      <c r="AR206" s="524"/>
      <c r="AS206" s="524"/>
    </row>
    <row r="207" spans="13:45" ht="11.4">
      <c r="M207" s="562" t="str">
        <f>M205 &amp; ".V"</f>
        <v>ACIDA.V</v>
      </c>
      <c r="N207" s="531" t="s">
        <v>245</v>
      </c>
      <c r="O207" s="420" t="s">
        <v>289</v>
      </c>
      <c r="AB207" s="251"/>
      <c r="AC207" s="251"/>
      <c r="AD207" s="251"/>
      <c r="AE207" s="524"/>
      <c r="AF207" s="524"/>
      <c r="AG207" s="524"/>
      <c r="AH207" s="251"/>
      <c r="AI207" s="251"/>
      <c r="AJ207" s="251"/>
      <c r="AK207" s="247">
        <f>AL207+AM207</f>
        <v>0</v>
      </c>
      <c r="AL207" s="221"/>
      <c r="AM207" s="221"/>
      <c r="AN207" s="251"/>
      <c r="AO207" s="251"/>
      <c r="AP207" s="251"/>
      <c r="AQ207" s="524"/>
      <c r="AR207" s="524"/>
      <c r="AS207" s="524"/>
    </row>
    <row r="208" spans="13:45" ht="11.4">
      <c r="M208" s="561" t="s">
        <v>2063</v>
      </c>
      <c r="N208" s="559" t="s">
        <v>1955</v>
      </c>
      <c r="O208" s="420" t="s">
        <v>195</v>
      </c>
      <c r="AB208" s="251"/>
      <c r="AC208" s="251"/>
      <c r="AD208" s="251"/>
      <c r="AE208" s="252"/>
      <c r="AF208" s="524"/>
      <c r="AG208" s="524"/>
      <c r="AH208" s="251"/>
      <c r="AI208" s="251"/>
      <c r="AJ208" s="251"/>
      <c r="AK208" s="247">
        <f>AL208+AM208</f>
        <v>0</v>
      </c>
      <c r="AL208" s="244">
        <f>AL209*AL210/1000</f>
        <v>0</v>
      </c>
      <c r="AM208" s="244">
        <f>AM209*AM210/1000</f>
        <v>0</v>
      </c>
      <c r="AN208" s="251"/>
      <c r="AO208" s="251"/>
      <c r="AP208" s="251"/>
      <c r="AQ208" s="252"/>
      <c r="AR208" s="524"/>
      <c r="AS208" s="524"/>
    </row>
    <row r="209" spans="13:45" ht="11.4">
      <c r="M209" s="562" t="str">
        <f>M208 &amp; ".P"</f>
        <v>ACIDL.P</v>
      </c>
      <c r="N209" s="531" t="s">
        <v>842</v>
      </c>
      <c r="O209" s="420" t="s">
        <v>23</v>
      </c>
      <c r="AB209" s="251"/>
      <c r="AC209" s="251"/>
      <c r="AD209" s="251"/>
      <c r="AE209" s="252"/>
      <c r="AF209" s="524"/>
      <c r="AG209" s="524"/>
      <c r="AH209" s="251"/>
      <c r="AI209" s="251"/>
      <c r="AJ209" s="251"/>
      <c r="AK209" s="247">
        <f>IF(AK210=0,0,AK208*1000/AK210)</f>
        <v>0</v>
      </c>
      <c r="AL209" s="221"/>
      <c r="AM209" s="221"/>
      <c r="AN209" s="251"/>
      <c r="AO209" s="251"/>
      <c r="AP209" s="251"/>
      <c r="AQ209" s="252"/>
      <c r="AR209" s="524"/>
      <c r="AS209" s="524"/>
    </row>
    <row r="210" spans="13:45" ht="11.4">
      <c r="M210" s="562" t="str">
        <f>M208 &amp; ".V"</f>
        <v>ACIDL.V</v>
      </c>
      <c r="N210" s="531" t="s">
        <v>245</v>
      </c>
      <c r="O210" s="420" t="s">
        <v>289</v>
      </c>
      <c r="AB210" s="251"/>
      <c r="AC210" s="251"/>
      <c r="AD210" s="251"/>
      <c r="AE210" s="524"/>
      <c r="AF210" s="524"/>
      <c r="AG210" s="524"/>
      <c r="AH210" s="251"/>
      <c r="AI210" s="251"/>
      <c r="AJ210" s="251"/>
      <c r="AK210" s="247">
        <f>AL210+AM210</f>
        <v>0</v>
      </c>
      <c r="AL210" s="221"/>
      <c r="AM210" s="221"/>
      <c r="AN210" s="251"/>
      <c r="AO210" s="251"/>
      <c r="AP210" s="251"/>
      <c r="AQ210" s="524"/>
      <c r="AR210" s="524"/>
      <c r="AS210" s="524"/>
    </row>
    <row r="211" spans="13:45" ht="11.4">
      <c r="M211" s="561" t="s">
        <v>2064</v>
      </c>
      <c r="N211" s="559" t="s">
        <v>1956</v>
      </c>
      <c r="O211" s="420" t="s">
        <v>195</v>
      </c>
      <c r="AB211" s="251"/>
      <c r="AC211" s="251"/>
      <c r="AD211" s="251"/>
      <c r="AE211" s="252"/>
      <c r="AF211" s="524"/>
      <c r="AG211" s="524"/>
      <c r="AH211" s="251"/>
      <c r="AI211" s="251"/>
      <c r="AJ211" s="251"/>
      <c r="AK211" s="247">
        <f>AL211+AM211</f>
        <v>0</v>
      </c>
      <c r="AL211" s="244">
        <f>AL212*AL213/1000</f>
        <v>0</v>
      </c>
      <c r="AM211" s="244">
        <f>AM212*AM213/1000</f>
        <v>0</v>
      </c>
      <c r="AN211" s="251"/>
      <c r="AO211" s="251"/>
      <c r="AP211" s="251"/>
      <c r="AQ211" s="252"/>
      <c r="AR211" s="524"/>
      <c r="AS211" s="524"/>
    </row>
    <row r="212" spans="13:45" ht="11.4">
      <c r="M212" s="562" t="str">
        <f>M211 &amp; ".P"</f>
        <v>AURIN.P</v>
      </c>
      <c r="N212" s="531" t="s">
        <v>842</v>
      </c>
      <c r="O212" s="420" t="s">
        <v>23</v>
      </c>
      <c r="AB212" s="251"/>
      <c r="AC212" s="251"/>
      <c r="AD212" s="251"/>
      <c r="AE212" s="252"/>
      <c r="AF212" s="524"/>
      <c r="AG212" s="524"/>
      <c r="AH212" s="251"/>
      <c r="AI212" s="251"/>
      <c r="AJ212" s="251"/>
      <c r="AK212" s="247">
        <f>IF(AK213=0,0,AK211*1000/AK213)</f>
        <v>0</v>
      </c>
      <c r="AL212" s="221"/>
      <c r="AM212" s="221"/>
      <c r="AN212" s="251"/>
      <c r="AO212" s="251"/>
      <c r="AP212" s="251"/>
      <c r="AQ212" s="252"/>
      <c r="AR212" s="524"/>
      <c r="AS212" s="524"/>
    </row>
    <row r="213" spans="13:45" ht="11.4">
      <c r="M213" s="562" t="str">
        <f>M211 &amp; ".V"</f>
        <v>AURIN.V</v>
      </c>
      <c r="N213" s="531" t="s">
        <v>245</v>
      </c>
      <c r="O213" s="420" t="s">
        <v>289</v>
      </c>
      <c r="AB213" s="251"/>
      <c r="AC213" s="251"/>
      <c r="AD213" s="251"/>
      <c r="AE213" s="524"/>
      <c r="AF213" s="524"/>
      <c r="AG213" s="524"/>
      <c r="AH213" s="251"/>
      <c r="AI213" s="251"/>
      <c r="AJ213" s="251"/>
      <c r="AK213" s="247">
        <f>AL213+AM213</f>
        <v>0</v>
      </c>
      <c r="AL213" s="221"/>
      <c r="AM213" s="221"/>
      <c r="AN213" s="251"/>
      <c r="AO213" s="251"/>
      <c r="AP213" s="251"/>
      <c r="AQ213" s="524"/>
      <c r="AR213" s="524"/>
      <c r="AS213" s="524"/>
    </row>
    <row r="214" spans="13:45" ht="11.4">
      <c r="M214" s="561" t="s">
        <v>2065</v>
      </c>
      <c r="N214" s="559" t="s">
        <v>1957</v>
      </c>
      <c r="O214" s="420" t="s">
        <v>195</v>
      </c>
      <c r="AB214" s="251"/>
      <c r="AC214" s="251"/>
      <c r="AD214" s="251"/>
      <c r="AE214" s="252"/>
      <c r="AF214" s="524"/>
      <c r="AG214" s="524"/>
      <c r="AH214" s="251"/>
      <c r="AI214" s="251"/>
      <c r="AJ214" s="251"/>
      <c r="AK214" s="247">
        <f>AL214+AM214</f>
        <v>0</v>
      </c>
      <c r="AL214" s="244">
        <f>AL215*AL216/1000</f>
        <v>0</v>
      </c>
      <c r="AM214" s="244">
        <f>AM215*AM216/1000</f>
        <v>0</v>
      </c>
      <c r="AN214" s="251"/>
      <c r="AO214" s="251"/>
      <c r="AP214" s="251"/>
      <c r="AQ214" s="252"/>
      <c r="AR214" s="524"/>
      <c r="AS214" s="524"/>
    </row>
    <row r="215" spans="13:45" ht="11.4">
      <c r="M215" s="562" t="str">
        <f>M214 &amp; ".P"</f>
        <v>ACIDS.P</v>
      </c>
      <c r="N215" s="531" t="s">
        <v>842</v>
      </c>
      <c r="O215" s="420" t="s">
        <v>23</v>
      </c>
      <c r="AB215" s="251"/>
      <c r="AC215" s="251"/>
      <c r="AD215" s="251"/>
      <c r="AE215" s="252"/>
      <c r="AF215" s="524"/>
      <c r="AG215" s="524"/>
      <c r="AH215" s="251"/>
      <c r="AI215" s="251"/>
      <c r="AJ215" s="251"/>
      <c r="AK215" s="247">
        <f>IF(AK216=0,0,AK214*1000/AK216)</f>
        <v>0</v>
      </c>
      <c r="AL215" s="221"/>
      <c r="AM215" s="221"/>
      <c r="AN215" s="251"/>
      <c r="AO215" s="251"/>
      <c r="AP215" s="251"/>
      <c r="AQ215" s="252"/>
      <c r="AR215" s="524"/>
      <c r="AS215" s="524"/>
    </row>
    <row r="216" spans="13:45" ht="11.4">
      <c r="M216" s="562" t="str">
        <f>M214 &amp; ".V"</f>
        <v>ACIDS.V</v>
      </c>
      <c r="N216" s="531" t="s">
        <v>245</v>
      </c>
      <c r="O216" s="420" t="s">
        <v>289</v>
      </c>
      <c r="AB216" s="251"/>
      <c r="AC216" s="251"/>
      <c r="AD216" s="251"/>
      <c r="AE216" s="524"/>
      <c r="AF216" s="524"/>
      <c r="AG216" s="524"/>
      <c r="AH216" s="251"/>
      <c r="AI216" s="251"/>
      <c r="AJ216" s="251"/>
      <c r="AK216" s="247">
        <f>AL216+AM216</f>
        <v>0</v>
      </c>
      <c r="AL216" s="221"/>
      <c r="AM216" s="221"/>
      <c r="AN216" s="251"/>
      <c r="AO216" s="251"/>
      <c r="AP216" s="251"/>
      <c r="AQ216" s="524"/>
      <c r="AR216" s="524"/>
      <c r="AS216" s="524"/>
    </row>
    <row r="217" spans="13:45" ht="11.4">
      <c r="M217" s="561" t="s">
        <v>2066</v>
      </c>
      <c r="N217" s="559" t="s">
        <v>1958</v>
      </c>
      <c r="O217" s="420" t="s">
        <v>195</v>
      </c>
      <c r="AB217" s="251"/>
      <c r="AC217" s="251"/>
      <c r="AD217" s="251"/>
      <c r="AE217" s="252"/>
      <c r="AF217" s="524"/>
      <c r="AG217" s="524"/>
      <c r="AH217" s="251"/>
      <c r="AI217" s="251"/>
      <c r="AJ217" s="251"/>
      <c r="AK217" s="247">
        <f>AL217+AM217</f>
        <v>0</v>
      </c>
      <c r="AL217" s="244">
        <f>AL218*AL219/1000</f>
        <v>0</v>
      </c>
      <c r="AM217" s="244">
        <f>AM218*AM219/1000</f>
        <v>0</v>
      </c>
      <c r="AN217" s="251"/>
      <c r="AO217" s="251"/>
      <c r="AP217" s="251"/>
      <c r="AQ217" s="252"/>
      <c r="AR217" s="524"/>
      <c r="AS217" s="524"/>
    </row>
    <row r="218" spans="13:45" ht="11.4">
      <c r="M218" s="562" t="str">
        <f>M217 &amp; ".P"</f>
        <v>ADIDCL.P</v>
      </c>
      <c r="N218" s="531" t="s">
        <v>842</v>
      </c>
      <c r="O218" s="420" t="s">
        <v>23</v>
      </c>
      <c r="AB218" s="251"/>
      <c r="AC218" s="251"/>
      <c r="AD218" s="251"/>
      <c r="AE218" s="252"/>
      <c r="AF218" s="524"/>
      <c r="AG218" s="524"/>
      <c r="AH218" s="251"/>
      <c r="AI218" s="251"/>
      <c r="AJ218" s="251"/>
      <c r="AK218" s="247">
        <f>IF(AK219=0,0,AK217*1000/AK219)</f>
        <v>0</v>
      </c>
      <c r="AL218" s="221"/>
      <c r="AM218" s="221"/>
      <c r="AN218" s="251"/>
      <c r="AO218" s="251"/>
      <c r="AP218" s="251"/>
      <c r="AQ218" s="252"/>
      <c r="AR218" s="524"/>
      <c r="AS218" s="524"/>
    </row>
    <row r="219" spans="13:45" ht="11.4">
      <c r="M219" s="562" t="str">
        <f>M217 &amp; ".V"</f>
        <v>ADIDCL.V</v>
      </c>
      <c r="N219" s="531" t="s">
        <v>245</v>
      </c>
      <c r="O219" s="420" t="s">
        <v>289</v>
      </c>
      <c r="AB219" s="251"/>
      <c r="AC219" s="251"/>
      <c r="AD219" s="251"/>
      <c r="AE219" s="524"/>
      <c r="AF219" s="524"/>
      <c r="AG219" s="524"/>
      <c r="AH219" s="251"/>
      <c r="AI219" s="251"/>
      <c r="AJ219" s="251"/>
      <c r="AK219" s="247">
        <f>AL219+AM219</f>
        <v>0</v>
      </c>
      <c r="AL219" s="221"/>
      <c r="AM219" s="221"/>
      <c r="AN219" s="251"/>
      <c r="AO219" s="251"/>
      <c r="AP219" s="251"/>
      <c r="AQ219" s="524"/>
      <c r="AR219" s="524"/>
      <c r="AS219" s="524"/>
    </row>
    <row r="220" spans="13:45" ht="11.4">
      <c r="M220" s="561" t="s">
        <v>2067</v>
      </c>
      <c r="N220" s="559" t="s">
        <v>1959</v>
      </c>
      <c r="O220" s="420" t="s">
        <v>195</v>
      </c>
      <c r="AB220" s="251"/>
      <c r="AC220" s="251"/>
      <c r="AD220" s="251"/>
      <c r="AE220" s="252"/>
      <c r="AF220" s="524"/>
      <c r="AG220" s="524"/>
      <c r="AH220" s="251"/>
      <c r="AI220" s="251"/>
      <c r="AJ220" s="251"/>
      <c r="AK220" s="247">
        <f>AL220+AM220</f>
        <v>0</v>
      </c>
      <c r="AL220" s="244">
        <f>AL221*AL222/1000</f>
        <v>0</v>
      </c>
      <c r="AM220" s="244">
        <f>AM221*AM222/1000</f>
        <v>0</v>
      </c>
      <c r="AN220" s="251"/>
      <c r="AO220" s="251"/>
      <c r="AP220" s="251"/>
      <c r="AQ220" s="252"/>
      <c r="AR220" s="524"/>
      <c r="AS220" s="524"/>
    </row>
    <row r="221" spans="13:45" ht="11.4">
      <c r="M221" s="562" t="str">
        <f>M220 &amp; ".P"</f>
        <v>ACIDAC.P</v>
      </c>
      <c r="N221" s="531" t="s">
        <v>842</v>
      </c>
      <c r="O221" s="420" t="s">
        <v>23</v>
      </c>
      <c r="AB221" s="251"/>
      <c r="AC221" s="251"/>
      <c r="AD221" s="251"/>
      <c r="AE221" s="252"/>
      <c r="AF221" s="524"/>
      <c r="AG221" s="524"/>
      <c r="AH221" s="251"/>
      <c r="AI221" s="251"/>
      <c r="AJ221" s="251"/>
      <c r="AK221" s="247">
        <f>IF(AK222=0,0,AK220*1000/AK222)</f>
        <v>0</v>
      </c>
      <c r="AL221" s="221"/>
      <c r="AM221" s="221"/>
      <c r="AN221" s="251"/>
      <c r="AO221" s="251"/>
      <c r="AP221" s="251"/>
      <c r="AQ221" s="252"/>
      <c r="AR221" s="524"/>
      <c r="AS221" s="524"/>
    </row>
    <row r="222" spans="13:45" ht="11.4">
      <c r="M222" s="562" t="str">
        <f>M220 &amp; ".V"</f>
        <v>ACIDAC.V</v>
      </c>
      <c r="N222" s="531" t="s">
        <v>245</v>
      </c>
      <c r="O222" s="420" t="s">
        <v>289</v>
      </c>
      <c r="AB222" s="251"/>
      <c r="AC222" s="251"/>
      <c r="AD222" s="251"/>
      <c r="AE222" s="524"/>
      <c r="AF222" s="524"/>
      <c r="AG222" s="524"/>
      <c r="AH222" s="251"/>
      <c r="AI222" s="251"/>
      <c r="AJ222" s="251"/>
      <c r="AK222" s="247">
        <f>AL222+AM222</f>
        <v>0</v>
      </c>
      <c r="AL222" s="221"/>
      <c r="AM222" s="221"/>
      <c r="AN222" s="251"/>
      <c r="AO222" s="251"/>
      <c r="AP222" s="251"/>
      <c r="AQ222" s="524"/>
      <c r="AR222" s="524"/>
      <c r="AS222" s="524"/>
    </row>
    <row r="223" spans="13:45" ht="11.4">
      <c r="M223" s="561" t="s">
        <v>2068</v>
      </c>
      <c r="N223" s="559" t="s">
        <v>1960</v>
      </c>
      <c r="O223" s="420" t="s">
        <v>195</v>
      </c>
      <c r="AB223" s="251"/>
      <c r="AC223" s="251"/>
      <c r="AD223" s="251"/>
      <c r="AE223" s="252"/>
      <c r="AF223" s="524"/>
      <c r="AG223" s="524"/>
      <c r="AH223" s="251"/>
      <c r="AI223" s="251"/>
      <c r="AJ223" s="251"/>
      <c r="AK223" s="247">
        <f>AL223+AM223</f>
        <v>0</v>
      </c>
      <c r="AL223" s="244">
        <f>AL224*AL225/1000</f>
        <v>0</v>
      </c>
      <c r="AM223" s="244">
        <f>AM224*AM225/1000</f>
        <v>0</v>
      </c>
      <c r="AN223" s="251"/>
      <c r="AO223" s="251"/>
      <c r="AP223" s="251"/>
      <c r="AQ223" s="252"/>
      <c r="AR223" s="524"/>
      <c r="AS223" s="524"/>
    </row>
    <row r="224" spans="13:45" ht="11.4">
      <c r="M224" s="562" t="str">
        <f>M223 &amp; ".P"</f>
        <v>ACIDOX.P</v>
      </c>
      <c r="N224" s="531" t="s">
        <v>842</v>
      </c>
      <c r="O224" s="420" t="s">
        <v>23</v>
      </c>
      <c r="AB224" s="251"/>
      <c r="AC224" s="251"/>
      <c r="AD224" s="251"/>
      <c r="AE224" s="252"/>
      <c r="AF224" s="524"/>
      <c r="AG224" s="524"/>
      <c r="AH224" s="251"/>
      <c r="AI224" s="251"/>
      <c r="AJ224" s="251"/>
      <c r="AK224" s="247">
        <f>IF(AK225=0,0,AK223*1000/AK225)</f>
        <v>0</v>
      </c>
      <c r="AL224" s="221"/>
      <c r="AM224" s="221"/>
      <c r="AN224" s="251"/>
      <c r="AO224" s="251"/>
      <c r="AP224" s="251"/>
      <c r="AQ224" s="252"/>
      <c r="AR224" s="524"/>
      <c r="AS224" s="524"/>
    </row>
    <row r="225" spans="13:45" ht="11.4">
      <c r="M225" s="562" t="str">
        <f>M223 &amp; ".V"</f>
        <v>ACIDOX.V</v>
      </c>
      <c r="N225" s="531" t="s">
        <v>245</v>
      </c>
      <c r="O225" s="420" t="s">
        <v>289</v>
      </c>
      <c r="AB225" s="251"/>
      <c r="AC225" s="251"/>
      <c r="AD225" s="251"/>
      <c r="AE225" s="524"/>
      <c r="AF225" s="524"/>
      <c r="AG225" s="524"/>
      <c r="AH225" s="251"/>
      <c r="AI225" s="251"/>
      <c r="AJ225" s="251"/>
      <c r="AK225" s="247">
        <f>AL225+AM225</f>
        <v>0</v>
      </c>
      <c r="AL225" s="221"/>
      <c r="AM225" s="221"/>
      <c r="AN225" s="251"/>
      <c r="AO225" s="251"/>
      <c r="AP225" s="251"/>
      <c r="AQ225" s="524"/>
      <c r="AR225" s="524"/>
      <c r="AS225" s="524"/>
    </row>
    <row r="226" spans="13:45" ht="11.4">
      <c r="M226" s="561" t="s">
        <v>2069</v>
      </c>
      <c r="N226" s="559" t="s">
        <v>1961</v>
      </c>
      <c r="O226" s="420" t="s">
        <v>195</v>
      </c>
      <c r="AB226" s="251"/>
      <c r="AC226" s="251"/>
      <c r="AD226" s="251"/>
      <c r="AE226" s="252"/>
      <c r="AF226" s="524"/>
      <c r="AG226" s="524"/>
      <c r="AH226" s="251"/>
      <c r="AI226" s="251"/>
      <c r="AJ226" s="251"/>
      <c r="AK226" s="247">
        <f>AL226+AM226</f>
        <v>0</v>
      </c>
      <c r="AL226" s="244">
        <f>AL227*AL228/1000</f>
        <v>0</v>
      </c>
      <c r="AM226" s="244">
        <f>AM227*AM228/1000</f>
        <v>0</v>
      </c>
      <c r="AN226" s="251"/>
      <c r="AO226" s="251"/>
      <c r="AP226" s="251"/>
      <c r="AQ226" s="252"/>
      <c r="AR226" s="524"/>
      <c r="AS226" s="524"/>
    </row>
    <row r="227" spans="13:45" ht="11.4">
      <c r="M227" s="562" t="str">
        <f>M226 &amp; ".P"</f>
        <v>STARCH.P</v>
      </c>
      <c r="N227" s="531" t="s">
        <v>842</v>
      </c>
      <c r="O227" s="420" t="s">
        <v>23</v>
      </c>
      <c r="AB227" s="251"/>
      <c r="AC227" s="251"/>
      <c r="AD227" s="251"/>
      <c r="AE227" s="252"/>
      <c r="AF227" s="524"/>
      <c r="AG227" s="524"/>
      <c r="AH227" s="251"/>
      <c r="AI227" s="251"/>
      <c r="AJ227" s="251"/>
      <c r="AK227" s="247">
        <f>IF(AK228=0,0,AK226*1000/AK228)</f>
        <v>0</v>
      </c>
      <c r="AL227" s="221"/>
      <c r="AM227" s="221"/>
      <c r="AN227" s="251"/>
      <c r="AO227" s="251"/>
      <c r="AP227" s="251"/>
      <c r="AQ227" s="252"/>
      <c r="AR227" s="524"/>
      <c r="AS227" s="524"/>
    </row>
    <row r="228" spans="13:45" ht="11.4">
      <c r="M228" s="562" t="str">
        <f>M226 &amp; ".V"</f>
        <v>STARCH.V</v>
      </c>
      <c r="N228" s="531" t="s">
        <v>245</v>
      </c>
      <c r="O228" s="420" t="s">
        <v>289</v>
      </c>
      <c r="AB228" s="251"/>
      <c r="AC228" s="251"/>
      <c r="AD228" s="251"/>
      <c r="AE228" s="524"/>
      <c r="AF228" s="524"/>
      <c r="AG228" s="524"/>
      <c r="AH228" s="251"/>
      <c r="AI228" s="251"/>
      <c r="AJ228" s="251"/>
      <c r="AK228" s="247">
        <f>AL228+AM228</f>
        <v>0</v>
      </c>
      <c r="AL228" s="221"/>
      <c r="AM228" s="221"/>
      <c r="AN228" s="251"/>
      <c r="AO228" s="251"/>
      <c r="AP228" s="251"/>
      <c r="AQ228" s="524"/>
      <c r="AR228" s="524"/>
      <c r="AS228" s="524"/>
    </row>
    <row r="229" spans="13:45" ht="11.4">
      <c r="M229" s="561" t="s">
        <v>2070</v>
      </c>
      <c r="N229" s="559" t="s">
        <v>1962</v>
      </c>
      <c r="O229" s="420" t="s">
        <v>195</v>
      </c>
      <c r="AB229" s="251"/>
      <c r="AC229" s="251"/>
      <c r="AD229" s="251"/>
      <c r="AE229" s="252"/>
      <c r="AF229" s="524"/>
      <c r="AG229" s="524"/>
      <c r="AH229" s="251"/>
      <c r="AI229" s="251"/>
      <c r="AJ229" s="251"/>
      <c r="AK229" s="247">
        <f>AL229+AM229</f>
        <v>0</v>
      </c>
      <c r="AL229" s="244">
        <f>AL230*AL231/1000</f>
        <v>0</v>
      </c>
      <c r="AM229" s="244">
        <f>AM230*AM231/1000</f>
        <v>0</v>
      </c>
      <c r="AN229" s="251"/>
      <c r="AO229" s="251"/>
      <c r="AP229" s="251"/>
      <c r="AQ229" s="252"/>
      <c r="AR229" s="524"/>
      <c r="AS229" s="524"/>
    </row>
    <row r="230" spans="13:45" ht="11.4">
      <c r="M230" s="562" t="str">
        <f>M229 &amp; ".P"</f>
        <v>LANTN.P</v>
      </c>
      <c r="N230" s="531" t="s">
        <v>842</v>
      </c>
      <c r="O230" s="420" t="s">
        <v>23</v>
      </c>
      <c r="AB230" s="251"/>
      <c r="AC230" s="251"/>
      <c r="AD230" s="251"/>
      <c r="AE230" s="252"/>
      <c r="AF230" s="524"/>
      <c r="AG230" s="524"/>
      <c r="AH230" s="251"/>
      <c r="AI230" s="251"/>
      <c r="AJ230" s="251"/>
      <c r="AK230" s="247">
        <f>IF(AK231=0,0,AK229*1000/AK231)</f>
        <v>0</v>
      </c>
      <c r="AL230" s="221"/>
      <c r="AM230" s="221"/>
      <c r="AN230" s="251"/>
      <c r="AO230" s="251"/>
      <c r="AP230" s="251"/>
      <c r="AQ230" s="252"/>
      <c r="AR230" s="524"/>
      <c r="AS230" s="524"/>
    </row>
    <row r="231" spans="13:45" ht="11.4">
      <c r="M231" s="562" t="str">
        <f>M229 &amp; ".V"</f>
        <v>LANTN.V</v>
      </c>
      <c r="N231" s="531" t="s">
        <v>245</v>
      </c>
      <c r="O231" s="420" t="s">
        <v>289</v>
      </c>
      <c r="AB231" s="251"/>
      <c r="AC231" s="251"/>
      <c r="AD231" s="251"/>
      <c r="AE231" s="524"/>
      <c r="AF231" s="524"/>
      <c r="AG231" s="524"/>
      <c r="AH231" s="251"/>
      <c r="AI231" s="251"/>
      <c r="AJ231" s="251"/>
      <c r="AK231" s="247">
        <f>AL231+AM231</f>
        <v>0</v>
      </c>
      <c r="AL231" s="221"/>
      <c r="AM231" s="221"/>
      <c r="AN231" s="251"/>
      <c r="AO231" s="251"/>
      <c r="AP231" s="251"/>
      <c r="AQ231" s="524"/>
      <c r="AR231" s="524"/>
      <c r="AS231" s="524"/>
    </row>
    <row r="232" spans="13:45" ht="11.4">
      <c r="M232" s="561" t="s">
        <v>2071</v>
      </c>
      <c r="N232" s="559" t="s">
        <v>1963</v>
      </c>
      <c r="O232" s="420" t="s">
        <v>195</v>
      </c>
      <c r="AB232" s="251"/>
      <c r="AC232" s="251"/>
      <c r="AD232" s="251"/>
      <c r="AE232" s="252"/>
      <c r="AF232" s="524"/>
      <c r="AG232" s="524"/>
      <c r="AH232" s="251"/>
      <c r="AI232" s="251"/>
      <c r="AJ232" s="251"/>
      <c r="AK232" s="247">
        <f>AL232+AM232</f>
        <v>0</v>
      </c>
      <c r="AL232" s="244">
        <f>AL233*AL234/1000</f>
        <v>0</v>
      </c>
      <c r="AM232" s="244">
        <f>AM233*AM234/1000</f>
        <v>0</v>
      </c>
      <c r="AN232" s="251"/>
      <c r="AO232" s="251"/>
      <c r="AP232" s="251"/>
      <c r="AQ232" s="252"/>
      <c r="AR232" s="524"/>
      <c r="AS232" s="524"/>
    </row>
    <row r="233" spans="13:45" ht="11.4">
      <c r="M233" s="562" t="str">
        <f>M232 &amp; ".P"</f>
        <v>MGS.P</v>
      </c>
      <c r="N233" s="531" t="s">
        <v>842</v>
      </c>
      <c r="O233" s="420" t="s">
        <v>23</v>
      </c>
      <c r="AB233" s="251"/>
      <c r="AC233" s="251"/>
      <c r="AD233" s="251"/>
      <c r="AE233" s="252"/>
      <c r="AF233" s="524"/>
      <c r="AG233" s="524"/>
      <c r="AH233" s="251"/>
      <c r="AI233" s="251"/>
      <c r="AJ233" s="251"/>
      <c r="AK233" s="247">
        <f>IF(AK234=0,0,AK232*1000/AK234)</f>
        <v>0</v>
      </c>
      <c r="AL233" s="221"/>
      <c r="AM233" s="221"/>
      <c r="AN233" s="251"/>
      <c r="AO233" s="251"/>
      <c r="AP233" s="251"/>
      <c r="AQ233" s="252"/>
      <c r="AR233" s="524"/>
      <c r="AS233" s="524"/>
    </row>
    <row r="234" spans="13:45" ht="11.4">
      <c r="M234" s="562" t="str">
        <f>M232 &amp; ".V"</f>
        <v>MGS.V</v>
      </c>
      <c r="N234" s="531" t="s">
        <v>245</v>
      </c>
      <c r="O234" s="420" t="s">
        <v>289</v>
      </c>
      <c r="AB234" s="251"/>
      <c r="AC234" s="251"/>
      <c r="AD234" s="251"/>
      <c r="AE234" s="524"/>
      <c r="AF234" s="524"/>
      <c r="AG234" s="524"/>
      <c r="AH234" s="251"/>
      <c r="AI234" s="251"/>
      <c r="AJ234" s="251"/>
      <c r="AK234" s="247">
        <f>AL234+AM234</f>
        <v>0</v>
      </c>
      <c r="AL234" s="221"/>
      <c r="AM234" s="221"/>
      <c r="AN234" s="251"/>
      <c r="AO234" s="251"/>
      <c r="AP234" s="251"/>
      <c r="AQ234" s="524"/>
      <c r="AR234" s="524"/>
      <c r="AS234" s="524"/>
    </row>
    <row r="235" spans="13:45" ht="20.399999999999999">
      <c r="M235" s="639" t="s">
        <v>2329</v>
      </c>
      <c r="N235" s="559" t="s">
        <v>2330</v>
      </c>
      <c r="O235" s="420" t="s">
        <v>195</v>
      </c>
      <c r="AB235" s="251"/>
      <c r="AC235" s="251"/>
      <c r="AD235" s="251"/>
      <c r="AE235" s="252"/>
      <c r="AF235" s="524"/>
      <c r="AG235" s="524"/>
      <c r="AH235" s="251"/>
      <c r="AI235" s="251"/>
      <c r="AJ235" s="251"/>
      <c r="AK235" s="247">
        <f>AL235+AM235</f>
        <v>0</v>
      </c>
      <c r="AL235" s="244">
        <f>AL236*AL237/1000</f>
        <v>0</v>
      </c>
      <c r="AM235" s="244">
        <f>AM236*AM237/1000</f>
        <v>0</v>
      </c>
      <c r="AN235" s="251"/>
      <c r="AO235" s="251"/>
      <c r="AP235" s="251"/>
      <c r="AQ235" s="252"/>
      <c r="AR235" s="524"/>
      <c r="AS235" s="524"/>
    </row>
    <row r="236" spans="13:45" ht="11.4">
      <c r="M236" s="639" t="str">
        <f>M235 &amp; ".P"</f>
        <v>FLOSPERSE.P</v>
      </c>
      <c r="N236" s="531" t="s">
        <v>842</v>
      </c>
      <c r="O236" s="420" t="s">
        <v>23</v>
      </c>
      <c r="AB236" s="251"/>
      <c r="AC236" s="251"/>
      <c r="AD236" s="251"/>
      <c r="AE236" s="252"/>
      <c r="AF236" s="524"/>
      <c r="AG236" s="524"/>
      <c r="AH236" s="251"/>
      <c r="AI236" s="251"/>
      <c r="AJ236" s="251"/>
      <c r="AK236" s="247">
        <f>IF(AK237=0,0,AK235*1000/AK237)</f>
        <v>0</v>
      </c>
      <c r="AL236" s="221"/>
      <c r="AM236" s="221"/>
      <c r="AN236" s="251"/>
      <c r="AO236" s="251"/>
      <c r="AP236" s="251"/>
      <c r="AQ236" s="252"/>
      <c r="AR236" s="524"/>
      <c r="AS236" s="524"/>
    </row>
    <row r="237" spans="13:45" ht="11.4">
      <c r="M237" s="639" t="str">
        <f>M235 &amp; ".V"</f>
        <v>FLOSPERSE.V</v>
      </c>
      <c r="N237" s="531" t="s">
        <v>245</v>
      </c>
      <c r="O237" s="420" t="s">
        <v>289</v>
      </c>
      <c r="AB237" s="251"/>
      <c r="AC237" s="251"/>
      <c r="AD237" s="251"/>
      <c r="AE237" s="524"/>
      <c r="AF237" s="524"/>
      <c r="AG237" s="524"/>
      <c r="AH237" s="251"/>
      <c r="AI237" s="251"/>
      <c r="AJ237" s="251"/>
      <c r="AK237" s="247">
        <f>AL237+AM237</f>
        <v>0</v>
      </c>
      <c r="AL237" s="221"/>
      <c r="AM237" s="221"/>
      <c r="AN237" s="251"/>
      <c r="AO237" s="251"/>
      <c r="AP237" s="251"/>
      <c r="AQ237" s="524"/>
      <c r="AR237" s="524"/>
      <c r="AS237" s="524"/>
    </row>
    <row r="238" spans="13:45" ht="11.4">
      <c r="M238" s="561" t="s">
        <v>2072</v>
      </c>
      <c r="N238" s="559" t="s">
        <v>1964</v>
      </c>
      <c r="O238" s="420" t="s">
        <v>195</v>
      </c>
      <c r="AB238" s="251"/>
      <c r="AC238" s="251"/>
      <c r="AD238" s="251"/>
      <c r="AE238" s="252"/>
      <c r="AF238" s="524"/>
      <c r="AG238" s="524"/>
      <c r="AH238" s="251"/>
      <c r="AI238" s="251"/>
      <c r="AJ238" s="251"/>
      <c r="AK238" s="247">
        <f>AL238+AM238</f>
        <v>0</v>
      </c>
      <c r="AL238" s="244">
        <f>AL239*AL240/1000</f>
        <v>0</v>
      </c>
      <c r="AM238" s="244">
        <f>AM239*AM240/1000</f>
        <v>0</v>
      </c>
      <c r="AN238" s="251"/>
      <c r="AO238" s="251"/>
      <c r="AP238" s="251"/>
      <c r="AQ238" s="252"/>
      <c r="AR238" s="524"/>
      <c r="AS238" s="524"/>
    </row>
    <row r="239" spans="13:45" ht="11.4">
      <c r="M239" s="562" t="str">
        <f>M238 &amp; ".P"</f>
        <v>NATR.P</v>
      </c>
      <c r="N239" s="531" t="s">
        <v>842</v>
      </c>
      <c r="O239" s="420" t="s">
        <v>23</v>
      </c>
      <c r="AB239" s="251"/>
      <c r="AC239" s="251"/>
      <c r="AD239" s="251"/>
      <c r="AE239" s="252"/>
      <c r="AF239" s="524"/>
      <c r="AG239" s="524"/>
      <c r="AH239" s="251"/>
      <c r="AI239" s="251"/>
      <c r="AJ239" s="251"/>
      <c r="AK239" s="247">
        <f>IF(AK240=0,0,AK238*1000/AK240)</f>
        <v>0</v>
      </c>
      <c r="AL239" s="221"/>
      <c r="AM239" s="221"/>
      <c r="AN239" s="251"/>
      <c r="AO239" s="251"/>
      <c r="AP239" s="251"/>
      <c r="AQ239" s="252"/>
      <c r="AR239" s="524"/>
      <c r="AS239" s="524"/>
    </row>
    <row r="240" spans="13:45" ht="11.4">
      <c r="M240" s="562" t="str">
        <f>M238 &amp; ".V"</f>
        <v>NATR.V</v>
      </c>
      <c r="N240" s="531" t="s">
        <v>245</v>
      </c>
      <c r="O240" s="420" t="s">
        <v>289</v>
      </c>
      <c r="AB240" s="251"/>
      <c r="AC240" s="251"/>
      <c r="AD240" s="251"/>
      <c r="AE240" s="524"/>
      <c r="AF240" s="524"/>
      <c r="AG240" s="524"/>
      <c r="AH240" s="251"/>
      <c r="AI240" s="251"/>
      <c r="AJ240" s="251"/>
      <c r="AK240" s="247">
        <f>AL240+AM240</f>
        <v>0</v>
      </c>
      <c r="AL240" s="221"/>
      <c r="AM240" s="221"/>
      <c r="AN240" s="251"/>
      <c r="AO240" s="251"/>
      <c r="AP240" s="251"/>
      <c r="AQ240" s="524"/>
      <c r="AR240" s="524"/>
      <c r="AS240" s="524"/>
    </row>
    <row r="241" spans="13:45" ht="11.4">
      <c r="M241" s="561" t="s">
        <v>2074</v>
      </c>
      <c r="N241" s="559" t="s">
        <v>1965</v>
      </c>
      <c r="O241" s="420" t="s">
        <v>195</v>
      </c>
      <c r="AB241" s="251"/>
      <c r="AC241" s="251"/>
      <c r="AD241" s="251"/>
      <c r="AE241" s="252"/>
      <c r="AF241" s="524"/>
      <c r="AG241" s="524"/>
      <c r="AH241" s="251"/>
      <c r="AI241" s="251"/>
      <c r="AJ241" s="251"/>
      <c r="AK241" s="247">
        <f>AL241+AM241</f>
        <v>0</v>
      </c>
      <c r="AL241" s="244">
        <f>AL242*AL243/1000</f>
        <v>0</v>
      </c>
      <c r="AM241" s="244">
        <f>AM242*AM243/1000</f>
        <v>0</v>
      </c>
      <c r="AN241" s="251"/>
      <c r="AO241" s="251"/>
      <c r="AP241" s="251"/>
      <c r="AQ241" s="252"/>
      <c r="AR241" s="524"/>
      <c r="AS241" s="524"/>
    </row>
    <row r="242" spans="13:45" ht="11.4">
      <c r="M242" s="562" t="str">
        <f>M241 &amp; ".P"</f>
        <v>NAHDOX.P</v>
      </c>
      <c r="N242" s="531" t="s">
        <v>842</v>
      </c>
      <c r="O242" s="420" t="s">
        <v>23</v>
      </c>
      <c r="AB242" s="251"/>
      <c r="AC242" s="251"/>
      <c r="AD242" s="251"/>
      <c r="AE242" s="252"/>
      <c r="AF242" s="524"/>
      <c r="AG242" s="524"/>
      <c r="AH242" s="251"/>
      <c r="AI242" s="251"/>
      <c r="AJ242" s="251"/>
      <c r="AK242" s="247">
        <f>IF(AK243=0,0,AK241*1000/AK243)</f>
        <v>0</v>
      </c>
      <c r="AL242" s="221"/>
      <c r="AM242" s="221"/>
      <c r="AN242" s="251"/>
      <c r="AO242" s="251"/>
      <c r="AP242" s="251"/>
      <c r="AQ242" s="252"/>
      <c r="AR242" s="524"/>
      <c r="AS242" s="524"/>
    </row>
    <row r="243" spans="13:45" ht="11.4">
      <c r="M243" s="562" t="str">
        <f>M241 &amp; ".V"</f>
        <v>NAHDOX.V</v>
      </c>
      <c r="N243" s="531" t="s">
        <v>245</v>
      </c>
      <c r="O243" s="420" t="s">
        <v>289</v>
      </c>
      <c r="AB243" s="251"/>
      <c r="AC243" s="251"/>
      <c r="AD243" s="251"/>
      <c r="AE243" s="524"/>
      <c r="AF243" s="524"/>
      <c r="AG243" s="524"/>
      <c r="AH243" s="251"/>
      <c r="AI243" s="251"/>
      <c r="AJ243" s="251"/>
      <c r="AK243" s="247">
        <f>AL243+AM243</f>
        <v>0</v>
      </c>
      <c r="AL243" s="221"/>
      <c r="AM243" s="221"/>
      <c r="AN243" s="251"/>
      <c r="AO243" s="251"/>
      <c r="AP243" s="251"/>
      <c r="AQ243" s="524"/>
      <c r="AR243" s="524"/>
      <c r="AS243" s="524"/>
    </row>
    <row r="244" spans="13:45" ht="11.4">
      <c r="M244" s="561" t="s">
        <v>2073</v>
      </c>
      <c r="N244" s="559" t="s">
        <v>1966</v>
      </c>
      <c r="O244" s="420" t="s">
        <v>195</v>
      </c>
      <c r="AB244" s="251"/>
      <c r="AC244" s="251"/>
      <c r="AD244" s="251"/>
      <c r="AE244" s="252"/>
      <c r="AF244" s="524"/>
      <c r="AG244" s="524"/>
      <c r="AH244" s="251"/>
      <c r="AI244" s="251"/>
      <c r="AJ244" s="251"/>
      <c r="AK244" s="247">
        <f>AL244+AM244</f>
        <v>0</v>
      </c>
      <c r="AL244" s="244">
        <f>AL245*AL246/1000</f>
        <v>0</v>
      </c>
      <c r="AM244" s="244">
        <f>AM245*AM246/1000</f>
        <v>0</v>
      </c>
      <c r="AN244" s="251"/>
      <c r="AO244" s="251"/>
      <c r="AP244" s="251"/>
      <c r="AQ244" s="252"/>
      <c r="AR244" s="524"/>
      <c r="AS244" s="524"/>
    </row>
    <row r="245" spans="13:45" ht="11.4">
      <c r="M245" s="562" t="str">
        <f>M244 &amp; ".P"</f>
        <v>NASLC.P</v>
      </c>
      <c r="N245" s="531" t="s">
        <v>842</v>
      </c>
      <c r="O245" s="420" t="s">
        <v>23</v>
      </c>
      <c r="AB245" s="251"/>
      <c r="AC245" s="251"/>
      <c r="AD245" s="251"/>
      <c r="AE245" s="252"/>
      <c r="AF245" s="524"/>
      <c r="AG245" s="524"/>
      <c r="AH245" s="251"/>
      <c r="AI245" s="251"/>
      <c r="AJ245" s="251"/>
      <c r="AK245" s="247">
        <f>IF(AK246=0,0,AK244*1000/AK246)</f>
        <v>0</v>
      </c>
      <c r="AL245" s="221"/>
      <c r="AM245" s="221"/>
      <c r="AN245" s="251"/>
      <c r="AO245" s="251"/>
      <c r="AP245" s="251"/>
      <c r="AQ245" s="252"/>
      <c r="AR245" s="524"/>
      <c r="AS245" s="524"/>
    </row>
    <row r="246" spans="13:45" ht="11.4">
      <c r="M246" s="562" t="str">
        <f>M244 &amp; ".V"</f>
        <v>NASLC.V</v>
      </c>
      <c r="N246" s="531" t="s">
        <v>245</v>
      </c>
      <c r="O246" s="420" t="s">
        <v>289</v>
      </c>
      <c r="AB246" s="251"/>
      <c r="AC246" s="251"/>
      <c r="AD246" s="251"/>
      <c r="AE246" s="524"/>
      <c r="AF246" s="524"/>
      <c r="AG246" s="524"/>
      <c r="AH246" s="251"/>
      <c r="AI246" s="251"/>
      <c r="AJ246" s="251"/>
      <c r="AK246" s="247">
        <f>AL246+AM246</f>
        <v>0</v>
      </c>
      <c r="AL246" s="221"/>
      <c r="AM246" s="221"/>
      <c r="AN246" s="251"/>
      <c r="AO246" s="251"/>
      <c r="AP246" s="251"/>
      <c r="AQ246" s="524"/>
      <c r="AR246" s="524"/>
      <c r="AS246" s="524"/>
    </row>
    <row r="247" spans="13:45" ht="11.4">
      <c r="M247" s="561" t="s">
        <v>2075</v>
      </c>
      <c r="N247" s="559" t="s">
        <v>1967</v>
      </c>
      <c r="O247" s="420" t="s">
        <v>195</v>
      </c>
      <c r="AB247" s="251"/>
      <c r="AC247" s="251"/>
      <c r="AD247" s="251"/>
      <c r="AE247" s="252"/>
      <c r="AF247" s="524"/>
      <c r="AG247" s="524"/>
      <c r="AH247" s="251"/>
      <c r="AI247" s="251"/>
      <c r="AJ247" s="251"/>
      <c r="AK247" s="247">
        <f>AL247+AM247</f>
        <v>0</v>
      </c>
      <c r="AL247" s="244">
        <f>AL248*AL249/1000</f>
        <v>0</v>
      </c>
      <c r="AM247" s="244">
        <f>AM248*AM249/1000</f>
        <v>0</v>
      </c>
      <c r="AN247" s="251"/>
      <c r="AO247" s="251"/>
      <c r="AP247" s="251"/>
      <c r="AQ247" s="252"/>
      <c r="AR247" s="524"/>
      <c r="AS247" s="524"/>
    </row>
    <row r="248" spans="13:45" ht="11.4">
      <c r="M248" s="562" t="str">
        <f>M247 &amp; ".P"</f>
        <v>NAS.P</v>
      </c>
      <c r="N248" s="531" t="s">
        <v>842</v>
      </c>
      <c r="O248" s="420" t="s">
        <v>23</v>
      </c>
      <c r="AB248" s="251"/>
      <c r="AC248" s="251"/>
      <c r="AD248" s="251"/>
      <c r="AE248" s="252"/>
      <c r="AF248" s="524"/>
      <c r="AG248" s="524"/>
      <c r="AH248" s="251"/>
      <c r="AI248" s="251"/>
      <c r="AJ248" s="251"/>
      <c r="AK248" s="247">
        <f>IF(AK249=0,0,AK247*1000/AK249)</f>
        <v>0</v>
      </c>
      <c r="AL248" s="221"/>
      <c r="AM248" s="221"/>
      <c r="AN248" s="251"/>
      <c r="AO248" s="251"/>
      <c r="AP248" s="251"/>
      <c r="AQ248" s="252"/>
      <c r="AR248" s="524"/>
      <c r="AS248" s="524"/>
    </row>
    <row r="249" spans="13:45" ht="11.4">
      <c r="M249" s="562" t="str">
        <f>M247 &amp; ".V"</f>
        <v>NAS.V</v>
      </c>
      <c r="N249" s="531" t="s">
        <v>245</v>
      </c>
      <c r="O249" s="420" t="s">
        <v>289</v>
      </c>
      <c r="AB249" s="251"/>
      <c r="AC249" s="251"/>
      <c r="AD249" s="251"/>
      <c r="AE249" s="524"/>
      <c r="AF249" s="524"/>
      <c r="AG249" s="524"/>
      <c r="AH249" s="251"/>
      <c r="AI249" s="251"/>
      <c r="AJ249" s="251"/>
      <c r="AK249" s="247">
        <f>AL249+AM249</f>
        <v>0</v>
      </c>
      <c r="AL249" s="221"/>
      <c r="AM249" s="221"/>
      <c r="AN249" s="251"/>
      <c r="AO249" s="251"/>
      <c r="AP249" s="251"/>
      <c r="AQ249" s="524"/>
      <c r="AR249" s="524"/>
      <c r="AS249" s="524"/>
    </row>
    <row r="250" spans="13:45" ht="11.4">
      <c r="M250" s="561" t="s">
        <v>2076</v>
      </c>
      <c r="N250" s="559" t="s">
        <v>1968</v>
      </c>
      <c r="O250" s="420" t="s">
        <v>195</v>
      </c>
      <c r="AB250" s="251"/>
      <c r="AC250" s="251"/>
      <c r="AD250" s="251"/>
      <c r="AE250" s="252"/>
      <c r="AF250" s="524"/>
      <c r="AG250" s="524"/>
      <c r="AH250" s="251"/>
      <c r="AI250" s="251"/>
      <c r="AJ250" s="251"/>
      <c r="AK250" s="247">
        <f>AL250+AM250</f>
        <v>0</v>
      </c>
      <c r="AL250" s="244">
        <f>AL251*AL252/1000</f>
        <v>0</v>
      </c>
      <c r="AM250" s="244">
        <f>AM251*AM252/1000</f>
        <v>0</v>
      </c>
      <c r="AN250" s="251"/>
      <c r="AO250" s="251"/>
      <c r="AP250" s="251"/>
      <c r="AQ250" s="252"/>
      <c r="AR250" s="524"/>
      <c r="AS250" s="524"/>
    </row>
    <row r="251" spans="13:45" ht="11.4">
      <c r="M251" s="562" t="str">
        <f>M250 &amp; ".P"</f>
        <v>NAC.P</v>
      </c>
      <c r="N251" s="531" t="s">
        <v>842</v>
      </c>
      <c r="O251" s="420" t="s">
        <v>23</v>
      </c>
      <c r="AB251" s="251"/>
      <c r="AC251" s="251"/>
      <c r="AD251" s="251"/>
      <c r="AE251" s="252"/>
      <c r="AF251" s="524"/>
      <c r="AG251" s="524"/>
      <c r="AH251" s="251"/>
      <c r="AI251" s="251"/>
      <c r="AJ251" s="251"/>
      <c r="AK251" s="247">
        <f>IF(AK252=0,0,AK250*1000/AK252)</f>
        <v>0</v>
      </c>
      <c r="AL251" s="221"/>
      <c r="AM251" s="221"/>
      <c r="AN251" s="251"/>
      <c r="AO251" s="251"/>
      <c r="AP251" s="251"/>
      <c r="AQ251" s="252"/>
      <c r="AR251" s="524"/>
      <c r="AS251" s="524"/>
    </row>
    <row r="252" spans="13:45" ht="11.4">
      <c r="M252" s="562" t="str">
        <f>M250 &amp; ".V"</f>
        <v>NAC.V</v>
      </c>
      <c r="N252" s="531" t="s">
        <v>245</v>
      </c>
      <c r="O252" s="420" t="s">
        <v>289</v>
      </c>
      <c r="AB252" s="251"/>
      <c r="AC252" s="251"/>
      <c r="AD252" s="251"/>
      <c r="AE252" s="524"/>
      <c r="AF252" s="524"/>
      <c r="AG252" s="524"/>
      <c r="AH252" s="251"/>
      <c r="AI252" s="251"/>
      <c r="AJ252" s="251"/>
      <c r="AK252" s="247">
        <f>AL252+AM252</f>
        <v>0</v>
      </c>
      <c r="AL252" s="221"/>
      <c r="AM252" s="221"/>
      <c r="AN252" s="251"/>
      <c r="AO252" s="251"/>
      <c r="AP252" s="251"/>
      <c r="AQ252" s="524"/>
      <c r="AR252" s="524"/>
      <c r="AS252" s="524"/>
    </row>
    <row r="253" spans="13:45" ht="11.4">
      <c r="M253" s="561" t="s">
        <v>2077</v>
      </c>
      <c r="N253" s="559" t="s">
        <v>1969</v>
      </c>
      <c r="O253" s="420" t="s">
        <v>195</v>
      </c>
      <c r="AB253" s="251"/>
      <c r="AC253" s="251"/>
      <c r="AD253" s="251"/>
      <c r="AE253" s="252"/>
      <c r="AF253" s="524"/>
      <c r="AG253" s="524"/>
      <c r="AH253" s="251"/>
      <c r="AI253" s="251"/>
      <c r="AJ253" s="251"/>
      <c r="AK253" s="247">
        <f>AL253+AM253</f>
        <v>0</v>
      </c>
      <c r="AL253" s="244">
        <f>AL254*AL255/1000</f>
        <v>0</v>
      </c>
      <c r="AM253" s="244">
        <f>AM254*AM255/1000</f>
        <v>0</v>
      </c>
      <c r="AN253" s="251"/>
      <c r="AO253" s="251"/>
      <c r="AP253" s="251"/>
      <c r="AQ253" s="252"/>
      <c r="AR253" s="524"/>
      <c r="AS253" s="524"/>
    </row>
    <row r="254" spans="13:45" ht="11.4">
      <c r="M254" s="562" t="str">
        <f>M253 &amp; ".P"</f>
        <v>NAAC.P</v>
      </c>
      <c r="N254" s="531" t="s">
        <v>842</v>
      </c>
      <c r="O254" s="420" t="s">
        <v>23</v>
      </c>
      <c r="AB254" s="251"/>
      <c r="AC254" s="251"/>
      <c r="AD254" s="251"/>
      <c r="AE254" s="252"/>
      <c r="AF254" s="524"/>
      <c r="AG254" s="524"/>
      <c r="AH254" s="251"/>
      <c r="AI254" s="251"/>
      <c r="AJ254" s="251"/>
      <c r="AK254" s="247">
        <f>IF(AK255=0,0,AK253*1000/AK255)</f>
        <v>0</v>
      </c>
      <c r="AL254" s="221"/>
      <c r="AM254" s="221"/>
      <c r="AN254" s="251"/>
      <c r="AO254" s="251"/>
      <c r="AP254" s="251"/>
      <c r="AQ254" s="252"/>
      <c r="AR254" s="524"/>
      <c r="AS254" s="524"/>
    </row>
    <row r="255" spans="13:45" ht="11.4">
      <c r="M255" s="562" t="str">
        <f>M253 &amp; ".V"</f>
        <v>NAAC.V</v>
      </c>
      <c r="N255" s="531" t="s">
        <v>245</v>
      </c>
      <c r="O255" s="420" t="s">
        <v>289</v>
      </c>
      <c r="AB255" s="251"/>
      <c r="AC255" s="251"/>
      <c r="AD255" s="251"/>
      <c r="AE255" s="524"/>
      <c r="AF255" s="524"/>
      <c r="AG255" s="524"/>
      <c r="AH255" s="251"/>
      <c r="AI255" s="251"/>
      <c r="AJ255" s="251"/>
      <c r="AK255" s="247">
        <f>AL255+AM255</f>
        <v>0</v>
      </c>
      <c r="AL255" s="221"/>
      <c r="AM255" s="221"/>
      <c r="AN255" s="251"/>
      <c r="AO255" s="251"/>
      <c r="AP255" s="251"/>
      <c r="AQ255" s="524"/>
      <c r="AR255" s="524"/>
      <c r="AS255" s="524"/>
    </row>
    <row r="256" spans="13:45" ht="11.4">
      <c r="M256" s="561" t="s">
        <v>2027</v>
      </c>
      <c r="N256" s="559" t="s">
        <v>1970</v>
      </c>
      <c r="O256" s="420" t="s">
        <v>195</v>
      </c>
      <c r="AB256" s="251"/>
      <c r="AC256" s="251"/>
      <c r="AD256" s="251"/>
      <c r="AE256" s="252"/>
      <c r="AF256" s="524"/>
      <c r="AG256" s="524"/>
      <c r="AH256" s="251"/>
      <c r="AI256" s="251"/>
      <c r="AJ256" s="251"/>
      <c r="AK256" s="247">
        <f>AL256+AM256</f>
        <v>0</v>
      </c>
      <c r="AL256" s="244">
        <f>AL257*AL258/1000</f>
        <v>0</v>
      </c>
      <c r="AM256" s="244">
        <f>AM257*AM258/1000</f>
        <v>0</v>
      </c>
      <c r="AN256" s="251"/>
      <c r="AO256" s="251"/>
      <c r="AP256" s="251"/>
      <c r="AQ256" s="252"/>
      <c r="AR256" s="524"/>
      <c r="AS256" s="524"/>
    </row>
    <row r="257" spans="13:45" ht="11.4">
      <c r="M257" s="562" t="str">
        <f>M256 &amp; ".P"</f>
        <v>NACL.P</v>
      </c>
      <c r="N257" s="531" t="s">
        <v>842</v>
      </c>
      <c r="O257" s="420" t="s">
        <v>23</v>
      </c>
      <c r="AB257" s="251"/>
      <c r="AC257" s="251"/>
      <c r="AD257" s="251"/>
      <c r="AE257" s="252"/>
      <c r="AF257" s="524"/>
      <c r="AG257" s="524"/>
      <c r="AH257" s="251"/>
      <c r="AI257" s="251"/>
      <c r="AJ257" s="251"/>
      <c r="AK257" s="247">
        <f>IF(AK258=0,0,AK256*1000/AK258)</f>
        <v>0</v>
      </c>
      <c r="AL257" s="221"/>
      <c r="AM257" s="221"/>
      <c r="AN257" s="251"/>
      <c r="AO257" s="251"/>
      <c r="AP257" s="251"/>
      <c r="AQ257" s="252"/>
      <c r="AR257" s="524"/>
      <c r="AS257" s="524"/>
    </row>
    <row r="258" spans="13:45" ht="11.4">
      <c r="M258" s="562" t="str">
        <f>M256 &amp; ".V"</f>
        <v>NACL.V</v>
      </c>
      <c r="N258" s="531" t="s">
        <v>245</v>
      </c>
      <c r="O258" s="420" t="s">
        <v>289</v>
      </c>
      <c r="AB258" s="251"/>
      <c r="AC258" s="251"/>
      <c r="AD258" s="251"/>
      <c r="AE258" s="524"/>
      <c r="AF258" s="524"/>
      <c r="AG258" s="524"/>
      <c r="AH258" s="251"/>
      <c r="AI258" s="251"/>
      <c r="AJ258" s="251"/>
      <c r="AK258" s="247">
        <f>AL258+AM258</f>
        <v>0</v>
      </c>
      <c r="AL258" s="221"/>
      <c r="AM258" s="221"/>
      <c r="AN258" s="251"/>
      <c r="AO258" s="251"/>
      <c r="AP258" s="251"/>
      <c r="AQ258" s="524"/>
      <c r="AR258" s="524"/>
      <c r="AS258" s="524"/>
    </row>
    <row r="259" spans="13:45" ht="11.4">
      <c r="M259" s="638" t="s">
        <v>2327</v>
      </c>
      <c r="N259" s="559" t="s">
        <v>2328</v>
      </c>
      <c r="O259" s="420" t="s">
        <v>195</v>
      </c>
      <c r="AB259" s="251"/>
      <c r="AC259" s="251"/>
      <c r="AD259" s="251"/>
      <c r="AE259" s="252"/>
      <c r="AF259" s="524"/>
      <c r="AG259" s="524"/>
      <c r="AH259" s="251"/>
      <c r="AI259" s="251"/>
      <c r="AJ259" s="251"/>
      <c r="AK259" s="247">
        <f>AL259+AM259</f>
        <v>0</v>
      </c>
      <c r="AL259" s="244">
        <f>AL260*AL261/1000</f>
        <v>0</v>
      </c>
      <c r="AM259" s="244">
        <f>AM260*AM261/1000</f>
        <v>0</v>
      </c>
      <c r="AN259" s="251"/>
      <c r="AO259" s="251"/>
      <c r="AP259" s="251"/>
      <c r="AQ259" s="252"/>
      <c r="AR259" s="524"/>
      <c r="AS259" s="524"/>
    </row>
    <row r="260" spans="13:45" ht="11.4">
      <c r="M260" s="639" t="str">
        <f>M259 &amp; ".P"</f>
        <v>FLOFOAM.P</v>
      </c>
      <c r="N260" s="531" t="s">
        <v>842</v>
      </c>
      <c r="O260" s="420" t="s">
        <v>23</v>
      </c>
      <c r="AB260" s="251"/>
      <c r="AC260" s="251"/>
      <c r="AD260" s="251"/>
      <c r="AE260" s="252"/>
      <c r="AF260" s="524"/>
      <c r="AG260" s="524"/>
      <c r="AH260" s="251"/>
      <c r="AI260" s="251"/>
      <c r="AJ260" s="251"/>
      <c r="AK260" s="247">
        <f>IF(AK261=0,0,AK259*1000/AK261)</f>
        <v>0</v>
      </c>
      <c r="AL260" s="221"/>
      <c r="AM260" s="221"/>
      <c r="AN260" s="251"/>
      <c r="AO260" s="251"/>
      <c r="AP260" s="251"/>
      <c r="AQ260" s="252"/>
      <c r="AR260" s="524"/>
      <c r="AS260" s="524"/>
    </row>
    <row r="261" spans="13:45" ht="11.4">
      <c r="M261" s="639" t="str">
        <f>M259 &amp; ".V"</f>
        <v>FLOFOAM.V</v>
      </c>
      <c r="N261" s="531" t="s">
        <v>245</v>
      </c>
      <c r="O261" s="420" t="s">
        <v>289</v>
      </c>
      <c r="AB261" s="251"/>
      <c r="AC261" s="251"/>
      <c r="AD261" s="251"/>
      <c r="AE261" s="524"/>
      <c r="AF261" s="524"/>
      <c r="AG261" s="524"/>
      <c r="AH261" s="251"/>
      <c r="AI261" s="251"/>
      <c r="AJ261" s="251"/>
      <c r="AK261" s="247">
        <f>AL261+AM261</f>
        <v>0</v>
      </c>
      <c r="AL261" s="221"/>
      <c r="AM261" s="221"/>
      <c r="AN261" s="251"/>
      <c r="AO261" s="251"/>
      <c r="AP261" s="251"/>
      <c r="AQ261" s="524"/>
      <c r="AR261" s="524"/>
      <c r="AS261" s="524"/>
    </row>
    <row r="262" spans="13:45" ht="11.4">
      <c r="M262" s="561" t="s">
        <v>2026</v>
      </c>
      <c r="N262" s="559" t="s">
        <v>1971</v>
      </c>
      <c r="O262" s="420" t="s">
        <v>195</v>
      </c>
      <c r="AB262" s="251"/>
      <c r="AC262" s="251"/>
      <c r="AD262" s="251"/>
      <c r="AE262" s="252"/>
      <c r="AF262" s="524"/>
      <c r="AG262" s="524"/>
      <c r="AH262" s="251"/>
      <c r="AI262" s="251"/>
      <c r="AJ262" s="251"/>
      <c r="AK262" s="247">
        <f>AL262+AM262</f>
        <v>0</v>
      </c>
      <c r="AL262" s="244">
        <f>AL263*AL264/1000</f>
        <v>0</v>
      </c>
      <c r="AM262" s="244">
        <f>AM263*AM264/1000</f>
        <v>0</v>
      </c>
      <c r="AN262" s="251"/>
      <c r="AO262" s="251"/>
      <c r="AP262" s="251"/>
      <c r="AQ262" s="252"/>
      <c r="AR262" s="524"/>
      <c r="AS262" s="524"/>
    </row>
    <row r="263" spans="13:45" ht="11.4">
      <c r="M263" s="562" t="str">
        <f>M262 &amp; ".P"</f>
        <v>RGRS.P</v>
      </c>
      <c r="N263" s="531" t="s">
        <v>842</v>
      </c>
      <c r="O263" s="420" t="s">
        <v>23</v>
      </c>
      <c r="AB263" s="251"/>
      <c r="AC263" s="251"/>
      <c r="AD263" s="251"/>
      <c r="AE263" s="252"/>
      <c r="AF263" s="524"/>
      <c r="AG263" s="524"/>
      <c r="AH263" s="251"/>
      <c r="AI263" s="251"/>
      <c r="AJ263" s="251"/>
      <c r="AK263" s="247">
        <f>IF(AK264=0,0,AK262*1000/AK264)</f>
        <v>0</v>
      </c>
      <c r="AL263" s="221"/>
      <c r="AM263" s="221"/>
      <c r="AN263" s="251"/>
      <c r="AO263" s="251"/>
      <c r="AP263" s="251"/>
      <c r="AQ263" s="252"/>
      <c r="AR263" s="524"/>
      <c r="AS263" s="524"/>
    </row>
    <row r="264" spans="13:45" ht="11.4">
      <c r="M264" s="562" t="str">
        <f>M262 &amp; ".V"</f>
        <v>RGRS.V</v>
      </c>
      <c r="N264" s="531" t="s">
        <v>245</v>
      </c>
      <c r="O264" s="420" t="s">
        <v>289</v>
      </c>
      <c r="AB264" s="251"/>
      <c r="AC264" s="251"/>
      <c r="AD264" s="251"/>
      <c r="AE264" s="524"/>
      <c r="AF264" s="524"/>
      <c r="AG264" s="524"/>
      <c r="AH264" s="251"/>
      <c r="AI264" s="251"/>
      <c r="AJ264" s="251"/>
      <c r="AK264" s="247">
        <f>AL264+AM264</f>
        <v>0</v>
      </c>
      <c r="AL264" s="221"/>
      <c r="AM264" s="221"/>
      <c r="AN264" s="251"/>
      <c r="AO264" s="251"/>
      <c r="AP264" s="251"/>
      <c r="AQ264" s="524"/>
      <c r="AR264" s="524"/>
      <c r="AS264" s="524"/>
    </row>
    <row r="265" spans="13:45" ht="11.4">
      <c r="M265" s="561" t="s">
        <v>2025</v>
      </c>
      <c r="N265" s="559" t="s">
        <v>1972</v>
      </c>
      <c r="O265" s="420" t="s">
        <v>195</v>
      </c>
      <c r="AB265" s="251"/>
      <c r="AC265" s="251"/>
      <c r="AD265" s="251"/>
      <c r="AE265" s="252"/>
      <c r="AF265" s="524"/>
      <c r="AG265" s="524"/>
      <c r="AH265" s="251"/>
      <c r="AI265" s="251"/>
      <c r="AJ265" s="251"/>
      <c r="AK265" s="247">
        <f>AL265+AM265</f>
        <v>0</v>
      </c>
      <c r="AL265" s="244">
        <f>AL266*AL267/1000</f>
        <v>0</v>
      </c>
      <c r="AM265" s="244">
        <f>AM266*AM267/1000</f>
        <v>0</v>
      </c>
      <c r="AN265" s="251"/>
      <c r="AO265" s="251"/>
      <c r="AP265" s="251"/>
      <c r="AQ265" s="252"/>
      <c r="AR265" s="524"/>
      <c r="AS265" s="524"/>
    </row>
    <row r="266" spans="13:45" ht="11.4">
      <c r="M266" s="562" t="str">
        <f>M265 &amp; ".P"</f>
        <v>RNSL.P</v>
      </c>
      <c r="N266" s="531" t="s">
        <v>842</v>
      </c>
      <c r="O266" s="420" t="s">
        <v>23</v>
      </c>
      <c r="AB266" s="251"/>
      <c r="AC266" s="251"/>
      <c r="AD266" s="251"/>
      <c r="AE266" s="252"/>
      <c r="AF266" s="524"/>
      <c r="AG266" s="524"/>
      <c r="AH266" s="251"/>
      <c r="AI266" s="251"/>
      <c r="AJ266" s="251"/>
      <c r="AK266" s="247">
        <f>IF(AK267=0,0,AK265*1000/AK267)</f>
        <v>0</v>
      </c>
      <c r="AL266" s="221"/>
      <c r="AM266" s="221"/>
      <c r="AN266" s="251"/>
      <c r="AO266" s="251"/>
      <c r="AP266" s="251"/>
      <c r="AQ266" s="252"/>
      <c r="AR266" s="524"/>
      <c r="AS266" s="524"/>
    </row>
    <row r="267" spans="13:45" ht="11.4">
      <c r="M267" s="562" t="str">
        <f>M265 &amp; ".V"</f>
        <v>RNSL.V</v>
      </c>
      <c r="N267" s="531" t="s">
        <v>245</v>
      </c>
      <c r="O267" s="420" t="s">
        <v>289</v>
      </c>
      <c r="AB267" s="251"/>
      <c r="AC267" s="251"/>
      <c r="AD267" s="251"/>
      <c r="AE267" s="524"/>
      <c r="AF267" s="524"/>
      <c r="AG267" s="524"/>
      <c r="AH267" s="251"/>
      <c r="AI267" s="251"/>
      <c r="AJ267" s="251"/>
      <c r="AK267" s="247">
        <f>AL267+AM267</f>
        <v>0</v>
      </c>
      <c r="AL267" s="221"/>
      <c r="AM267" s="221"/>
      <c r="AN267" s="251"/>
      <c r="AO267" s="251"/>
      <c r="AP267" s="251"/>
      <c r="AQ267" s="524"/>
      <c r="AR267" s="524"/>
      <c r="AS267" s="524"/>
    </row>
    <row r="268" spans="13:45" ht="11.4">
      <c r="M268" s="561" t="s">
        <v>2078</v>
      </c>
      <c r="N268" s="559" t="s">
        <v>1973</v>
      </c>
      <c r="O268" s="420" t="s">
        <v>195</v>
      </c>
      <c r="AB268" s="251"/>
      <c r="AC268" s="251"/>
      <c r="AD268" s="251"/>
      <c r="AE268" s="252"/>
      <c r="AF268" s="524"/>
      <c r="AG268" s="524"/>
      <c r="AH268" s="251"/>
      <c r="AI268" s="251"/>
      <c r="AJ268" s="251"/>
      <c r="AK268" s="247">
        <f>AL268+AM268</f>
        <v>0</v>
      </c>
      <c r="AL268" s="244">
        <f>AL269*AL270/1000</f>
        <v>0</v>
      </c>
      <c r="AM268" s="244">
        <f>AM269*AM270/1000</f>
        <v>0</v>
      </c>
      <c r="AN268" s="251"/>
      <c r="AO268" s="251"/>
      <c r="AP268" s="251"/>
      <c r="AQ268" s="252"/>
      <c r="AR268" s="524"/>
      <c r="AS268" s="524"/>
    </row>
    <row r="269" spans="13:45" ht="11.4">
      <c r="M269" s="562" t="str">
        <f>M268 &amp; ".P"</f>
        <v>PBAC.P</v>
      </c>
      <c r="N269" s="531" t="s">
        <v>842</v>
      </c>
      <c r="O269" s="420" t="s">
        <v>23</v>
      </c>
      <c r="AB269" s="251"/>
      <c r="AC269" s="251"/>
      <c r="AD269" s="251"/>
      <c r="AE269" s="252"/>
      <c r="AF269" s="524"/>
      <c r="AG269" s="524"/>
      <c r="AH269" s="251"/>
      <c r="AI269" s="251"/>
      <c r="AJ269" s="251"/>
      <c r="AK269" s="247">
        <f>IF(AK270=0,0,AK268*1000/AK270)</f>
        <v>0</v>
      </c>
      <c r="AL269" s="221"/>
      <c r="AM269" s="221"/>
      <c r="AN269" s="251"/>
      <c r="AO269" s="251"/>
      <c r="AP269" s="251"/>
      <c r="AQ269" s="252"/>
      <c r="AR269" s="524"/>
      <c r="AS269" s="524"/>
    </row>
    <row r="270" spans="13:45" ht="11.4">
      <c r="M270" s="562" t="str">
        <f>M268 &amp; ".V"</f>
        <v>PBAC.V</v>
      </c>
      <c r="N270" s="531" t="s">
        <v>245</v>
      </c>
      <c r="O270" s="420" t="s">
        <v>289</v>
      </c>
      <c r="AB270" s="251"/>
      <c r="AC270" s="251"/>
      <c r="AD270" s="251"/>
      <c r="AE270" s="524"/>
      <c r="AF270" s="524"/>
      <c r="AG270" s="524"/>
      <c r="AH270" s="251"/>
      <c r="AI270" s="251"/>
      <c r="AJ270" s="251"/>
      <c r="AK270" s="247">
        <f>AL270+AM270</f>
        <v>0</v>
      </c>
      <c r="AL270" s="221"/>
      <c r="AM270" s="221"/>
      <c r="AN270" s="251"/>
      <c r="AO270" s="251"/>
      <c r="AP270" s="251"/>
      <c r="AQ270" s="524"/>
      <c r="AR270" s="524"/>
      <c r="AS270" s="524"/>
    </row>
    <row r="271" spans="13:45" ht="11.4">
      <c r="M271" s="561" t="s">
        <v>2079</v>
      </c>
      <c r="N271" s="559" t="s">
        <v>1974</v>
      </c>
      <c r="O271" s="420" t="s">
        <v>195</v>
      </c>
      <c r="AB271" s="251"/>
      <c r="AC271" s="251"/>
      <c r="AD271" s="251"/>
      <c r="AE271" s="252"/>
      <c r="AF271" s="524"/>
      <c r="AG271" s="524"/>
      <c r="AH271" s="251"/>
      <c r="AI271" s="251"/>
      <c r="AJ271" s="251"/>
      <c r="AK271" s="247">
        <f>AL271+AM271</f>
        <v>0</v>
      </c>
      <c r="AL271" s="244">
        <f>AL272*AL273/1000</f>
        <v>0</v>
      </c>
      <c r="AM271" s="244">
        <f>AM272*AM273/1000</f>
        <v>0</v>
      </c>
      <c r="AN271" s="251"/>
      <c r="AO271" s="251"/>
      <c r="AP271" s="251"/>
      <c r="AQ271" s="252"/>
      <c r="AR271" s="524"/>
      <c r="AS271" s="524"/>
    </row>
    <row r="272" spans="13:45" ht="11.4">
      <c r="M272" s="562" t="str">
        <f>M271 &amp; ".P"</f>
        <v>AGN.P</v>
      </c>
      <c r="N272" s="531" t="s">
        <v>842</v>
      </c>
      <c r="O272" s="420" t="s">
        <v>23</v>
      </c>
      <c r="AB272" s="251"/>
      <c r="AC272" s="251"/>
      <c r="AD272" s="251"/>
      <c r="AE272" s="252"/>
      <c r="AF272" s="524"/>
      <c r="AG272" s="524"/>
      <c r="AH272" s="251"/>
      <c r="AI272" s="251"/>
      <c r="AJ272" s="251"/>
      <c r="AK272" s="247">
        <f>IF(AK273=0,0,AK271*1000/AK273)</f>
        <v>0</v>
      </c>
      <c r="AL272" s="221"/>
      <c r="AM272" s="221"/>
      <c r="AN272" s="251"/>
      <c r="AO272" s="251"/>
      <c r="AP272" s="251"/>
      <c r="AQ272" s="252"/>
      <c r="AR272" s="524"/>
      <c r="AS272" s="524"/>
    </row>
    <row r="273" spans="13:45" ht="11.4">
      <c r="M273" s="562" t="str">
        <f>M271 &amp; ".V"</f>
        <v>AGN.V</v>
      </c>
      <c r="N273" s="531" t="s">
        <v>245</v>
      </c>
      <c r="O273" s="420" t="s">
        <v>289</v>
      </c>
      <c r="AB273" s="251"/>
      <c r="AC273" s="251"/>
      <c r="AD273" s="251"/>
      <c r="AE273" s="524"/>
      <c r="AF273" s="524"/>
      <c r="AG273" s="524"/>
      <c r="AH273" s="251"/>
      <c r="AI273" s="251"/>
      <c r="AJ273" s="251"/>
      <c r="AK273" s="247">
        <f>AL273+AM273</f>
        <v>0</v>
      </c>
      <c r="AL273" s="221"/>
      <c r="AM273" s="221"/>
      <c r="AN273" s="251"/>
      <c r="AO273" s="251"/>
      <c r="AP273" s="251"/>
      <c r="AQ273" s="524"/>
      <c r="AR273" s="524"/>
      <c r="AS273" s="524"/>
    </row>
    <row r="274" spans="13:45" ht="11.4">
      <c r="M274" s="561" t="s">
        <v>2080</v>
      </c>
      <c r="N274" s="559" t="s">
        <v>1975</v>
      </c>
      <c r="O274" s="420" t="s">
        <v>195</v>
      </c>
      <c r="AB274" s="251"/>
      <c r="AC274" s="251"/>
      <c r="AD274" s="251"/>
      <c r="AE274" s="252"/>
      <c r="AF274" s="524"/>
      <c r="AG274" s="524"/>
      <c r="AH274" s="251"/>
      <c r="AI274" s="251"/>
      <c r="AJ274" s="251"/>
      <c r="AK274" s="247">
        <f>AL274+AM274</f>
        <v>0</v>
      </c>
      <c r="AL274" s="244">
        <f>AL275*AL276/1000</f>
        <v>0</v>
      </c>
      <c r="AM274" s="244">
        <f>AM275*AM276/1000</f>
        <v>0</v>
      </c>
      <c r="AN274" s="251"/>
      <c r="AO274" s="251"/>
      <c r="AP274" s="251"/>
      <c r="AQ274" s="252"/>
      <c r="AR274" s="524"/>
      <c r="AS274" s="524"/>
    </row>
    <row r="275" spans="13:45" ht="11.4">
      <c r="M275" s="562" t="str">
        <f>M274 &amp; ".P"</f>
        <v>AGS.P</v>
      </c>
      <c r="N275" s="531" t="s">
        <v>842</v>
      </c>
      <c r="O275" s="420" t="s">
        <v>23</v>
      </c>
      <c r="AB275" s="251"/>
      <c r="AC275" s="251"/>
      <c r="AD275" s="251"/>
      <c r="AE275" s="252"/>
      <c r="AF275" s="524"/>
      <c r="AG275" s="524"/>
      <c r="AH275" s="251"/>
      <c r="AI275" s="251"/>
      <c r="AJ275" s="251"/>
      <c r="AK275" s="247">
        <f>IF(AK276=0,0,AK274*1000/AK276)</f>
        <v>0</v>
      </c>
      <c r="AL275" s="221"/>
      <c r="AM275" s="221"/>
      <c r="AN275" s="251"/>
      <c r="AO275" s="251"/>
      <c r="AP275" s="251"/>
      <c r="AQ275" s="252"/>
      <c r="AR275" s="524"/>
      <c r="AS275" s="524"/>
    </row>
    <row r="276" spans="13:45" ht="11.4">
      <c r="M276" s="562" t="str">
        <f>M274 &amp; ".V"</f>
        <v>AGS.V</v>
      </c>
      <c r="N276" s="531" t="s">
        <v>245</v>
      </c>
      <c r="O276" s="420" t="s">
        <v>289</v>
      </c>
      <c r="AB276" s="251"/>
      <c r="AC276" s="251"/>
      <c r="AD276" s="251"/>
      <c r="AE276" s="524"/>
      <c r="AF276" s="524"/>
      <c r="AG276" s="524"/>
      <c r="AH276" s="251"/>
      <c r="AI276" s="251"/>
      <c r="AJ276" s="251"/>
      <c r="AK276" s="247">
        <f>AL276+AM276</f>
        <v>0</v>
      </c>
      <c r="AL276" s="221"/>
      <c r="AM276" s="221"/>
      <c r="AN276" s="251"/>
      <c r="AO276" s="251"/>
      <c r="AP276" s="251"/>
      <c r="AQ276" s="524"/>
      <c r="AR276" s="524"/>
      <c r="AS276" s="524"/>
    </row>
    <row r="277" spans="13:45" ht="11.4">
      <c r="M277" s="561" t="s">
        <v>2018</v>
      </c>
      <c r="N277" s="559" t="s">
        <v>1976</v>
      </c>
      <c r="O277" s="420" t="s">
        <v>195</v>
      </c>
      <c r="AB277" s="251"/>
      <c r="AC277" s="251"/>
      <c r="AD277" s="251"/>
      <c r="AE277" s="252"/>
      <c r="AF277" s="524"/>
      <c r="AG277" s="524"/>
      <c r="AH277" s="251"/>
      <c r="AI277" s="251"/>
      <c r="AJ277" s="251"/>
      <c r="AK277" s="247">
        <f>AL277+AM277</f>
        <v>0</v>
      </c>
      <c r="AL277" s="244">
        <f>AL278*AL279/1000</f>
        <v>0</v>
      </c>
      <c r="AM277" s="244">
        <f>AM278*AM279/1000</f>
        <v>0</v>
      </c>
      <c r="AN277" s="251"/>
      <c r="AO277" s="251"/>
      <c r="AP277" s="251"/>
      <c r="AQ277" s="252"/>
      <c r="AR277" s="524"/>
      <c r="AS277" s="524"/>
    </row>
    <row r="278" spans="13:45" ht="11.4">
      <c r="M278" s="562" t="str">
        <f>M277 &amp; ".P"</f>
        <v>SODACA.P</v>
      </c>
      <c r="N278" s="531" t="s">
        <v>842</v>
      </c>
      <c r="O278" s="420" t="s">
        <v>23</v>
      </c>
      <c r="AB278" s="251"/>
      <c r="AC278" s="251"/>
      <c r="AD278" s="251"/>
      <c r="AE278" s="252"/>
      <c r="AF278" s="524"/>
      <c r="AG278" s="524"/>
      <c r="AH278" s="251"/>
      <c r="AI278" s="251"/>
      <c r="AJ278" s="251"/>
      <c r="AK278" s="247">
        <f>IF(AK279=0,0,AK277*1000/AK279)</f>
        <v>0</v>
      </c>
      <c r="AL278" s="221"/>
      <c r="AM278" s="221"/>
      <c r="AN278" s="251"/>
      <c r="AO278" s="251"/>
      <c r="AP278" s="251"/>
      <c r="AQ278" s="252"/>
      <c r="AR278" s="524"/>
      <c r="AS278" s="524"/>
    </row>
    <row r="279" spans="13:45" ht="11.4">
      <c r="M279" s="562" t="str">
        <f>M277 &amp; ".V"</f>
        <v>SODACA.V</v>
      </c>
      <c r="N279" s="531" t="s">
        <v>245</v>
      </c>
      <c r="O279" s="420" t="s">
        <v>289</v>
      </c>
      <c r="AB279" s="251"/>
      <c r="AC279" s="251"/>
      <c r="AD279" s="251"/>
      <c r="AE279" s="524"/>
      <c r="AF279" s="524"/>
      <c r="AG279" s="524"/>
      <c r="AH279" s="251"/>
      <c r="AI279" s="251"/>
      <c r="AJ279" s="251"/>
      <c r="AK279" s="247">
        <f>AL279+AM279</f>
        <v>0</v>
      </c>
      <c r="AL279" s="221"/>
      <c r="AM279" s="221"/>
      <c r="AN279" s="251"/>
      <c r="AO279" s="251"/>
      <c r="AP279" s="251"/>
      <c r="AQ279" s="524"/>
      <c r="AR279" s="524"/>
      <c r="AS279" s="524"/>
    </row>
    <row r="280" spans="13:45" ht="11.4">
      <c r="M280" s="561" t="s">
        <v>2019</v>
      </c>
      <c r="N280" s="559" t="s">
        <v>1977</v>
      </c>
      <c r="O280" s="420" t="s">
        <v>195</v>
      </c>
      <c r="AB280" s="251"/>
      <c r="AC280" s="251"/>
      <c r="AD280" s="251"/>
      <c r="AE280" s="252"/>
      <c r="AF280" s="524"/>
      <c r="AG280" s="524"/>
      <c r="AH280" s="251"/>
      <c r="AI280" s="251"/>
      <c r="AJ280" s="251"/>
      <c r="AK280" s="247">
        <f>AL280+AM280</f>
        <v>0</v>
      </c>
      <c r="AL280" s="244">
        <f>AL281*AL282/1000</f>
        <v>0</v>
      </c>
      <c r="AM280" s="244">
        <f>AM281*AM282/1000</f>
        <v>0</v>
      </c>
      <c r="AN280" s="251"/>
      <c r="AO280" s="251"/>
      <c r="AP280" s="251"/>
      <c r="AQ280" s="252"/>
      <c r="AR280" s="524"/>
      <c r="AS280" s="524"/>
    </row>
    <row r="281" spans="13:45" ht="11.4">
      <c r="M281" s="562" t="str">
        <f>M280 &amp; ".P"</f>
        <v>SODACS.P</v>
      </c>
      <c r="N281" s="531" t="s">
        <v>842</v>
      </c>
      <c r="O281" s="420" t="s">
        <v>23</v>
      </c>
      <c r="AB281" s="251"/>
      <c r="AC281" s="251"/>
      <c r="AD281" s="251"/>
      <c r="AE281" s="252"/>
      <c r="AF281" s="524"/>
      <c r="AG281" s="524"/>
      <c r="AH281" s="251"/>
      <c r="AI281" s="251"/>
      <c r="AJ281" s="251"/>
      <c r="AK281" s="247">
        <f>IF(AK282=0,0,AK280*1000/AK282)</f>
        <v>0</v>
      </c>
      <c r="AL281" s="221"/>
      <c r="AM281" s="221"/>
      <c r="AN281" s="251"/>
      <c r="AO281" s="251"/>
      <c r="AP281" s="251"/>
      <c r="AQ281" s="252"/>
      <c r="AR281" s="524"/>
      <c r="AS281" s="524"/>
    </row>
    <row r="282" spans="13:45" ht="11.4">
      <c r="M282" s="562" t="str">
        <f>M280 &amp; ".V"</f>
        <v>SODACS.V</v>
      </c>
      <c r="N282" s="531" t="s">
        <v>245</v>
      </c>
      <c r="O282" s="420" t="s">
        <v>289</v>
      </c>
      <c r="AB282" s="251"/>
      <c r="AC282" s="251"/>
      <c r="AD282" s="251"/>
      <c r="AE282" s="524"/>
      <c r="AF282" s="524"/>
      <c r="AG282" s="524"/>
      <c r="AH282" s="251"/>
      <c r="AI282" s="251"/>
      <c r="AJ282" s="251"/>
      <c r="AK282" s="247">
        <f>AL282+AM282</f>
        <v>0</v>
      </c>
      <c r="AL282" s="221"/>
      <c r="AM282" s="221"/>
      <c r="AN282" s="251"/>
      <c r="AO282" s="251"/>
      <c r="AP282" s="251"/>
      <c r="AQ282" s="524"/>
      <c r="AR282" s="524"/>
      <c r="AS282" s="524"/>
    </row>
    <row r="283" spans="13:45" ht="11.4">
      <c r="M283" s="561" t="s">
        <v>2017</v>
      </c>
      <c r="N283" s="559" t="s">
        <v>2016</v>
      </c>
      <c r="O283" s="420" t="s">
        <v>195</v>
      </c>
      <c r="AB283" s="251"/>
      <c r="AC283" s="251"/>
      <c r="AD283" s="251"/>
      <c r="AE283" s="252"/>
      <c r="AF283" s="524"/>
      <c r="AG283" s="524"/>
      <c r="AH283" s="251"/>
      <c r="AI283" s="251"/>
      <c r="AJ283" s="251"/>
      <c r="AK283" s="247">
        <f>AL283+AM283</f>
        <v>0</v>
      </c>
      <c r="AL283" s="244">
        <f>AL284*AL285/1000</f>
        <v>0</v>
      </c>
      <c r="AM283" s="244">
        <f>AM284*AM285/1000</f>
        <v>0</v>
      </c>
      <c r="AN283" s="251"/>
      <c r="AO283" s="251"/>
      <c r="AP283" s="251"/>
      <c r="AQ283" s="252"/>
      <c r="AR283" s="524"/>
      <c r="AS283" s="524"/>
    </row>
    <row r="284" spans="13:45" ht="11.4">
      <c r="M284" s="562" t="str">
        <f>M283 &amp; ".P"</f>
        <v>SALT1G.P</v>
      </c>
      <c r="N284" s="531" t="s">
        <v>842</v>
      </c>
      <c r="O284" s="420" t="s">
        <v>23</v>
      </c>
      <c r="AB284" s="251"/>
      <c r="AC284" s="251"/>
      <c r="AD284" s="251"/>
      <c r="AE284" s="252"/>
      <c r="AF284" s="524"/>
      <c r="AG284" s="524"/>
      <c r="AH284" s="251"/>
      <c r="AI284" s="251"/>
      <c r="AJ284" s="251"/>
      <c r="AK284" s="247">
        <f>IF(AK285=0,0,AK283*1000/AK285)</f>
        <v>0</v>
      </c>
      <c r="AL284" s="221"/>
      <c r="AM284" s="221"/>
      <c r="AN284" s="251"/>
      <c r="AO284" s="251"/>
      <c r="AP284" s="251"/>
      <c r="AQ284" s="252"/>
      <c r="AR284" s="524"/>
      <c r="AS284" s="524"/>
    </row>
    <row r="285" spans="13:45" ht="11.4">
      <c r="M285" s="562" t="str">
        <f>M283 &amp; ".V"</f>
        <v>SALT1G.V</v>
      </c>
      <c r="N285" s="531" t="s">
        <v>245</v>
      </c>
      <c r="O285" s="420" t="s">
        <v>289</v>
      </c>
      <c r="AB285" s="251"/>
      <c r="AC285" s="251"/>
      <c r="AD285" s="251"/>
      <c r="AE285" s="524"/>
      <c r="AF285" s="524"/>
      <c r="AG285" s="524"/>
      <c r="AH285" s="251"/>
      <c r="AI285" s="251"/>
      <c r="AJ285" s="251"/>
      <c r="AK285" s="247">
        <f>AL285+AM285</f>
        <v>0</v>
      </c>
      <c r="AL285" s="221"/>
      <c r="AM285" s="221"/>
      <c r="AN285" s="251"/>
      <c r="AO285" s="251"/>
      <c r="AP285" s="251"/>
      <c r="AQ285" s="524"/>
      <c r="AR285" s="524"/>
      <c r="AS285" s="524"/>
    </row>
    <row r="286" spans="13:45" ht="11.4">
      <c r="M286" s="561" t="s">
        <v>2014</v>
      </c>
      <c r="N286" s="559" t="s">
        <v>1978</v>
      </c>
      <c r="O286" s="420" t="s">
        <v>195</v>
      </c>
      <c r="AB286" s="251"/>
      <c r="AC286" s="251"/>
      <c r="AD286" s="251"/>
      <c r="AE286" s="252"/>
      <c r="AF286" s="524"/>
      <c r="AG286" s="524"/>
      <c r="AH286" s="251"/>
      <c r="AI286" s="251"/>
      <c r="AJ286" s="251"/>
      <c r="AK286" s="247">
        <f>AL286+AM286</f>
        <v>0</v>
      </c>
      <c r="AL286" s="244">
        <f>AL287*AL288/1000</f>
        <v>0</v>
      </c>
      <c r="AM286" s="244">
        <f>AM287*AM288/1000</f>
        <v>0</v>
      </c>
      <c r="AN286" s="251"/>
      <c r="AO286" s="251"/>
      <c r="AP286" s="251"/>
      <c r="AQ286" s="252"/>
      <c r="AR286" s="524"/>
      <c r="AS286" s="524"/>
    </row>
    <row r="287" spans="13:45" ht="11.4">
      <c r="M287" s="562" t="str">
        <f>M286 &amp; ".P"</f>
        <v>SALT.P</v>
      </c>
      <c r="N287" s="531" t="s">
        <v>842</v>
      </c>
      <c r="O287" s="420" t="s">
        <v>23</v>
      </c>
      <c r="AB287" s="251"/>
      <c r="AC287" s="251"/>
      <c r="AD287" s="251"/>
      <c r="AE287" s="252"/>
      <c r="AF287" s="524"/>
      <c r="AG287" s="524"/>
      <c r="AH287" s="251"/>
      <c r="AI287" s="251"/>
      <c r="AJ287" s="251"/>
      <c r="AK287" s="247">
        <f>IF(AK288=0,0,AK286*1000/AK288)</f>
        <v>0</v>
      </c>
      <c r="AL287" s="221"/>
      <c r="AM287" s="221"/>
      <c r="AN287" s="251"/>
      <c r="AO287" s="251"/>
      <c r="AP287" s="251"/>
      <c r="AQ287" s="252"/>
      <c r="AR287" s="524"/>
      <c r="AS287" s="524"/>
    </row>
    <row r="288" spans="13:45" ht="11.4">
      <c r="M288" s="562" t="str">
        <f>M286 &amp; ".V"</f>
        <v>SALT.V</v>
      </c>
      <c r="N288" s="531" t="s">
        <v>245</v>
      </c>
      <c r="O288" s="420" t="s">
        <v>289</v>
      </c>
      <c r="AB288" s="251"/>
      <c r="AC288" s="251"/>
      <c r="AD288" s="251"/>
      <c r="AE288" s="524"/>
      <c r="AF288" s="524"/>
      <c r="AG288" s="524"/>
      <c r="AH288" s="251"/>
      <c r="AI288" s="251"/>
      <c r="AJ288" s="251"/>
      <c r="AK288" s="247">
        <f>AL288+AM288</f>
        <v>0</v>
      </c>
      <c r="AL288" s="221"/>
      <c r="AM288" s="221"/>
      <c r="AN288" s="251"/>
      <c r="AO288" s="251"/>
      <c r="AP288" s="251"/>
      <c r="AQ288" s="524"/>
      <c r="AR288" s="524"/>
      <c r="AS288" s="524"/>
    </row>
    <row r="289" spans="13:45" ht="11.4">
      <c r="M289" s="561" t="s">
        <v>2024</v>
      </c>
      <c r="N289" s="559" t="s">
        <v>1979</v>
      </c>
      <c r="O289" s="420" t="s">
        <v>195</v>
      </c>
      <c r="AB289" s="251"/>
      <c r="AC289" s="251"/>
      <c r="AD289" s="251"/>
      <c r="AE289" s="252"/>
      <c r="AF289" s="524"/>
      <c r="AG289" s="524"/>
      <c r="AH289" s="251"/>
      <c r="AI289" s="251"/>
      <c r="AJ289" s="251"/>
      <c r="AK289" s="247">
        <f>AL289+AM289</f>
        <v>0</v>
      </c>
      <c r="AL289" s="244">
        <f>AL290*AL291/1000</f>
        <v>0</v>
      </c>
      <c r="AM289" s="244">
        <f>AM290*AM291/1000</f>
        <v>0</v>
      </c>
      <c r="AN289" s="251"/>
      <c r="AO289" s="251"/>
      <c r="AP289" s="251"/>
      <c r="AQ289" s="252"/>
      <c r="AR289" s="524"/>
      <c r="AS289" s="524"/>
    </row>
    <row r="290" spans="13:45" ht="11.4">
      <c r="M290" s="562" t="str">
        <f>M289 &amp; ".P"</f>
        <v>SALTPL.P</v>
      </c>
      <c r="N290" s="531" t="s">
        <v>842</v>
      </c>
      <c r="O290" s="420" t="s">
        <v>23</v>
      </c>
      <c r="AB290" s="251"/>
      <c r="AC290" s="251"/>
      <c r="AD290" s="251"/>
      <c r="AE290" s="252"/>
      <c r="AF290" s="524"/>
      <c r="AG290" s="524"/>
      <c r="AH290" s="251"/>
      <c r="AI290" s="251"/>
      <c r="AJ290" s="251"/>
      <c r="AK290" s="247">
        <f>IF(AK291=0,0,AK289*1000/AK291)</f>
        <v>0</v>
      </c>
      <c r="AL290" s="221"/>
      <c r="AM290" s="221"/>
      <c r="AN290" s="251"/>
      <c r="AO290" s="251"/>
      <c r="AP290" s="251"/>
      <c r="AQ290" s="252"/>
      <c r="AR290" s="524"/>
      <c r="AS290" s="524"/>
    </row>
    <row r="291" spans="13:45" ht="11.4">
      <c r="M291" s="562" t="str">
        <f>M289 &amp; ".V"</f>
        <v>SALTPL.V</v>
      </c>
      <c r="N291" s="531" t="s">
        <v>245</v>
      </c>
      <c r="O291" s="420" t="s">
        <v>289</v>
      </c>
      <c r="AB291" s="251"/>
      <c r="AC291" s="251"/>
      <c r="AD291" s="251"/>
      <c r="AE291" s="524"/>
      <c r="AF291" s="524"/>
      <c r="AG291" s="524"/>
      <c r="AH291" s="251"/>
      <c r="AI291" s="251"/>
      <c r="AJ291" s="251"/>
      <c r="AK291" s="247">
        <f>AL291+AM291</f>
        <v>0</v>
      </c>
      <c r="AL291" s="221"/>
      <c r="AM291" s="221"/>
      <c r="AN291" s="251"/>
      <c r="AO291" s="251"/>
      <c r="AP291" s="251"/>
      <c r="AQ291" s="524"/>
      <c r="AR291" s="524"/>
      <c r="AS291" s="524"/>
    </row>
    <row r="292" spans="13:45" ht="11.4">
      <c r="M292" s="561" t="s">
        <v>2023</v>
      </c>
      <c r="N292" s="559" t="s">
        <v>1980</v>
      </c>
      <c r="O292" s="420" t="s">
        <v>195</v>
      </c>
      <c r="AB292" s="251"/>
      <c r="AC292" s="251"/>
      <c r="AD292" s="251"/>
      <c r="AE292" s="252"/>
      <c r="AF292" s="524"/>
      <c r="AG292" s="524"/>
      <c r="AH292" s="251"/>
      <c r="AI292" s="251"/>
      <c r="AJ292" s="251"/>
      <c r="AK292" s="247">
        <f>AL292+AM292</f>
        <v>0</v>
      </c>
      <c r="AL292" s="244">
        <f>AL293*AL294/1000</f>
        <v>0</v>
      </c>
      <c r="AM292" s="244">
        <f>AM293*AM294/1000</f>
        <v>0</v>
      </c>
      <c r="AN292" s="251"/>
      <c r="AO292" s="251"/>
      <c r="AP292" s="251"/>
      <c r="AQ292" s="252"/>
      <c r="AR292" s="524"/>
      <c r="AS292" s="524"/>
    </row>
    <row r="293" spans="13:45" ht="11.4">
      <c r="M293" s="562" t="str">
        <f>M292 &amp; ".P"</f>
        <v>SALTTH.P</v>
      </c>
      <c r="N293" s="531" t="s">
        <v>842</v>
      </c>
      <c r="O293" s="420" t="s">
        <v>23</v>
      </c>
      <c r="AB293" s="251"/>
      <c r="AC293" s="251"/>
      <c r="AD293" s="251"/>
      <c r="AE293" s="252"/>
      <c r="AF293" s="524"/>
      <c r="AG293" s="524"/>
      <c r="AH293" s="251"/>
      <c r="AI293" s="251"/>
      <c r="AJ293" s="251"/>
      <c r="AK293" s="247">
        <f>IF(AK294=0,0,AK292*1000/AK294)</f>
        <v>0</v>
      </c>
      <c r="AL293" s="221"/>
      <c r="AM293" s="221"/>
      <c r="AN293" s="251"/>
      <c r="AO293" s="251"/>
      <c r="AP293" s="251"/>
      <c r="AQ293" s="252"/>
      <c r="AR293" s="524"/>
      <c r="AS293" s="524"/>
    </row>
    <row r="294" spans="13:45" ht="11.4">
      <c r="M294" s="562" t="str">
        <f>M292 &amp; ".V"</f>
        <v>SALTTH.V</v>
      </c>
      <c r="N294" s="531" t="s">
        <v>245</v>
      </c>
      <c r="O294" s="420" t="s">
        <v>289</v>
      </c>
      <c r="AB294" s="251"/>
      <c r="AC294" s="251"/>
      <c r="AD294" s="251"/>
      <c r="AE294" s="524"/>
      <c r="AF294" s="524"/>
      <c r="AG294" s="524"/>
      <c r="AH294" s="251"/>
      <c r="AI294" s="251"/>
      <c r="AJ294" s="251"/>
      <c r="AK294" s="247">
        <f>AL294+AM294</f>
        <v>0</v>
      </c>
      <c r="AL294" s="221"/>
      <c r="AM294" s="221"/>
      <c r="AN294" s="251"/>
      <c r="AO294" s="251"/>
      <c r="AP294" s="251"/>
      <c r="AQ294" s="524"/>
      <c r="AR294" s="524"/>
      <c r="AS294" s="524"/>
    </row>
    <row r="295" spans="13:45" ht="11.4">
      <c r="M295" s="561" t="s">
        <v>2022</v>
      </c>
      <c r="N295" s="559" t="s">
        <v>1981</v>
      </c>
      <c r="O295" s="420" t="s">
        <v>195</v>
      </c>
      <c r="AB295" s="251"/>
      <c r="AC295" s="251"/>
      <c r="AD295" s="251"/>
      <c r="AE295" s="252"/>
      <c r="AF295" s="524"/>
      <c r="AG295" s="524"/>
      <c r="AH295" s="251"/>
      <c r="AI295" s="251"/>
      <c r="AJ295" s="251"/>
      <c r="AK295" s="247">
        <f>AL295+AM295</f>
        <v>0</v>
      </c>
      <c r="AL295" s="244">
        <f>AL296*AL297/1000</f>
        <v>0</v>
      </c>
      <c r="AM295" s="244">
        <f>AM296*AM297/1000</f>
        <v>0</v>
      </c>
      <c r="AN295" s="251"/>
      <c r="AO295" s="251"/>
      <c r="AP295" s="251"/>
      <c r="AQ295" s="252"/>
      <c r="AR295" s="524"/>
      <c r="AS295" s="524"/>
    </row>
    <row r="296" spans="13:45" ht="11.4">
      <c r="M296" s="562" t="str">
        <f>M295 &amp; ".P"</f>
        <v>SALTEX.P</v>
      </c>
      <c r="N296" s="531" t="s">
        <v>842</v>
      </c>
      <c r="O296" s="420" t="s">
        <v>23</v>
      </c>
      <c r="AB296" s="251"/>
      <c r="AC296" s="251"/>
      <c r="AD296" s="251"/>
      <c r="AE296" s="252"/>
      <c r="AF296" s="524"/>
      <c r="AG296" s="524"/>
      <c r="AH296" s="251"/>
      <c r="AI296" s="251"/>
      <c r="AJ296" s="251"/>
      <c r="AK296" s="247">
        <f>IF(AK297=0,0,AK295*1000/AK297)</f>
        <v>0</v>
      </c>
      <c r="AL296" s="221"/>
      <c r="AM296" s="221"/>
      <c r="AN296" s="251"/>
      <c r="AO296" s="251"/>
      <c r="AP296" s="251"/>
      <c r="AQ296" s="252"/>
      <c r="AR296" s="524"/>
      <c r="AS296" s="524"/>
    </row>
    <row r="297" spans="13:45" ht="11.4">
      <c r="M297" s="562" t="str">
        <f>M295 &amp; ".V"</f>
        <v>SALTEX.V</v>
      </c>
      <c r="N297" s="531" t="s">
        <v>245</v>
      </c>
      <c r="O297" s="420" t="s">
        <v>289</v>
      </c>
      <c r="AB297" s="251"/>
      <c r="AC297" s="251"/>
      <c r="AD297" s="251"/>
      <c r="AE297" s="524"/>
      <c r="AF297" s="524"/>
      <c r="AG297" s="524"/>
      <c r="AH297" s="251"/>
      <c r="AI297" s="251"/>
      <c r="AJ297" s="251"/>
      <c r="AK297" s="247">
        <f>AL297+AM297</f>
        <v>0</v>
      </c>
      <c r="AL297" s="221"/>
      <c r="AM297" s="221"/>
      <c r="AN297" s="251"/>
      <c r="AO297" s="251"/>
      <c r="AP297" s="251"/>
      <c r="AQ297" s="524"/>
      <c r="AR297" s="524"/>
      <c r="AS297" s="524"/>
    </row>
    <row r="298" spans="13:45" ht="11.4">
      <c r="M298" s="561" t="s">
        <v>2015</v>
      </c>
      <c r="N298" s="559" t="s">
        <v>1982</v>
      </c>
      <c r="O298" s="420" t="s">
        <v>195</v>
      </c>
      <c r="AB298" s="251"/>
      <c r="AC298" s="251"/>
      <c r="AD298" s="251"/>
      <c r="AE298" s="252"/>
      <c r="AF298" s="524"/>
      <c r="AG298" s="524"/>
      <c r="AH298" s="251"/>
      <c r="AI298" s="251"/>
      <c r="AJ298" s="251"/>
      <c r="AK298" s="247">
        <f>AL298+AM298</f>
        <v>0</v>
      </c>
      <c r="AL298" s="244">
        <f>AL299*AL300/1000</f>
        <v>0</v>
      </c>
      <c r="AM298" s="244">
        <f>AM299*AM300/1000</f>
        <v>0</v>
      </c>
      <c r="AN298" s="251"/>
      <c r="AO298" s="251"/>
      <c r="AP298" s="251"/>
      <c r="AQ298" s="252"/>
      <c r="AR298" s="524"/>
      <c r="AS298" s="524"/>
    </row>
    <row r="299" spans="13:45" ht="11.4">
      <c r="M299" s="562" t="str">
        <f>M298 &amp; ".P"</f>
        <v>C2H5OH.P</v>
      </c>
      <c r="N299" s="531" t="s">
        <v>842</v>
      </c>
      <c r="O299" s="420" t="s">
        <v>23</v>
      </c>
      <c r="AB299" s="251"/>
      <c r="AC299" s="251"/>
      <c r="AD299" s="251"/>
      <c r="AE299" s="252"/>
      <c r="AF299" s="524"/>
      <c r="AG299" s="524"/>
      <c r="AH299" s="251"/>
      <c r="AI299" s="251"/>
      <c r="AJ299" s="251"/>
      <c r="AK299" s="247">
        <f>IF(AK300=0,0,AK298*1000/AK300)</f>
        <v>0</v>
      </c>
      <c r="AL299" s="221"/>
      <c r="AM299" s="221"/>
      <c r="AN299" s="251"/>
      <c r="AO299" s="251"/>
      <c r="AP299" s="251"/>
      <c r="AQ299" s="252"/>
      <c r="AR299" s="524"/>
      <c r="AS299" s="524"/>
    </row>
    <row r="300" spans="13:45" ht="11.4">
      <c r="M300" s="562" t="str">
        <f>M298 &amp; ".V"</f>
        <v>C2H5OH.V</v>
      </c>
      <c r="N300" s="531" t="s">
        <v>245</v>
      </c>
      <c r="O300" s="420" t="s">
        <v>289</v>
      </c>
      <c r="AB300" s="251"/>
      <c r="AC300" s="251"/>
      <c r="AD300" s="251"/>
      <c r="AE300" s="524"/>
      <c r="AF300" s="524"/>
      <c r="AG300" s="524"/>
      <c r="AH300" s="251"/>
      <c r="AI300" s="251"/>
      <c r="AJ300" s="251"/>
      <c r="AK300" s="247">
        <f>AL300+AM300</f>
        <v>0</v>
      </c>
      <c r="AL300" s="221"/>
      <c r="AM300" s="221"/>
      <c r="AN300" s="251"/>
      <c r="AO300" s="251"/>
      <c r="AP300" s="251"/>
      <c r="AQ300" s="524"/>
      <c r="AR300" s="524"/>
      <c r="AS300" s="524"/>
    </row>
    <row r="301" spans="13:45" ht="11.4">
      <c r="M301" s="561" t="s">
        <v>2035</v>
      </c>
      <c r="N301" s="559" t="s">
        <v>1983</v>
      </c>
      <c r="O301" s="420" t="s">
        <v>195</v>
      </c>
      <c r="AB301" s="251"/>
      <c r="AC301" s="251"/>
      <c r="AD301" s="251"/>
      <c r="AE301" s="252"/>
      <c r="AF301" s="524"/>
      <c r="AG301" s="524"/>
      <c r="AH301" s="251"/>
      <c r="AI301" s="251"/>
      <c r="AJ301" s="251"/>
      <c r="AK301" s="247">
        <f>AL301+AM301</f>
        <v>0</v>
      </c>
      <c r="AL301" s="244">
        <f>AL302*AL303/1000</f>
        <v>0</v>
      </c>
      <c r="AM301" s="244">
        <f>AM302*AM303/1000</f>
        <v>0</v>
      </c>
      <c r="AN301" s="251"/>
      <c r="AO301" s="251"/>
      <c r="AP301" s="251"/>
      <c r="AQ301" s="252"/>
      <c r="AR301" s="524"/>
      <c r="AS301" s="524"/>
    </row>
    <row r="302" spans="13:45" ht="11.4">
      <c r="M302" s="562" t="str">
        <f>M301 &amp; ".P"</f>
        <v>SFAL1G.P</v>
      </c>
      <c r="N302" s="531" t="s">
        <v>842</v>
      </c>
      <c r="O302" s="420" t="s">
        <v>23</v>
      </c>
      <c r="AB302" s="251"/>
      <c r="AC302" s="251"/>
      <c r="AD302" s="251"/>
      <c r="AE302" s="252"/>
      <c r="AF302" s="524"/>
      <c r="AG302" s="524"/>
      <c r="AH302" s="251"/>
      <c r="AI302" s="251"/>
      <c r="AJ302" s="251"/>
      <c r="AK302" s="247">
        <f>IF(AK303=0,0,AK301*1000/AK303)</f>
        <v>0</v>
      </c>
      <c r="AL302" s="221"/>
      <c r="AM302" s="221"/>
      <c r="AN302" s="251"/>
      <c r="AO302" s="251"/>
      <c r="AP302" s="251"/>
      <c r="AQ302" s="252"/>
      <c r="AR302" s="524"/>
      <c r="AS302" s="524"/>
    </row>
    <row r="303" spans="13:45" ht="11.4">
      <c r="M303" s="562" t="str">
        <f>M301 &amp; ".V"</f>
        <v>SFAL1G.V</v>
      </c>
      <c r="N303" s="531" t="s">
        <v>245</v>
      </c>
      <c r="O303" s="420" t="s">
        <v>289</v>
      </c>
      <c r="AB303" s="251"/>
      <c r="AC303" s="251"/>
      <c r="AD303" s="251"/>
      <c r="AE303" s="524"/>
      <c r="AF303" s="524"/>
      <c r="AG303" s="524"/>
      <c r="AH303" s="251"/>
      <c r="AI303" s="251"/>
      <c r="AJ303" s="251"/>
      <c r="AK303" s="247">
        <f>AL303+AM303</f>
        <v>0</v>
      </c>
      <c r="AL303" s="221"/>
      <c r="AM303" s="221"/>
      <c r="AN303" s="251"/>
      <c r="AO303" s="251"/>
      <c r="AP303" s="251"/>
      <c r="AQ303" s="524"/>
      <c r="AR303" s="524"/>
      <c r="AS303" s="524"/>
    </row>
    <row r="304" spans="13:45" ht="11.4">
      <c r="M304" s="561" t="s">
        <v>2034</v>
      </c>
      <c r="N304" s="559" t="s">
        <v>1984</v>
      </c>
      <c r="O304" s="420" t="s">
        <v>195</v>
      </c>
      <c r="AB304" s="251"/>
      <c r="AC304" s="251"/>
      <c r="AD304" s="251"/>
      <c r="AE304" s="252"/>
      <c r="AF304" s="524"/>
      <c r="AG304" s="524"/>
      <c r="AH304" s="251"/>
      <c r="AI304" s="251"/>
      <c r="AJ304" s="251"/>
      <c r="AK304" s="247">
        <f>AL304+AM304</f>
        <v>0</v>
      </c>
      <c r="AL304" s="244">
        <f>AL305*AL306/1000</f>
        <v>0</v>
      </c>
      <c r="AM304" s="244">
        <f>AM305*AM306/1000</f>
        <v>0</v>
      </c>
      <c r="AN304" s="251"/>
      <c r="AO304" s="251"/>
      <c r="AP304" s="251"/>
      <c r="AQ304" s="252"/>
      <c r="AR304" s="524"/>
      <c r="AS304" s="524"/>
    </row>
    <row r="305" spans="13:45" ht="11.4">
      <c r="M305" s="562" t="str">
        <f>M304 &amp; ".P"</f>
        <v>SFALLQD.P</v>
      </c>
      <c r="N305" s="531" t="s">
        <v>842</v>
      </c>
      <c r="O305" s="420" t="s">
        <v>23</v>
      </c>
      <c r="AB305" s="251"/>
      <c r="AC305" s="251"/>
      <c r="AD305" s="251"/>
      <c r="AE305" s="252"/>
      <c r="AF305" s="524"/>
      <c r="AG305" s="524"/>
      <c r="AH305" s="251"/>
      <c r="AI305" s="251"/>
      <c r="AJ305" s="251"/>
      <c r="AK305" s="247">
        <f>IF(AK306=0,0,AK304*1000/AK306)</f>
        <v>0</v>
      </c>
      <c r="AL305" s="221"/>
      <c r="AM305" s="221"/>
      <c r="AN305" s="251"/>
      <c r="AO305" s="251"/>
      <c r="AP305" s="251"/>
      <c r="AQ305" s="252"/>
      <c r="AR305" s="524"/>
      <c r="AS305" s="524"/>
    </row>
    <row r="306" spans="13:45" ht="11.4">
      <c r="M306" s="562" t="str">
        <f>M304 &amp; ".V"</f>
        <v>SFALLQD.V</v>
      </c>
      <c r="N306" s="531" t="s">
        <v>245</v>
      </c>
      <c r="O306" s="420" t="s">
        <v>289</v>
      </c>
      <c r="AB306" s="251"/>
      <c r="AC306" s="251"/>
      <c r="AD306" s="251"/>
      <c r="AE306" s="524"/>
      <c r="AF306" s="524"/>
      <c r="AG306" s="524"/>
      <c r="AH306" s="251"/>
      <c r="AI306" s="251"/>
      <c r="AJ306" s="251"/>
      <c r="AK306" s="247">
        <f>AL306+AM306</f>
        <v>0</v>
      </c>
      <c r="AL306" s="221"/>
      <c r="AM306" s="221"/>
      <c r="AN306" s="251"/>
      <c r="AO306" s="251"/>
      <c r="AP306" s="251"/>
      <c r="AQ306" s="524"/>
      <c r="AR306" s="524"/>
      <c r="AS306" s="524"/>
    </row>
    <row r="307" spans="13:45" ht="11.4">
      <c r="M307" s="561" t="s">
        <v>2033</v>
      </c>
      <c r="N307" s="559" t="s">
        <v>1985</v>
      </c>
      <c r="O307" s="420" t="s">
        <v>195</v>
      </c>
      <c r="AB307" s="251"/>
      <c r="AC307" s="251"/>
      <c r="AD307" s="251"/>
      <c r="AE307" s="252"/>
      <c r="AF307" s="524"/>
      <c r="AG307" s="524"/>
      <c r="AH307" s="251"/>
      <c r="AI307" s="251"/>
      <c r="AJ307" s="251"/>
      <c r="AK307" s="247">
        <f>AL307+AM307</f>
        <v>0</v>
      </c>
      <c r="AL307" s="244">
        <f>AL308*AL309/1000</f>
        <v>0</v>
      </c>
      <c r="AM307" s="244">
        <f>AM308*AM309/1000</f>
        <v>0</v>
      </c>
      <c r="AN307" s="251"/>
      <c r="AO307" s="251"/>
      <c r="AP307" s="251"/>
      <c r="AQ307" s="252"/>
      <c r="AR307" s="524"/>
      <c r="AS307" s="524"/>
    </row>
    <row r="308" spans="13:45" ht="11.4">
      <c r="M308" s="562" t="str">
        <f>M307 &amp; ".P"</f>
        <v>SFALT.P</v>
      </c>
      <c r="N308" s="531" t="s">
        <v>842</v>
      </c>
      <c r="O308" s="420" t="s">
        <v>23</v>
      </c>
      <c r="AB308" s="251"/>
      <c r="AC308" s="251"/>
      <c r="AD308" s="251"/>
      <c r="AE308" s="252"/>
      <c r="AF308" s="524"/>
      <c r="AG308" s="524"/>
      <c r="AH308" s="251"/>
      <c r="AI308" s="251"/>
      <c r="AJ308" s="251"/>
      <c r="AK308" s="247">
        <f>IF(AK309=0,0,AK307*1000/AK309)</f>
        <v>0</v>
      </c>
      <c r="AL308" s="221"/>
      <c r="AM308" s="221"/>
      <c r="AN308" s="251"/>
      <c r="AO308" s="251"/>
      <c r="AP308" s="251"/>
      <c r="AQ308" s="252"/>
      <c r="AR308" s="524"/>
      <c r="AS308" s="524"/>
    </row>
    <row r="309" spans="13:45" ht="11.4">
      <c r="M309" s="562" t="str">
        <f>M307 &amp; ".V"</f>
        <v>SFALT.V</v>
      </c>
      <c r="N309" s="531" t="s">
        <v>245</v>
      </c>
      <c r="O309" s="420" t="s">
        <v>289</v>
      </c>
      <c r="AB309" s="251"/>
      <c r="AC309" s="251"/>
      <c r="AD309" s="251"/>
      <c r="AE309" s="524"/>
      <c r="AF309" s="524"/>
      <c r="AG309" s="524"/>
      <c r="AH309" s="251"/>
      <c r="AI309" s="251"/>
      <c r="AJ309" s="251"/>
      <c r="AK309" s="247">
        <f>AL309+AM309</f>
        <v>0</v>
      </c>
      <c r="AL309" s="221"/>
      <c r="AM309" s="221"/>
      <c r="AN309" s="251"/>
      <c r="AO309" s="251"/>
      <c r="AP309" s="251"/>
      <c r="AQ309" s="524"/>
      <c r="AR309" s="524"/>
      <c r="AS309" s="524"/>
    </row>
    <row r="310" spans="13:45" ht="11.4">
      <c r="M310" s="561" t="s">
        <v>2032</v>
      </c>
      <c r="N310" s="559" t="s">
        <v>1986</v>
      </c>
      <c r="O310" s="420" t="s">
        <v>195</v>
      </c>
      <c r="AB310" s="251"/>
      <c r="AC310" s="251"/>
      <c r="AD310" s="251"/>
      <c r="AE310" s="252"/>
      <c r="AF310" s="524"/>
      <c r="AG310" s="524"/>
      <c r="AH310" s="251"/>
      <c r="AI310" s="251"/>
      <c r="AJ310" s="251"/>
      <c r="AK310" s="247">
        <f>AL310+AM310</f>
        <v>0</v>
      </c>
      <c r="AL310" s="244">
        <f>AL311*AL312/1000</f>
        <v>0</v>
      </c>
      <c r="AM310" s="244">
        <f>AM311*AM312/1000</f>
        <v>0</v>
      </c>
      <c r="AN310" s="251"/>
      <c r="AO310" s="251"/>
      <c r="AP310" s="251"/>
      <c r="AQ310" s="252"/>
      <c r="AR310" s="524"/>
      <c r="AS310" s="524"/>
    </row>
    <row r="311" spans="13:45" ht="11.4">
      <c r="M311" s="562" t="str">
        <f>M310 &amp; ".P"</f>
        <v>SFAMN.P</v>
      </c>
      <c r="N311" s="531" t="s">
        <v>842</v>
      </c>
      <c r="O311" s="420" t="s">
        <v>23</v>
      </c>
      <c r="AB311" s="251"/>
      <c r="AC311" s="251"/>
      <c r="AD311" s="251"/>
      <c r="AE311" s="252"/>
      <c r="AF311" s="524"/>
      <c r="AG311" s="524"/>
      <c r="AH311" s="251"/>
      <c r="AI311" s="251"/>
      <c r="AJ311" s="251"/>
      <c r="AK311" s="247">
        <f>IF(AK312=0,0,AK310*1000/AK312)</f>
        <v>0</v>
      </c>
      <c r="AL311" s="221"/>
      <c r="AM311" s="221"/>
      <c r="AN311" s="251"/>
      <c r="AO311" s="251"/>
      <c r="AP311" s="251"/>
      <c r="AQ311" s="252"/>
      <c r="AR311" s="524"/>
      <c r="AS311" s="524"/>
    </row>
    <row r="312" spans="13:45" ht="11.4">
      <c r="M312" s="562" t="str">
        <f>M310 &amp; ".V"</f>
        <v>SFAMN.V</v>
      </c>
      <c r="N312" s="531" t="s">
        <v>245</v>
      </c>
      <c r="O312" s="420" t="s">
        <v>289</v>
      </c>
      <c r="AB312" s="251"/>
      <c r="AC312" s="251"/>
      <c r="AD312" s="251"/>
      <c r="AE312" s="524"/>
      <c r="AF312" s="524"/>
      <c r="AG312" s="524"/>
      <c r="AH312" s="251"/>
      <c r="AI312" s="251"/>
      <c r="AJ312" s="251"/>
      <c r="AK312" s="247">
        <f>AL312+AM312</f>
        <v>0</v>
      </c>
      <c r="AL312" s="221"/>
      <c r="AM312" s="221"/>
      <c r="AN312" s="251"/>
      <c r="AO312" s="251"/>
      <c r="AP312" s="251"/>
      <c r="AQ312" s="524"/>
      <c r="AR312" s="524"/>
      <c r="AS312" s="524"/>
    </row>
    <row r="313" spans="13:45" ht="11.4">
      <c r="M313" s="561" t="s">
        <v>2031</v>
      </c>
      <c r="N313" s="559" t="s">
        <v>1987</v>
      </c>
      <c r="O313" s="420" t="s">
        <v>195</v>
      </c>
      <c r="AB313" s="251"/>
      <c r="AC313" s="251"/>
      <c r="AD313" s="251"/>
      <c r="AE313" s="252"/>
      <c r="AF313" s="524"/>
      <c r="AG313" s="524"/>
      <c r="AH313" s="251"/>
      <c r="AI313" s="251"/>
      <c r="AJ313" s="251"/>
      <c r="AK313" s="247">
        <f>AL313+AM313</f>
        <v>0</v>
      </c>
      <c r="AL313" s="244">
        <f>AL314*AL315/1000</f>
        <v>0</v>
      </c>
      <c r="AM313" s="244">
        <f>AM314*AM315/1000</f>
        <v>0</v>
      </c>
      <c r="AN313" s="251"/>
      <c r="AO313" s="251"/>
      <c r="AP313" s="251"/>
      <c r="AQ313" s="252"/>
      <c r="AR313" s="524"/>
      <c r="AS313" s="524"/>
    </row>
    <row r="314" spans="13:45" ht="11.4">
      <c r="M314" s="562" t="str">
        <f>M313 &amp; ".P"</f>
        <v>TM.P</v>
      </c>
      <c r="N314" s="531" t="s">
        <v>842</v>
      </c>
      <c r="O314" s="420" t="s">
        <v>23</v>
      </c>
      <c r="AB314" s="251"/>
      <c r="AC314" s="251"/>
      <c r="AD314" s="251"/>
      <c r="AE314" s="252"/>
      <c r="AF314" s="524"/>
      <c r="AG314" s="524"/>
      <c r="AH314" s="251"/>
      <c r="AI314" s="251"/>
      <c r="AJ314" s="251"/>
      <c r="AK314" s="247">
        <f>IF(AK315=0,0,AK313*1000/AK315)</f>
        <v>0</v>
      </c>
      <c r="AL314" s="221"/>
      <c r="AM314" s="221"/>
      <c r="AN314" s="251"/>
      <c r="AO314" s="251"/>
      <c r="AP314" s="251"/>
      <c r="AQ314" s="252"/>
      <c r="AR314" s="524"/>
      <c r="AS314" s="524"/>
    </row>
    <row r="315" spans="13:45" ht="11.4">
      <c r="M315" s="562" t="str">
        <f>M313 &amp; ".V"</f>
        <v>TM.V</v>
      </c>
      <c r="N315" s="531" t="s">
        <v>245</v>
      </c>
      <c r="O315" s="420" t="s">
        <v>289</v>
      </c>
      <c r="AB315" s="251"/>
      <c r="AC315" s="251"/>
      <c r="AD315" s="251"/>
      <c r="AE315" s="524"/>
      <c r="AF315" s="524"/>
      <c r="AG315" s="524"/>
      <c r="AH315" s="251"/>
      <c r="AI315" s="251"/>
      <c r="AJ315" s="251"/>
      <c r="AK315" s="247">
        <f>AL315+AM315</f>
        <v>0</v>
      </c>
      <c r="AL315" s="221"/>
      <c r="AM315" s="221"/>
      <c r="AN315" s="251"/>
      <c r="AO315" s="251"/>
      <c r="AP315" s="251"/>
      <c r="AQ315" s="524"/>
      <c r="AR315" s="524"/>
      <c r="AS315" s="524"/>
    </row>
    <row r="316" spans="13:45" ht="11.4">
      <c r="M316" s="561" t="s">
        <v>2030</v>
      </c>
      <c r="N316" s="559" t="s">
        <v>1988</v>
      </c>
      <c r="O316" s="420" t="s">
        <v>195</v>
      </c>
      <c r="AB316" s="251"/>
      <c r="AC316" s="251"/>
      <c r="AD316" s="251"/>
      <c r="AE316" s="252"/>
      <c r="AF316" s="524"/>
      <c r="AG316" s="524"/>
      <c r="AH316" s="251"/>
      <c r="AI316" s="251"/>
      <c r="AJ316" s="251"/>
      <c r="AK316" s="247">
        <f>AL316+AM316</f>
        <v>0</v>
      </c>
      <c r="AL316" s="244">
        <f>AL317*AL318/1000</f>
        <v>0</v>
      </c>
      <c r="AM316" s="244">
        <f>AM317*AM318/1000</f>
        <v>0</v>
      </c>
      <c r="AN316" s="251"/>
      <c r="AO316" s="251"/>
      <c r="AP316" s="251"/>
      <c r="AQ316" s="252"/>
      <c r="AR316" s="524"/>
      <c r="AS316" s="524"/>
    </row>
    <row r="317" spans="13:45" ht="11.4">
      <c r="M317" s="562" t="str">
        <f>M316 &amp; ".P"</f>
        <v>TSFNA.P</v>
      </c>
      <c r="N317" s="531" t="s">
        <v>842</v>
      </c>
      <c r="O317" s="420" t="s">
        <v>23</v>
      </c>
      <c r="AB317" s="251"/>
      <c r="AC317" s="251"/>
      <c r="AD317" s="251"/>
      <c r="AE317" s="252"/>
      <c r="AF317" s="524"/>
      <c r="AG317" s="524"/>
      <c r="AH317" s="251"/>
      <c r="AI317" s="251"/>
      <c r="AJ317" s="251"/>
      <c r="AK317" s="247">
        <f>IF(AK318=0,0,AK316*1000/AK318)</f>
        <v>0</v>
      </c>
      <c r="AL317" s="221"/>
      <c r="AM317" s="221"/>
      <c r="AN317" s="251"/>
      <c r="AO317" s="251"/>
      <c r="AP317" s="251"/>
      <c r="AQ317" s="252"/>
      <c r="AR317" s="524"/>
      <c r="AS317" s="524"/>
    </row>
    <row r="318" spans="13:45" ht="11.4">
      <c r="M318" s="562" t="str">
        <f>M316 &amp; ".V"</f>
        <v>TSFNA.V</v>
      </c>
      <c r="N318" s="531" t="s">
        <v>245</v>
      </c>
      <c r="O318" s="420" t="s">
        <v>289</v>
      </c>
      <c r="AB318" s="251"/>
      <c r="AC318" s="251"/>
      <c r="AD318" s="251"/>
      <c r="AE318" s="524"/>
      <c r="AF318" s="524"/>
      <c r="AG318" s="524"/>
      <c r="AH318" s="251"/>
      <c r="AI318" s="251"/>
      <c r="AJ318" s="251"/>
      <c r="AK318" s="247">
        <f>AL318+AM318</f>
        <v>0</v>
      </c>
      <c r="AL318" s="221"/>
      <c r="AM318" s="221"/>
      <c r="AN318" s="251"/>
      <c r="AO318" s="251"/>
      <c r="AP318" s="251"/>
      <c r="AQ318" s="524"/>
      <c r="AR318" s="524"/>
      <c r="AS318" s="524"/>
    </row>
    <row r="319" spans="13:45" ht="11.4">
      <c r="M319" s="639" t="s">
        <v>2331</v>
      </c>
      <c r="N319" s="559" t="s">
        <v>2332</v>
      </c>
      <c r="O319" s="420" t="s">
        <v>195</v>
      </c>
      <c r="AB319" s="251"/>
      <c r="AC319" s="251"/>
      <c r="AD319" s="251"/>
      <c r="AE319" s="252"/>
      <c r="AF319" s="524"/>
      <c r="AG319" s="524"/>
      <c r="AH319" s="251"/>
      <c r="AI319" s="251"/>
      <c r="AJ319" s="251"/>
      <c r="AK319" s="247">
        <f>AL319+AM319</f>
        <v>0</v>
      </c>
      <c r="AL319" s="244">
        <f>AL320*AL321/1000</f>
        <v>0</v>
      </c>
      <c r="AM319" s="244">
        <f>AM320*AM321/1000</f>
        <v>0</v>
      </c>
      <c r="AN319" s="251"/>
      <c r="AO319" s="251"/>
      <c r="AP319" s="251"/>
      <c r="AQ319" s="252"/>
      <c r="AR319" s="524"/>
      <c r="AS319" s="524"/>
    </row>
    <row r="320" spans="13:45" ht="11.4">
      <c r="M320" s="639" t="str">
        <f>M319 &amp; ".P"</f>
        <v>CARBONPWDRD.P</v>
      </c>
      <c r="N320" s="531" t="s">
        <v>842</v>
      </c>
      <c r="O320" s="420" t="s">
        <v>23</v>
      </c>
      <c r="AB320" s="251"/>
      <c r="AC320" s="251"/>
      <c r="AD320" s="251"/>
      <c r="AE320" s="252"/>
      <c r="AF320" s="524"/>
      <c r="AG320" s="524"/>
      <c r="AH320" s="251"/>
      <c r="AI320" s="251"/>
      <c r="AJ320" s="251"/>
      <c r="AK320" s="247">
        <f>IF(AK321=0,0,AK319*1000/AK321)</f>
        <v>0</v>
      </c>
      <c r="AL320" s="221"/>
      <c r="AM320" s="221"/>
      <c r="AN320" s="251"/>
      <c r="AO320" s="251"/>
      <c r="AP320" s="251"/>
      <c r="AQ320" s="252"/>
      <c r="AR320" s="524"/>
      <c r="AS320" s="524"/>
    </row>
    <row r="321" spans="13:45" ht="11.4">
      <c r="M321" s="639" t="str">
        <f>M319 &amp; ".V"</f>
        <v>CARBONPWDRD.V</v>
      </c>
      <c r="N321" s="531" t="s">
        <v>245</v>
      </c>
      <c r="O321" s="420" t="s">
        <v>289</v>
      </c>
      <c r="AB321" s="251"/>
      <c r="AC321" s="251"/>
      <c r="AD321" s="251"/>
      <c r="AE321" s="524"/>
      <c r="AF321" s="524"/>
      <c r="AG321" s="524"/>
      <c r="AH321" s="251"/>
      <c r="AI321" s="251"/>
      <c r="AJ321" s="251"/>
      <c r="AK321" s="247">
        <f>AL321+AM321</f>
        <v>0</v>
      </c>
      <c r="AL321" s="221"/>
      <c r="AM321" s="221"/>
      <c r="AN321" s="251"/>
      <c r="AO321" s="251"/>
      <c r="AP321" s="251"/>
      <c r="AQ321" s="524"/>
      <c r="AR321" s="524"/>
      <c r="AS321" s="524"/>
    </row>
    <row r="322" spans="13:45" ht="11.4">
      <c r="M322" s="561" t="s">
        <v>2021</v>
      </c>
      <c r="N322" s="559" t="s">
        <v>1989</v>
      </c>
      <c r="O322" s="420" t="s">
        <v>195</v>
      </c>
      <c r="AB322" s="251"/>
      <c r="AC322" s="251"/>
      <c r="AD322" s="251"/>
      <c r="AE322" s="252"/>
      <c r="AF322" s="524"/>
      <c r="AG322" s="524"/>
      <c r="AH322" s="251"/>
      <c r="AI322" s="251"/>
      <c r="AJ322" s="251"/>
      <c r="AK322" s="247">
        <f>AL322+AM322</f>
        <v>0</v>
      </c>
      <c r="AL322" s="244">
        <f>AL323*AL324/1000</f>
        <v>0</v>
      </c>
      <c r="AM322" s="244">
        <f>AM323*AM324/1000</f>
        <v>0</v>
      </c>
      <c r="AN322" s="251"/>
      <c r="AO322" s="251"/>
      <c r="AP322" s="251"/>
      <c r="AQ322" s="252"/>
      <c r="AR322" s="524"/>
      <c r="AS322" s="524"/>
    </row>
    <row r="323" spans="13:45" ht="11.4">
      <c r="M323" s="562" t="str">
        <f>M322 &amp; ".P"</f>
        <v>CCL4.P</v>
      </c>
      <c r="N323" s="531" t="s">
        <v>842</v>
      </c>
      <c r="O323" s="420" t="s">
        <v>23</v>
      </c>
      <c r="AB323" s="251"/>
      <c r="AC323" s="251"/>
      <c r="AD323" s="251"/>
      <c r="AE323" s="252"/>
      <c r="AF323" s="524"/>
      <c r="AG323" s="524"/>
      <c r="AH323" s="251"/>
      <c r="AI323" s="251"/>
      <c r="AJ323" s="251"/>
      <c r="AK323" s="247">
        <f>IF(AK324=0,0,AK322*1000/AK324)</f>
        <v>0</v>
      </c>
      <c r="AL323" s="221"/>
      <c r="AM323" s="221"/>
      <c r="AN323" s="251"/>
      <c r="AO323" s="251"/>
      <c r="AP323" s="251"/>
      <c r="AQ323" s="252"/>
      <c r="AR323" s="524"/>
      <c r="AS323" s="524"/>
    </row>
    <row r="324" spans="13:45" ht="11.4">
      <c r="M324" s="562" t="str">
        <f>M322 &amp; ".V"</f>
        <v>CCL4.V</v>
      </c>
      <c r="N324" s="531" t="s">
        <v>245</v>
      </c>
      <c r="O324" s="420" t="s">
        <v>289</v>
      </c>
      <c r="AB324" s="251"/>
      <c r="AC324" s="251"/>
      <c r="AD324" s="251"/>
      <c r="AE324" s="524"/>
      <c r="AF324" s="524"/>
      <c r="AG324" s="524"/>
      <c r="AH324" s="251"/>
      <c r="AI324" s="251"/>
      <c r="AJ324" s="251"/>
      <c r="AK324" s="247">
        <f>AL324+AM324</f>
        <v>0</v>
      </c>
      <c r="AL324" s="221"/>
      <c r="AM324" s="221"/>
      <c r="AN324" s="251"/>
      <c r="AO324" s="251"/>
      <c r="AP324" s="251"/>
      <c r="AQ324" s="524"/>
      <c r="AR324" s="524"/>
      <c r="AS324" s="524"/>
    </row>
    <row r="325" spans="13:45" ht="11.4">
      <c r="M325" s="561" t="s">
        <v>2013</v>
      </c>
      <c r="N325" s="559" t="s">
        <v>1990</v>
      </c>
      <c r="O325" s="420" t="s">
        <v>195</v>
      </c>
      <c r="AB325" s="251"/>
      <c r="AC325" s="251"/>
      <c r="AD325" s="251"/>
      <c r="AE325" s="252"/>
      <c r="AF325" s="524"/>
      <c r="AG325" s="524"/>
      <c r="AH325" s="251"/>
      <c r="AI325" s="251"/>
      <c r="AJ325" s="251"/>
      <c r="AK325" s="247">
        <f>AL325+AM325</f>
        <v>0</v>
      </c>
      <c r="AL325" s="244">
        <f>AL326*AL327/1000</f>
        <v>0</v>
      </c>
      <c r="AM325" s="244">
        <f>AM326*AM327/1000</f>
        <v>0</v>
      </c>
      <c r="AN325" s="251"/>
      <c r="AO325" s="251"/>
      <c r="AP325" s="251"/>
      <c r="AQ325" s="252"/>
      <c r="AR325" s="524"/>
      <c r="AS325" s="524"/>
    </row>
    <row r="326" spans="13:45" ht="11.4">
      <c r="M326" s="562" t="str">
        <f>M325 &amp; ".P"</f>
        <v>FFTLN.P</v>
      </c>
      <c r="N326" s="531" t="s">
        <v>842</v>
      </c>
      <c r="O326" s="420" t="s">
        <v>23</v>
      </c>
      <c r="AB326" s="251"/>
      <c r="AC326" s="251"/>
      <c r="AD326" s="251"/>
      <c r="AE326" s="252"/>
      <c r="AF326" s="524"/>
      <c r="AG326" s="524"/>
      <c r="AH326" s="251"/>
      <c r="AI326" s="251"/>
      <c r="AJ326" s="251"/>
      <c r="AK326" s="247">
        <f>IF(AK327=0,0,AK325*1000/AK327)</f>
        <v>0</v>
      </c>
      <c r="AL326" s="221"/>
      <c r="AM326" s="221"/>
      <c r="AN326" s="251"/>
      <c r="AO326" s="251"/>
      <c r="AP326" s="251"/>
      <c r="AQ326" s="252"/>
      <c r="AR326" s="524"/>
      <c r="AS326" s="524"/>
    </row>
    <row r="327" spans="13:45" ht="11.4">
      <c r="M327" s="562" t="str">
        <f>M325 &amp; ".V"</f>
        <v>FFTLN.V</v>
      </c>
      <c r="N327" s="531" t="s">
        <v>245</v>
      </c>
      <c r="O327" s="420" t="s">
        <v>289</v>
      </c>
      <c r="AB327" s="251"/>
      <c r="AC327" s="251"/>
      <c r="AD327" s="251"/>
      <c r="AE327" s="524"/>
      <c r="AF327" s="524"/>
      <c r="AG327" s="524"/>
      <c r="AH327" s="251"/>
      <c r="AI327" s="251"/>
      <c r="AJ327" s="251"/>
      <c r="AK327" s="247">
        <f>AL327+AM327</f>
        <v>0</v>
      </c>
      <c r="AL327" s="221"/>
      <c r="AM327" s="221"/>
      <c r="AN327" s="251"/>
      <c r="AO327" s="251"/>
      <c r="AP327" s="251"/>
      <c r="AQ327" s="524"/>
      <c r="AR327" s="524"/>
      <c r="AS327" s="524"/>
    </row>
    <row r="328" spans="13:45" ht="11.4">
      <c r="M328" s="561" t="s">
        <v>1068</v>
      </c>
      <c r="N328" s="559" t="s">
        <v>1991</v>
      </c>
      <c r="O328" s="420" t="s">
        <v>195</v>
      </c>
      <c r="AB328" s="251"/>
      <c r="AC328" s="251"/>
      <c r="AD328" s="251"/>
      <c r="AE328" s="252"/>
      <c r="AF328" s="524"/>
      <c r="AG328" s="524"/>
      <c r="AH328" s="251"/>
      <c r="AI328" s="251"/>
      <c r="AJ328" s="251"/>
      <c r="AK328" s="247">
        <f>AL328+AM328</f>
        <v>0</v>
      </c>
      <c r="AL328" s="244">
        <f>AL329*AL330/1000</f>
        <v>0</v>
      </c>
      <c r="AM328" s="244">
        <f>AM329*AM330/1000</f>
        <v>0</v>
      </c>
      <c r="AN328" s="251"/>
      <c r="AO328" s="251"/>
      <c r="AP328" s="251"/>
      <c r="AQ328" s="252"/>
      <c r="AR328" s="524"/>
      <c r="AS328" s="524"/>
    </row>
    <row r="329" spans="13:45" ht="11.4">
      <c r="M329" s="562" t="str">
        <f>M328 &amp; ".P"</f>
        <v>CL.P</v>
      </c>
      <c r="N329" s="531" t="s">
        <v>842</v>
      </c>
      <c r="O329" s="420" t="s">
        <v>23</v>
      </c>
      <c r="AB329" s="251"/>
      <c r="AC329" s="251"/>
      <c r="AD329" s="251"/>
      <c r="AE329" s="252"/>
      <c r="AF329" s="524"/>
      <c r="AG329" s="524"/>
      <c r="AH329" s="251"/>
      <c r="AI329" s="251"/>
      <c r="AJ329" s="251"/>
      <c r="AK329" s="247">
        <f>IF(AK330=0,0,AK328*1000/AK330)</f>
        <v>0</v>
      </c>
      <c r="AL329" s="221"/>
      <c r="AM329" s="221"/>
      <c r="AN329" s="251"/>
      <c r="AO329" s="251"/>
      <c r="AP329" s="251"/>
      <c r="AQ329" s="252"/>
      <c r="AR329" s="524"/>
      <c r="AS329" s="524"/>
    </row>
    <row r="330" spans="13:45" ht="11.4">
      <c r="M330" s="562" t="str">
        <f>M328 &amp; ".V"</f>
        <v>CL.V</v>
      </c>
      <c r="N330" s="531" t="s">
        <v>245</v>
      </c>
      <c r="O330" s="420" t="s">
        <v>289</v>
      </c>
      <c r="AB330" s="251"/>
      <c r="AC330" s="251"/>
      <c r="AD330" s="251"/>
      <c r="AE330" s="524"/>
      <c r="AF330" s="524"/>
      <c r="AG330" s="524"/>
      <c r="AH330" s="251"/>
      <c r="AI330" s="251"/>
      <c r="AJ330" s="251"/>
      <c r="AK330" s="247">
        <f>AL330+AM330</f>
        <v>0</v>
      </c>
      <c r="AL330" s="221"/>
      <c r="AM330" s="221"/>
      <c r="AN330" s="251"/>
      <c r="AO330" s="251"/>
      <c r="AP330" s="251"/>
      <c r="AQ330" s="524"/>
      <c r="AR330" s="524"/>
      <c r="AS330" s="524"/>
    </row>
    <row r="331" spans="13:45" ht="11.4">
      <c r="M331" s="561" t="s">
        <v>2020</v>
      </c>
      <c r="N331" s="559" t="s">
        <v>1992</v>
      </c>
      <c r="O331" s="420" t="s">
        <v>195</v>
      </c>
      <c r="AB331" s="251"/>
      <c r="AC331" s="251"/>
      <c r="AD331" s="251"/>
      <c r="AE331" s="252"/>
      <c r="AF331" s="524"/>
      <c r="AG331" s="524"/>
      <c r="AH331" s="251"/>
      <c r="AI331" s="251"/>
      <c r="AJ331" s="251"/>
      <c r="AK331" s="247">
        <f>AL331+AM331</f>
        <v>0</v>
      </c>
      <c r="AL331" s="244">
        <f>AL332*AL333/1000</f>
        <v>0</v>
      </c>
      <c r="AM331" s="244">
        <f>AM332*AM333/1000</f>
        <v>0</v>
      </c>
      <c r="AN331" s="251"/>
      <c r="AO331" s="251"/>
      <c r="AP331" s="251"/>
      <c r="AQ331" s="252"/>
      <c r="AR331" s="524"/>
      <c r="AS331" s="524"/>
    </row>
    <row r="332" spans="13:45" ht="11.4">
      <c r="M332" s="562" t="str">
        <f>M331 &amp; ".P"</f>
        <v>CLLIQ.P</v>
      </c>
      <c r="N332" s="531" t="s">
        <v>842</v>
      </c>
      <c r="O332" s="420" t="s">
        <v>23</v>
      </c>
      <c r="AB332" s="251"/>
      <c r="AC332" s="251"/>
      <c r="AD332" s="251"/>
      <c r="AE332" s="252"/>
      <c r="AF332" s="524"/>
      <c r="AG332" s="524"/>
      <c r="AH332" s="251"/>
      <c r="AI332" s="251"/>
      <c r="AJ332" s="251"/>
      <c r="AK332" s="247">
        <f>IF(AK333=0,0,AK331*1000/AK333)</f>
        <v>0</v>
      </c>
      <c r="AL332" s="221"/>
      <c r="AM332" s="221"/>
      <c r="AN332" s="251"/>
      <c r="AO332" s="251"/>
      <c r="AP332" s="251"/>
      <c r="AQ332" s="252"/>
      <c r="AR332" s="524"/>
      <c r="AS332" s="524"/>
    </row>
    <row r="333" spans="13:45" ht="11.4">
      <c r="M333" s="562" t="str">
        <f>M331 &amp; ".V"</f>
        <v>CLLIQ.V</v>
      </c>
      <c r="N333" s="531" t="s">
        <v>245</v>
      </c>
      <c r="O333" s="420" t="s">
        <v>289</v>
      </c>
      <c r="AB333" s="251"/>
      <c r="AC333" s="251"/>
      <c r="AD333" s="251"/>
      <c r="AE333" s="524"/>
      <c r="AF333" s="524"/>
      <c r="AG333" s="524"/>
      <c r="AH333" s="251"/>
      <c r="AI333" s="251"/>
      <c r="AJ333" s="251"/>
      <c r="AK333" s="247">
        <f>AL333+AM333</f>
        <v>0</v>
      </c>
      <c r="AL333" s="221"/>
      <c r="AM333" s="221"/>
      <c r="AN333" s="251"/>
      <c r="AO333" s="251"/>
      <c r="AP333" s="251"/>
      <c r="AQ333" s="524"/>
      <c r="AR333" s="524"/>
      <c r="AS333" s="524"/>
    </row>
    <row r="334" spans="13:45" ht="11.4">
      <c r="M334" s="561" t="s">
        <v>2012</v>
      </c>
      <c r="N334" s="559" t="s">
        <v>1993</v>
      </c>
      <c r="O334" s="420" t="s">
        <v>195</v>
      </c>
      <c r="AB334" s="251"/>
      <c r="AC334" s="251"/>
      <c r="AD334" s="251"/>
      <c r="AE334" s="252"/>
      <c r="AF334" s="524"/>
      <c r="AG334" s="524"/>
      <c r="AH334" s="251"/>
      <c r="AI334" s="251"/>
      <c r="AJ334" s="251"/>
      <c r="AK334" s="247">
        <f>AL334+AM334</f>
        <v>0</v>
      </c>
      <c r="AL334" s="244">
        <f>AL335*AL336/1000</f>
        <v>0</v>
      </c>
      <c r="AM334" s="244">
        <f>AM335*AM336/1000</f>
        <v>0</v>
      </c>
      <c r="AN334" s="251"/>
      <c r="AO334" s="251"/>
      <c r="AP334" s="251"/>
      <c r="AQ334" s="252"/>
      <c r="AR334" s="524"/>
      <c r="AS334" s="524"/>
    </row>
    <row r="335" spans="13:45" ht="11.4">
      <c r="M335" s="562" t="str">
        <f>M334 &amp; ".P"</f>
        <v>CLAMN.P</v>
      </c>
      <c r="N335" s="531" t="s">
        <v>842</v>
      </c>
      <c r="O335" s="420" t="s">
        <v>23</v>
      </c>
      <c r="AB335" s="251"/>
      <c r="AC335" s="251"/>
      <c r="AD335" s="251"/>
      <c r="AE335" s="252"/>
      <c r="AF335" s="524"/>
      <c r="AG335" s="524"/>
      <c r="AH335" s="251"/>
      <c r="AI335" s="251"/>
      <c r="AJ335" s="251"/>
      <c r="AK335" s="247">
        <f>IF(AK336=0,0,AK334*1000/AK336)</f>
        <v>0</v>
      </c>
      <c r="AL335" s="221"/>
      <c r="AM335" s="221"/>
      <c r="AN335" s="251"/>
      <c r="AO335" s="251"/>
      <c r="AP335" s="251"/>
      <c r="AQ335" s="252"/>
      <c r="AR335" s="524"/>
      <c r="AS335" s="524"/>
    </row>
    <row r="336" spans="13:45" ht="11.4">
      <c r="M336" s="562" t="str">
        <f>M334 &amp; ".V"</f>
        <v>CLAMN.V</v>
      </c>
      <c r="N336" s="531" t="s">
        <v>245</v>
      </c>
      <c r="O336" s="420" t="s">
        <v>289</v>
      </c>
      <c r="AB336" s="251"/>
      <c r="AC336" s="251"/>
      <c r="AD336" s="251"/>
      <c r="AE336" s="524"/>
      <c r="AF336" s="524"/>
      <c r="AG336" s="524"/>
      <c r="AH336" s="251"/>
      <c r="AI336" s="251"/>
      <c r="AJ336" s="251"/>
      <c r="AK336" s="247">
        <f>AL336+AM336</f>
        <v>0</v>
      </c>
      <c r="AL336" s="221"/>
      <c r="AM336" s="221"/>
      <c r="AN336" s="251"/>
      <c r="AO336" s="251"/>
      <c r="AP336" s="251"/>
      <c r="AQ336" s="524"/>
      <c r="AR336" s="524"/>
      <c r="AS336" s="524"/>
    </row>
    <row r="337" spans="13:45" ht="11.4">
      <c r="M337" s="561" t="s">
        <v>2028</v>
      </c>
      <c r="N337" s="559" t="s">
        <v>1994</v>
      </c>
      <c r="O337" s="420" t="s">
        <v>195</v>
      </c>
      <c r="AB337" s="251"/>
      <c r="AC337" s="251"/>
      <c r="AD337" s="251"/>
      <c r="AE337" s="252"/>
      <c r="AF337" s="524"/>
      <c r="AG337" s="524"/>
      <c r="AH337" s="251"/>
      <c r="AI337" s="251"/>
      <c r="AJ337" s="251"/>
      <c r="AK337" s="247">
        <f>AL337+AM337</f>
        <v>0</v>
      </c>
      <c r="AL337" s="244">
        <f>AL338*AL339/1000</f>
        <v>0</v>
      </c>
      <c r="AM337" s="244">
        <f>AM338*AM339/1000</f>
        <v>0</v>
      </c>
      <c r="AN337" s="251"/>
      <c r="AO337" s="251"/>
      <c r="AP337" s="251"/>
      <c r="AQ337" s="252"/>
      <c r="AR337" s="524"/>
      <c r="AS337" s="524"/>
    </row>
    <row r="338" spans="13:45" ht="11.4">
      <c r="M338" s="562" t="str">
        <f>M337 &amp; ".P"</f>
        <v>CLFRM.P</v>
      </c>
      <c r="N338" s="531" t="s">
        <v>842</v>
      </c>
      <c r="O338" s="420" t="s">
        <v>23</v>
      </c>
      <c r="AB338" s="251"/>
      <c r="AC338" s="251"/>
      <c r="AD338" s="251"/>
      <c r="AE338" s="252"/>
      <c r="AF338" s="524"/>
      <c r="AG338" s="524"/>
      <c r="AH338" s="251"/>
      <c r="AI338" s="251"/>
      <c r="AJ338" s="251"/>
      <c r="AK338" s="247">
        <f>IF(AK339=0,0,AK337*1000/AK339)</f>
        <v>0</v>
      </c>
      <c r="AL338" s="221"/>
      <c r="AM338" s="221"/>
      <c r="AN338" s="251"/>
      <c r="AO338" s="251"/>
      <c r="AP338" s="251"/>
      <c r="AQ338" s="252"/>
      <c r="AR338" s="524"/>
      <c r="AS338" s="524"/>
    </row>
    <row r="339" spans="13:45" ht="11.4">
      <c r="M339" s="562" t="str">
        <f>M337 &amp; ".V"</f>
        <v>CLFRM.V</v>
      </c>
      <c r="N339" s="531" t="s">
        <v>245</v>
      </c>
      <c r="O339" s="420" t="s">
        <v>289</v>
      </c>
      <c r="AB339" s="251"/>
      <c r="AC339" s="251"/>
      <c r="AD339" s="251"/>
      <c r="AE339" s="524"/>
      <c r="AF339" s="524"/>
      <c r="AG339" s="524"/>
      <c r="AH339" s="251"/>
      <c r="AI339" s="251"/>
      <c r="AJ339" s="251"/>
      <c r="AK339" s="247">
        <f>AL339+AM339</f>
        <v>0</v>
      </c>
      <c r="AL339" s="221"/>
      <c r="AM339" s="221"/>
      <c r="AN339" s="251"/>
      <c r="AO339" s="251"/>
      <c r="AP339" s="251"/>
      <c r="AQ339" s="524"/>
      <c r="AR339" s="524"/>
      <c r="AS339" s="524"/>
    </row>
    <row r="340" spans="13:45" ht="11.4">
      <c r="M340" s="561" t="s">
        <v>2029</v>
      </c>
      <c r="N340" s="559" t="s">
        <v>1995</v>
      </c>
      <c r="O340" s="420" t="s">
        <v>195</v>
      </c>
      <c r="AB340" s="251"/>
      <c r="AC340" s="251"/>
      <c r="AD340" s="251"/>
      <c r="AE340" s="252"/>
      <c r="AF340" s="524"/>
      <c r="AG340" s="524"/>
      <c r="AH340" s="251"/>
      <c r="AI340" s="251"/>
      <c r="AJ340" s="251"/>
      <c r="AK340" s="247">
        <f>AL340+AM340</f>
        <v>0</v>
      </c>
      <c r="AL340" s="244">
        <f>AL341*AL342/1000</f>
        <v>0</v>
      </c>
      <c r="AM340" s="244">
        <f>AM341*AM342/1000</f>
        <v>0</v>
      </c>
      <c r="AN340" s="251"/>
      <c r="AO340" s="251"/>
      <c r="AP340" s="251"/>
      <c r="AQ340" s="252"/>
      <c r="AR340" s="524"/>
      <c r="AS340" s="524"/>
    </row>
    <row r="341" spans="13:45" ht="11.4">
      <c r="M341" s="562" t="str">
        <f>M340 &amp; ".P"</f>
        <v>ETHL.P</v>
      </c>
      <c r="N341" s="531" t="s">
        <v>842</v>
      </c>
      <c r="O341" s="420" t="s">
        <v>23</v>
      </c>
      <c r="AB341" s="251"/>
      <c r="AC341" s="251"/>
      <c r="AD341" s="251"/>
      <c r="AE341" s="252"/>
      <c r="AF341" s="524"/>
      <c r="AG341" s="524"/>
      <c r="AH341" s="251"/>
      <c r="AI341" s="251"/>
      <c r="AJ341" s="251"/>
      <c r="AK341" s="247">
        <f>IF(AK342=0,0,AK340*1000/AK342)</f>
        <v>0</v>
      </c>
      <c r="AL341" s="221"/>
      <c r="AM341" s="221"/>
      <c r="AN341" s="251"/>
      <c r="AO341" s="251"/>
      <c r="AP341" s="251"/>
      <c r="AQ341" s="252"/>
      <c r="AR341" s="524"/>
      <c r="AS341" s="524"/>
    </row>
    <row r="342" spans="13:45" ht="11.4">
      <c r="M342" s="562" t="str">
        <f>M340 &amp; ".V"</f>
        <v>ETHL.V</v>
      </c>
      <c r="N342" s="531" t="s">
        <v>245</v>
      </c>
      <c r="O342" s="420" t="s">
        <v>289</v>
      </c>
      <c r="AB342" s="251"/>
      <c r="AC342" s="251"/>
      <c r="AD342" s="251"/>
      <c r="AE342" s="524"/>
      <c r="AF342" s="524"/>
      <c r="AG342" s="524"/>
      <c r="AH342" s="251"/>
      <c r="AI342" s="251"/>
      <c r="AJ342" s="251"/>
      <c r="AK342" s="247">
        <f>AL342+AM342</f>
        <v>0</v>
      </c>
      <c r="AL342" s="221"/>
      <c r="AM342" s="221"/>
      <c r="AN342" s="251"/>
      <c r="AO342" s="251"/>
      <c r="AP342" s="251"/>
      <c r="AQ342" s="524"/>
      <c r="AR342" s="524"/>
      <c r="AS342" s="524"/>
    </row>
    <row r="343" spans="13:45" ht="11.4">
      <c r="M343" s="564" t="s">
        <v>1356</v>
      </c>
      <c r="N343" s="565" t="s">
        <v>307</v>
      </c>
      <c r="O343" s="418" t="s">
        <v>195</v>
      </c>
      <c r="AB343" s="251"/>
      <c r="AC343" s="251"/>
      <c r="AD343" s="251"/>
      <c r="AE343" s="252"/>
      <c r="AF343" s="524"/>
      <c r="AG343" s="524"/>
      <c r="AH343" s="251"/>
      <c r="AI343" s="251"/>
      <c r="AJ343" s="251"/>
      <c r="AK343" s="247">
        <f>AL343+AM343</f>
        <v>0</v>
      </c>
      <c r="AL343" s="221"/>
      <c r="AM343" s="221"/>
      <c r="AN343" s="251"/>
      <c r="AO343" s="251"/>
      <c r="AP343" s="251"/>
      <c r="AQ343" s="252"/>
      <c r="AR343" s="524"/>
      <c r="AS343" s="524"/>
    </row>
    <row r="344" spans="13:45" ht="11.4">
      <c r="M344" s="560"/>
      <c r="N344" s="533"/>
      <c r="O344" s="166"/>
      <c r="AB344" s="251"/>
      <c r="AC344" s="251"/>
      <c r="AD344" s="251"/>
      <c r="AE344" s="266"/>
      <c r="AF344" s="266"/>
      <c r="AG344" s="266"/>
      <c r="AH344" s="251"/>
      <c r="AI344" s="251"/>
      <c r="AJ344" s="251"/>
      <c r="AK344" s="266"/>
      <c r="AL344" s="266"/>
      <c r="AM344" s="266"/>
      <c r="AN344" s="251"/>
      <c r="AO344" s="251"/>
      <c r="AP344" s="251"/>
      <c r="AQ344" s="266"/>
      <c r="AR344" s="266"/>
      <c r="AS344" s="266"/>
    </row>
    <row r="345" spans="13:45" ht="11.4">
      <c r="M345" s="560"/>
      <c r="N345" s="533"/>
      <c r="O345" s="166"/>
      <c r="AB345" s="251"/>
      <c r="AC345" s="251"/>
      <c r="AD345" s="251"/>
      <c r="AE345" s="261"/>
      <c r="AF345" s="261"/>
      <c r="AG345" s="261"/>
      <c r="AH345" s="251"/>
      <c r="AI345" s="251"/>
      <c r="AJ345" s="251"/>
      <c r="AK345" s="261"/>
      <c r="AL345" s="261"/>
      <c r="AM345" s="261"/>
      <c r="AN345" s="251"/>
      <c r="AO345" s="251"/>
      <c r="AP345" s="251"/>
      <c r="AQ345" s="261"/>
      <c r="AR345" s="261"/>
      <c r="AS345" s="261"/>
    </row>
    <row r="346" spans="13:45" ht="11.4">
      <c r="M346" s="561" t="s">
        <v>1356</v>
      </c>
      <c r="N346" s="567" t="s">
        <v>169</v>
      </c>
      <c r="O346" s="163" t="s">
        <v>195</v>
      </c>
      <c r="AB346" s="251"/>
      <c r="AC346" s="251"/>
      <c r="AD346" s="251"/>
      <c r="AE346" s="252"/>
      <c r="AF346" s="524"/>
      <c r="AG346" s="524"/>
      <c r="AH346" s="251"/>
      <c r="AI346" s="251"/>
      <c r="AJ346" s="251"/>
      <c r="AK346" s="247">
        <f>AL346+AM346</f>
        <v>0</v>
      </c>
      <c r="AL346" s="221"/>
      <c r="AM346" s="221"/>
      <c r="AN346" s="251"/>
      <c r="AO346" s="251"/>
      <c r="AP346" s="251"/>
      <c r="AQ346" s="252"/>
      <c r="AR346" s="524"/>
      <c r="AS346" s="524"/>
    </row>
    <row r="347" spans="13:45" ht="11.4">
      <c r="M347" s="560"/>
      <c r="N347" s="533"/>
      <c r="O347" s="166"/>
      <c r="AB347" s="251"/>
      <c r="AC347" s="251"/>
      <c r="AD347" s="251"/>
      <c r="AE347" s="266"/>
      <c r="AF347" s="266"/>
      <c r="AG347" s="266"/>
      <c r="AH347" s="251"/>
      <c r="AI347" s="251"/>
      <c r="AJ347" s="251"/>
      <c r="AK347" s="266"/>
      <c r="AL347" s="266"/>
      <c r="AM347" s="266"/>
      <c r="AN347" s="251"/>
      <c r="AO347" s="251"/>
      <c r="AP347" s="251"/>
      <c r="AQ347" s="266"/>
      <c r="AR347" s="266"/>
      <c r="AS347" s="266"/>
    </row>
    <row r="348" spans="13:45" ht="11.4">
      <c r="M348" s="566" t="s">
        <v>607</v>
      </c>
      <c r="N348" s="501" t="s">
        <v>1712</v>
      </c>
      <c r="O348" s="163" t="s">
        <v>1026</v>
      </c>
      <c r="AB348" s="251"/>
      <c r="AC348" s="251"/>
      <c r="AD348" s="251"/>
      <c r="AE348" s="252">
        <f>SUMIF(ВО.РО!$AS$15:$AT$15,AE$15,ВО.РО!$AS$240:$AT$240)</f>
        <v>0</v>
      </c>
      <c r="AF348" s="252">
        <f>SUMIF(ВО.РО!$AS$15:$AT$15,AF$15,ВО.РО!$AS$240:$AT$240)</f>
        <v>0</v>
      </c>
      <c r="AG348" s="252">
        <f>SUMIF(ВО.РО!$AS$15:$AT$15,AG$15,ВО.РО!$AS$240:$AT$240)</f>
        <v>0</v>
      </c>
      <c r="AH348" s="251"/>
      <c r="AI348" s="251"/>
      <c r="AJ348" s="251"/>
      <c r="AK348" s="252"/>
      <c r="AL348" s="252"/>
      <c r="AM348" s="252"/>
      <c r="AN348" s="251"/>
      <c r="AO348" s="251"/>
      <c r="AP348" s="251"/>
      <c r="AQ348" s="252"/>
      <c r="AR348" s="252"/>
      <c r="AS348" s="252"/>
    </row>
    <row r="349" spans="13:45" ht="11.4">
      <c r="M349" s="560"/>
      <c r="N349" s="533"/>
      <c r="O349" s="166"/>
      <c r="AB349" s="251"/>
      <c r="AC349" s="251"/>
      <c r="AD349" s="251"/>
      <c r="AE349" s="261"/>
      <c r="AF349" s="261"/>
      <c r="AG349" s="261"/>
      <c r="AH349" s="251"/>
      <c r="AI349" s="251"/>
      <c r="AJ349" s="251"/>
      <c r="AK349" s="261"/>
      <c r="AL349" s="261"/>
      <c r="AM349" s="261"/>
      <c r="AN349" s="251"/>
      <c r="AO349" s="251"/>
      <c r="AP349" s="251"/>
      <c r="AQ349" s="261"/>
      <c r="AR349" s="261"/>
      <c r="AS349" s="261"/>
    </row>
    <row r="350" spans="13:45" ht="11.4">
      <c r="M350" s="45"/>
      <c r="N350" s="45"/>
      <c r="O350" s="45"/>
    </row>
  </sheetData>
  <sheetProtection formatColumns="0" formatRows="0"/>
  <mergeCells count="18">
    <mergeCell ref="AB2:AD2"/>
    <mergeCell ref="AB14:AD14"/>
    <mergeCell ref="AB18:AD18"/>
    <mergeCell ref="M19:M20"/>
    <mergeCell ref="N19:N20"/>
    <mergeCell ref="O19:O20"/>
    <mergeCell ref="AB19:AD19"/>
    <mergeCell ref="AB22:AD22"/>
    <mergeCell ref="AK14:AM14"/>
    <mergeCell ref="AK15:AM15"/>
    <mergeCell ref="AK16:AM16"/>
    <mergeCell ref="AK17:AM17"/>
    <mergeCell ref="AK18:AM18"/>
    <mergeCell ref="AK19:AM19"/>
    <mergeCell ref="AK20:AM20"/>
    <mergeCell ref="AK21:AM21"/>
    <mergeCell ref="AB20:AD20"/>
    <mergeCell ref="AB21:AD21"/>
  </mergeCell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ORG">
    <tabColor indexed="47"/>
  </sheetPr>
  <dimension ref="A1:EG310"/>
  <sheetViews>
    <sheetView showGridLines="0" zoomScaleNormal="100" workbookViewId="0"/>
  </sheetViews>
  <sheetFormatPr defaultColWidth="9.125" defaultRowHeight="11.4"/>
  <cols>
    <col min="1" max="16384" width="9.125" style="16"/>
  </cols>
  <sheetData>
    <row r="1" spans="1:137">
      <c r="A1" s="16" t="s">
        <v>2158</v>
      </c>
      <c r="B1" s="16" t="s">
        <v>13062</v>
      </c>
      <c r="C1" s="16" t="s">
        <v>3187</v>
      </c>
      <c r="D1" s="16" t="s">
        <v>13063</v>
      </c>
      <c r="E1" s="16" t="s">
        <v>2466</v>
      </c>
      <c r="F1" s="16" t="s">
        <v>106</v>
      </c>
      <c r="G1" s="16" t="s">
        <v>292</v>
      </c>
      <c r="H1" s="16" t="s">
        <v>2362</v>
      </c>
      <c r="I1" s="16" t="s">
        <v>124</v>
      </c>
      <c r="J1" s="16" t="s">
        <v>125</v>
      </c>
      <c r="K1" s="16" t="s">
        <v>13064</v>
      </c>
      <c r="L1" s="16" t="s">
        <v>13065</v>
      </c>
      <c r="M1" s="16" t="s">
        <v>13066</v>
      </c>
      <c r="N1" s="16" t="s">
        <v>1097</v>
      </c>
      <c r="O1" s="16" t="s">
        <v>1098</v>
      </c>
      <c r="P1" s="16" t="s">
        <v>1099</v>
      </c>
      <c r="Q1" s="16" t="s">
        <v>1100</v>
      </c>
      <c r="U1" s="16" t="s">
        <v>2158</v>
      </c>
      <c r="V1" s="16" t="s">
        <v>13062</v>
      </c>
      <c r="W1" s="16" t="s">
        <v>3187</v>
      </c>
      <c r="X1" s="16" t="s">
        <v>13063</v>
      </c>
      <c r="Y1" s="16" t="s">
        <v>2466</v>
      </c>
      <c r="Z1" s="16" t="s">
        <v>106</v>
      </c>
      <c r="AA1" s="16" t="s">
        <v>292</v>
      </c>
      <c r="AB1" s="16" t="s">
        <v>2362</v>
      </c>
      <c r="AC1" s="16" t="s">
        <v>124</v>
      </c>
      <c r="AD1" s="16" t="s">
        <v>125</v>
      </c>
      <c r="AE1" s="16" t="s">
        <v>13064</v>
      </c>
      <c r="AF1" s="16" t="s">
        <v>13065</v>
      </c>
      <c r="AG1" s="16" t="s">
        <v>13066</v>
      </c>
      <c r="AH1" s="16" t="s">
        <v>1097</v>
      </c>
      <c r="AI1" s="16" t="s">
        <v>1098</v>
      </c>
      <c r="AJ1" s="16" t="s">
        <v>1099</v>
      </c>
      <c r="AK1" s="16" t="s">
        <v>1100</v>
      </c>
      <c r="AO1" s="16" t="s">
        <v>2158</v>
      </c>
      <c r="AP1" s="16" t="s">
        <v>13062</v>
      </c>
      <c r="AQ1" s="16" t="s">
        <v>3187</v>
      </c>
      <c r="AR1" s="16" t="s">
        <v>13063</v>
      </c>
      <c r="AS1" s="16" t="s">
        <v>2466</v>
      </c>
      <c r="AT1" s="16" t="s">
        <v>106</v>
      </c>
      <c r="AU1" s="16" t="s">
        <v>292</v>
      </c>
      <c r="AV1" s="16" t="s">
        <v>2362</v>
      </c>
      <c r="AW1" s="16" t="s">
        <v>124</v>
      </c>
      <c r="AX1" s="16" t="s">
        <v>125</v>
      </c>
      <c r="AY1" s="16" t="s">
        <v>13064</v>
      </c>
      <c r="AZ1" s="16" t="s">
        <v>13065</v>
      </c>
      <c r="BA1" s="16" t="s">
        <v>13066</v>
      </c>
      <c r="BB1" s="16" t="s">
        <v>1097</v>
      </c>
      <c r="BC1" s="16" t="s">
        <v>1098</v>
      </c>
      <c r="BD1" s="16" t="s">
        <v>1099</v>
      </c>
      <c r="BE1" s="16" t="s">
        <v>1100</v>
      </c>
      <c r="BI1" s="16" t="s">
        <v>2158</v>
      </c>
      <c r="BJ1" s="16" t="s">
        <v>13062</v>
      </c>
      <c r="BK1" s="16" t="s">
        <v>3187</v>
      </c>
      <c r="BL1" s="16" t="s">
        <v>13063</v>
      </c>
      <c r="BM1" s="16" t="s">
        <v>2466</v>
      </c>
      <c r="BN1" s="16" t="s">
        <v>106</v>
      </c>
      <c r="BO1" s="16" t="s">
        <v>292</v>
      </c>
      <c r="BP1" s="16" t="s">
        <v>2362</v>
      </c>
      <c r="BQ1" s="16" t="s">
        <v>124</v>
      </c>
      <c r="BR1" s="16" t="s">
        <v>125</v>
      </c>
      <c r="BS1" s="16" t="s">
        <v>13064</v>
      </c>
      <c r="BT1" s="16" t="s">
        <v>13065</v>
      </c>
      <c r="BU1" s="16" t="s">
        <v>13066</v>
      </c>
      <c r="BV1" s="16" t="s">
        <v>1097</v>
      </c>
      <c r="BW1" s="16" t="s">
        <v>1098</v>
      </c>
      <c r="BX1" s="16" t="s">
        <v>1099</v>
      </c>
      <c r="BY1" s="16" t="s">
        <v>1100</v>
      </c>
      <c r="CC1" s="16" t="s">
        <v>2158</v>
      </c>
      <c r="CD1" s="16" t="s">
        <v>13062</v>
      </c>
      <c r="CE1" s="16" t="s">
        <v>3187</v>
      </c>
      <c r="CF1" s="16" t="s">
        <v>13063</v>
      </c>
      <c r="CG1" s="16" t="s">
        <v>2466</v>
      </c>
      <c r="CH1" s="16" t="s">
        <v>106</v>
      </c>
      <c r="CI1" s="16" t="s">
        <v>292</v>
      </c>
      <c r="CJ1" s="16" t="s">
        <v>2362</v>
      </c>
      <c r="CK1" s="16" t="s">
        <v>124</v>
      </c>
      <c r="CL1" s="16" t="s">
        <v>125</v>
      </c>
      <c r="CM1" s="16" t="s">
        <v>13064</v>
      </c>
      <c r="CN1" s="16" t="s">
        <v>13065</v>
      </c>
      <c r="CO1" s="16" t="s">
        <v>13066</v>
      </c>
      <c r="CP1" s="16" t="s">
        <v>1097</v>
      </c>
      <c r="CQ1" s="16" t="s">
        <v>1098</v>
      </c>
      <c r="CR1" s="16" t="s">
        <v>1099</v>
      </c>
      <c r="CS1" s="16" t="s">
        <v>1100</v>
      </c>
      <c r="CW1" s="16" t="s">
        <v>2158</v>
      </c>
      <c r="CX1" s="16" t="s">
        <v>13062</v>
      </c>
      <c r="CY1" s="16" t="s">
        <v>3187</v>
      </c>
      <c r="CZ1" s="16" t="s">
        <v>13063</v>
      </c>
      <c r="DA1" s="16" t="s">
        <v>2466</v>
      </c>
      <c r="DB1" s="16" t="s">
        <v>106</v>
      </c>
      <c r="DC1" s="16" t="s">
        <v>292</v>
      </c>
      <c r="DD1" s="16" t="s">
        <v>2362</v>
      </c>
      <c r="DE1" s="16" t="s">
        <v>124</v>
      </c>
      <c r="DF1" s="16" t="s">
        <v>125</v>
      </c>
      <c r="DG1" s="16" t="s">
        <v>13064</v>
      </c>
      <c r="DH1" s="16" t="s">
        <v>13065</v>
      </c>
      <c r="DI1" s="16" t="s">
        <v>13066</v>
      </c>
      <c r="DJ1" s="16" t="s">
        <v>1097</v>
      </c>
      <c r="DK1" s="16" t="s">
        <v>1098</v>
      </c>
      <c r="DL1" s="16" t="s">
        <v>1099</v>
      </c>
      <c r="DM1" s="16" t="s">
        <v>1100</v>
      </c>
      <c r="DQ1" s="16" t="s">
        <v>2158</v>
      </c>
      <c r="DR1" s="16" t="s">
        <v>13062</v>
      </c>
      <c r="DS1" s="16" t="s">
        <v>3187</v>
      </c>
      <c r="DT1" s="16" t="s">
        <v>13063</v>
      </c>
      <c r="DU1" s="16" t="s">
        <v>2466</v>
      </c>
      <c r="DV1" s="16" t="s">
        <v>106</v>
      </c>
      <c r="DW1" s="16" t="s">
        <v>292</v>
      </c>
      <c r="DX1" s="16" t="s">
        <v>2362</v>
      </c>
      <c r="DY1" s="16" t="s">
        <v>124</v>
      </c>
      <c r="DZ1" s="16" t="s">
        <v>125</v>
      </c>
      <c r="EA1" s="16" t="s">
        <v>13064</v>
      </c>
      <c r="EB1" s="16" t="s">
        <v>13065</v>
      </c>
      <c r="EC1" s="16" t="s">
        <v>13066</v>
      </c>
      <c r="ED1" s="16" t="s">
        <v>1097</v>
      </c>
      <c r="EE1" s="16" t="s">
        <v>1098</v>
      </c>
      <c r="EF1" s="16" t="s">
        <v>1099</v>
      </c>
      <c r="EG1" s="16" t="s">
        <v>1100</v>
      </c>
    </row>
    <row r="2" spans="1:137">
      <c r="BI2" s="16">
        <v>1</v>
      </c>
      <c r="BJ2" s="16" t="s">
        <v>73</v>
      </c>
      <c r="BO2" s="16" t="s">
        <v>12120</v>
      </c>
      <c r="BP2" s="16" t="s">
        <v>12121</v>
      </c>
      <c r="BQ2" s="16" t="s">
        <v>12122</v>
      </c>
      <c r="BR2" s="16" t="s">
        <v>12123</v>
      </c>
      <c r="BS2" s="16" t="s">
        <v>12124</v>
      </c>
      <c r="BT2" s="16" t="s">
        <v>12125</v>
      </c>
      <c r="BU2" s="16" t="s">
        <v>12126</v>
      </c>
      <c r="BV2" s="16" t="s">
        <v>12127</v>
      </c>
    </row>
    <row r="3" spans="1:137">
      <c r="BI3" s="16">
        <v>2</v>
      </c>
      <c r="BJ3" s="16" t="s">
        <v>73</v>
      </c>
      <c r="BO3" s="16" t="s">
        <v>12120</v>
      </c>
      <c r="BP3" s="16" t="s">
        <v>12121</v>
      </c>
      <c r="BQ3" s="16" t="s">
        <v>12122</v>
      </c>
      <c r="BR3" s="16" t="s">
        <v>12123</v>
      </c>
      <c r="BS3" s="16" t="s">
        <v>12124</v>
      </c>
      <c r="BT3" s="16" t="s">
        <v>12125</v>
      </c>
      <c r="BU3" s="16" t="s">
        <v>12126</v>
      </c>
      <c r="BV3" s="16" t="s">
        <v>12127</v>
      </c>
    </row>
    <row r="4" spans="1:137">
      <c r="BI4" s="16">
        <v>3</v>
      </c>
      <c r="BJ4" s="16" t="s">
        <v>73</v>
      </c>
      <c r="BO4" s="16" t="s">
        <v>12128</v>
      </c>
      <c r="BP4" s="16" t="s">
        <v>12129</v>
      </c>
      <c r="BQ4" s="16" t="s">
        <v>12130</v>
      </c>
      <c r="BR4" s="16" t="s">
        <v>12131</v>
      </c>
      <c r="BS4" s="16" t="s">
        <v>12124</v>
      </c>
      <c r="BT4" s="16" t="s">
        <v>12125</v>
      </c>
      <c r="BU4" s="16" t="s">
        <v>12126</v>
      </c>
    </row>
    <row r="5" spans="1:137">
      <c r="BI5" s="16">
        <v>4</v>
      </c>
      <c r="BJ5" s="16" t="s">
        <v>73</v>
      </c>
      <c r="BO5" s="16" t="s">
        <v>12132</v>
      </c>
      <c r="BP5" s="16" t="s">
        <v>12133</v>
      </c>
      <c r="BQ5" s="16" t="s">
        <v>12134</v>
      </c>
      <c r="BR5" s="16" t="s">
        <v>12135</v>
      </c>
      <c r="BS5" s="16" t="s">
        <v>12124</v>
      </c>
      <c r="BT5" s="16" t="s">
        <v>12125</v>
      </c>
      <c r="BU5" s="16" t="s">
        <v>12126</v>
      </c>
    </row>
    <row r="6" spans="1:137">
      <c r="BI6" s="16">
        <v>5</v>
      </c>
      <c r="BJ6" s="16" t="s">
        <v>73</v>
      </c>
      <c r="BO6" s="16" t="s">
        <v>12136</v>
      </c>
      <c r="BP6" s="16" t="s">
        <v>12137</v>
      </c>
      <c r="BQ6" s="16" t="s">
        <v>12138</v>
      </c>
      <c r="BR6" s="16" t="s">
        <v>12139</v>
      </c>
      <c r="BS6" s="16" t="s">
        <v>12124</v>
      </c>
      <c r="BT6" s="16" t="s">
        <v>12125</v>
      </c>
      <c r="BU6" s="16" t="s">
        <v>12126</v>
      </c>
      <c r="BV6" s="16" t="s">
        <v>12140</v>
      </c>
    </row>
    <row r="7" spans="1:137">
      <c r="BI7" s="16">
        <v>6</v>
      </c>
      <c r="BJ7" s="16" t="s">
        <v>73</v>
      </c>
      <c r="BO7" s="16" t="s">
        <v>12136</v>
      </c>
      <c r="BP7" s="16" t="s">
        <v>12137</v>
      </c>
      <c r="BQ7" s="16" t="s">
        <v>12138</v>
      </c>
      <c r="BR7" s="16" t="s">
        <v>12139</v>
      </c>
      <c r="BS7" s="16" t="s">
        <v>12124</v>
      </c>
      <c r="BT7" s="16" t="s">
        <v>12125</v>
      </c>
      <c r="BU7" s="16" t="s">
        <v>12126</v>
      </c>
      <c r="BV7" s="16" t="s">
        <v>12140</v>
      </c>
    </row>
    <row r="8" spans="1:137">
      <c r="BI8" s="16">
        <v>7</v>
      </c>
      <c r="BJ8" s="16" t="s">
        <v>73</v>
      </c>
      <c r="BO8" s="16" t="s">
        <v>12141</v>
      </c>
      <c r="BP8" s="16" t="s">
        <v>12142</v>
      </c>
      <c r="BQ8" s="16" t="s">
        <v>12143</v>
      </c>
      <c r="BR8" s="16" t="s">
        <v>12144</v>
      </c>
      <c r="BS8" s="16" t="s">
        <v>12124</v>
      </c>
      <c r="BT8" s="16" t="s">
        <v>12125</v>
      </c>
      <c r="BU8" s="16" t="s">
        <v>12126</v>
      </c>
    </row>
    <row r="9" spans="1:137">
      <c r="BI9" s="16">
        <v>8</v>
      </c>
      <c r="BJ9" s="16" t="s">
        <v>73</v>
      </c>
      <c r="BO9" s="16" t="s">
        <v>12145</v>
      </c>
      <c r="BP9" s="16" t="s">
        <v>12146</v>
      </c>
      <c r="BQ9" s="16" t="s">
        <v>12147</v>
      </c>
      <c r="BR9" s="16" t="s">
        <v>12148</v>
      </c>
      <c r="BS9" s="16" t="s">
        <v>12149</v>
      </c>
      <c r="BT9" s="16" t="s">
        <v>12150</v>
      </c>
      <c r="BU9" s="16" t="s">
        <v>12151</v>
      </c>
    </row>
    <row r="10" spans="1:137">
      <c r="BI10" s="16">
        <v>9</v>
      </c>
      <c r="BJ10" s="16" t="s">
        <v>73</v>
      </c>
      <c r="BO10" s="16" t="s">
        <v>12145</v>
      </c>
      <c r="BP10" s="16" t="s">
        <v>12146</v>
      </c>
      <c r="BQ10" s="16" t="s">
        <v>12147</v>
      </c>
      <c r="BR10" s="16" t="s">
        <v>12148</v>
      </c>
      <c r="BS10" s="16" t="s">
        <v>12152</v>
      </c>
      <c r="BT10" s="16" t="s">
        <v>12153</v>
      </c>
      <c r="BU10" s="16" t="s">
        <v>12154</v>
      </c>
    </row>
    <row r="11" spans="1:137">
      <c r="BI11" s="16">
        <v>10</v>
      </c>
      <c r="BJ11" s="16" t="s">
        <v>73</v>
      </c>
      <c r="BO11" s="16" t="s">
        <v>12155</v>
      </c>
      <c r="BP11" s="16" t="s">
        <v>12156</v>
      </c>
      <c r="BQ11" s="16" t="s">
        <v>12157</v>
      </c>
      <c r="BR11" s="16" t="s">
        <v>12123</v>
      </c>
      <c r="BS11" s="16" t="s">
        <v>12124</v>
      </c>
      <c r="BT11" s="16" t="s">
        <v>12125</v>
      </c>
      <c r="BU11" s="16" t="s">
        <v>12126</v>
      </c>
    </row>
    <row r="12" spans="1:137">
      <c r="BI12" s="16">
        <v>11</v>
      </c>
      <c r="BJ12" s="16" t="s">
        <v>73</v>
      </c>
      <c r="BO12" s="16" t="s">
        <v>12158</v>
      </c>
      <c r="BP12" s="16" t="s">
        <v>12159</v>
      </c>
      <c r="BQ12" s="16" t="s">
        <v>12160</v>
      </c>
      <c r="BR12" s="16" t="s">
        <v>12148</v>
      </c>
      <c r="BS12" s="16" t="s">
        <v>12161</v>
      </c>
      <c r="BT12" s="16" t="s">
        <v>12162</v>
      </c>
      <c r="BU12" s="16" t="s">
        <v>12163</v>
      </c>
    </row>
    <row r="13" spans="1:137">
      <c r="BI13" s="16">
        <v>12</v>
      </c>
      <c r="BJ13" s="16" t="s">
        <v>73</v>
      </c>
      <c r="BO13" s="16" t="s">
        <v>12164</v>
      </c>
      <c r="BP13" s="16" t="s">
        <v>12165</v>
      </c>
      <c r="BQ13" s="16" t="s">
        <v>12166</v>
      </c>
      <c r="BR13" s="16" t="s">
        <v>12167</v>
      </c>
      <c r="BS13" s="16" t="s">
        <v>12168</v>
      </c>
      <c r="BT13" s="16" t="s">
        <v>12169</v>
      </c>
      <c r="BU13" s="16" t="s">
        <v>12170</v>
      </c>
    </row>
    <row r="14" spans="1:137">
      <c r="BI14" s="16">
        <v>13</v>
      </c>
      <c r="BJ14" s="16" t="s">
        <v>73</v>
      </c>
      <c r="BO14" s="16" t="s">
        <v>12164</v>
      </c>
      <c r="BP14" s="16" t="s">
        <v>12165</v>
      </c>
      <c r="BQ14" s="16" t="s">
        <v>12166</v>
      </c>
      <c r="BR14" s="16" t="s">
        <v>12167</v>
      </c>
      <c r="BS14" s="16" t="s">
        <v>12171</v>
      </c>
      <c r="BT14" s="16" t="s">
        <v>12172</v>
      </c>
      <c r="BU14" s="16" t="s">
        <v>12173</v>
      </c>
    </row>
    <row r="15" spans="1:137">
      <c r="BI15" s="16">
        <v>14</v>
      </c>
      <c r="BJ15" s="16" t="s">
        <v>73</v>
      </c>
      <c r="BO15" s="16" t="s">
        <v>12164</v>
      </c>
      <c r="BP15" s="16" t="s">
        <v>12165</v>
      </c>
      <c r="BQ15" s="16" t="s">
        <v>12166</v>
      </c>
      <c r="BR15" s="16" t="s">
        <v>12167</v>
      </c>
      <c r="BS15" s="16" t="s">
        <v>12124</v>
      </c>
      <c r="BT15" s="16" t="s">
        <v>12169</v>
      </c>
      <c r="BU15" s="16" t="s">
        <v>12170</v>
      </c>
    </row>
    <row r="16" spans="1:137">
      <c r="BI16" s="16">
        <v>15</v>
      </c>
      <c r="BJ16" s="16" t="s">
        <v>73</v>
      </c>
      <c r="BO16" s="16" t="s">
        <v>12164</v>
      </c>
      <c r="BP16" s="16" t="s">
        <v>12165</v>
      </c>
      <c r="BQ16" s="16" t="s">
        <v>12166</v>
      </c>
      <c r="BR16" s="16" t="s">
        <v>12167</v>
      </c>
      <c r="BS16" s="16" t="s">
        <v>12152</v>
      </c>
      <c r="BT16" s="16" t="s">
        <v>12169</v>
      </c>
      <c r="BU16" s="16" t="s">
        <v>12170</v>
      </c>
    </row>
    <row r="17" spans="61:74">
      <c r="BI17" s="16">
        <v>16</v>
      </c>
      <c r="BJ17" s="16" t="s">
        <v>73</v>
      </c>
      <c r="BO17" s="16" t="s">
        <v>12174</v>
      </c>
      <c r="BP17" s="16" t="s">
        <v>12175</v>
      </c>
      <c r="BQ17" s="16" t="s">
        <v>12176</v>
      </c>
      <c r="BR17" s="16" t="s">
        <v>12177</v>
      </c>
      <c r="BS17" s="16" t="s">
        <v>12124</v>
      </c>
      <c r="BT17" s="16" t="s">
        <v>12125</v>
      </c>
      <c r="BU17" s="16" t="s">
        <v>12126</v>
      </c>
    </row>
    <row r="18" spans="61:74">
      <c r="BI18" s="16">
        <v>17</v>
      </c>
      <c r="BJ18" s="16" t="s">
        <v>73</v>
      </c>
      <c r="BO18" s="16" t="s">
        <v>12178</v>
      </c>
      <c r="BP18" s="16" t="s">
        <v>12179</v>
      </c>
      <c r="BQ18" s="16" t="s">
        <v>12180</v>
      </c>
      <c r="BR18" s="16" t="s">
        <v>12181</v>
      </c>
      <c r="BS18" s="16" t="s">
        <v>12124</v>
      </c>
      <c r="BT18" s="16" t="s">
        <v>12125</v>
      </c>
      <c r="BU18" s="16" t="s">
        <v>12126</v>
      </c>
    </row>
    <row r="19" spans="61:74">
      <c r="BI19" s="16">
        <v>18</v>
      </c>
      <c r="BJ19" s="16" t="s">
        <v>73</v>
      </c>
      <c r="BO19" s="16" t="s">
        <v>12182</v>
      </c>
      <c r="BP19" s="16" t="s">
        <v>12183</v>
      </c>
      <c r="BQ19" s="16" t="s">
        <v>12184</v>
      </c>
      <c r="BR19" s="16" t="s">
        <v>12185</v>
      </c>
      <c r="BS19" s="16" t="s">
        <v>12124</v>
      </c>
      <c r="BT19" s="16" t="s">
        <v>12125</v>
      </c>
      <c r="BU19" s="16" t="s">
        <v>12126</v>
      </c>
    </row>
    <row r="20" spans="61:74">
      <c r="BI20" s="16">
        <v>19</v>
      </c>
      <c r="BJ20" s="16" t="s">
        <v>73</v>
      </c>
      <c r="BO20" s="16" t="s">
        <v>12186</v>
      </c>
      <c r="BP20" s="16" t="s">
        <v>12187</v>
      </c>
      <c r="BQ20" s="16" t="s">
        <v>12188</v>
      </c>
      <c r="BR20" s="16" t="s">
        <v>12189</v>
      </c>
      <c r="BS20" s="16" t="s">
        <v>12124</v>
      </c>
      <c r="BT20" s="16" t="s">
        <v>12125</v>
      </c>
      <c r="BU20" s="16" t="s">
        <v>12126</v>
      </c>
    </row>
    <row r="21" spans="61:74">
      <c r="BI21" s="16">
        <v>20</v>
      </c>
      <c r="BJ21" s="16" t="s">
        <v>73</v>
      </c>
      <c r="BO21" s="16" t="s">
        <v>12190</v>
      </c>
      <c r="BP21" s="16" t="s">
        <v>12191</v>
      </c>
      <c r="BQ21" s="16" t="s">
        <v>12192</v>
      </c>
      <c r="BR21" s="16" t="s">
        <v>12193</v>
      </c>
      <c r="BS21" s="16" t="s">
        <v>12124</v>
      </c>
      <c r="BT21" s="16" t="s">
        <v>12125</v>
      </c>
      <c r="BU21" s="16" t="s">
        <v>12126</v>
      </c>
    </row>
    <row r="22" spans="61:74">
      <c r="BI22" s="16">
        <v>21</v>
      </c>
      <c r="BJ22" s="16" t="s">
        <v>73</v>
      </c>
      <c r="BO22" s="16" t="s">
        <v>12194</v>
      </c>
      <c r="BP22" s="16" t="s">
        <v>12195</v>
      </c>
      <c r="BQ22" s="16" t="s">
        <v>12196</v>
      </c>
      <c r="BR22" s="16" t="s">
        <v>12135</v>
      </c>
      <c r="BS22" s="16" t="s">
        <v>12124</v>
      </c>
      <c r="BT22" s="16" t="s">
        <v>12125</v>
      </c>
      <c r="BU22" s="16" t="s">
        <v>12126</v>
      </c>
      <c r="BV22" s="16" t="s">
        <v>12197</v>
      </c>
    </row>
    <row r="23" spans="61:74">
      <c r="BI23" s="16">
        <v>22</v>
      </c>
      <c r="BJ23" s="16" t="s">
        <v>73</v>
      </c>
      <c r="BO23" s="16" t="s">
        <v>12198</v>
      </c>
      <c r="BP23" s="16" t="s">
        <v>12199</v>
      </c>
      <c r="BQ23" s="16" t="s">
        <v>12200</v>
      </c>
      <c r="BR23" s="16" t="s">
        <v>12201</v>
      </c>
      <c r="BS23" s="16" t="s">
        <v>12124</v>
      </c>
      <c r="BT23" s="16" t="s">
        <v>12125</v>
      </c>
      <c r="BU23" s="16" t="s">
        <v>12126</v>
      </c>
    </row>
    <row r="24" spans="61:74">
      <c r="BI24" s="16">
        <v>23</v>
      </c>
      <c r="BJ24" s="16" t="s">
        <v>73</v>
      </c>
      <c r="BO24" s="16" t="s">
        <v>12202</v>
      </c>
      <c r="BP24" s="16" t="s">
        <v>12203</v>
      </c>
      <c r="BQ24" s="16" t="s">
        <v>12204</v>
      </c>
      <c r="BR24" s="16" t="s">
        <v>12144</v>
      </c>
      <c r="BS24" s="16" t="s">
        <v>12205</v>
      </c>
      <c r="BT24" s="16" t="s">
        <v>12206</v>
      </c>
      <c r="BU24" s="16" t="s">
        <v>12207</v>
      </c>
      <c r="BV24" s="16" t="s">
        <v>12208</v>
      </c>
    </row>
    <row r="25" spans="61:74">
      <c r="BI25" s="16">
        <v>24</v>
      </c>
      <c r="BJ25" s="16" t="s">
        <v>73</v>
      </c>
      <c r="BO25" s="16" t="s">
        <v>12209</v>
      </c>
      <c r="BP25" s="16" t="s">
        <v>12210</v>
      </c>
      <c r="BQ25" s="16" t="s">
        <v>12211</v>
      </c>
      <c r="BR25" s="16" t="s">
        <v>12135</v>
      </c>
      <c r="BS25" s="16" t="s">
        <v>12124</v>
      </c>
      <c r="BT25" s="16" t="s">
        <v>12125</v>
      </c>
      <c r="BU25" s="16" t="s">
        <v>12126</v>
      </c>
    </row>
    <row r="26" spans="61:74">
      <c r="BI26" s="16">
        <v>25</v>
      </c>
      <c r="BJ26" s="16" t="s">
        <v>73</v>
      </c>
      <c r="BO26" s="16" t="s">
        <v>12212</v>
      </c>
      <c r="BP26" s="16" t="s">
        <v>12213</v>
      </c>
      <c r="BQ26" s="16" t="s">
        <v>12214</v>
      </c>
      <c r="BR26" s="16" t="s">
        <v>12215</v>
      </c>
      <c r="BS26" s="16" t="s">
        <v>12124</v>
      </c>
      <c r="BT26" s="16" t="s">
        <v>12125</v>
      </c>
      <c r="BU26" s="16" t="s">
        <v>12126</v>
      </c>
    </row>
    <row r="27" spans="61:74">
      <c r="BI27" s="16">
        <v>26</v>
      </c>
      <c r="BJ27" s="16" t="s">
        <v>73</v>
      </c>
      <c r="BO27" s="16" t="s">
        <v>12216</v>
      </c>
      <c r="BP27" s="16" t="s">
        <v>12217</v>
      </c>
      <c r="BQ27" s="16" t="s">
        <v>12218</v>
      </c>
      <c r="BR27" s="16" t="s">
        <v>12185</v>
      </c>
      <c r="BS27" s="16" t="s">
        <v>12124</v>
      </c>
      <c r="BT27" s="16" t="s">
        <v>12125</v>
      </c>
      <c r="BU27" s="16" t="s">
        <v>12126</v>
      </c>
    </row>
    <row r="28" spans="61:74">
      <c r="BI28" s="16">
        <v>27</v>
      </c>
      <c r="BJ28" s="16" t="s">
        <v>73</v>
      </c>
      <c r="BO28" s="16" t="s">
        <v>12219</v>
      </c>
      <c r="BP28" s="16" t="s">
        <v>12220</v>
      </c>
      <c r="BQ28" s="16" t="s">
        <v>12221</v>
      </c>
      <c r="BR28" s="16" t="s">
        <v>12135</v>
      </c>
      <c r="BS28" s="16" t="s">
        <v>12124</v>
      </c>
      <c r="BT28" s="16" t="s">
        <v>12125</v>
      </c>
      <c r="BU28" s="16" t="s">
        <v>12126</v>
      </c>
    </row>
    <row r="29" spans="61:74">
      <c r="BI29" s="16">
        <v>28</v>
      </c>
      <c r="BJ29" s="16" t="s">
        <v>73</v>
      </c>
      <c r="BO29" s="16" t="s">
        <v>12222</v>
      </c>
      <c r="BP29" s="16" t="s">
        <v>12223</v>
      </c>
      <c r="BQ29" s="16" t="s">
        <v>12224</v>
      </c>
      <c r="BR29" s="16" t="s">
        <v>12225</v>
      </c>
      <c r="BS29" s="16" t="s">
        <v>12161</v>
      </c>
      <c r="BT29" s="16" t="s">
        <v>12162</v>
      </c>
      <c r="BU29" s="16" t="s">
        <v>12163</v>
      </c>
    </row>
    <row r="30" spans="61:74">
      <c r="BI30" s="16">
        <v>29</v>
      </c>
      <c r="BJ30" s="16" t="s">
        <v>73</v>
      </c>
      <c r="BO30" s="16" t="s">
        <v>12226</v>
      </c>
      <c r="BP30" s="16" t="s">
        <v>12227</v>
      </c>
      <c r="BQ30" s="16" t="s">
        <v>12228</v>
      </c>
      <c r="BR30" s="16" t="s">
        <v>12229</v>
      </c>
      <c r="BS30" s="16" t="s">
        <v>12124</v>
      </c>
      <c r="BT30" s="16" t="s">
        <v>12125</v>
      </c>
      <c r="BU30" s="16" t="s">
        <v>12126</v>
      </c>
    </row>
    <row r="31" spans="61:74">
      <c r="BI31" s="16">
        <v>30</v>
      </c>
      <c r="BJ31" s="16" t="s">
        <v>73</v>
      </c>
      <c r="BO31" s="16" t="s">
        <v>12230</v>
      </c>
      <c r="BP31" s="16" t="s">
        <v>12231</v>
      </c>
      <c r="BQ31" s="16" t="s">
        <v>12232</v>
      </c>
      <c r="BR31" s="16" t="s">
        <v>12201</v>
      </c>
      <c r="BS31" s="16" t="s">
        <v>12124</v>
      </c>
      <c r="BT31" s="16" t="s">
        <v>12125</v>
      </c>
      <c r="BU31" s="16" t="s">
        <v>12126</v>
      </c>
      <c r="BV31" s="16" t="s">
        <v>12233</v>
      </c>
    </row>
    <row r="32" spans="61:74">
      <c r="BI32" s="16">
        <v>31</v>
      </c>
      <c r="BJ32" s="16" t="s">
        <v>73</v>
      </c>
      <c r="BO32" s="16" t="s">
        <v>12234</v>
      </c>
      <c r="BP32" s="16" t="s">
        <v>12235</v>
      </c>
      <c r="BQ32" s="16" t="s">
        <v>12236</v>
      </c>
      <c r="BR32" s="16" t="s">
        <v>12135</v>
      </c>
      <c r="BS32" s="16" t="s">
        <v>12124</v>
      </c>
      <c r="BT32" s="16" t="s">
        <v>12125</v>
      </c>
      <c r="BU32" s="16" t="s">
        <v>12126</v>
      </c>
    </row>
    <row r="33" spans="61:74">
      <c r="BI33" s="16">
        <v>32</v>
      </c>
      <c r="BJ33" s="16" t="s">
        <v>73</v>
      </c>
      <c r="BO33" s="16" t="s">
        <v>12237</v>
      </c>
      <c r="BP33" s="16" t="s">
        <v>12238</v>
      </c>
      <c r="BQ33" s="16" t="s">
        <v>12239</v>
      </c>
      <c r="BR33" s="16" t="s">
        <v>12201</v>
      </c>
      <c r="BS33" s="16" t="s">
        <v>12124</v>
      </c>
      <c r="BT33" s="16" t="s">
        <v>12125</v>
      </c>
      <c r="BU33" s="16" t="s">
        <v>12126</v>
      </c>
      <c r="BV33" s="16" t="s">
        <v>12240</v>
      </c>
    </row>
    <row r="34" spans="61:74">
      <c r="BI34" s="16">
        <v>33</v>
      </c>
      <c r="BJ34" s="16" t="s">
        <v>73</v>
      </c>
      <c r="BO34" s="16" t="s">
        <v>12241</v>
      </c>
      <c r="BP34" s="16" t="s">
        <v>12242</v>
      </c>
      <c r="BQ34" s="16" t="s">
        <v>12243</v>
      </c>
      <c r="BR34" s="16" t="s">
        <v>12123</v>
      </c>
      <c r="BS34" s="16" t="s">
        <v>12161</v>
      </c>
      <c r="BT34" s="16" t="s">
        <v>12162</v>
      </c>
      <c r="BU34" s="16" t="s">
        <v>12163</v>
      </c>
    </row>
    <row r="35" spans="61:74">
      <c r="BI35" s="16">
        <v>34</v>
      </c>
      <c r="BJ35" s="16" t="s">
        <v>73</v>
      </c>
      <c r="BO35" s="16" t="s">
        <v>12241</v>
      </c>
      <c r="BP35" s="16" t="s">
        <v>12242</v>
      </c>
      <c r="BQ35" s="16" t="s">
        <v>12243</v>
      </c>
      <c r="BR35" s="16" t="s">
        <v>12123</v>
      </c>
      <c r="BS35" s="16" t="s">
        <v>12244</v>
      </c>
      <c r="BT35" s="16" t="s">
        <v>787</v>
      </c>
      <c r="BU35" s="16" t="s">
        <v>12245</v>
      </c>
    </row>
    <row r="36" spans="61:74">
      <c r="BI36" s="16">
        <v>35</v>
      </c>
      <c r="BJ36" s="16" t="s">
        <v>73</v>
      </c>
      <c r="BO36" s="16" t="s">
        <v>12246</v>
      </c>
      <c r="BP36" s="16" t="s">
        <v>12247</v>
      </c>
      <c r="BQ36" s="16" t="s">
        <v>12243</v>
      </c>
      <c r="BR36" s="16" t="s">
        <v>12248</v>
      </c>
      <c r="BS36" s="16" t="s">
        <v>130</v>
      </c>
      <c r="BT36" s="16" t="s">
        <v>12249</v>
      </c>
      <c r="BU36" s="16" t="s">
        <v>12250</v>
      </c>
    </row>
    <row r="37" spans="61:74">
      <c r="BI37" s="16">
        <v>36</v>
      </c>
      <c r="BJ37" s="16" t="s">
        <v>73</v>
      </c>
      <c r="BO37" s="16" t="s">
        <v>12246</v>
      </c>
      <c r="BP37" s="16" t="s">
        <v>12247</v>
      </c>
      <c r="BQ37" s="16" t="s">
        <v>12243</v>
      </c>
      <c r="BR37" s="16" t="s">
        <v>12248</v>
      </c>
      <c r="BS37" s="16" t="s">
        <v>12205</v>
      </c>
      <c r="BT37" s="16" t="s">
        <v>12249</v>
      </c>
      <c r="BU37" s="16" t="s">
        <v>12250</v>
      </c>
    </row>
    <row r="38" spans="61:74">
      <c r="BI38" s="16">
        <v>37</v>
      </c>
      <c r="BJ38" s="16" t="s">
        <v>73</v>
      </c>
      <c r="BO38" s="16" t="s">
        <v>12246</v>
      </c>
      <c r="BP38" s="16" t="s">
        <v>12247</v>
      </c>
      <c r="BQ38" s="16" t="s">
        <v>12243</v>
      </c>
      <c r="BR38" s="16" t="s">
        <v>12248</v>
      </c>
      <c r="BS38" s="16" t="s">
        <v>12168</v>
      </c>
      <c r="BT38" s="16" t="s">
        <v>12249</v>
      </c>
      <c r="BU38" s="16" t="s">
        <v>12250</v>
      </c>
    </row>
    <row r="39" spans="61:74">
      <c r="BI39" s="16">
        <v>38</v>
      </c>
      <c r="BJ39" s="16" t="s">
        <v>73</v>
      </c>
      <c r="BO39" s="16" t="s">
        <v>12251</v>
      </c>
      <c r="BP39" s="16" t="s">
        <v>12252</v>
      </c>
      <c r="BQ39" s="16" t="s">
        <v>12243</v>
      </c>
      <c r="BR39" s="16" t="s">
        <v>12253</v>
      </c>
      <c r="BS39" s="16" t="s">
        <v>12124</v>
      </c>
      <c r="BT39" s="16" t="s">
        <v>12125</v>
      </c>
      <c r="BU39" s="16" t="s">
        <v>12126</v>
      </c>
    </row>
    <row r="40" spans="61:74">
      <c r="BI40" s="16">
        <v>39</v>
      </c>
      <c r="BJ40" s="16" t="s">
        <v>73</v>
      </c>
      <c r="BO40" s="16" t="s">
        <v>12254</v>
      </c>
      <c r="BP40" s="16" t="s">
        <v>12255</v>
      </c>
      <c r="BQ40" s="16" t="s">
        <v>12243</v>
      </c>
      <c r="BR40" s="16" t="s">
        <v>12256</v>
      </c>
      <c r="BS40" s="16" t="s">
        <v>12124</v>
      </c>
      <c r="BT40" s="16" t="s">
        <v>12125</v>
      </c>
      <c r="BU40" s="16" t="s">
        <v>12126</v>
      </c>
    </row>
    <row r="41" spans="61:74">
      <c r="BI41" s="16">
        <v>40</v>
      </c>
      <c r="BJ41" s="16" t="s">
        <v>73</v>
      </c>
      <c r="BO41" s="16" t="s">
        <v>12257</v>
      </c>
      <c r="BP41" s="16" t="s">
        <v>12258</v>
      </c>
      <c r="BQ41" s="16" t="s">
        <v>12243</v>
      </c>
      <c r="BR41" s="16" t="s">
        <v>12259</v>
      </c>
      <c r="BS41" s="16" t="s">
        <v>12124</v>
      </c>
      <c r="BT41" s="16" t="s">
        <v>12125</v>
      </c>
      <c r="BU41" s="16" t="s">
        <v>12126</v>
      </c>
    </row>
    <row r="42" spans="61:74">
      <c r="BI42" s="16">
        <v>41</v>
      </c>
      <c r="BJ42" s="16" t="s">
        <v>73</v>
      </c>
      <c r="BO42" s="16" t="s">
        <v>12260</v>
      </c>
      <c r="BP42" s="16" t="s">
        <v>12261</v>
      </c>
      <c r="BQ42" s="16" t="s">
        <v>12243</v>
      </c>
      <c r="BR42" s="16" t="s">
        <v>12262</v>
      </c>
      <c r="BS42" s="16" t="s">
        <v>12124</v>
      </c>
      <c r="BT42" s="16" t="s">
        <v>12125</v>
      </c>
      <c r="BU42" s="16" t="s">
        <v>12126</v>
      </c>
    </row>
    <row r="43" spans="61:74">
      <c r="BI43" s="16">
        <v>42</v>
      </c>
      <c r="BJ43" s="16" t="s">
        <v>73</v>
      </c>
      <c r="BO43" s="16" t="s">
        <v>12263</v>
      </c>
      <c r="BP43" s="16" t="s">
        <v>12264</v>
      </c>
      <c r="BQ43" s="16" t="s">
        <v>12243</v>
      </c>
      <c r="BR43" s="16" t="s">
        <v>12265</v>
      </c>
      <c r="BS43" s="16" t="s">
        <v>12161</v>
      </c>
      <c r="BT43" s="16" t="s">
        <v>12162</v>
      </c>
      <c r="BU43" s="16" t="s">
        <v>12163</v>
      </c>
    </row>
    <row r="44" spans="61:74">
      <c r="BI44" s="16">
        <v>43</v>
      </c>
      <c r="BJ44" s="16" t="s">
        <v>73</v>
      </c>
      <c r="BO44" s="16" t="s">
        <v>12266</v>
      </c>
      <c r="BP44" s="16" t="s">
        <v>12267</v>
      </c>
      <c r="BQ44" s="16" t="s">
        <v>12243</v>
      </c>
      <c r="BR44" s="16" t="s">
        <v>12268</v>
      </c>
      <c r="BS44" s="16" t="s">
        <v>12124</v>
      </c>
      <c r="BT44" s="16" t="s">
        <v>12125</v>
      </c>
      <c r="BU44" s="16" t="s">
        <v>12126</v>
      </c>
    </row>
    <row r="45" spans="61:74">
      <c r="BI45" s="16">
        <v>44</v>
      </c>
      <c r="BJ45" s="16" t="s">
        <v>73</v>
      </c>
      <c r="BO45" s="16" t="s">
        <v>12269</v>
      </c>
      <c r="BP45" s="16" t="s">
        <v>12270</v>
      </c>
      <c r="BQ45" s="16" t="s">
        <v>12271</v>
      </c>
      <c r="BR45" s="16" t="s">
        <v>12135</v>
      </c>
      <c r="BS45" s="16" t="s">
        <v>12124</v>
      </c>
      <c r="BT45" s="16" t="s">
        <v>12125</v>
      </c>
      <c r="BU45" s="16" t="s">
        <v>12126</v>
      </c>
    </row>
    <row r="46" spans="61:74">
      <c r="BI46" s="16">
        <v>45</v>
      </c>
      <c r="BJ46" s="16" t="s">
        <v>73</v>
      </c>
      <c r="BO46" s="16" t="s">
        <v>12272</v>
      </c>
      <c r="BP46" s="16" t="s">
        <v>12273</v>
      </c>
      <c r="BQ46" s="16" t="s">
        <v>12274</v>
      </c>
      <c r="BR46" s="16" t="s">
        <v>12275</v>
      </c>
      <c r="BS46" s="16" t="s">
        <v>12168</v>
      </c>
      <c r="BT46" s="16" t="s">
        <v>12276</v>
      </c>
      <c r="BU46" s="16" t="s">
        <v>12277</v>
      </c>
    </row>
    <row r="47" spans="61:74">
      <c r="BI47" s="16">
        <v>46</v>
      </c>
      <c r="BJ47" s="16" t="s">
        <v>73</v>
      </c>
      <c r="BO47" s="16" t="s">
        <v>12272</v>
      </c>
      <c r="BP47" s="16" t="s">
        <v>12273</v>
      </c>
      <c r="BQ47" s="16" t="s">
        <v>12274</v>
      </c>
      <c r="BR47" s="16" t="s">
        <v>12275</v>
      </c>
      <c r="BS47" s="16" t="s">
        <v>12171</v>
      </c>
      <c r="BT47" s="16" t="s">
        <v>12172</v>
      </c>
      <c r="BU47" s="16" t="s">
        <v>12173</v>
      </c>
    </row>
    <row r="48" spans="61:74">
      <c r="BI48" s="16">
        <v>47</v>
      </c>
      <c r="BJ48" s="16" t="s">
        <v>73</v>
      </c>
      <c r="BO48" s="16" t="s">
        <v>12278</v>
      </c>
      <c r="BP48" s="16" t="s">
        <v>12279</v>
      </c>
      <c r="BQ48" s="16" t="s">
        <v>12280</v>
      </c>
      <c r="BR48" s="16" t="s">
        <v>12139</v>
      </c>
      <c r="BS48" s="16" t="s">
        <v>12124</v>
      </c>
      <c r="BT48" s="16" t="s">
        <v>12125</v>
      </c>
      <c r="BU48" s="16" t="s">
        <v>12126</v>
      </c>
    </row>
    <row r="49" spans="61:75">
      <c r="BI49" s="16">
        <v>48</v>
      </c>
      <c r="BJ49" s="16" t="s">
        <v>73</v>
      </c>
      <c r="BO49" s="16" t="s">
        <v>12281</v>
      </c>
      <c r="BP49" s="16" t="s">
        <v>12282</v>
      </c>
      <c r="BQ49" s="16" t="s">
        <v>12283</v>
      </c>
      <c r="BR49" s="16" t="s">
        <v>12275</v>
      </c>
      <c r="BS49" s="16" t="s">
        <v>12124</v>
      </c>
      <c r="BT49" s="16" t="s">
        <v>12125</v>
      </c>
      <c r="BU49" s="16" t="s">
        <v>12126</v>
      </c>
    </row>
    <row r="50" spans="61:75">
      <c r="BI50" s="16">
        <v>49</v>
      </c>
      <c r="BJ50" s="16" t="s">
        <v>73</v>
      </c>
      <c r="BO50" s="16" t="s">
        <v>12281</v>
      </c>
      <c r="BP50" s="16" t="s">
        <v>12282</v>
      </c>
      <c r="BQ50" s="16" t="s">
        <v>12283</v>
      </c>
      <c r="BR50" s="16" t="s">
        <v>12275</v>
      </c>
      <c r="BS50" s="16" t="s">
        <v>12171</v>
      </c>
      <c r="BT50" s="16" t="s">
        <v>12172</v>
      </c>
      <c r="BU50" s="16" t="s">
        <v>12173</v>
      </c>
    </row>
    <row r="51" spans="61:75">
      <c r="BI51" s="16">
        <v>50</v>
      </c>
      <c r="BJ51" s="16" t="s">
        <v>73</v>
      </c>
      <c r="BO51" s="16" t="s">
        <v>12284</v>
      </c>
      <c r="BP51" s="16" t="s">
        <v>12285</v>
      </c>
      <c r="BQ51" s="16" t="s">
        <v>12286</v>
      </c>
      <c r="BR51" s="16" t="s">
        <v>12135</v>
      </c>
      <c r="BS51" s="16" t="s">
        <v>12124</v>
      </c>
      <c r="BT51" s="16" t="s">
        <v>12125</v>
      </c>
      <c r="BU51" s="16" t="s">
        <v>12126</v>
      </c>
    </row>
    <row r="52" spans="61:75">
      <c r="BI52" s="16">
        <v>51</v>
      </c>
      <c r="BJ52" s="16" t="s">
        <v>73</v>
      </c>
      <c r="BO52" s="16" t="s">
        <v>12287</v>
      </c>
      <c r="BP52" s="16" t="s">
        <v>12288</v>
      </c>
      <c r="BQ52" s="16" t="s">
        <v>12289</v>
      </c>
      <c r="BR52" s="16" t="s">
        <v>12290</v>
      </c>
      <c r="BS52" s="16" t="s">
        <v>12124</v>
      </c>
      <c r="BT52" s="16" t="s">
        <v>12125</v>
      </c>
      <c r="BU52" s="16" t="s">
        <v>12126</v>
      </c>
      <c r="BV52" s="16" t="s">
        <v>12291</v>
      </c>
    </row>
    <row r="53" spans="61:75">
      <c r="BI53" s="16">
        <v>52</v>
      </c>
      <c r="BJ53" s="16" t="s">
        <v>73</v>
      </c>
      <c r="BO53" s="16" t="s">
        <v>12292</v>
      </c>
      <c r="BP53" s="16" t="s">
        <v>12293</v>
      </c>
      <c r="BQ53" s="16" t="s">
        <v>12294</v>
      </c>
      <c r="BR53" s="16" t="s">
        <v>12215</v>
      </c>
      <c r="BS53" s="16" t="s">
        <v>12124</v>
      </c>
      <c r="BT53" s="16" t="s">
        <v>12125</v>
      </c>
      <c r="BU53" s="16" t="s">
        <v>12126</v>
      </c>
      <c r="BV53" s="16" t="s">
        <v>12295</v>
      </c>
    </row>
    <row r="54" spans="61:75">
      <c r="BI54" s="16">
        <v>53</v>
      </c>
      <c r="BJ54" s="16" t="s">
        <v>73</v>
      </c>
      <c r="BO54" s="16" t="s">
        <v>12296</v>
      </c>
      <c r="BP54" s="16" t="s">
        <v>12297</v>
      </c>
      <c r="BQ54" s="16" t="s">
        <v>12298</v>
      </c>
      <c r="BR54" s="16" t="s">
        <v>12299</v>
      </c>
      <c r="BS54" s="16" t="s">
        <v>12124</v>
      </c>
      <c r="BT54" s="16" t="s">
        <v>12125</v>
      </c>
      <c r="BU54" s="16" t="s">
        <v>12126</v>
      </c>
    </row>
    <row r="55" spans="61:75">
      <c r="BI55" s="16">
        <v>54</v>
      </c>
      <c r="BJ55" s="16" t="s">
        <v>73</v>
      </c>
      <c r="BO55" s="16" t="s">
        <v>12300</v>
      </c>
      <c r="BP55" s="16" t="s">
        <v>12301</v>
      </c>
      <c r="BQ55" s="16" t="s">
        <v>12302</v>
      </c>
      <c r="BR55" s="16" t="s">
        <v>12144</v>
      </c>
      <c r="BS55" s="16" t="s">
        <v>12124</v>
      </c>
      <c r="BT55" s="16" t="s">
        <v>12125</v>
      </c>
      <c r="BU55" s="16" t="s">
        <v>12126</v>
      </c>
      <c r="BV55" s="16" t="s">
        <v>12303</v>
      </c>
    </row>
    <row r="56" spans="61:75">
      <c r="BI56" s="16">
        <v>55</v>
      </c>
      <c r="BJ56" s="16" t="s">
        <v>73</v>
      </c>
      <c r="BO56" s="16" t="s">
        <v>12304</v>
      </c>
      <c r="BP56" s="16" t="s">
        <v>12305</v>
      </c>
      <c r="BQ56" s="16" t="s">
        <v>12306</v>
      </c>
      <c r="BR56" s="16" t="s">
        <v>12307</v>
      </c>
      <c r="BS56" s="16" t="s">
        <v>12124</v>
      </c>
      <c r="BT56" s="16" t="s">
        <v>12125</v>
      </c>
      <c r="BU56" s="16" t="s">
        <v>12126</v>
      </c>
      <c r="BV56" s="16" t="s">
        <v>12308</v>
      </c>
    </row>
    <row r="57" spans="61:75">
      <c r="BI57" s="16">
        <v>56</v>
      </c>
      <c r="BJ57" s="16" t="s">
        <v>73</v>
      </c>
      <c r="BO57" s="16" t="s">
        <v>12309</v>
      </c>
      <c r="BP57" s="16" t="s">
        <v>12310</v>
      </c>
      <c r="BQ57" s="16" t="s">
        <v>12311</v>
      </c>
      <c r="BR57" s="16" t="s">
        <v>12307</v>
      </c>
      <c r="BS57" s="16" t="s">
        <v>12124</v>
      </c>
      <c r="BT57" s="16" t="s">
        <v>12125</v>
      </c>
      <c r="BU57" s="16" t="s">
        <v>12126</v>
      </c>
    </row>
    <row r="58" spans="61:75">
      <c r="BI58" s="16">
        <v>57</v>
      </c>
      <c r="BJ58" s="16" t="s">
        <v>73</v>
      </c>
      <c r="BO58" s="16" t="s">
        <v>12312</v>
      </c>
      <c r="BP58" s="16" t="s">
        <v>12313</v>
      </c>
      <c r="BQ58" s="16" t="s">
        <v>12314</v>
      </c>
      <c r="BR58" s="16" t="s">
        <v>12307</v>
      </c>
      <c r="BS58" s="16" t="s">
        <v>12124</v>
      </c>
      <c r="BT58" s="16" t="s">
        <v>12125</v>
      </c>
      <c r="BU58" s="16" t="s">
        <v>12126</v>
      </c>
    </row>
    <row r="59" spans="61:75">
      <c r="BI59" s="16">
        <v>58</v>
      </c>
      <c r="BJ59" s="16" t="s">
        <v>73</v>
      </c>
      <c r="BO59" s="16" t="s">
        <v>12315</v>
      </c>
      <c r="BP59" s="16" t="s">
        <v>12316</v>
      </c>
      <c r="BQ59" s="16" t="s">
        <v>12317</v>
      </c>
      <c r="BR59" s="16" t="s">
        <v>12318</v>
      </c>
      <c r="BS59" s="16" t="s">
        <v>12124</v>
      </c>
      <c r="BT59" s="16" t="s">
        <v>12125</v>
      </c>
      <c r="BU59" s="16" t="s">
        <v>12126</v>
      </c>
      <c r="BW59" s="16" t="s">
        <v>12319</v>
      </c>
    </row>
    <row r="60" spans="61:75">
      <c r="BI60" s="16">
        <v>59</v>
      </c>
      <c r="BJ60" s="16" t="s">
        <v>73</v>
      </c>
      <c r="BO60" s="16" t="s">
        <v>12320</v>
      </c>
      <c r="BP60" s="16" t="s">
        <v>12321</v>
      </c>
      <c r="BQ60" s="16" t="s">
        <v>12322</v>
      </c>
      <c r="BR60" s="16" t="s">
        <v>12323</v>
      </c>
      <c r="BS60" s="16" t="s">
        <v>12124</v>
      </c>
      <c r="BT60" s="16" t="s">
        <v>12125</v>
      </c>
      <c r="BU60" s="16" t="s">
        <v>12126</v>
      </c>
    </row>
    <row r="61" spans="61:75">
      <c r="BI61" s="16">
        <v>60</v>
      </c>
      <c r="BJ61" s="16" t="s">
        <v>73</v>
      </c>
      <c r="BO61" s="16" t="s">
        <v>12324</v>
      </c>
      <c r="BP61" s="16" t="s">
        <v>12325</v>
      </c>
      <c r="BQ61" s="16" t="s">
        <v>12326</v>
      </c>
      <c r="BR61" s="16" t="s">
        <v>12327</v>
      </c>
      <c r="BS61" s="16" t="s">
        <v>12124</v>
      </c>
      <c r="BT61" s="16" t="s">
        <v>12125</v>
      </c>
      <c r="BU61" s="16" t="s">
        <v>12126</v>
      </c>
    </row>
    <row r="62" spans="61:75">
      <c r="BI62" s="16">
        <v>61</v>
      </c>
      <c r="BJ62" s="16" t="s">
        <v>73</v>
      </c>
      <c r="BO62" s="16" t="s">
        <v>12328</v>
      </c>
      <c r="BP62" s="16" t="s">
        <v>12329</v>
      </c>
      <c r="BQ62" s="16" t="s">
        <v>12330</v>
      </c>
      <c r="BR62" s="16" t="s">
        <v>12331</v>
      </c>
      <c r="BS62" s="16" t="s">
        <v>12149</v>
      </c>
      <c r="BT62" s="16" t="s">
        <v>12150</v>
      </c>
      <c r="BU62" s="16" t="s">
        <v>12151</v>
      </c>
    </row>
    <row r="63" spans="61:75">
      <c r="BI63" s="16">
        <v>62</v>
      </c>
      <c r="BJ63" s="16" t="s">
        <v>73</v>
      </c>
      <c r="BO63" s="16" t="s">
        <v>12332</v>
      </c>
      <c r="BP63" s="16" t="s">
        <v>12333</v>
      </c>
      <c r="BQ63" s="16" t="s">
        <v>12334</v>
      </c>
      <c r="BR63" s="16" t="s">
        <v>12335</v>
      </c>
      <c r="BS63" s="16" t="s">
        <v>12149</v>
      </c>
      <c r="BT63" s="16" t="s">
        <v>12150</v>
      </c>
      <c r="BU63" s="16" t="s">
        <v>12151</v>
      </c>
    </row>
    <row r="64" spans="61:75">
      <c r="BI64" s="16">
        <v>63</v>
      </c>
      <c r="BJ64" s="16" t="s">
        <v>73</v>
      </c>
      <c r="BO64" s="16" t="s">
        <v>12336</v>
      </c>
      <c r="BP64" s="16" t="s">
        <v>12337</v>
      </c>
      <c r="BQ64" s="16" t="s">
        <v>12338</v>
      </c>
      <c r="BR64" s="16" t="s">
        <v>12339</v>
      </c>
      <c r="BS64" s="16" t="s">
        <v>12124</v>
      </c>
      <c r="BT64" s="16" t="s">
        <v>12125</v>
      </c>
      <c r="BU64" s="16" t="s">
        <v>12126</v>
      </c>
    </row>
    <row r="65" spans="61:75">
      <c r="BI65" s="16">
        <v>64</v>
      </c>
      <c r="BJ65" s="16" t="s">
        <v>73</v>
      </c>
      <c r="BO65" s="16" t="s">
        <v>12340</v>
      </c>
      <c r="BP65" s="16" t="s">
        <v>12341</v>
      </c>
      <c r="BQ65" s="16" t="s">
        <v>12342</v>
      </c>
      <c r="BR65" s="16" t="s">
        <v>12343</v>
      </c>
      <c r="BS65" s="16" t="s">
        <v>12124</v>
      </c>
      <c r="BT65" s="16" t="s">
        <v>12125</v>
      </c>
      <c r="BU65" s="16" t="s">
        <v>12126</v>
      </c>
    </row>
    <row r="66" spans="61:75">
      <c r="BI66" s="16">
        <v>65</v>
      </c>
      <c r="BJ66" s="16" t="s">
        <v>73</v>
      </c>
      <c r="BO66" s="16" t="s">
        <v>12344</v>
      </c>
      <c r="BP66" s="16" t="s">
        <v>12345</v>
      </c>
      <c r="BQ66" s="16" t="s">
        <v>12346</v>
      </c>
      <c r="BR66" s="16" t="s">
        <v>12347</v>
      </c>
      <c r="BS66" s="16" t="s">
        <v>12124</v>
      </c>
      <c r="BT66" s="16" t="s">
        <v>12125</v>
      </c>
      <c r="BU66" s="16" t="s">
        <v>12126</v>
      </c>
    </row>
    <row r="67" spans="61:75">
      <c r="BI67" s="16">
        <v>66</v>
      </c>
      <c r="BJ67" s="16" t="s">
        <v>73</v>
      </c>
      <c r="BO67" s="16" t="s">
        <v>12348</v>
      </c>
      <c r="BP67" s="16" t="s">
        <v>12349</v>
      </c>
      <c r="BQ67" s="16" t="s">
        <v>12350</v>
      </c>
      <c r="BR67" s="16" t="s">
        <v>12181</v>
      </c>
      <c r="BS67" s="16" t="s">
        <v>12124</v>
      </c>
      <c r="BT67" s="16" t="s">
        <v>12125</v>
      </c>
      <c r="BU67" s="16" t="s">
        <v>12126</v>
      </c>
    </row>
    <row r="68" spans="61:75">
      <c r="BI68" s="16">
        <v>67</v>
      </c>
      <c r="BJ68" s="16" t="s">
        <v>73</v>
      </c>
      <c r="BO68" s="16" t="s">
        <v>12351</v>
      </c>
      <c r="BP68" s="16" t="s">
        <v>12352</v>
      </c>
      <c r="BQ68" s="16" t="s">
        <v>12353</v>
      </c>
      <c r="BR68" s="16" t="s">
        <v>12354</v>
      </c>
      <c r="BS68" s="16" t="s">
        <v>12124</v>
      </c>
      <c r="BT68" s="16" t="s">
        <v>12125</v>
      </c>
      <c r="BU68" s="16" t="s">
        <v>12126</v>
      </c>
    </row>
    <row r="69" spans="61:75">
      <c r="BI69" s="16">
        <v>68</v>
      </c>
      <c r="BJ69" s="16" t="s">
        <v>73</v>
      </c>
      <c r="BO69" s="16" t="s">
        <v>12355</v>
      </c>
      <c r="BP69" s="16" t="s">
        <v>12356</v>
      </c>
      <c r="BQ69" s="16" t="s">
        <v>12357</v>
      </c>
      <c r="BR69" s="16" t="s">
        <v>12215</v>
      </c>
      <c r="BS69" s="16" t="s">
        <v>12149</v>
      </c>
      <c r="BT69" s="16" t="s">
        <v>12150</v>
      </c>
      <c r="BU69" s="16" t="s">
        <v>12151</v>
      </c>
    </row>
    <row r="70" spans="61:75">
      <c r="BI70" s="16">
        <v>69</v>
      </c>
      <c r="BJ70" s="16" t="s">
        <v>73</v>
      </c>
      <c r="BO70" s="16" t="s">
        <v>12355</v>
      </c>
      <c r="BP70" s="16" t="s">
        <v>12356</v>
      </c>
      <c r="BQ70" s="16" t="s">
        <v>12357</v>
      </c>
      <c r="BR70" s="16" t="s">
        <v>12215</v>
      </c>
      <c r="BS70" s="16" t="s">
        <v>12358</v>
      </c>
      <c r="BT70" s="16" t="s">
        <v>12359</v>
      </c>
      <c r="BU70" s="16" t="s">
        <v>12360</v>
      </c>
    </row>
    <row r="71" spans="61:75">
      <c r="BI71" s="16">
        <v>70</v>
      </c>
      <c r="BJ71" s="16" t="s">
        <v>73</v>
      </c>
      <c r="BO71" s="16" t="s">
        <v>12361</v>
      </c>
      <c r="BP71" s="16" t="s">
        <v>12362</v>
      </c>
      <c r="BQ71" s="16" t="s">
        <v>12363</v>
      </c>
      <c r="BR71" s="16" t="s">
        <v>12189</v>
      </c>
      <c r="BS71" s="16" t="s">
        <v>12124</v>
      </c>
      <c r="BT71" s="16" t="s">
        <v>12125</v>
      </c>
      <c r="BU71" s="16" t="s">
        <v>12126</v>
      </c>
    </row>
    <row r="72" spans="61:75">
      <c r="BI72" s="16">
        <v>71</v>
      </c>
      <c r="BJ72" s="16" t="s">
        <v>73</v>
      </c>
      <c r="BO72" s="16" t="s">
        <v>12364</v>
      </c>
      <c r="BP72" s="16" t="s">
        <v>12365</v>
      </c>
      <c r="BQ72" s="16" t="s">
        <v>12366</v>
      </c>
      <c r="BR72" s="16" t="s">
        <v>12177</v>
      </c>
      <c r="BS72" s="16" t="s">
        <v>12124</v>
      </c>
      <c r="BT72" s="16" t="s">
        <v>12125</v>
      </c>
      <c r="BU72" s="16" t="s">
        <v>12126</v>
      </c>
    </row>
    <row r="73" spans="61:75">
      <c r="BI73" s="16">
        <v>72</v>
      </c>
      <c r="BJ73" s="16" t="s">
        <v>73</v>
      </c>
      <c r="BO73" s="16" t="s">
        <v>12367</v>
      </c>
      <c r="BP73" s="16" t="s">
        <v>12368</v>
      </c>
      <c r="BQ73" s="16" t="s">
        <v>12369</v>
      </c>
      <c r="BR73" s="16" t="s">
        <v>12370</v>
      </c>
      <c r="BS73" s="16" t="s">
        <v>12124</v>
      </c>
      <c r="BT73" s="16" t="s">
        <v>12125</v>
      </c>
      <c r="BU73" s="16" t="s">
        <v>12126</v>
      </c>
    </row>
    <row r="74" spans="61:75">
      <c r="BI74" s="16">
        <v>73</v>
      </c>
      <c r="BJ74" s="16" t="s">
        <v>73</v>
      </c>
      <c r="BO74" s="16" t="s">
        <v>12371</v>
      </c>
      <c r="BP74" s="16" t="s">
        <v>12372</v>
      </c>
      <c r="BQ74" s="16" t="s">
        <v>12373</v>
      </c>
      <c r="BR74" s="16" t="s">
        <v>12318</v>
      </c>
      <c r="BS74" s="16" t="s">
        <v>12124</v>
      </c>
      <c r="BT74" s="16" t="s">
        <v>12125</v>
      </c>
      <c r="BU74" s="16" t="s">
        <v>12126</v>
      </c>
      <c r="BW74" s="16" t="s">
        <v>12374</v>
      </c>
    </row>
    <row r="75" spans="61:75">
      <c r="BI75" s="16">
        <v>74</v>
      </c>
      <c r="BJ75" s="16" t="s">
        <v>73</v>
      </c>
      <c r="BO75" s="16" t="s">
        <v>12375</v>
      </c>
      <c r="BP75" s="16" t="s">
        <v>12376</v>
      </c>
      <c r="BQ75" s="16" t="s">
        <v>12377</v>
      </c>
      <c r="BR75" s="16" t="s">
        <v>12201</v>
      </c>
      <c r="BS75" s="16" t="s">
        <v>12152</v>
      </c>
      <c r="BT75" s="16" t="s">
        <v>12153</v>
      </c>
      <c r="BU75" s="16" t="s">
        <v>12154</v>
      </c>
    </row>
    <row r="76" spans="61:75">
      <c r="BI76" s="16">
        <v>75</v>
      </c>
      <c r="BJ76" s="16" t="s">
        <v>73</v>
      </c>
      <c r="BO76" s="16" t="s">
        <v>12375</v>
      </c>
      <c r="BP76" s="16" t="s">
        <v>12376</v>
      </c>
      <c r="BQ76" s="16" t="s">
        <v>12377</v>
      </c>
      <c r="BR76" s="16" t="s">
        <v>12201</v>
      </c>
      <c r="BS76" s="16" t="s">
        <v>12149</v>
      </c>
      <c r="BT76" s="16" t="s">
        <v>12150</v>
      </c>
      <c r="BU76" s="16" t="s">
        <v>12151</v>
      </c>
    </row>
    <row r="77" spans="61:75">
      <c r="BI77" s="16">
        <v>76</v>
      </c>
      <c r="BJ77" s="16" t="s">
        <v>73</v>
      </c>
      <c r="BO77" s="16" t="s">
        <v>12378</v>
      </c>
      <c r="BP77" s="16" t="s">
        <v>12379</v>
      </c>
      <c r="BQ77" s="16" t="s">
        <v>12380</v>
      </c>
      <c r="BR77" s="16" t="s">
        <v>12307</v>
      </c>
      <c r="BS77" s="16" t="s">
        <v>12152</v>
      </c>
      <c r="BT77" s="16" t="s">
        <v>788</v>
      </c>
      <c r="BU77" s="16" t="s">
        <v>12381</v>
      </c>
    </row>
    <row r="78" spans="61:75">
      <c r="BI78" s="16">
        <v>77</v>
      </c>
      <c r="BJ78" s="16" t="s">
        <v>73</v>
      </c>
      <c r="BO78" s="16" t="s">
        <v>12378</v>
      </c>
      <c r="BP78" s="16" t="s">
        <v>12379</v>
      </c>
      <c r="BQ78" s="16" t="s">
        <v>12380</v>
      </c>
      <c r="BR78" s="16" t="s">
        <v>12307</v>
      </c>
      <c r="BS78" s="16" t="s">
        <v>130</v>
      </c>
      <c r="BT78" s="16" t="s">
        <v>130</v>
      </c>
      <c r="BU78" s="16" t="s">
        <v>12382</v>
      </c>
    </row>
    <row r="79" spans="61:75">
      <c r="BI79" s="16">
        <v>78</v>
      </c>
      <c r="BJ79" s="16" t="s">
        <v>73</v>
      </c>
      <c r="BO79" s="16" t="s">
        <v>12383</v>
      </c>
      <c r="BP79" s="16" t="s">
        <v>12384</v>
      </c>
      <c r="BQ79" s="16" t="s">
        <v>12385</v>
      </c>
      <c r="BR79" s="16" t="s">
        <v>12131</v>
      </c>
      <c r="BS79" s="16" t="s">
        <v>12124</v>
      </c>
      <c r="BT79" s="16" t="s">
        <v>12125</v>
      </c>
      <c r="BU79" s="16" t="s">
        <v>12126</v>
      </c>
    </row>
    <row r="80" spans="61:75">
      <c r="BI80" s="16">
        <v>79</v>
      </c>
      <c r="BJ80" s="16" t="s">
        <v>73</v>
      </c>
      <c r="BO80" s="16" t="s">
        <v>12386</v>
      </c>
      <c r="BP80" s="16" t="s">
        <v>12387</v>
      </c>
      <c r="BQ80" s="16" t="s">
        <v>12388</v>
      </c>
      <c r="BR80" s="16" t="s">
        <v>12389</v>
      </c>
      <c r="BS80" s="16" t="s">
        <v>12124</v>
      </c>
      <c r="BT80" s="16" t="s">
        <v>12125</v>
      </c>
      <c r="BU80" s="16" t="s">
        <v>12126</v>
      </c>
    </row>
    <row r="81" spans="61:73">
      <c r="BI81" s="16">
        <v>80</v>
      </c>
      <c r="BJ81" s="16" t="s">
        <v>73</v>
      </c>
      <c r="BO81" s="16" t="s">
        <v>12390</v>
      </c>
      <c r="BP81" s="16" t="s">
        <v>12391</v>
      </c>
      <c r="BQ81" s="16" t="s">
        <v>12392</v>
      </c>
      <c r="BR81" s="16" t="s">
        <v>12389</v>
      </c>
      <c r="BS81" s="16" t="s">
        <v>12149</v>
      </c>
      <c r="BT81" s="16" t="s">
        <v>12150</v>
      </c>
      <c r="BU81" s="16" t="s">
        <v>12151</v>
      </c>
    </row>
    <row r="82" spans="61:73">
      <c r="BI82" s="16">
        <v>81</v>
      </c>
      <c r="BJ82" s="16" t="s">
        <v>73</v>
      </c>
      <c r="BO82" s="16" t="s">
        <v>12393</v>
      </c>
      <c r="BP82" s="16" t="s">
        <v>12394</v>
      </c>
      <c r="BQ82" s="16" t="s">
        <v>12395</v>
      </c>
      <c r="BR82" s="16" t="s">
        <v>12389</v>
      </c>
      <c r="BS82" s="16" t="s">
        <v>130</v>
      </c>
      <c r="BT82" s="16" t="s">
        <v>130</v>
      </c>
      <c r="BU82" s="16" t="s">
        <v>12382</v>
      </c>
    </row>
    <row r="83" spans="61:73">
      <c r="BI83" s="16">
        <v>82</v>
      </c>
      <c r="BJ83" s="16" t="s">
        <v>73</v>
      </c>
      <c r="BO83" s="16" t="s">
        <v>12393</v>
      </c>
      <c r="BP83" s="16" t="s">
        <v>12394</v>
      </c>
      <c r="BQ83" s="16" t="s">
        <v>12395</v>
      </c>
      <c r="BR83" s="16" t="s">
        <v>12389</v>
      </c>
      <c r="BS83" s="16" t="s">
        <v>12396</v>
      </c>
      <c r="BT83" s="16" t="s">
        <v>130</v>
      </c>
      <c r="BU83" s="16" t="s">
        <v>12397</v>
      </c>
    </row>
    <row r="84" spans="61:73">
      <c r="BI84" s="16">
        <v>83</v>
      </c>
      <c r="BJ84" s="16" t="s">
        <v>73</v>
      </c>
      <c r="BO84" s="16" t="s">
        <v>12398</v>
      </c>
      <c r="BP84" s="16" t="s">
        <v>12399</v>
      </c>
      <c r="BQ84" s="16" t="s">
        <v>12400</v>
      </c>
      <c r="BR84" s="16" t="s">
        <v>12389</v>
      </c>
      <c r="BS84" s="16" t="s">
        <v>12124</v>
      </c>
      <c r="BT84" s="16" t="s">
        <v>12125</v>
      </c>
      <c r="BU84" s="16" t="s">
        <v>12126</v>
      </c>
    </row>
    <row r="85" spans="61:73">
      <c r="BI85" s="16">
        <v>84</v>
      </c>
      <c r="BJ85" s="16" t="s">
        <v>73</v>
      </c>
      <c r="BO85" s="16" t="s">
        <v>12401</v>
      </c>
      <c r="BP85" s="16" t="s">
        <v>12402</v>
      </c>
      <c r="BQ85" s="16" t="s">
        <v>12322</v>
      </c>
      <c r="BR85" s="16" t="s">
        <v>12403</v>
      </c>
      <c r="BS85" s="16" t="s">
        <v>12168</v>
      </c>
      <c r="BT85" s="16" t="s">
        <v>12169</v>
      </c>
      <c r="BU85" s="16" t="s">
        <v>12170</v>
      </c>
    </row>
    <row r="86" spans="61:73">
      <c r="BI86" s="16">
        <v>85</v>
      </c>
      <c r="BJ86" s="16" t="s">
        <v>73</v>
      </c>
      <c r="BO86" s="16" t="s">
        <v>12401</v>
      </c>
      <c r="BP86" s="16" t="s">
        <v>12402</v>
      </c>
      <c r="BQ86" s="16" t="s">
        <v>12322</v>
      </c>
      <c r="BR86" s="16" t="s">
        <v>12403</v>
      </c>
      <c r="BS86" s="16" t="s">
        <v>12124</v>
      </c>
      <c r="BT86" s="16" t="s">
        <v>12169</v>
      </c>
      <c r="BU86" s="16" t="s">
        <v>12170</v>
      </c>
    </row>
    <row r="87" spans="61:73">
      <c r="BI87" s="16">
        <v>86</v>
      </c>
      <c r="BJ87" s="16" t="s">
        <v>73</v>
      </c>
      <c r="BO87" s="16" t="s">
        <v>12401</v>
      </c>
      <c r="BP87" s="16" t="s">
        <v>12402</v>
      </c>
      <c r="BQ87" s="16" t="s">
        <v>12322</v>
      </c>
      <c r="BR87" s="16" t="s">
        <v>12403</v>
      </c>
      <c r="BS87" s="16" t="s">
        <v>12152</v>
      </c>
      <c r="BT87" s="16" t="s">
        <v>12169</v>
      </c>
      <c r="BU87" s="16" t="s">
        <v>12170</v>
      </c>
    </row>
    <row r="88" spans="61:73">
      <c r="BI88" s="16">
        <v>87</v>
      </c>
      <c r="BJ88" s="16" t="s">
        <v>73</v>
      </c>
      <c r="BO88" s="16" t="s">
        <v>12404</v>
      </c>
      <c r="BP88" s="16" t="s">
        <v>12405</v>
      </c>
      <c r="BQ88" s="16" t="s">
        <v>12406</v>
      </c>
      <c r="BR88" s="16" t="s">
        <v>12407</v>
      </c>
      <c r="BS88" s="16" t="s">
        <v>12205</v>
      </c>
      <c r="BT88" s="16" t="s">
        <v>12206</v>
      </c>
      <c r="BU88" s="16" t="s">
        <v>12207</v>
      </c>
    </row>
    <row r="89" spans="61:73">
      <c r="BI89" s="16">
        <v>88</v>
      </c>
      <c r="BJ89" s="16" t="s">
        <v>73</v>
      </c>
      <c r="BO89" s="16" t="s">
        <v>12404</v>
      </c>
      <c r="BP89" s="16" t="s">
        <v>12405</v>
      </c>
      <c r="BQ89" s="16" t="s">
        <v>12406</v>
      </c>
      <c r="BR89" s="16" t="s">
        <v>12407</v>
      </c>
      <c r="BS89" s="16" t="s">
        <v>12205</v>
      </c>
      <c r="BT89" s="16" t="s">
        <v>12206</v>
      </c>
      <c r="BU89" s="16" t="s">
        <v>12207</v>
      </c>
    </row>
    <row r="90" spans="61:73">
      <c r="BI90" s="16">
        <v>89</v>
      </c>
      <c r="BJ90" s="16" t="s">
        <v>73</v>
      </c>
      <c r="BO90" s="16" t="s">
        <v>12408</v>
      </c>
      <c r="BP90" s="16" t="s">
        <v>12409</v>
      </c>
      <c r="BQ90" s="16" t="s">
        <v>12410</v>
      </c>
      <c r="BR90" s="16" t="s">
        <v>12407</v>
      </c>
      <c r="BS90" s="16" t="s">
        <v>12124</v>
      </c>
      <c r="BT90" s="16" t="s">
        <v>12125</v>
      </c>
      <c r="BU90" s="16" t="s">
        <v>12126</v>
      </c>
    </row>
    <row r="91" spans="61:73">
      <c r="BI91" s="16">
        <v>90</v>
      </c>
      <c r="BJ91" s="16" t="s">
        <v>73</v>
      </c>
      <c r="BO91" s="16" t="s">
        <v>12411</v>
      </c>
      <c r="BP91" s="16" t="s">
        <v>12412</v>
      </c>
      <c r="BQ91" s="16" t="s">
        <v>12413</v>
      </c>
      <c r="BR91" s="16" t="s">
        <v>12414</v>
      </c>
      <c r="BS91" s="16" t="s">
        <v>12149</v>
      </c>
      <c r="BT91" s="16" t="s">
        <v>12150</v>
      </c>
      <c r="BU91" s="16" t="s">
        <v>12151</v>
      </c>
    </row>
    <row r="92" spans="61:73">
      <c r="BI92" s="16">
        <v>91</v>
      </c>
      <c r="BJ92" s="16" t="s">
        <v>73</v>
      </c>
      <c r="BO92" s="16" t="s">
        <v>12415</v>
      </c>
      <c r="BP92" s="16" t="s">
        <v>12416</v>
      </c>
      <c r="BQ92" s="16" t="s">
        <v>12417</v>
      </c>
      <c r="BR92" s="16" t="s">
        <v>12299</v>
      </c>
      <c r="BS92" s="16" t="s">
        <v>12124</v>
      </c>
      <c r="BT92" s="16" t="s">
        <v>12125</v>
      </c>
      <c r="BU92" s="16" t="s">
        <v>12126</v>
      </c>
    </row>
    <row r="93" spans="61:73">
      <c r="BI93" s="16">
        <v>92</v>
      </c>
      <c r="BJ93" s="16" t="s">
        <v>73</v>
      </c>
      <c r="BO93" s="16" t="s">
        <v>12418</v>
      </c>
      <c r="BP93" s="16" t="s">
        <v>12419</v>
      </c>
      <c r="BQ93" s="16" t="s">
        <v>12420</v>
      </c>
      <c r="BR93" s="16" t="s">
        <v>12229</v>
      </c>
      <c r="BS93" s="16" t="s">
        <v>12124</v>
      </c>
      <c r="BT93" s="16" t="s">
        <v>12125</v>
      </c>
      <c r="BU93" s="16" t="s">
        <v>12126</v>
      </c>
    </row>
    <row r="94" spans="61:73">
      <c r="BI94" s="16">
        <v>93</v>
      </c>
      <c r="BJ94" s="16" t="s">
        <v>73</v>
      </c>
      <c r="BO94" s="16" t="s">
        <v>12421</v>
      </c>
      <c r="BP94" s="16" t="s">
        <v>12422</v>
      </c>
      <c r="BQ94" s="16" t="s">
        <v>12423</v>
      </c>
      <c r="BR94" s="16" t="s">
        <v>12299</v>
      </c>
      <c r="BS94" s="16" t="s">
        <v>12124</v>
      </c>
      <c r="BT94" s="16" t="s">
        <v>12125</v>
      </c>
      <c r="BU94" s="16" t="s">
        <v>12126</v>
      </c>
    </row>
    <row r="95" spans="61:73">
      <c r="BI95" s="16">
        <v>94</v>
      </c>
      <c r="BJ95" s="16" t="s">
        <v>73</v>
      </c>
      <c r="BO95" s="16" t="s">
        <v>12424</v>
      </c>
      <c r="BP95" s="16" t="s">
        <v>12425</v>
      </c>
      <c r="BQ95" s="16" t="s">
        <v>12426</v>
      </c>
      <c r="BR95" s="16" t="s">
        <v>12427</v>
      </c>
      <c r="BS95" s="16" t="s">
        <v>12124</v>
      </c>
      <c r="BT95" s="16" t="s">
        <v>12125</v>
      </c>
      <c r="BU95" s="16" t="s">
        <v>12126</v>
      </c>
    </row>
    <row r="96" spans="61:73">
      <c r="BI96" s="16">
        <v>95</v>
      </c>
      <c r="BJ96" s="16" t="s">
        <v>73</v>
      </c>
      <c r="BO96" s="16" t="s">
        <v>12428</v>
      </c>
      <c r="BP96" s="16" t="s">
        <v>12429</v>
      </c>
      <c r="BQ96" s="16" t="s">
        <v>12430</v>
      </c>
      <c r="BR96" s="16" t="s">
        <v>12189</v>
      </c>
      <c r="BS96" s="16" t="s">
        <v>12124</v>
      </c>
      <c r="BT96" s="16" t="s">
        <v>12125</v>
      </c>
      <c r="BU96" s="16" t="s">
        <v>12126</v>
      </c>
    </row>
    <row r="97" spans="61:75">
      <c r="BI97" s="16">
        <v>96</v>
      </c>
      <c r="BJ97" s="16" t="s">
        <v>73</v>
      </c>
      <c r="BO97" s="16" t="s">
        <v>12431</v>
      </c>
      <c r="BP97" s="16" t="s">
        <v>12432</v>
      </c>
      <c r="BQ97" s="16" t="s">
        <v>12433</v>
      </c>
      <c r="BR97" s="16" t="s">
        <v>12290</v>
      </c>
      <c r="BS97" s="16" t="s">
        <v>12124</v>
      </c>
      <c r="BT97" s="16" t="s">
        <v>12125</v>
      </c>
      <c r="BU97" s="16" t="s">
        <v>12126</v>
      </c>
    </row>
    <row r="98" spans="61:75">
      <c r="BI98" s="16">
        <v>97</v>
      </c>
      <c r="BJ98" s="16" t="s">
        <v>73</v>
      </c>
      <c r="BO98" s="16" t="s">
        <v>12434</v>
      </c>
      <c r="BP98" s="16" t="s">
        <v>12435</v>
      </c>
      <c r="BQ98" s="16" t="s">
        <v>12436</v>
      </c>
      <c r="BR98" s="16" t="s">
        <v>12427</v>
      </c>
      <c r="BS98" s="16" t="s">
        <v>12152</v>
      </c>
      <c r="BT98" s="16" t="s">
        <v>12153</v>
      </c>
      <c r="BU98" s="16" t="s">
        <v>12154</v>
      </c>
    </row>
    <row r="99" spans="61:75">
      <c r="BI99" s="16">
        <v>98</v>
      </c>
      <c r="BJ99" s="16" t="s">
        <v>73</v>
      </c>
      <c r="BO99" s="16" t="s">
        <v>12437</v>
      </c>
      <c r="BP99" s="16" t="s">
        <v>12438</v>
      </c>
      <c r="BQ99" s="16" t="s">
        <v>12439</v>
      </c>
      <c r="BR99" s="16" t="s">
        <v>12181</v>
      </c>
      <c r="BS99" s="16" t="s">
        <v>12124</v>
      </c>
      <c r="BT99" s="16" t="s">
        <v>12125</v>
      </c>
      <c r="BU99" s="16" t="s">
        <v>12126</v>
      </c>
      <c r="BW99" s="16" t="s">
        <v>12440</v>
      </c>
    </row>
    <row r="100" spans="61:75">
      <c r="BI100" s="16">
        <v>99</v>
      </c>
      <c r="BJ100" s="16" t="s">
        <v>73</v>
      </c>
      <c r="BO100" s="16" t="s">
        <v>12441</v>
      </c>
      <c r="BP100" s="16" t="s">
        <v>12442</v>
      </c>
      <c r="BQ100" s="16" t="s">
        <v>12443</v>
      </c>
      <c r="BR100" s="16" t="s">
        <v>12444</v>
      </c>
      <c r="BS100" s="16" t="s">
        <v>12205</v>
      </c>
      <c r="BT100" s="16" t="s">
        <v>12206</v>
      </c>
      <c r="BU100" s="16" t="s">
        <v>12207</v>
      </c>
      <c r="BV100" s="16" t="s">
        <v>12445</v>
      </c>
    </row>
    <row r="101" spans="61:75">
      <c r="BI101" s="16">
        <v>100</v>
      </c>
      <c r="BJ101" s="16" t="s">
        <v>73</v>
      </c>
      <c r="BO101" s="16" t="s">
        <v>12446</v>
      </c>
      <c r="BP101" s="16" t="s">
        <v>12447</v>
      </c>
      <c r="BQ101" s="16" t="s">
        <v>12448</v>
      </c>
      <c r="BR101" s="16" t="s">
        <v>12167</v>
      </c>
      <c r="BS101" s="16" t="s">
        <v>12124</v>
      </c>
      <c r="BT101" s="16" t="s">
        <v>12125</v>
      </c>
      <c r="BU101" s="16" t="s">
        <v>12126</v>
      </c>
    </row>
    <row r="102" spans="61:75">
      <c r="BI102" s="16">
        <v>101</v>
      </c>
      <c r="BJ102" s="16" t="s">
        <v>73</v>
      </c>
      <c r="BO102" s="16" t="s">
        <v>12449</v>
      </c>
      <c r="BP102" s="16" t="s">
        <v>12450</v>
      </c>
      <c r="BQ102" s="16" t="s">
        <v>12451</v>
      </c>
      <c r="BR102" s="16" t="s">
        <v>12452</v>
      </c>
      <c r="BS102" s="16" t="s">
        <v>12124</v>
      </c>
      <c r="BT102" s="16" t="s">
        <v>12125</v>
      </c>
      <c r="BU102" s="16" t="s">
        <v>12126</v>
      </c>
    </row>
    <row r="103" spans="61:75">
      <c r="BI103" s="16">
        <v>102</v>
      </c>
      <c r="BJ103" s="16" t="s">
        <v>73</v>
      </c>
      <c r="BO103" s="16" t="s">
        <v>12453</v>
      </c>
      <c r="BP103" s="16" t="s">
        <v>12454</v>
      </c>
      <c r="BQ103" s="16" t="s">
        <v>12455</v>
      </c>
      <c r="BR103" s="16" t="s">
        <v>12456</v>
      </c>
      <c r="BS103" s="16" t="s">
        <v>12124</v>
      </c>
      <c r="BT103" s="16" t="s">
        <v>12125</v>
      </c>
      <c r="BU103" s="16" t="s">
        <v>12126</v>
      </c>
    </row>
    <row r="104" spans="61:75">
      <c r="BI104" s="16">
        <v>103</v>
      </c>
      <c r="BJ104" s="16" t="s">
        <v>73</v>
      </c>
      <c r="BO104" s="16" t="s">
        <v>12457</v>
      </c>
      <c r="BP104" s="16" t="s">
        <v>12458</v>
      </c>
      <c r="BQ104" s="16" t="s">
        <v>12459</v>
      </c>
      <c r="BR104" s="16" t="s">
        <v>12460</v>
      </c>
      <c r="BS104" s="16" t="s">
        <v>12124</v>
      </c>
      <c r="BT104" s="16" t="s">
        <v>12125</v>
      </c>
      <c r="BU104" s="16" t="s">
        <v>12126</v>
      </c>
    </row>
    <row r="105" spans="61:75">
      <c r="BI105" s="16">
        <v>104</v>
      </c>
      <c r="BJ105" s="16" t="s">
        <v>73</v>
      </c>
      <c r="BO105" s="16" t="s">
        <v>12461</v>
      </c>
      <c r="BP105" s="16" t="s">
        <v>12462</v>
      </c>
      <c r="BQ105" s="16" t="s">
        <v>12463</v>
      </c>
      <c r="BR105" s="16" t="s">
        <v>12343</v>
      </c>
      <c r="BS105" s="16" t="s">
        <v>12124</v>
      </c>
      <c r="BT105" s="16" t="s">
        <v>12125</v>
      </c>
      <c r="BU105" s="16" t="s">
        <v>12126</v>
      </c>
    </row>
    <row r="106" spans="61:75">
      <c r="BI106" s="16">
        <v>105</v>
      </c>
      <c r="BJ106" s="16" t="s">
        <v>73</v>
      </c>
      <c r="BO106" s="16" t="s">
        <v>12464</v>
      </c>
      <c r="BP106" s="16" t="s">
        <v>12465</v>
      </c>
      <c r="BQ106" s="16" t="s">
        <v>12466</v>
      </c>
      <c r="BR106" s="16" t="s">
        <v>12185</v>
      </c>
      <c r="BS106" s="16" t="s">
        <v>12124</v>
      </c>
      <c r="BT106" s="16" t="s">
        <v>12125</v>
      </c>
      <c r="BU106" s="16" t="s">
        <v>12126</v>
      </c>
    </row>
    <row r="107" spans="61:75">
      <c r="BI107" s="16">
        <v>106</v>
      </c>
      <c r="BJ107" s="16" t="s">
        <v>73</v>
      </c>
      <c r="BO107" s="16" t="s">
        <v>12467</v>
      </c>
      <c r="BP107" s="16" t="s">
        <v>12468</v>
      </c>
      <c r="BQ107" s="16" t="s">
        <v>12469</v>
      </c>
      <c r="BR107" s="16" t="s">
        <v>12470</v>
      </c>
      <c r="BS107" s="16" t="s">
        <v>12124</v>
      </c>
      <c r="BT107" s="16" t="s">
        <v>12125</v>
      </c>
      <c r="BU107" s="16" t="s">
        <v>12126</v>
      </c>
    </row>
    <row r="108" spans="61:75">
      <c r="BI108" s="16">
        <v>107</v>
      </c>
      <c r="BJ108" s="16" t="s">
        <v>73</v>
      </c>
      <c r="BO108" s="16" t="s">
        <v>12471</v>
      </c>
      <c r="BP108" s="16" t="s">
        <v>12472</v>
      </c>
      <c r="BQ108" s="16" t="s">
        <v>12473</v>
      </c>
      <c r="BR108" s="16" t="s">
        <v>12181</v>
      </c>
      <c r="BS108" s="16" t="s">
        <v>12205</v>
      </c>
      <c r="BT108" s="16" t="s">
        <v>12206</v>
      </c>
      <c r="BU108" s="16" t="s">
        <v>12207</v>
      </c>
    </row>
    <row r="109" spans="61:75">
      <c r="BI109" s="16">
        <v>108</v>
      </c>
      <c r="BJ109" s="16" t="s">
        <v>73</v>
      </c>
      <c r="BO109" s="16" t="s">
        <v>12474</v>
      </c>
      <c r="BP109" s="16" t="s">
        <v>12475</v>
      </c>
      <c r="BQ109" s="16" t="s">
        <v>12476</v>
      </c>
      <c r="BR109" s="16" t="s">
        <v>12452</v>
      </c>
      <c r="BS109" s="16" t="s">
        <v>12124</v>
      </c>
      <c r="BT109" s="16" t="s">
        <v>12125</v>
      </c>
      <c r="BU109" s="16" t="s">
        <v>12126</v>
      </c>
    </row>
    <row r="110" spans="61:75">
      <c r="BI110" s="16">
        <v>109</v>
      </c>
      <c r="BJ110" s="16" t="s">
        <v>73</v>
      </c>
      <c r="BO110" s="16" t="s">
        <v>12477</v>
      </c>
      <c r="BP110" s="16" t="s">
        <v>12478</v>
      </c>
      <c r="BQ110" s="16" t="s">
        <v>12479</v>
      </c>
      <c r="BR110" s="16" t="s">
        <v>12444</v>
      </c>
      <c r="BS110" s="16" t="s">
        <v>12124</v>
      </c>
      <c r="BT110" s="16" t="s">
        <v>12125</v>
      </c>
      <c r="BU110" s="16" t="s">
        <v>12126</v>
      </c>
    </row>
    <row r="111" spans="61:75">
      <c r="BI111" s="16">
        <v>110</v>
      </c>
      <c r="BJ111" s="16" t="s">
        <v>73</v>
      </c>
      <c r="BO111" s="16" t="s">
        <v>12480</v>
      </c>
      <c r="BP111" s="16" t="s">
        <v>12481</v>
      </c>
      <c r="BQ111" s="16" t="s">
        <v>12482</v>
      </c>
      <c r="BR111" s="16" t="s">
        <v>12444</v>
      </c>
      <c r="BS111" s="16" t="s">
        <v>12124</v>
      </c>
      <c r="BT111" s="16" t="s">
        <v>12125</v>
      </c>
      <c r="BU111" s="16" t="s">
        <v>12126</v>
      </c>
    </row>
    <row r="112" spans="61:75">
      <c r="BI112" s="16">
        <v>111</v>
      </c>
      <c r="BJ112" s="16" t="s">
        <v>73</v>
      </c>
      <c r="BO112" s="16" t="s">
        <v>12483</v>
      </c>
      <c r="BP112" s="16" t="s">
        <v>12484</v>
      </c>
      <c r="BQ112" s="16" t="s">
        <v>12485</v>
      </c>
      <c r="BR112" s="16" t="s">
        <v>12444</v>
      </c>
      <c r="BS112" s="16" t="s">
        <v>12124</v>
      </c>
      <c r="BT112" s="16" t="s">
        <v>12125</v>
      </c>
      <c r="BU112" s="16" t="s">
        <v>12126</v>
      </c>
      <c r="BW112" s="16" t="s">
        <v>12486</v>
      </c>
    </row>
    <row r="113" spans="61:75">
      <c r="BI113" s="16">
        <v>112</v>
      </c>
      <c r="BJ113" s="16" t="s">
        <v>73</v>
      </c>
      <c r="BO113" s="16" t="s">
        <v>12487</v>
      </c>
      <c r="BP113" s="16" t="s">
        <v>12488</v>
      </c>
      <c r="BQ113" s="16" t="s">
        <v>12489</v>
      </c>
      <c r="BR113" s="16" t="s">
        <v>12444</v>
      </c>
      <c r="BS113" s="16" t="s">
        <v>12124</v>
      </c>
      <c r="BT113" s="16" t="s">
        <v>12125</v>
      </c>
      <c r="BU113" s="16" t="s">
        <v>12126</v>
      </c>
      <c r="BW113" s="16" t="s">
        <v>12486</v>
      </c>
    </row>
    <row r="114" spans="61:75">
      <c r="BI114" s="16">
        <v>113</v>
      </c>
      <c r="BJ114" s="16" t="s">
        <v>73</v>
      </c>
      <c r="BO114" s="16" t="s">
        <v>12490</v>
      </c>
      <c r="BP114" s="16" t="s">
        <v>12491</v>
      </c>
      <c r="BQ114" s="16" t="s">
        <v>12492</v>
      </c>
      <c r="BR114" s="16" t="s">
        <v>12444</v>
      </c>
      <c r="BS114" s="16" t="s">
        <v>12124</v>
      </c>
      <c r="BT114" s="16" t="s">
        <v>12125</v>
      </c>
      <c r="BU114" s="16" t="s">
        <v>12126</v>
      </c>
      <c r="BW114" s="16" t="s">
        <v>12493</v>
      </c>
    </row>
    <row r="115" spans="61:75">
      <c r="BI115" s="16">
        <v>114</v>
      </c>
      <c r="BJ115" s="16" t="s">
        <v>73</v>
      </c>
      <c r="BO115" s="16" t="s">
        <v>12494</v>
      </c>
      <c r="BP115" s="16" t="s">
        <v>12495</v>
      </c>
      <c r="BQ115" s="16" t="s">
        <v>12496</v>
      </c>
      <c r="BR115" s="16" t="s">
        <v>12497</v>
      </c>
      <c r="BS115" s="16" t="s">
        <v>12124</v>
      </c>
      <c r="BT115" s="16" t="s">
        <v>12125</v>
      </c>
      <c r="BU115" s="16" t="s">
        <v>12126</v>
      </c>
    </row>
    <row r="116" spans="61:75">
      <c r="BI116" s="16">
        <v>115</v>
      </c>
      <c r="BJ116" s="16" t="s">
        <v>73</v>
      </c>
      <c r="BO116" s="16" t="s">
        <v>12498</v>
      </c>
      <c r="BP116" s="16" t="s">
        <v>12499</v>
      </c>
      <c r="BQ116" s="16" t="s">
        <v>12500</v>
      </c>
      <c r="BR116" s="16" t="s">
        <v>12444</v>
      </c>
      <c r="BS116" s="16" t="s">
        <v>12124</v>
      </c>
      <c r="BT116" s="16" t="s">
        <v>12125</v>
      </c>
      <c r="BU116" s="16" t="s">
        <v>12126</v>
      </c>
    </row>
    <row r="117" spans="61:75">
      <c r="BI117" s="16">
        <v>116</v>
      </c>
      <c r="BJ117" s="16" t="s">
        <v>73</v>
      </c>
      <c r="BO117" s="16" t="s">
        <v>12501</v>
      </c>
      <c r="BP117" s="16" t="s">
        <v>12502</v>
      </c>
      <c r="BQ117" s="16" t="s">
        <v>12503</v>
      </c>
      <c r="BR117" s="16" t="s">
        <v>12504</v>
      </c>
      <c r="BS117" s="16" t="s">
        <v>12205</v>
      </c>
      <c r="BT117" s="16" t="s">
        <v>12206</v>
      </c>
      <c r="BU117" s="16" t="s">
        <v>12207</v>
      </c>
    </row>
    <row r="118" spans="61:75">
      <c r="BI118" s="16">
        <v>117</v>
      </c>
      <c r="BJ118" s="16" t="s">
        <v>73</v>
      </c>
      <c r="BO118" s="16" t="s">
        <v>12505</v>
      </c>
      <c r="BP118" s="16" t="s">
        <v>12506</v>
      </c>
      <c r="BQ118" s="16" t="s">
        <v>12507</v>
      </c>
      <c r="BR118" s="16" t="s">
        <v>12327</v>
      </c>
      <c r="BS118" s="16" t="s">
        <v>12124</v>
      </c>
      <c r="BT118" s="16" t="s">
        <v>12125</v>
      </c>
      <c r="BU118" s="16" t="s">
        <v>12126</v>
      </c>
    </row>
    <row r="119" spans="61:75">
      <c r="BI119" s="16">
        <v>118</v>
      </c>
      <c r="BJ119" s="16" t="s">
        <v>73</v>
      </c>
      <c r="BO119" s="16" t="s">
        <v>12508</v>
      </c>
      <c r="BP119" s="16" t="s">
        <v>12509</v>
      </c>
      <c r="BQ119" s="16" t="s">
        <v>12510</v>
      </c>
      <c r="BR119" s="16" t="s">
        <v>12511</v>
      </c>
      <c r="BS119" s="16" t="s">
        <v>12124</v>
      </c>
      <c r="BT119" s="16" t="s">
        <v>12125</v>
      </c>
      <c r="BU119" s="16" t="s">
        <v>12126</v>
      </c>
    </row>
    <row r="120" spans="61:75">
      <c r="BI120" s="16">
        <v>119</v>
      </c>
      <c r="BJ120" s="16" t="s">
        <v>73</v>
      </c>
      <c r="BO120" s="16" t="s">
        <v>12512</v>
      </c>
      <c r="BP120" s="16" t="s">
        <v>12513</v>
      </c>
      <c r="BQ120" s="16" t="s">
        <v>12514</v>
      </c>
      <c r="BR120" s="16" t="s">
        <v>12167</v>
      </c>
      <c r="BS120" s="16" t="s">
        <v>12124</v>
      </c>
      <c r="BT120" s="16" t="s">
        <v>12125</v>
      </c>
      <c r="BU120" s="16" t="s">
        <v>12126</v>
      </c>
      <c r="BW120" s="16" t="s">
        <v>12515</v>
      </c>
    </row>
    <row r="121" spans="61:75">
      <c r="BI121" s="16">
        <v>120</v>
      </c>
      <c r="BJ121" s="16" t="s">
        <v>73</v>
      </c>
      <c r="BO121" s="16" t="s">
        <v>12516</v>
      </c>
      <c r="BP121" s="16" t="s">
        <v>12517</v>
      </c>
      <c r="BQ121" s="16" t="s">
        <v>12518</v>
      </c>
      <c r="BR121" s="16" t="s">
        <v>12511</v>
      </c>
      <c r="BS121" s="16" t="s">
        <v>12124</v>
      </c>
      <c r="BT121" s="16" t="s">
        <v>12125</v>
      </c>
      <c r="BU121" s="16" t="s">
        <v>12126</v>
      </c>
    </row>
    <row r="122" spans="61:75">
      <c r="BI122" s="16">
        <v>121</v>
      </c>
      <c r="BJ122" s="16" t="s">
        <v>73</v>
      </c>
      <c r="BO122" s="16" t="s">
        <v>12519</v>
      </c>
      <c r="BP122" s="16" t="s">
        <v>12520</v>
      </c>
      <c r="BQ122" s="16" t="s">
        <v>12521</v>
      </c>
      <c r="BR122" s="16" t="s">
        <v>12497</v>
      </c>
      <c r="BS122" s="16" t="s">
        <v>12124</v>
      </c>
      <c r="BT122" s="16" t="s">
        <v>12125</v>
      </c>
      <c r="BU122" s="16" t="s">
        <v>12126</v>
      </c>
    </row>
    <row r="123" spans="61:75">
      <c r="BI123" s="16">
        <v>122</v>
      </c>
      <c r="BJ123" s="16" t="s">
        <v>73</v>
      </c>
      <c r="BO123" s="16" t="s">
        <v>12522</v>
      </c>
      <c r="BP123" s="16" t="s">
        <v>12523</v>
      </c>
      <c r="BQ123" s="16" t="s">
        <v>12524</v>
      </c>
      <c r="BR123" s="16" t="s">
        <v>12167</v>
      </c>
      <c r="BS123" s="16" t="s">
        <v>12124</v>
      </c>
      <c r="BT123" s="16" t="s">
        <v>12125</v>
      </c>
      <c r="BU123" s="16" t="s">
        <v>12126</v>
      </c>
      <c r="BW123" s="16" t="s">
        <v>12515</v>
      </c>
    </row>
    <row r="124" spans="61:75">
      <c r="BI124" s="16">
        <v>123</v>
      </c>
      <c r="BJ124" s="16" t="s">
        <v>73</v>
      </c>
      <c r="BO124" s="16" t="s">
        <v>12525</v>
      </c>
      <c r="BP124" s="16" t="s">
        <v>12526</v>
      </c>
      <c r="BQ124" s="16" t="s">
        <v>12527</v>
      </c>
      <c r="BR124" s="16" t="s">
        <v>12167</v>
      </c>
      <c r="BS124" s="16" t="s">
        <v>12124</v>
      </c>
      <c r="BT124" s="16" t="s">
        <v>12125</v>
      </c>
      <c r="BU124" s="16" t="s">
        <v>12126</v>
      </c>
    </row>
    <row r="125" spans="61:75">
      <c r="BI125" s="16">
        <v>124</v>
      </c>
      <c r="BJ125" s="16" t="s">
        <v>73</v>
      </c>
      <c r="BO125" s="16" t="s">
        <v>12528</v>
      </c>
      <c r="BP125" s="16" t="s">
        <v>12529</v>
      </c>
      <c r="BQ125" s="16" t="s">
        <v>12530</v>
      </c>
      <c r="BR125" s="16" t="s">
        <v>12531</v>
      </c>
      <c r="BS125" s="16" t="s">
        <v>12124</v>
      </c>
      <c r="BT125" s="16" t="s">
        <v>12125</v>
      </c>
      <c r="BU125" s="16" t="s">
        <v>12126</v>
      </c>
    </row>
    <row r="126" spans="61:75">
      <c r="BI126" s="16">
        <v>125</v>
      </c>
      <c r="BJ126" s="16" t="s">
        <v>73</v>
      </c>
      <c r="BO126" s="16" t="s">
        <v>12528</v>
      </c>
      <c r="BP126" s="16" t="s">
        <v>12529</v>
      </c>
      <c r="BQ126" s="16" t="s">
        <v>12530</v>
      </c>
      <c r="BR126" s="16" t="s">
        <v>12531</v>
      </c>
      <c r="BS126" s="16" t="s">
        <v>12124</v>
      </c>
      <c r="BT126" s="16" t="s">
        <v>12125</v>
      </c>
      <c r="BU126" s="16" t="s">
        <v>12126</v>
      </c>
    </row>
    <row r="127" spans="61:75">
      <c r="BI127" s="16">
        <v>126</v>
      </c>
      <c r="BJ127" s="16" t="s">
        <v>73</v>
      </c>
      <c r="BO127" s="16" t="s">
        <v>12532</v>
      </c>
      <c r="BP127" s="16" t="s">
        <v>12533</v>
      </c>
      <c r="BQ127" s="16" t="s">
        <v>12534</v>
      </c>
      <c r="BR127" s="16" t="s">
        <v>12343</v>
      </c>
      <c r="BS127" s="16" t="s">
        <v>12124</v>
      </c>
      <c r="BT127" s="16" t="s">
        <v>12125</v>
      </c>
      <c r="BU127" s="16" t="s">
        <v>12126</v>
      </c>
    </row>
    <row r="128" spans="61:75">
      <c r="BI128" s="16">
        <v>127</v>
      </c>
      <c r="BJ128" s="16" t="s">
        <v>73</v>
      </c>
      <c r="BO128" s="16" t="s">
        <v>12535</v>
      </c>
      <c r="BP128" s="16" t="s">
        <v>12536</v>
      </c>
      <c r="BQ128" s="16" t="s">
        <v>12537</v>
      </c>
      <c r="BR128" s="16" t="s">
        <v>12444</v>
      </c>
      <c r="BS128" s="16" t="s">
        <v>12124</v>
      </c>
      <c r="BT128" s="16" t="s">
        <v>12125</v>
      </c>
      <c r="BU128" s="16" t="s">
        <v>12126</v>
      </c>
    </row>
    <row r="129" spans="61:75">
      <c r="BI129" s="16">
        <v>128</v>
      </c>
      <c r="BJ129" s="16" t="s">
        <v>73</v>
      </c>
      <c r="BO129" s="16" t="s">
        <v>12538</v>
      </c>
      <c r="BP129" s="16" t="s">
        <v>12539</v>
      </c>
      <c r="BQ129" s="16" t="s">
        <v>12540</v>
      </c>
      <c r="BR129" s="16" t="s">
        <v>12541</v>
      </c>
      <c r="BS129" s="16" t="s">
        <v>12124</v>
      </c>
      <c r="BT129" s="16" t="s">
        <v>12125</v>
      </c>
      <c r="BU129" s="16" t="s">
        <v>12126</v>
      </c>
      <c r="BW129" s="16" t="s">
        <v>12542</v>
      </c>
    </row>
    <row r="130" spans="61:75">
      <c r="BI130" s="16">
        <v>129</v>
      </c>
      <c r="BJ130" s="16" t="s">
        <v>73</v>
      </c>
      <c r="BO130" s="16" t="s">
        <v>12543</v>
      </c>
      <c r="BP130" s="16" t="s">
        <v>12544</v>
      </c>
      <c r="BQ130" s="16" t="s">
        <v>12545</v>
      </c>
      <c r="BR130" s="16" t="s">
        <v>12177</v>
      </c>
      <c r="BS130" s="16" t="s">
        <v>12124</v>
      </c>
      <c r="BT130" s="16" t="s">
        <v>12125</v>
      </c>
      <c r="BU130" s="16" t="s">
        <v>12126</v>
      </c>
    </row>
    <row r="131" spans="61:75">
      <c r="BI131" s="16">
        <v>130</v>
      </c>
      <c r="BJ131" s="16" t="s">
        <v>73</v>
      </c>
      <c r="BO131" s="16" t="s">
        <v>12546</v>
      </c>
      <c r="BP131" s="16" t="s">
        <v>12547</v>
      </c>
      <c r="BQ131" s="16" t="s">
        <v>12548</v>
      </c>
      <c r="BR131" s="16" t="s">
        <v>12549</v>
      </c>
      <c r="BS131" s="16" t="s">
        <v>12124</v>
      </c>
      <c r="BT131" s="16" t="s">
        <v>12125</v>
      </c>
      <c r="BU131" s="16" t="s">
        <v>12126</v>
      </c>
    </row>
    <row r="132" spans="61:75">
      <c r="BI132" s="16">
        <v>131</v>
      </c>
      <c r="BJ132" s="16" t="s">
        <v>73</v>
      </c>
      <c r="BO132" s="16" t="s">
        <v>12550</v>
      </c>
      <c r="BP132" s="16" t="s">
        <v>12551</v>
      </c>
      <c r="BQ132" s="16" t="s">
        <v>12552</v>
      </c>
      <c r="BR132" s="16" t="s">
        <v>12444</v>
      </c>
      <c r="BS132" s="16" t="s">
        <v>12124</v>
      </c>
      <c r="BT132" s="16" t="s">
        <v>12125</v>
      </c>
      <c r="BU132" s="16" t="s">
        <v>12126</v>
      </c>
    </row>
    <row r="133" spans="61:75">
      <c r="BI133" s="16">
        <v>132</v>
      </c>
      <c r="BJ133" s="16" t="s">
        <v>73</v>
      </c>
      <c r="BO133" s="16" t="s">
        <v>12553</v>
      </c>
      <c r="BP133" s="16" t="s">
        <v>12554</v>
      </c>
      <c r="BQ133" s="16" t="s">
        <v>12555</v>
      </c>
      <c r="BR133" s="16" t="s">
        <v>12452</v>
      </c>
      <c r="BS133" s="16" t="s">
        <v>12124</v>
      </c>
      <c r="BT133" s="16" t="s">
        <v>12125</v>
      </c>
      <c r="BU133" s="16" t="s">
        <v>12126</v>
      </c>
    </row>
    <row r="134" spans="61:75">
      <c r="BI134" s="16">
        <v>133</v>
      </c>
      <c r="BJ134" s="16" t="s">
        <v>73</v>
      </c>
      <c r="BO134" s="16" t="s">
        <v>12556</v>
      </c>
      <c r="BP134" s="16" t="s">
        <v>12557</v>
      </c>
      <c r="BQ134" s="16" t="s">
        <v>12558</v>
      </c>
      <c r="BR134" s="16" t="s">
        <v>12559</v>
      </c>
      <c r="BS134" s="16" t="s">
        <v>12124</v>
      </c>
      <c r="BT134" s="16" t="s">
        <v>12125</v>
      </c>
      <c r="BU134" s="16" t="s">
        <v>12126</v>
      </c>
    </row>
    <row r="135" spans="61:75">
      <c r="BI135" s="16">
        <v>134</v>
      </c>
      <c r="BJ135" s="16" t="s">
        <v>73</v>
      </c>
      <c r="BO135" s="16" t="s">
        <v>12560</v>
      </c>
      <c r="BP135" s="16" t="s">
        <v>12561</v>
      </c>
      <c r="BQ135" s="16" t="s">
        <v>12562</v>
      </c>
      <c r="BR135" s="16" t="s">
        <v>12563</v>
      </c>
      <c r="BS135" s="16" t="s">
        <v>12124</v>
      </c>
      <c r="BT135" s="16" t="s">
        <v>12125</v>
      </c>
      <c r="BU135" s="16" t="s">
        <v>12126</v>
      </c>
    </row>
    <row r="136" spans="61:75">
      <c r="BI136" s="16">
        <v>135</v>
      </c>
      <c r="BJ136" s="16" t="s">
        <v>73</v>
      </c>
      <c r="BO136" s="16" t="s">
        <v>12564</v>
      </c>
      <c r="BP136" s="16" t="s">
        <v>12565</v>
      </c>
      <c r="BQ136" s="16" t="s">
        <v>12566</v>
      </c>
      <c r="BR136" s="16" t="s">
        <v>12185</v>
      </c>
      <c r="BS136" s="16" t="s">
        <v>12124</v>
      </c>
      <c r="BT136" s="16" t="s">
        <v>12125</v>
      </c>
      <c r="BU136" s="16" t="s">
        <v>12126</v>
      </c>
    </row>
    <row r="137" spans="61:75">
      <c r="BI137" s="16">
        <v>136</v>
      </c>
      <c r="BJ137" s="16" t="s">
        <v>73</v>
      </c>
      <c r="BO137" s="16" t="s">
        <v>12567</v>
      </c>
      <c r="BP137" s="16" t="s">
        <v>12568</v>
      </c>
      <c r="BQ137" s="16" t="s">
        <v>12569</v>
      </c>
      <c r="BR137" s="16" t="s">
        <v>12335</v>
      </c>
      <c r="BS137" s="16" t="s">
        <v>12124</v>
      </c>
      <c r="BT137" s="16" t="s">
        <v>12125</v>
      </c>
      <c r="BU137" s="16" t="s">
        <v>12126</v>
      </c>
    </row>
    <row r="138" spans="61:75">
      <c r="BI138" s="16">
        <v>137</v>
      </c>
      <c r="BJ138" s="16" t="s">
        <v>73</v>
      </c>
      <c r="BO138" s="16" t="s">
        <v>12570</v>
      </c>
      <c r="BP138" s="16" t="s">
        <v>12571</v>
      </c>
      <c r="BQ138" s="16" t="s">
        <v>12572</v>
      </c>
      <c r="BR138" s="16" t="s">
        <v>12573</v>
      </c>
      <c r="BS138" s="16" t="s">
        <v>12124</v>
      </c>
      <c r="BT138" s="16" t="s">
        <v>12125</v>
      </c>
      <c r="BU138" s="16" t="s">
        <v>12126</v>
      </c>
      <c r="BV138" s="16" t="s">
        <v>12574</v>
      </c>
    </row>
    <row r="139" spans="61:75">
      <c r="BI139" s="16">
        <v>138</v>
      </c>
      <c r="BJ139" s="16" t="s">
        <v>73</v>
      </c>
      <c r="BO139" s="16" t="s">
        <v>12575</v>
      </c>
      <c r="BP139" s="16" t="s">
        <v>12576</v>
      </c>
      <c r="BQ139" s="16" t="s">
        <v>12577</v>
      </c>
      <c r="BR139" s="16" t="s">
        <v>12578</v>
      </c>
      <c r="BS139" s="16" t="s">
        <v>12124</v>
      </c>
      <c r="BT139" s="16" t="s">
        <v>12125</v>
      </c>
      <c r="BU139" s="16" t="s">
        <v>12126</v>
      </c>
    </row>
    <row r="140" spans="61:75">
      <c r="BI140" s="16">
        <v>139</v>
      </c>
      <c r="BJ140" s="16" t="s">
        <v>73</v>
      </c>
      <c r="BO140" s="16" t="s">
        <v>12579</v>
      </c>
      <c r="BP140" s="16" t="s">
        <v>12580</v>
      </c>
      <c r="BQ140" s="16" t="s">
        <v>12581</v>
      </c>
      <c r="BR140" s="16" t="s">
        <v>12343</v>
      </c>
      <c r="BS140" s="16" t="s">
        <v>12205</v>
      </c>
      <c r="BT140" s="16" t="s">
        <v>12206</v>
      </c>
      <c r="BU140" s="16" t="s">
        <v>12207</v>
      </c>
    </row>
    <row r="141" spans="61:75">
      <c r="BI141" s="16">
        <v>140</v>
      </c>
      <c r="BJ141" s="16" t="s">
        <v>73</v>
      </c>
      <c r="BO141" s="16" t="s">
        <v>12582</v>
      </c>
      <c r="BP141" s="16" t="s">
        <v>12583</v>
      </c>
      <c r="BQ141" s="16" t="s">
        <v>12584</v>
      </c>
      <c r="BR141" s="16" t="s">
        <v>12585</v>
      </c>
      <c r="BS141" s="16" t="s">
        <v>12124</v>
      </c>
      <c r="BT141" s="16" t="s">
        <v>12125</v>
      </c>
      <c r="BU141" s="16" t="s">
        <v>12126</v>
      </c>
    </row>
    <row r="142" spans="61:75">
      <c r="BI142" s="16">
        <v>141</v>
      </c>
      <c r="BJ142" s="16" t="s">
        <v>73</v>
      </c>
      <c r="BO142" s="16" t="s">
        <v>12586</v>
      </c>
      <c r="BP142" s="16" t="s">
        <v>12587</v>
      </c>
      <c r="BQ142" s="16" t="s">
        <v>12588</v>
      </c>
      <c r="BR142" s="16" t="s">
        <v>12589</v>
      </c>
      <c r="BS142" s="16" t="s">
        <v>12124</v>
      </c>
      <c r="BT142" s="16" t="s">
        <v>12125</v>
      </c>
      <c r="BU142" s="16" t="s">
        <v>12126</v>
      </c>
    </row>
    <row r="143" spans="61:75">
      <c r="BI143" s="16">
        <v>142</v>
      </c>
      <c r="BJ143" s="16" t="s">
        <v>73</v>
      </c>
      <c r="BO143" s="16" t="s">
        <v>12590</v>
      </c>
      <c r="BP143" s="16" t="s">
        <v>12591</v>
      </c>
      <c r="BQ143" s="16" t="s">
        <v>12592</v>
      </c>
      <c r="BR143" s="16" t="s">
        <v>12347</v>
      </c>
      <c r="BS143" s="16" t="s">
        <v>12124</v>
      </c>
      <c r="BT143" s="16" t="s">
        <v>12125</v>
      </c>
      <c r="BU143" s="16" t="s">
        <v>12126</v>
      </c>
      <c r="BV143" s="16" t="s">
        <v>12593</v>
      </c>
    </row>
    <row r="144" spans="61:75">
      <c r="BI144" s="16">
        <v>143</v>
      </c>
      <c r="BJ144" s="16" t="s">
        <v>73</v>
      </c>
      <c r="BO144" s="16" t="s">
        <v>12594</v>
      </c>
      <c r="BP144" s="16" t="s">
        <v>12595</v>
      </c>
      <c r="BQ144" s="16" t="s">
        <v>12596</v>
      </c>
      <c r="BR144" s="16" t="s">
        <v>12597</v>
      </c>
      <c r="BS144" s="16" t="s">
        <v>12124</v>
      </c>
      <c r="BT144" s="16" t="s">
        <v>12125</v>
      </c>
      <c r="BU144" s="16" t="s">
        <v>12126</v>
      </c>
    </row>
    <row r="145" spans="61:75">
      <c r="BI145" s="16">
        <v>144</v>
      </c>
      <c r="BJ145" s="16" t="s">
        <v>73</v>
      </c>
      <c r="BO145" s="16" t="s">
        <v>12598</v>
      </c>
      <c r="BP145" s="16" t="s">
        <v>12599</v>
      </c>
      <c r="BQ145" s="16" t="s">
        <v>12600</v>
      </c>
      <c r="BR145" s="16" t="s">
        <v>12444</v>
      </c>
      <c r="BS145" s="16" t="s">
        <v>12124</v>
      </c>
      <c r="BT145" s="16" t="s">
        <v>12125</v>
      </c>
      <c r="BU145" s="16" t="s">
        <v>12126</v>
      </c>
      <c r="BW145" s="16" t="s">
        <v>12601</v>
      </c>
    </row>
    <row r="146" spans="61:75">
      <c r="BI146" s="16">
        <v>145</v>
      </c>
      <c r="BJ146" s="16" t="s">
        <v>73</v>
      </c>
      <c r="BO146" s="16" t="s">
        <v>12602</v>
      </c>
      <c r="BP146" s="16" t="s">
        <v>12603</v>
      </c>
      <c r="BQ146" s="16" t="s">
        <v>12604</v>
      </c>
      <c r="BR146" s="16" t="s">
        <v>12563</v>
      </c>
      <c r="BS146" s="16" t="s">
        <v>12124</v>
      </c>
      <c r="BT146" s="16" t="s">
        <v>12125</v>
      </c>
      <c r="BU146" s="16" t="s">
        <v>12126</v>
      </c>
      <c r="BW146" s="16" t="s">
        <v>12605</v>
      </c>
    </row>
    <row r="147" spans="61:75">
      <c r="BI147" s="16">
        <v>146</v>
      </c>
      <c r="BJ147" s="16" t="s">
        <v>73</v>
      </c>
      <c r="BO147" s="16" t="s">
        <v>12606</v>
      </c>
      <c r="BP147" s="16" t="s">
        <v>12607</v>
      </c>
      <c r="BQ147" s="16" t="s">
        <v>12608</v>
      </c>
      <c r="BR147" s="16" t="s">
        <v>12609</v>
      </c>
      <c r="BS147" s="16" t="s">
        <v>12124</v>
      </c>
      <c r="BT147" s="16" t="s">
        <v>12125</v>
      </c>
      <c r="BU147" s="16" t="s">
        <v>12126</v>
      </c>
    </row>
    <row r="148" spans="61:75">
      <c r="BI148" s="16">
        <v>147</v>
      </c>
      <c r="BJ148" s="16" t="s">
        <v>73</v>
      </c>
      <c r="BO148" s="16" t="s">
        <v>12610</v>
      </c>
      <c r="BP148" s="16" t="s">
        <v>12611</v>
      </c>
      <c r="BQ148" s="16" t="s">
        <v>12612</v>
      </c>
      <c r="BR148" s="16" t="s">
        <v>12563</v>
      </c>
      <c r="BS148" s="16" t="s">
        <v>12205</v>
      </c>
      <c r="BT148" s="16" t="s">
        <v>12206</v>
      </c>
      <c r="BU148" s="16" t="s">
        <v>12207</v>
      </c>
    </row>
    <row r="149" spans="61:75">
      <c r="BI149" s="16">
        <v>148</v>
      </c>
      <c r="BJ149" s="16" t="s">
        <v>73</v>
      </c>
      <c r="BO149" s="16" t="s">
        <v>12613</v>
      </c>
      <c r="BP149" s="16" t="s">
        <v>12614</v>
      </c>
      <c r="BQ149" s="16" t="s">
        <v>12615</v>
      </c>
      <c r="BR149" s="16" t="s">
        <v>12123</v>
      </c>
      <c r="BS149" s="16" t="s">
        <v>12124</v>
      </c>
      <c r="BT149" s="16" t="s">
        <v>12125</v>
      </c>
      <c r="BU149" s="16" t="s">
        <v>12126</v>
      </c>
    </row>
    <row r="150" spans="61:75">
      <c r="BI150" s="16">
        <v>149</v>
      </c>
      <c r="BJ150" s="16" t="s">
        <v>73</v>
      </c>
      <c r="BO150" s="16" t="s">
        <v>12616</v>
      </c>
      <c r="BP150" s="16" t="s">
        <v>12617</v>
      </c>
      <c r="BQ150" s="16" t="s">
        <v>12618</v>
      </c>
      <c r="BR150" s="16" t="s">
        <v>12131</v>
      </c>
      <c r="BS150" s="16" t="s">
        <v>12124</v>
      </c>
      <c r="BT150" s="16" t="s">
        <v>12125</v>
      </c>
      <c r="BU150" s="16" t="s">
        <v>12126</v>
      </c>
    </row>
    <row r="151" spans="61:75">
      <c r="BI151" s="16">
        <v>150</v>
      </c>
      <c r="BJ151" s="16" t="s">
        <v>73</v>
      </c>
      <c r="BO151" s="16" t="s">
        <v>12619</v>
      </c>
      <c r="BP151" s="16" t="s">
        <v>12620</v>
      </c>
      <c r="BQ151" s="16" t="s">
        <v>12621</v>
      </c>
      <c r="BR151" s="16" t="s">
        <v>12622</v>
      </c>
      <c r="BS151" s="16" t="s">
        <v>12124</v>
      </c>
      <c r="BT151" s="16" t="s">
        <v>12125</v>
      </c>
      <c r="BU151" s="16" t="s">
        <v>12126</v>
      </c>
    </row>
    <row r="152" spans="61:75">
      <c r="BI152" s="16">
        <v>151</v>
      </c>
      <c r="BJ152" s="16" t="s">
        <v>73</v>
      </c>
      <c r="BO152" s="16" t="s">
        <v>12619</v>
      </c>
      <c r="BP152" s="16" t="s">
        <v>12620</v>
      </c>
      <c r="BQ152" s="16" t="s">
        <v>12621</v>
      </c>
      <c r="BR152" s="16" t="s">
        <v>12622</v>
      </c>
      <c r="BS152" s="16" t="s">
        <v>12171</v>
      </c>
      <c r="BT152" s="16" t="s">
        <v>12172</v>
      </c>
      <c r="BU152" s="16" t="s">
        <v>12173</v>
      </c>
    </row>
    <row r="153" spans="61:75">
      <c r="BI153" s="16">
        <v>152</v>
      </c>
      <c r="BJ153" s="16" t="s">
        <v>73</v>
      </c>
      <c r="BO153" s="16" t="s">
        <v>12623</v>
      </c>
      <c r="BP153" s="16" t="s">
        <v>12624</v>
      </c>
      <c r="BQ153" s="16" t="s">
        <v>12625</v>
      </c>
      <c r="BR153" s="16" t="s">
        <v>12626</v>
      </c>
      <c r="BS153" s="16" t="s">
        <v>12124</v>
      </c>
      <c r="BT153" s="16" t="s">
        <v>12125</v>
      </c>
      <c r="BU153" s="16" t="s">
        <v>12126</v>
      </c>
      <c r="BW153" s="16" t="s">
        <v>12627</v>
      </c>
    </row>
    <row r="154" spans="61:75">
      <c r="BI154" s="16">
        <v>153</v>
      </c>
      <c r="BJ154" s="16" t="s">
        <v>73</v>
      </c>
      <c r="BO154" s="16" t="s">
        <v>12628</v>
      </c>
      <c r="BP154" s="16" t="s">
        <v>12629</v>
      </c>
      <c r="BQ154" s="16" t="s">
        <v>12621</v>
      </c>
      <c r="BR154" s="16" t="s">
        <v>12123</v>
      </c>
      <c r="BS154" s="16" t="s">
        <v>12124</v>
      </c>
      <c r="BT154" s="16" t="s">
        <v>12125</v>
      </c>
      <c r="BU154" s="16" t="s">
        <v>12126</v>
      </c>
    </row>
    <row r="155" spans="61:75">
      <c r="BI155" s="16">
        <v>154</v>
      </c>
      <c r="BJ155" s="16" t="s">
        <v>73</v>
      </c>
      <c r="BO155" s="16" t="s">
        <v>12630</v>
      </c>
      <c r="BP155" s="16" t="s">
        <v>12631</v>
      </c>
      <c r="BQ155" s="16" t="s">
        <v>12625</v>
      </c>
      <c r="BR155" s="16" t="s">
        <v>12632</v>
      </c>
      <c r="BS155" s="16" t="s">
        <v>12124</v>
      </c>
      <c r="BT155" s="16" t="s">
        <v>12125</v>
      </c>
      <c r="BU155" s="16" t="s">
        <v>12126</v>
      </c>
      <c r="BW155" s="16" t="s">
        <v>12627</v>
      </c>
    </row>
    <row r="156" spans="61:75">
      <c r="BI156" s="16">
        <v>155</v>
      </c>
      <c r="BJ156" s="16" t="s">
        <v>73</v>
      </c>
      <c r="BO156" s="16" t="s">
        <v>12633</v>
      </c>
      <c r="BP156" s="16" t="s">
        <v>12634</v>
      </c>
      <c r="BQ156" s="16" t="s">
        <v>12635</v>
      </c>
      <c r="BR156" s="16" t="s">
        <v>12135</v>
      </c>
      <c r="BS156" s="16" t="s">
        <v>12124</v>
      </c>
      <c r="BT156" s="16" t="s">
        <v>12125</v>
      </c>
      <c r="BU156" s="16" t="s">
        <v>12126</v>
      </c>
    </row>
    <row r="157" spans="61:75">
      <c r="BI157" s="16">
        <v>156</v>
      </c>
      <c r="BJ157" s="16" t="s">
        <v>73</v>
      </c>
      <c r="BO157" s="16" t="s">
        <v>12636</v>
      </c>
      <c r="BP157" s="16" t="s">
        <v>12637</v>
      </c>
      <c r="BQ157" s="16" t="s">
        <v>12638</v>
      </c>
      <c r="BR157" s="16" t="s">
        <v>12470</v>
      </c>
      <c r="BS157" s="16" t="s">
        <v>12124</v>
      </c>
      <c r="BT157" s="16" t="s">
        <v>12125</v>
      </c>
      <c r="BU157" s="16" t="s">
        <v>12126</v>
      </c>
    </row>
    <row r="158" spans="61:75">
      <c r="BI158" s="16">
        <v>157</v>
      </c>
      <c r="BJ158" s="16" t="s">
        <v>73</v>
      </c>
      <c r="BO158" s="16" t="s">
        <v>12639</v>
      </c>
      <c r="BP158" s="16" t="s">
        <v>12640</v>
      </c>
      <c r="BQ158" s="16" t="s">
        <v>12641</v>
      </c>
      <c r="BR158" s="16" t="s">
        <v>12225</v>
      </c>
      <c r="BS158" s="16" t="s">
        <v>12124</v>
      </c>
      <c r="BT158" s="16" t="s">
        <v>12125</v>
      </c>
      <c r="BU158" s="16" t="s">
        <v>12126</v>
      </c>
    </row>
    <row r="159" spans="61:75">
      <c r="BI159" s="16">
        <v>158</v>
      </c>
      <c r="BJ159" s="16" t="s">
        <v>73</v>
      </c>
      <c r="BO159" s="16" t="s">
        <v>12642</v>
      </c>
      <c r="BP159" s="16" t="s">
        <v>12643</v>
      </c>
      <c r="BQ159" s="16" t="s">
        <v>12644</v>
      </c>
      <c r="BR159" s="16" t="s">
        <v>12193</v>
      </c>
      <c r="BS159" s="16" t="s">
        <v>12124</v>
      </c>
      <c r="BT159" s="16" t="s">
        <v>12125</v>
      </c>
      <c r="BU159" s="16" t="s">
        <v>12126</v>
      </c>
    </row>
    <row r="160" spans="61:75">
      <c r="BI160" s="16">
        <v>159</v>
      </c>
      <c r="BJ160" s="16" t="s">
        <v>73</v>
      </c>
      <c r="BO160" s="16" t="s">
        <v>12645</v>
      </c>
      <c r="BP160" s="16" t="s">
        <v>12646</v>
      </c>
      <c r="BQ160" s="16" t="s">
        <v>12647</v>
      </c>
      <c r="BR160" s="16" t="s">
        <v>12648</v>
      </c>
      <c r="BS160" s="16" t="s">
        <v>12124</v>
      </c>
      <c r="BT160" s="16" t="s">
        <v>12125</v>
      </c>
      <c r="BU160" s="16" t="s">
        <v>12126</v>
      </c>
    </row>
    <row r="161" spans="61:73">
      <c r="BI161" s="16">
        <v>160</v>
      </c>
      <c r="BJ161" s="16" t="s">
        <v>73</v>
      </c>
      <c r="BO161" s="16" t="s">
        <v>12649</v>
      </c>
      <c r="BP161" s="16" t="s">
        <v>12650</v>
      </c>
      <c r="BQ161" s="16" t="s">
        <v>12651</v>
      </c>
      <c r="BR161" s="16" t="s">
        <v>12193</v>
      </c>
      <c r="BS161" s="16" t="s">
        <v>12152</v>
      </c>
      <c r="BT161" s="16" t="s">
        <v>12153</v>
      </c>
      <c r="BU161" s="16" t="s">
        <v>12154</v>
      </c>
    </row>
    <row r="162" spans="61:73">
      <c r="BI162" s="16">
        <v>161</v>
      </c>
      <c r="BJ162" s="16" t="s">
        <v>73</v>
      </c>
      <c r="BO162" s="16" t="s">
        <v>12652</v>
      </c>
      <c r="BP162" s="16" t="s">
        <v>12653</v>
      </c>
      <c r="BQ162" s="16" t="s">
        <v>12654</v>
      </c>
      <c r="BR162" s="16" t="s">
        <v>12470</v>
      </c>
      <c r="BS162" s="16" t="s">
        <v>12124</v>
      </c>
      <c r="BT162" s="16" t="s">
        <v>12125</v>
      </c>
      <c r="BU162" s="16" t="s">
        <v>12126</v>
      </c>
    </row>
    <row r="163" spans="61:73">
      <c r="BI163" s="16">
        <v>162</v>
      </c>
      <c r="BJ163" s="16" t="s">
        <v>73</v>
      </c>
      <c r="BO163" s="16" t="s">
        <v>12655</v>
      </c>
      <c r="BP163" s="16" t="s">
        <v>12656</v>
      </c>
      <c r="BQ163" s="16" t="s">
        <v>12657</v>
      </c>
      <c r="BR163" s="16" t="s">
        <v>12215</v>
      </c>
      <c r="BS163" s="16" t="s">
        <v>12149</v>
      </c>
      <c r="BT163" s="16" t="s">
        <v>12658</v>
      </c>
      <c r="BU163" s="16" t="s">
        <v>12659</v>
      </c>
    </row>
    <row r="164" spans="61:73">
      <c r="BI164" s="16">
        <v>163</v>
      </c>
      <c r="BJ164" s="16" t="s">
        <v>73</v>
      </c>
      <c r="BO164" s="16" t="s">
        <v>12655</v>
      </c>
      <c r="BP164" s="16" t="s">
        <v>12656</v>
      </c>
      <c r="BQ164" s="16" t="s">
        <v>12657</v>
      </c>
      <c r="BR164" s="16" t="s">
        <v>12215</v>
      </c>
      <c r="BS164" s="16" t="s">
        <v>12168</v>
      </c>
      <c r="BT164" s="16" t="s">
        <v>12658</v>
      </c>
      <c r="BU164" s="16" t="s">
        <v>12659</v>
      </c>
    </row>
    <row r="165" spans="61:73">
      <c r="BI165" s="16">
        <v>164</v>
      </c>
      <c r="BJ165" s="16" t="s">
        <v>73</v>
      </c>
      <c r="BO165" s="16" t="s">
        <v>12660</v>
      </c>
      <c r="BP165" s="16" t="s">
        <v>12661</v>
      </c>
      <c r="BQ165" s="16" t="s">
        <v>12322</v>
      </c>
      <c r="BR165" s="16" t="s">
        <v>12144</v>
      </c>
      <c r="BS165" s="16" t="s">
        <v>12124</v>
      </c>
      <c r="BT165" s="16" t="s">
        <v>12125</v>
      </c>
      <c r="BU165" s="16" t="s">
        <v>12126</v>
      </c>
    </row>
    <row r="166" spans="61:73">
      <c r="BI166" s="16">
        <v>165</v>
      </c>
      <c r="BJ166" s="16" t="s">
        <v>73</v>
      </c>
      <c r="BO166" s="16" t="s">
        <v>12662</v>
      </c>
      <c r="BP166" s="16" t="s">
        <v>12663</v>
      </c>
      <c r="BQ166" s="16" t="s">
        <v>12664</v>
      </c>
      <c r="BR166" s="16" t="s">
        <v>12225</v>
      </c>
      <c r="BS166" s="16" t="s">
        <v>12124</v>
      </c>
      <c r="BT166" s="16" t="s">
        <v>12125</v>
      </c>
      <c r="BU166" s="16" t="s">
        <v>12126</v>
      </c>
    </row>
    <row r="167" spans="61:73">
      <c r="BI167" s="16">
        <v>166</v>
      </c>
      <c r="BJ167" s="16" t="s">
        <v>73</v>
      </c>
      <c r="BO167" s="16" t="s">
        <v>12665</v>
      </c>
      <c r="BP167" s="16" t="s">
        <v>12666</v>
      </c>
      <c r="BQ167" s="16" t="s">
        <v>12667</v>
      </c>
      <c r="BR167" s="16" t="s">
        <v>12189</v>
      </c>
      <c r="BS167" s="16" t="s">
        <v>12124</v>
      </c>
      <c r="BT167" s="16" t="s">
        <v>12125</v>
      </c>
      <c r="BU167" s="16" t="s">
        <v>12126</v>
      </c>
    </row>
    <row r="168" spans="61:73">
      <c r="BI168" s="16">
        <v>167</v>
      </c>
      <c r="BJ168" s="16" t="s">
        <v>73</v>
      </c>
      <c r="BO168" s="16" t="s">
        <v>12668</v>
      </c>
      <c r="BP168" s="16" t="s">
        <v>12669</v>
      </c>
      <c r="BQ168" s="16" t="s">
        <v>12670</v>
      </c>
      <c r="BR168" s="16" t="s">
        <v>12225</v>
      </c>
      <c r="BS168" s="16" t="s">
        <v>12124</v>
      </c>
      <c r="BT168" s="16" t="s">
        <v>12125</v>
      </c>
      <c r="BU168" s="16" t="s">
        <v>12126</v>
      </c>
    </row>
    <row r="169" spans="61:73">
      <c r="BI169" s="16">
        <v>168</v>
      </c>
      <c r="BJ169" s="16" t="s">
        <v>73</v>
      </c>
      <c r="BO169" s="16" t="s">
        <v>12671</v>
      </c>
      <c r="BP169" s="16" t="s">
        <v>12672</v>
      </c>
      <c r="BQ169" s="16" t="s">
        <v>12673</v>
      </c>
      <c r="BR169" s="16" t="s">
        <v>12189</v>
      </c>
      <c r="BS169" s="16" t="s">
        <v>12124</v>
      </c>
      <c r="BT169" s="16" t="s">
        <v>12125</v>
      </c>
      <c r="BU169" s="16" t="s">
        <v>12126</v>
      </c>
    </row>
    <row r="170" spans="61:73">
      <c r="BI170" s="16">
        <v>169</v>
      </c>
      <c r="BJ170" s="16" t="s">
        <v>73</v>
      </c>
      <c r="BO170" s="16" t="s">
        <v>12671</v>
      </c>
      <c r="BP170" s="16" t="s">
        <v>12672</v>
      </c>
      <c r="BQ170" s="16" t="s">
        <v>12673</v>
      </c>
      <c r="BR170" s="16" t="s">
        <v>12189</v>
      </c>
      <c r="BS170" s="16" t="s">
        <v>12124</v>
      </c>
      <c r="BT170" s="16" t="s">
        <v>12125</v>
      </c>
      <c r="BU170" s="16" t="s">
        <v>12126</v>
      </c>
    </row>
    <row r="171" spans="61:73">
      <c r="BI171" s="16">
        <v>170</v>
      </c>
      <c r="BJ171" s="16" t="s">
        <v>73</v>
      </c>
      <c r="BO171" s="16" t="s">
        <v>12674</v>
      </c>
      <c r="BP171" s="16" t="s">
        <v>12675</v>
      </c>
      <c r="BQ171" s="16" t="s">
        <v>12676</v>
      </c>
      <c r="BR171" s="16" t="s">
        <v>12189</v>
      </c>
      <c r="BS171" s="16" t="s">
        <v>12124</v>
      </c>
      <c r="BT171" s="16" t="s">
        <v>12125</v>
      </c>
      <c r="BU171" s="16" t="s">
        <v>12126</v>
      </c>
    </row>
    <row r="172" spans="61:73">
      <c r="BI172" s="16">
        <v>171</v>
      </c>
      <c r="BJ172" s="16" t="s">
        <v>73</v>
      </c>
      <c r="BO172" s="16" t="s">
        <v>12677</v>
      </c>
      <c r="BP172" s="16" t="s">
        <v>12678</v>
      </c>
      <c r="BQ172" s="16" t="s">
        <v>12679</v>
      </c>
      <c r="BR172" s="16" t="s">
        <v>12680</v>
      </c>
      <c r="BS172" s="16" t="s">
        <v>12124</v>
      </c>
      <c r="BT172" s="16" t="s">
        <v>12125</v>
      </c>
      <c r="BU172" s="16" t="s">
        <v>12126</v>
      </c>
    </row>
    <row r="173" spans="61:73">
      <c r="BI173" s="16">
        <v>172</v>
      </c>
      <c r="BJ173" s="16" t="s">
        <v>73</v>
      </c>
      <c r="BO173" s="16" t="s">
        <v>12681</v>
      </c>
      <c r="BP173" s="16" t="s">
        <v>12682</v>
      </c>
      <c r="BQ173" s="16" t="s">
        <v>12683</v>
      </c>
      <c r="BR173" s="16" t="s">
        <v>12135</v>
      </c>
      <c r="BS173" s="16" t="s">
        <v>12149</v>
      </c>
      <c r="BT173" s="16" t="s">
        <v>12150</v>
      </c>
      <c r="BU173" s="16" t="s">
        <v>12151</v>
      </c>
    </row>
    <row r="174" spans="61:73">
      <c r="BI174" s="16">
        <v>173</v>
      </c>
      <c r="BJ174" s="16" t="s">
        <v>73</v>
      </c>
      <c r="BO174" s="16" t="s">
        <v>12684</v>
      </c>
      <c r="BP174" s="16" t="s">
        <v>12685</v>
      </c>
      <c r="BQ174" s="16" t="s">
        <v>12686</v>
      </c>
      <c r="BR174" s="16" t="s">
        <v>12167</v>
      </c>
      <c r="BS174" s="16" t="s">
        <v>12152</v>
      </c>
      <c r="BT174" s="16" t="s">
        <v>12153</v>
      </c>
      <c r="BU174" s="16" t="s">
        <v>12154</v>
      </c>
    </row>
    <row r="175" spans="61:73">
      <c r="BI175" s="16">
        <v>174</v>
      </c>
      <c r="BJ175" s="16" t="s">
        <v>73</v>
      </c>
      <c r="BO175" s="16" t="s">
        <v>12684</v>
      </c>
      <c r="BP175" s="16" t="s">
        <v>12685</v>
      </c>
      <c r="BQ175" s="16" t="s">
        <v>12686</v>
      </c>
      <c r="BR175" s="16" t="s">
        <v>12167</v>
      </c>
      <c r="BS175" s="16" t="s">
        <v>12396</v>
      </c>
      <c r="BT175" s="16" t="s">
        <v>130</v>
      </c>
      <c r="BU175" s="16" t="s">
        <v>12397</v>
      </c>
    </row>
    <row r="176" spans="61:73">
      <c r="BI176" s="16">
        <v>175</v>
      </c>
      <c r="BJ176" s="16" t="s">
        <v>73</v>
      </c>
      <c r="BO176" s="16" t="s">
        <v>12687</v>
      </c>
      <c r="BP176" s="16" t="s">
        <v>12688</v>
      </c>
      <c r="BQ176" s="16" t="s">
        <v>12689</v>
      </c>
      <c r="BR176" s="16" t="s">
        <v>12123</v>
      </c>
      <c r="BS176" s="16" t="s">
        <v>12124</v>
      </c>
      <c r="BT176" s="16" t="s">
        <v>12125</v>
      </c>
      <c r="BU176" s="16" t="s">
        <v>12126</v>
      </c>
    </row>
    <row r="177" spans="61:74">
      <c r="BI177" s="16">
        <v>176</v>
      </c>
      <c r="BJ177" s="16" t="s">
        <v>73</v>
      </c>
      <c r="BO177" s="16" t="s">
        <v>12690</v>
      </c>
      <c r="BP177" s="16" t="s">
        <v>12691</v>
      </c>
      <c r="BQ177" s="16" t="s">
        <v>12692</v>
      </c>
      <c r="BR177" s="16" t="s">
        <v>12131</v>
      </c>
      <c r="BS177" s="16" t="s">
        <v>12149</v>
      </c>
      <c r="BT177" s="16" t="s">
        <v>12150</v>
      </c>
      <c r="BU177" s="16" t="s">
        <v>12151</v>
      </c>
    </row>
    <row r="178" spans="61:74">
      <c r="BI178" s="16">
        <v>177</v>
      </c>
      <c r="BJ178" s="16" t="s">
        <v>73</v>
      </c>
      <c r="BO178" s="16" t="s">
        <v>12693</v>
      </c>
      <c r="BP178" s="16" t="s">
        <v>12694</v>
      </c>
      <c r="BQ178" s="16" t="s">
        <v>12695</v>
      </c>
      <c r="BR178" s="16" t="s">
        <v>12696</v>
      </c>
      <c r="BS178" s="16" t="s">
        <v>12124</v>
      </c>
      <c r="BT178" s="16" t="s">
        <v>12125</v>
      </c>
      <c r="BU178" s="16" t="s">
        <v>12126</v>
      </c>
    </row>
    <row r="179" spans="61:74">
      <c r="BI179" s="16">
        <v>178</v>
      </c>
      <c r="BJ179" s="16" t="s">
        <v>73</v>
      </c>
      <c r="BO179" s="16" t="s">
        <v>12693</v>
      </c>
      <c r="BP179" s="16" t="s">
        <v>12694</v>
      </c>
      <c r="BQ179" s="16" t="s">
        <v>12695</v>
      </c>
      <c r="BR179" s="16" t="s">
        <v>12696</v>
      </c>
      <c r="BS179" s="16" t="s">
        <v>12124</v>
      </c>
      <c r="BT179" s="16" t="s">
        <v>12125</v>
      </c>
      <c r="BU179" s="16" t="s">
        <v>12126</v>
      </c>
    </row>
    <row r="180" spans="61:74">
      <c r="BI180" s="16">
        <v>179</v>
      </c>
      <c r="BJ180" s="16" t="s">
        <v>73</v>
      </c>
      <c r="BO180" s="16" t="s">
        <v>12697</v>
      </c>
      <c r="BP180" s="16" t="s">
        <v>12698</v>
      </c>
      <c r="BQ180" s="16" t="s">
        <v>12699</v>
      </c>
      <c r="BR180" s="16" t="s">
        <v>12307</v>
      </c>
      <c r="BS180" s="16" t="s">
        <v>12124</v>
      </c>
      <c r="BT180" s="16" t="s">
        <v>12125</v>
      </c>
      <c r="BU180" s="16" t="s">
        <v>12126</v>
      </c>
    </row>
    <row r="181" spans="61:74">
      <c r="BI181" s="16">
        <v>180</v>
      </c>
      <c r="BJ181" s="16" t="s">
        <v>73</v>
      </c>
      <c r="BO181" s="16" t="s">
        <v>12700</v>
      </c>
      <c r="BP181" s="16" t="s">
        <v>12701</v>
      </c>
      <c r="BQ181" s="16" t="s">
        <v>12702</v>
      </c>
      <c r="BR181" s="16" t="s">
        <v>12185</v>
      </c>
      <c r="BS181" s="16" t="s">
        <v>12124</v>
      </c>
      <c r="BT181" s="16" t="s">
        <v>12125</v>
      </c>
      <c r="BU181" s="16" t="s">
        <v>12126</v>
      </c>
    </row>
    <row r="182" spans="61:74">
      <c r="BI182" s="16">
        <v>181</v>
      </c>
      <c r="BJ182" s="16" t="s">
        <v>73</v>
      </c>
      <c r="BO182" s="16" t="s">
        <v>12703</v>
      </c>
      <c r="BP182" s="16" t="s">
        <v>12704</v>
      </c>
      <c r="BQ182" s="16" t="s">
        <v>12705</v>
      </c>
      <c r="BR182" s="16" t="s">
        <v>12123</v>
      </c>
      <c r="BS182" s="16" t="s">
        <v>12124</v>
      </c>
      <c r="BT182" s="16" t="s">
        <v>12125</v>
      </c>
      <c r="BU182" s="16" t="s">
        <v>12126</v>
      </c>
    </row>
    <row r="183" spans="61:74">
      <c r="BI183" s="16">
        <v>182</v>
      </c>
      <c r="BJ183" s="16" t="s">
        <v>73</v>
      </c>
      <c r="BO183" s="16" t="s">
        <v>12706</v>
      </c>
      <c r="BP183" s="16" t="s">
        <v>12707</v>
      </c>
      <c r="BQ183" s="16" t="s">
        <v>12708</v>
      </c>
      <c r="BR183" s="16" t="s">
        <v>12181</v>
      </c>
      <c r="BS183" s="16" t="s">
        <v>12161</v>
      </c>
      <c r="BT183" s="16" t="s">
        <v>12162</v>
      </c>
      <c r="BU183" s="16" t="s">
        <v>12163</v>
      </c>
    </row>
    <row r="184" spans="61:74">
      <c r="BI184" s="16">
        <v>183</v>
      </c>
      <c r="BJ184" s="16" t="s">
        <v>73</v>
      </c>
      <c r="BO184" s="16" t="s">
        <v>12709</v>
      </c>
      <c r="BP184" s="16" t="s">
        <v>12710</v>
      </c>
      <c r="BQ184" s="16" t="s">
        <v>12711</v>
      </c>
      <c r="BR184" s="16" t="s">
        <v>12193</v>
      </c>
      <c r="BS184" s="16" t="s">
        <v>12161</v>
      </c>
      <c r="BT184" s="16" t="s">
        <v>12162</v>
      </c>
      <c r="BU184" s="16" t="s">
        <v>12163</v>
      </c>
    </row>
    <row r="185" spans="61:74">
      <c r="BI185" s="16">
        <v>184</v>
      </c>
      <c r="BJ185" s="16" t="s">
        <v>73</v>
      </c>
      <c r="BO185" s="16" t="s">
        <v>12712</v>
      </c>
      <c r="BP185" s="16" t="s">
        <v>12713</v>
      </c>
      <c r="BQ185" s="16" t="s">
        <v>12714</v>
      </c>
      <c r="BR185" s="16" t="s">
        <v>12299</v>
      </c>
      <c r="BS185" s="16" t="s">
        <v>12124</v>
      </c>
      <c r="BT185" s="16" t="s">
        <v>12125</v>
      </c>
      <c r="BU185" s="16" t="s">
        <v>12126</v>
      </c>
    </row>
    <row r="186" spans="61:74">
      <c r="BI186" s="16">
        <v>185</v>
      </c>
      <c r="BJ186" s="16" t="s">
        <v>73</v>
      </c>
      <c r="BO186" s="16" t="s">
        <v>12715</v>
      </c>
      <c r="BP186" s="16" t="s">
        <v>12716</v>
      </c>
      <c r="BQ186" s="16" t="s">
        <v>12717</v>
      </c>
      <c r="BR186" s="16" t="s">
        <v>12131</v>
      </c>
      <c r="BS186" s="16" t="s">
        <v>12124</v>
      </c>
      <c r="BT186" s="16" t="s">
        <v>12125</v>
      </c>
      <c r="BU186" s="16" t="s">
        <v>12126</v>
      </c>
      <c r="BV186" s="16" t="s">
        <v>12718</v>
      </c>
    </row>
    <row r="187" spans="61:74">
      <c r="BI187" s="16">
        <v>186</v>
      </c>
      <c r="BJ187" s="16" t="s">
        <v>73</v>
      </c>
      <c r="BO187" s="16" t="s">
        <v>12719</v>
      </c>
      <c r="BP187" s="16" t="s">
        <v>12720</v>
      </c>
      <c r="BQ187" s="16" t="s">
        <v>12721</v>
      </c>
      <c r="BR187" s="16" t="s">
        <v>12189</v>
      </c>
      <c r="BS187" s="16" t="s">
        <v>12168</v>
      </c>
      <c r="BT187" s="16" t="s">
        <v>12276</v>
      </c>
      <c r="BU187" s="16" t="s">
        <v>12277</v>
      </c>
      <c r="BV187" s="16" t="s">
        <v>12722</v>
      </c>
    </row>
    <row r="188" spans="61:74">
      <c r="BI188" s="16">
        <v>187</v>
      </c>
      <c r="BJ188" s="16" t="s">
        <v>73</v>
      </c>
      <c r="BO188" s="16" t="s">
        <v>12723</v>
      </c>
      <c r="BP188" s="16" t="s">
        <v>12724</v>
      </c>
      <c r="BQ188" s="16" t="s">
        <v>12725</v>
      </c>
      <c r="BR188" s="16" t="s">
        <v>12470</v>
      </c>
      <c r="BS188" s="16" t="s">
        <v>12124</v>
      </c>
      <c r="BT188" s="16" t="s">
        <v>12125</v>
      </c>
      <c r="BU188" s="16" t="s">
        <v>12126</v>
      </c>
    </row>
    <row r="189" spans="61:74">
      <c r="BI189" s="16">
        <v>188</v>
      </c>
      <c r="BJ189" s="16" t="s">
        <v>73</v>
      </c>
      <c r="BO189" s="16" t="s">
        <v>12726</v>
      </c>
      <c r="BP189" s="16" t="s">
        <v>12727</v>
      </c>
      <c r="BQ189" s="16" t="s">
        <v>12728</v>
      </c>
      <c r="BR189" s="16" t="s">
        <v>12201</v>
      </c>
      <c r="BS189" s="16" t="s">
        <v>12124</v>
      </c>
      <c r="BT189" s="16" t="s">
        <v>12125</v>
      </c>
      <c r="BU189" s="16" t="s">
        <v>12126</v>
      </c>
    </row>
    <row r="190" spans="61:74">
      <c r="BI190" s="16">
        <v>189</v>
      </c>
      <c r="BJ190" s="16" t="s">
        <v>73</v>
      </c>
      <c r="BO190" s="16" t="s">
        <v>12729</v>
      </c>
      <c r="BP190" s="16" t="s">
        <v>12730</v>
      </c>
      <c r="BQ190" s="16" t="s">
        <v>12731</v>
      </c>
      <c r="BR190" s="16" t="s">
        <v>12201</v>
      </c>
      <c r="BS190" s="16" t="s">
        <v>12124</v>
      </c>
      <c r="BT190" s="16" t="s">
        <v>12125</v>
      </c>
      <c r="BU190" s="16" t="s">
        <v>12126</v>
      </c>
      <c r="BV190" s="16" t="s">
        <v>12732</v>
      </c>
    </row>
    <row r="191" spans="61:74">
      <c r="BI191" s="16">
        <v>190</v>
      </c>
      <c r="BJ191" s="16" t="s">
        <v>73</v>
      </c>
      <c r="BO191" s="16" t="s">
        <v>12729</v>
      </c>
      <c r="BP191" s="16" t="s">
        <v>12730</v>
      </c>
      <c r="BQ191" s="16" t="s">
        <v>12731</v>
      </c>
      <c r="BR191" s="16" t="s">
        <v>12201</v>
      </c>
      <c r="BS191" s="16" t="s">
        <v>12171</v>
      </c>
      <c r="BT191" s="16" t="s">
        <v>12172</v>
      </c>
      <c r="BU191" s="16" t="s">
        <v>12173</v>
      </c>
      <c r="BV191" s="16" t="s">
        <v>12732</v>
      </c>
    </row>
    <row r="192" spans="61:74">
      <c r="BI192" s="16">
        <v>191</v>
      </c>
      <c r="BJ192" s="16" t="s">
        <v>73</v>
      </c>
      <c r="BO192" s="16" t="s">
        <v>12733</v>
      </c>
      <c r="BP192" s="16" t="s">
        <v>12734</v>
      </c>
      <c r="BQ192" s="16" t="s">
        <v>12735</v>
      </c>
      <c r="BR192" s="16" t="s">
        <v>12215</v>
      </c>
      <c r="BS192" s="16" t="s">
        <v>12161</v>
      </c>
      <c r="BT192" s="16" t="s">
        <v>12162</v>
      </c>
      <c r="BU192" s="16" t="s">
        <v>12163</v>
      </c>
    </row>
    <row r="193" spans="61:74">
      <c r="BI193" s="16">
        <v>192</v>
      </c>
      <c r="BJ193" s="16" t="s">
        <v>73</v>
      </c>
      <c r="BO193" s="16" t="s">
        <v>12733</v>
      </c>
      <c r="BP193" s="16" t="s">
        <v>12734</v>
      </c>
      <c r="BQ193" s="16" t="s">
        <v>12735</v>
      </c>
      <c r="BR193" s="16" t="s">
        <v>12215</v>
      </c>
      <c r="BS193" s="16" t="s">
        <v>130</v>
      </c>
      <c r="BT193" s="16" t="s">
        <v>130</v>
      </c>
      <c r="BU193" s="16" t="s">
        <v>12382</v>
      </c>
    </row>
    <row r="194" spans="61:74">
      <c r="BI194" s="16">
        <v>193</v>
      </c>
      <c r="BJ194" s="16" t="s">
        <v>73</v>
      </c>
      <c r="BO194" s="16" t="s">
        <v>12736</v>
      </c>
      <c r="BP194" s="16" t="s">
        <v>12737</v>
      </c>
      <c r="BQ194" s="16" t="s">
        <v>12738</v>
      </c>
      <c r="BR194" s="16" t="s">
        <v>12739</v>
      </c>
      <c r="BS194" s="16" t="s">
        <v>12171</v>
      </c>
      <c r="BT194" s="16" t="s">
        <v>12172</v>
      </c>
      <c r="BU194" s="16" t="s">
        <v>12173</v>
      </c>
      <c r="BV194" s="16" t="s">
        <v>12740</v>
      </c>
    </row>
    <row r="195" spans="61:74">
      <c r="BI195" s="16">
        <v>194</v>
      </c>
      <c r="BJ195" s="16" t="s">
        <v>73</v>
      </c>
      <c r="BO195" s="16" t="s">
        <v>12736</v>
      </c>
      <c r="BP195" s="16" t="s">
        <v>12737</v>
      </c>
      <c r="BQ195" s="16" t="s">
        <v>12738</v>
      </c>
      <c r="BR195" s="16" t="s">
        <v>12739</v>
      </c>
      <c r="BS195" s="16" t="s">
        <v>12149</v>
      </c>
      <c r="BT195" s="16" t="s">
        <v>12150</v>
      </c>
      <c r="BU195" s="16" t="s">
        <v>12151</v>
      </c>
      <c r="BV195" s="16" t="s">
        <v>12740</v>
      </c>
    </row>
    <row r="196" spans="61:74">
      <c r="BI196" s="16">
        <v>195</v>
      </c>
      <c r="BJ196" s="16" t="s">
        <v>73</v>
      </c>
      <c r="BO196" s="16" t="s">
        <v>12736</v>
      </c>
      <c r="BP196" s="16" t="s">
        <v>12737</v>
      </c>
      <c r="BQ196" s="16" t="s">
        <v>12738</v>
      </c>
      <c r="BR196" s="16" t="s">
        <v>12739</v>
      </c>
      <c r="BS196" s="16" t="s">
        <v>12149</v>
      </c>
      <c r="BT196" s="16" t="s">
        <v>12150</v>
      </c>
      <c r="BU196" s="16" t="s">
        <v>12151</v>
      </c>
      <c r="BV196" s="16" t="s">
        <v>12740</v>
      </c>
    </row>
    <row r="197" spans="61:74">
      <c r="BI197" s="16">
        <v>196</v>
      </c>
      <c r="BJ197" s="16" t="s">
        <v>73</v>
      </c>
      <c r="BO197" s="16" t="s">
        <v>12736</v>
      </c>
      <c r="BP197" s="16" t="s">
        <v>12737</v>
      </c>
      <c r="BQ197" s="16" t="s">
        <v>12738</v>
      </c>
      <c r="BR197" s="16" t="s">
        <v>12739</v>
      </c>
      <c r="BS197" s="16" t="s">
        <v>12171</v>
      </c>
      <c r="BT197" s="16" t="s">
        <v>12172</v>
      </c>
      <c r="BU197" s="16" t="s">
        <v>12173</v>
      </c>
      <c r="BV197" s="16" t="s">
        <v>12740</v>
      </c>
    </row>
    <row r="198" spans="61:74">
      <c r="BI198" s="16">
        <v>197</v>
      </c>
      <c r="BJ198" s="16" t="s">
        <v>73</v>
      </c>
      <c r="BO198" s="16" t="s">
        <v>12741</v>
      </c>
      <c r="BP198" s="16" t="s">
        <v>12742</v>
      </c>
      <c r="BQ198" s="16" t="s">
        <v>12743</v>
      </c>
      <c r="BR198" s="16" t="s">
        <v>12549</v>
      </c>
      <c r="BS198" s="16" t="s">
        <v>12124</v>
      </c>
      <c r="BT198" s="16" t="s">
        <v>12125</v>
      </c>
      <c r="BU198" s="16" t="s">
        <v>12126</v>
      </c>
    </row>
    <row r="199" spans="61:74">
      <c r="BI199" s="16">
        <v>198</v>
      </c>
      <c r="BJ199" s="16" t="s">
        <v>73</v>
      </c>
      <c r="BO199" s="16" t="s">
        <v>12744</v>
      </c>
      <c r="BP199" s="16" t="s">
        <v>12745</v>
      </c>
      <c r="BQ199" s="16" t="s">
        <v>12746</v>
      </c>
      <c r="BR199" s="16" t="s">
        <v>12354</v>
      </c>
      <c r="BS199" s="16" t="s">
        <v>12124</v>
      </c>
      <c r="BT199" s="16" t="s">
        <v>12125</v>
      </c>
      <c r="BU199" s="16" t="s">
        <v>12126</v>
      </c>
    </row>
    <row r="200" spans="61:74">
      <c r="BI200" s="16">
        <v>199</v>
      </c>
      <c r="BJ200" s="16" t="s">
        <v>73</v>
      </c>
      <c r="BO200" s="16" t="s">
        <v>12747</v>
      </c>
      <c r="BP200" s="16" t="s">
        <v>12748</v>
      </c>
      <c r="BQ200" s="16" t="s">
        <v>12749</v>
      </c>
      <c r="BR200" s="16" t="s">
        <v>12750</v>
      </c>
      <c r="BS200" s="16" t="s">
        <v>12124</v>
      </c>
      <c r="BT200" s="16" t="s">
        <v>12125</v>
      </c>
      <c r="BU200" s="16" t="s">
        <v>12126</v>
      </c>
    </row>
    <row r="201" spans="61:74">
      <c r="BI201" s="16">
        <v>200</v>
      </c>
      <c r="BJ201" s="16" t="s">
        <v>73</v>
      </c>
      <c r="BO201" s="16" t="s">
        <v>12751</v>
      </c>
      <c r="BP201" s="16" t="s">
        <v>12752</v>
      </c>
      <c r="BQ201" s="16" t="s">
        <v>12753</v>
      </c>
      <c r="BR201" s="16" t="s">
        <v>12131</v>
      </c>
      <c r="BS201" s="16" t="s">
        <v>12124</v>
      </c>
      <c r="BT201" s="16" t="s">
        <v>12125</v>
      </c>
      <c r="BU201" s="16" t="s">
        <v>12126</v>
      </c>
      <c r="BV201" s="16" t="s">
        <v>12754</v>
      </c>
    </row>
    <row r="202" spans="61:74">
      <c r="BI202" s="16">
        <v>201</v>
      </c>
      <c r="BJ202" s="16" t="s">
        <v>73</v>
      </c>
      <c r="BO202" s="16" t="s">
        <v>12755</v>
      </c>
      <c r="BP202" s="16" t="s">
        <v>12756</v>
      </c>
      <c r="BQ202" s="16" t="s">
        <v>12757</v>
      </c>
      <c r="BR202" s="16" t="s">
        <v>12135</v>
      </c>
      <c r="BS202" s="16" t="s">
        <v>12161</v>
      </c>
      <c r="BT202" s="16" t="s">
        <v>12162</v>
      </c>
      <c r="BU202" s="16" t="s">
        <v>12163</v>
      </c>
    </row>
    <row r="203" spans="61:74">
      <c r="BI203" s="16">
        <v>202</v>
      </c>
      <c r="BJ203" s="16" t="s">
        <v>73</v>
      </c>
      <c r="BO203" s="16" t="s">
        <v>12755</v>
      </c>
      <c r="BP203" s="16" t="s">
        <v>12756</v>
      </c>
      <c r="BQ203" s="16" t="s">
        <v>12757</v>
      </c>
      <c r="BR203" s="16" t="s">
        <v>12135</v>
      </c>
      <c r="BS203" s="16" t="s">
        <v>12758</v>
      </c>
      <c r="BT203" s="16" t="s">
        <v>12759</v>
      </c>
      <c r="BU203" s="16" t="s">
        <v>12760</v>
      </c>
    </row>
    <row r="204" spans="61:74">
      <c r="BI204" s="16">
        <v>203</v>
      </c>
      <c r="BJ204" s="16" t="s">
        <v>73</v>
      </c>
      <c r="BO204" s="16" t="s">
        <v>12761</v>
      </c>
      <c r="BP204" s="16" t="s">
        <v>12762</v>
      </c>
      <c r="BQ204" s="16" t="s">
        <v>12763</v>
      </c>
      <c r="BR204" s="16" t="s">
        <v>12201</v>
      </c>
      <c r="BS204" s="16" t="s">
        <v>12124</v>
      </c>
      <c r="BT204" s="16" t="s">
        <v>12125</v>
      </c>
      <c r="BU204" s="16" t="s">
        <v>12126</v>
      </c>
      <c r="BV204" s="16" t="s">
        <v>12764</v>
      </c>
    </row>
    <row r="205" spans="61:74">
      <c r="BI205" s="16">
        <v>204</v>
      </c>
      <c r="BJ205" s="16" t="s">
        <v>73</v>
      </c>
      <c r="BO205" s="16" t="s">
        <v>12765</v>
      </c>
      <c r="BP205" s="16" t="s">
        <v>12766</v>
      </c>
      <c r="BQ205" s="16" t="s">
        <v>12767</v>
      </c>
      <c r="BR205" s="16" t="s">
        <v>12131</v>
      </c>
      <c r="BS205" s="16" t="s">
        <v>12124</v>
      </c>
      <c r="BT205" s="16" t="s">
        <v>12125</v>
      </c>
      <c r="BU205" s="16" t="s">
        <v>12126</v>
      </c>
      <c r="BV205" s="16" t="s">
        <v>12768</v>
      </c>
    </row>
    <row r="206" spans="61:74">
      <c r="BI206" s="16">
        <v>205</v>
      </c>
      <c r="BJ206" s="16" t="s">
        <v>73</v>
      </c>
      <c r="BO206" s="16" t="s">
        <v>12769</v>
      </c>
      <c r="BP206" s="16" t="s">
        <v>12770</v>
      </c>
      <c r="BQ206" s="16" t="s">
        <v>12771</v>
      </c>
      <c r="BR206" s="16" t="s">
        <v>12229</v>
      </c>
      <c r="BS206" s="16" t="s">
        <v>12124</v>
      </c>
      <c r="BT206" s="16" t="s">
        <v>12125</v>
      </c>
      <c r="BU206" s="16" t="s">
        <v>12126</v>
      </c>
      <c r="BV206" s="16" t="s">
        <v>12772</v>
      </c>
    </row>
    <row r="207" spans="61:74">
      <c r="BI207" s="16">
        <v>206</v>
      </c>
      <c r="BJ207" s="16" t="s">
        <v>73</v>
      </c>
      <c r="BO207" s="16" t="s">
        <v>12773</v>
      </c>
      <c r="BP207" s="16" t="s">
        <v>12774</v>
      </c>
      <c r="BQ207" s="16" t="s">
        <v>12775</v>
      </c>
      <c r="BR207" s="16" t="s">
        <v>12131</v>
      </c>
      <c r="BS207" s="16" t="s">
        <v>12124</v>
      </c>
      <c r="BT207" s="16" t="s">
        <v>12125</v>
      </c>
      <c r="BU207" s="16" t="s">
        <v>12126</v>
      </c>
    </row>
    <row r="208" spans="61:74">
      <c r="BI208" s="16">
        <v>207</v>
      </c>
      <c r="BJ208" s="16" t="s">
        <v>73</v>
      </c>
      <c r="BO208" s="16" t="s">
        <v>12776</v>
      </c>
      <c r="BP208" s="16" t="s">
        <v>12777</v>
      </c>
      <c r="BQ208" s="16" t="s">
        <v>12778</v>
      </c>
      <c r="BR208" s="16" t="s">
        <v>12123</v>
      </c>
      <c r="BS208" s="16" t="s">
        <v>12124</v>
      </c>
      <c r="BT208" s="16" t="s">
        <v>12125</v>
      </c>
      <c r="BU208" s="16" t="s">
        <v>12126</v>
      </c>
    </row>
    <row r="209" spans="61:74">
      <c r="BI209" s="16">
        <v>208</v>
      </c>
      <c r="BJ209" s="16" t="s">
        <v>73</v>
      </c>
      <c r="BO209" s="16" t="s">
        <v>12779</v>
      </c>
      <c r="BP209" s="16" t="s">
        <v>12780</v>
      </c>
      <c r="BQ209" s="16" t="s">
        <v>12781</v>
      </c>
      <c r="BR209" s="16" t="s">
        <v>12135</v>
      </c>
      <c r="BS209" s="16" t="s">
        <v>12124</v>
      </c>
      <c r="BT209" s="16" t="s">
        <v>12125</v>
      </c>
      <c r="BU209" s="16" t="s">
        <v>12126</v>
      </c>
      <c r="BV209" s="16" t="s">
        <v>12782</v>
      </c>
    </row>
    <row r="210" spans="61:74">
      <c r="BI210" s="16">
        <v>209</v>
      </c>
      <c r="BJ210" s="16" t="s">
        <v>73</v>
      </c>
      <c r="BO210" s="16" t="s">
        <v>12783</v>
      </c>
      <c r="BP210" s="16" t="s">
        <v>12784</v>
      </c>
      <c r="BQ210" s="16" t="s">
        <v>12785</v>
      </c>
      <c r="BR210" s="16" t="s">
        <v>12347</v>
      </c>
      <c r="BS210" s="16" t="s">
        <v>12124</v>
      </c>
      <c r="BT210" s="16" t="s">
        <v>12125</v>
      </c>
      <c r="BU210" s="16" t="s">
        <v>12126</v>
      </c>
    </row>
    <row r="211" spans="61:74">
      <c r="BI211" s="16">
        <v>210</v>
      </c>
      <c r="BJ211" s="16" t="s">
        <v>73</v>
      </c>
      <c r="BO211" s="16" t="s">
        <v>12786</v>
      </c>
      <c r="BP211" s="16" t="s">
        <v>12787</v>
      </c>
      <c r="BQ211" s="16" t="s">
        <v>12788</v>
      </c>
      <c r="BR211" s="16" t="s">
        <v>12225</v>
      </c>
      <c r="BS211" s="16" t="s">
        <v>12124</v>
      </c>
      <c r="BT211" s="16" t="s">
        <v>12125</v>
      </c>
      <c r="BU211" s="16" t="s">
        <v>12126</v>
      </c>
    </row>
    <row r="212" spans="61:74">
      <c r="BI212" s="16">
        <v>211</v>
      </c>
      <c r="BJ212" s="16" t="s">
        <v>73</v>
      </c>
      <c r="BO212" s="16" t="s">
        <v>12789</v>
      </c>
      <c r="BP212" s="16" t="s">
        <v>12790</v>
      </c>
      <c r="BQ212" s="16" t="s">
        <v>12791</v>
      </c>
      <c r="BR212" s="16" t="s">
        <v>12123</v>
      </c>
      <c r="BS212" s="16" t="s">
        <v>12124</v>
      </c>
      <c r="BT212" s="16" t="s">
        <v>12125</v>
      </c>
      <c r="BU212" s="16" t="s">
        <v>12126</v>
      </c>
    </row>
    <row r="213" spans="61:74">
      <c r="BI213" s="16">
        <v>212</v>
      </c>
      <c r="BJ213" s="16" t="s">
        <v>73</v>
      </c>
      <c r="BO213" s="16" t="s">
        <v>12792</v>
      </c>
      <c r="BP213" s="16" t="s">
        <v>12793</v>
      </c>
      <c r="BQ213" s="16" t="s">
        <v>12794</v>
      </c>
      <c r="BR213" s="16" t="s">
        <v>12144</v>
      </c>
      <c r="BS213" s="16" t="s">
        <v>12124</v>
      </c>
      <c r="BT213" s="16" t="s">
        <v>12125</v>
      </c>
      <c r="BU213" s="16" t="s">
        <v>12126</v>
      </c>
    </row>
    <row r="214" spans="61:74">
      <c r="BI214" s="16">
        <v>213</v>
      </c>
      <c r="BJ214" s="16" t="s">
        <v>73</v>
      </c>
      <c r="BO214" s="16" t="s">
        <v>12792</v>
      </c>
      <c r="BP214" s="16" t="s">
        <v>12793</v>
      </c>
      <c r="BQ214" s="16" t="s">
        <v>12794</v>
      </c>
      <c r="BR214" s="16" t="s">
        <v>12144</v>
      </c>
      <c r="BS214" s="16" t="s">
        <v>12124</v>
      </c>
      <c r="BT214" s="16" t="s">
        <v>12125</v>
      </c>
      <c r="BU214" s="16" t="s">
        <v>12126</v>
      </c>
    </row>
    <row r="215" spans="61:74">
      <c r="BI215" s="16">
        <v>214</v>
      </c>
      <c r="BJ215" s="16" t="s">
        <v>73</v>
      </c>
      <c r="BO215" s="16" t="s">
        <v>12795</v>
      </c>
      <c r="BP215" s="16" t="s">
        <v>12796</v>
      </c>
      <c r="BQ215" s="16" t="s">
        <v>12797</v>
      </c>
      <c r="BR215" s="16" t="s">
        <v>12193</v>
      </c>
      <c r="BS215" s="16" t="s">
        <v>12149</v>
      </c>
      <c r="BT215" s="16" t="s">
        <v>12150</v>
      </c>
      <c r="BU215" s="16" t="s">
        <v>12151</v>
      </c>
    </row>
    <row r="216" spans="61:74">
      <c r="BI216" s="16">
        <v>215</v>
      </c>
      <c r="BJ216" s="16" t="s">
        <v>73</v>
      </c>
      <c r="BO216" s="16" t="s">
        <v>12795</v>
      </c>
      <c r="BP216" s="16" t="s">
        <v>12796</v>
      </c>
      <c r="BQ216" s="16" t="s">
        <v>12797</v>
      </c>
      <c r="BR216" s="16" t="s">
        <v>12193</v>
      </c>
      <c r="BS216" s="16" t="s">
        <v>12149</v>
      </c>
      <c r="BT216" s="16" t="s">
        <v>12150</v>
      </c>
      <c r="BU216" s="16" t="s">
        <v>12151</v>
      </c>
    </row>
    <row r="217" spans="61:74">
      <c r="BI217" s="16">
        <v>216</v>
      </c>
      <c r="BJ217" s="16" t="s">
        <v>73</v>
      </c>
      <c r="BO217" s="16" t="s">
        <v>12798</v>
      </c>
      <c r="BP217" s="16" t="s">
        <v>12799</v>
      </c>
      <c r="BQ217" s="16" t="s">
        <v>12800</v>
      </c>
      <c r="BR217" s="16" t="s">
        <v>12167</v>
      </c>
      <c r="BS217" s="16" t="s">
        <v>12124</v>
      </c>
      <c r="BT217" s="16" t="s">
        <v>12125</v>
      </c>
      <c r="BU217" s="16" t="s">
        <v>12126</v>
      </c>
    </row>
    <row r="218" spans="61:74">
      <c r="BI218" s="16">
        <v>217</v>
      </c>
      <c r="BJ218" s="16" t="s">
        <v>73</v>
      </c>
      <c r="BO218" s="16" t="s">
        <v>12801</v>
      </c>
      <c r="BP218" s="16" t="s">
        <v>12802</v>
      </c>
      <c r="BQ218" s="16" t="s">
        <v>12803</v>
      </c>
      <c r="BR218" s="16" t="s">
        <v>12201</v>
      </c>
      <c r="BS218" s="16" t="s">
        <v>12124</v>
      </c>
      <c r="BT218" s="16" t="s">
        <v>12125</v>
      </c>
      <c r="BU218" s="16" t="s">
        <v>12126</v>
      </c>
    </row>
    <row r="219" spans="61:74">
      <c r="BI219" s="16">
        <v>218</v>
      </c>
      <c r="BJ219" s="16" t="s">
        <v>73</v>
      </c>
      <c r="BO219" s="16" t="s">
        <v>12804</v>
      </c>
      <c r="BP219" s="16" t="s">
        <v>12805</v>
      </c>
      <c r="BQ219" s="16" t="s">
        <v>12806</v>
      </c>
      <c r="BR219" s="16" t="s">
        <v>12407</v>
      </c>
      <c r="BS219" s="16" t="s">
        <v>12124</v>
      </c>
      <c r="BT219" s="16" t="s">
        <v>12125</v>
      </c>
      <c r="BU219" s="16" t="s">
        <v>12126</v>
      </c>
    </row>
    <row r="220" spans="61:74">
      <c r="BI220" s="16">
        <v>219</v>
      </c>
      <c r="BJ220" s="16" t="s">
        <v>73</v>
      </c>
      <c r="BO220" s="16" t="s">
        <v>12807</v>
      </c>
      <c r="BP220" s="16" t="s">
        <v>12808</v>
      </c>
      <c r="BQ220" s="16" t="s">
        <v>12809</v>
      </c>
      <c r="BR220" s="16" t="s">
        <v>12225</v>
      </c>
      <c r="BS220" s="16" t="s">
        <v>12124</v>
      </c>
      <c r="BT220" s="16" t="s">
        <v>12125</v>
      </c>
      <c r="BU220" s="16" t="s">
        <v>12126</v>
      </c>
    </row>
    <row r="221" spans="61:74">
      <c r="BI221" s="16">
        <v>220</v>
      </c>
      <c r="BJ221" s="16" t="s">
        <v>73</v>
      </c>
      <c r="BO221" s="16" t="s">
        <v>12810</v>
      </c>
      <c r="BP221" s="16" t="s">
        <v>12811</v>
      </c>
      <c r="BQ221" s="16" t="s">
        <v>12812</v>
      </c>
      <c r="BR221" s="16" t="s">
        <v>12813</v>
      </c>
      <c r="BS221" s="16" t="s">
        <v>12124</v>
      </c>
      <c r="BT221" s="16" t="s">
        <v>12125</v>
      </c>
      <c r="BU221" s="16" t="s">
        <v>12126</v>
      </c>
    </row>
    <row r="222" spans="61:74">
      <c r="BI222" s="16">
        <v>221</v>
      </c>
      <c r="BJ222" s="16" t="s">
        <v>73</v>
      </c>
      <c r="BO222" s="16" t="s">
        <v>12814</v>
      </c>
      <c r="BP222" s="16" t="s">
        <v>12815</v>
      </c>
      <c r="BQ222" s="16" t="s">
        <v>12816</v>
      </c>
      <c r="BR222" s="16" t="s">
        <v>12131</v>
      </c>
      <c r="BS222" s="16" t="s">
        <v>12124</v>
      </c>
      <c r="BT222" s="16" t="s">
        <v>12125</v>
      </c>
      <c r="BU222" s="16" t="s">
        <v>12126</v>
      </c>
    </row>
    <row r="223" spans="61:74">
      <c r="BI223" s="16">
        <v>222</v>
      </c>
      <c r="BJ223" s="16" t="s">
        <v>73</v>
      </c>
      <c r="BO223" s="16" t="s">
        <v>12817</v>
      </c>
      <c r="BP223" s="16" t="s">
        <v>12818</v>
      </c>
      <c r="BQ223" s="16" t="s">
        <v>12819</v>
      </c>
      <c r="BR223" s="16" t="s">
        <v>12135</v>
      </c>
      <c r="BS223" s="16" t="s">
        <v>12124</v>
      </c>
      <c r="BT223" s="16" t="s">
        <v>12125</v>
      </c>
      <c r="BU223" s="16" t="s">
        <v>12126</v>
      </c>
    </row>
    <row r="224" spans="61:74">
      <c r="BI224" s="16">
        <v>223</v>
      </c>
      <c r="BJ224" s="16" t="s">
        <v>73</v>
      </c>
      <c r="BO224" s="16" t="s">
        <v>12820</v>
      </c>
      <c r="BP224" s="16" t="s">
        <v>12821</v>
      </c>
      <c r="BQ224" s="16" t="s">
        <v>12822</v>
      </c>
      <c r="BR224" s="16" t="s">
        <v>12497</v>
      </c>
      <c r="BS224" s="16" t="s">
        <v>12124</v>
      </c>
      <c r="BT224" s="16" t="s">
        <v>12125</v>
      </c>
      <c r="BU224" s="16" t="s">
        <v>12126</v>
      </c>
    </row>
    <row r="225" spans="61:74">
      <c r="BI225" s="16">
        <v>224</v>
      </c>
      <c r="BJ225" s="16" t="s">
        <v>73</v>
      </c>
      <c r="BO225" s="16" t="s">
        <v>12823</v>
      </c>
      <c r="BP225" s="16" t="s">
        <v>12824</v>
      </c>
      <c r="BQ225" s="16" t="s">
        <v>12825</v>
      </c>
      <c r="BR225" s="16" t="s">
        <v>12826</v>
      </c>
      <c r="BS225" s="16" t="s">
        <v>12161</v>
      </c>
      <c r="BT225" s="16" t="s">
        <v>12162</v>
      </c>
      <c r="BU225" s="16" t="s">
        <v>12163</v>
      </c>
    </row>
    <row r="226" spans="61:74">
      <c r="BI226" s="16">
        <v>225</v>
      </c>
      <c r="BJ226" s="16" t="s">
        <v>73</v>
      </c>
      <c r="BO226" s="16" t="s">
        <v>12827</v>
      </c>
      <c r="BP226" s="16" t="s">
        <v>12828</v>
      </c>
      <c r="BQ226" s="16" t="s">
        <v>12829</v>
      </c>
      <c r="BR226" s="16" t="s">
        <v>12123</v>
      </c>
      <c r="BS226" s="16" t="s">
        <v>12161</v>
      </c>
      <c r="BT226" s="16" t="s">
        <v>12162</v>
      </c>
      <c r="BU226" s="16" t="s">
        <v>12163</v>
      </c>
      <c r="BV226" s="16" t="s">
        <v>12830</v>
      </c>
    </row>
    <row r="227" spans="61:74">
      <c r="BI227" s="16">
        <v>226</v>
      </c>
      <c r="BJ227" s="16" t="s">
        <v>73</v>
      </c>
      <c r="BO227" s="16" t="s">
        <v>12831</v>
      </c>
      <c r="BP227" s="16" t="s">
        <v>12832</v>
      </c>
      <c r="BQ227" s="16" t="s">
        <v>12833</v>
      </c>
      <c r="BR227" s="16" t="s">
        <v>12354</v>
      </c>
      <c r="BS227" s="16" t="s">
        <v>12124</v>
      </c>
      <c r="BT227" s="16" t="s">
        <v>12125</v>
      </c>
      <c r="BU227" s="16" t="s">
        <v>12126</v>
      </c>
    </row>
    <row r="228" spans="61:74">
      <c r="BI228" s="16">
        <v>227</v>
      </c>
      <c r="BJ228" s="16" t="s">
        <v>73</v>
      </c>
      <c r="BO228" s="16" t="s">
        <v>12834</v>
      </c>
      <c r="BP228" s="16" t="s">
        <v>12835</v>
      </c>
      <c r="BQ228" s="16" t="s">
        <v>12836</v>
      </c>
      <c r="BR228" s="16" t="s">
        <v>12837</v>
      </c>
      <c r="BS228" s="16" t="s">
        <v>12161</v>
      </c>
      <c r="BT228" s="16" t="s">
        <v>12162</v>
      </c>
      <c r="BU228" s="16" t="s">
        <v>12163</v>
      </c>
    </row>
    <row r="229" spans="61:74">
      <c r="BI229" s="16">
        <v>228</v>
      </c>
      <c r="BJ229" s="16" t="s">
        <v>73</v>
      </c>
      <c r="BO229" s="16" t="s">
        <v>12834</v>
      </c>
      <c r="BP229" s="16" t="s">
        <v>12835</v>
      </c>
      <c r="BQ229" s="16" t="s">
        <v>12836</v>
      </c>
      <c r="BR229" s="16" t="s">
        <v>12837</v>
      </c>
      <c r="BS229" s="16" t="s">
        <v>12161</v>
      </c>
      <c r="BT229" s="16" t="s">
        <v>12162</v>
      </c>
      <c r="BU229" s="16" t="s">
        <v>12163</v>
      </c>
    </row>
    <row r="230" spans="61:74">
      <c r="BI230" s="16">
        <v>229</v>
      </c>
      <c r="BJ230" s="16" t="s">
        <v>73</v>
      </c>
      <c r="BO230" s="16" t="s">
        <v>12838</v>
      </c>
      <c r="BP230" s="16" t="s">
        <v>12839</v>
      </c>
      <c r="BQ230" s="16" t="s">
        <v>12840</v>
      </c>
      <c r="BR230" s="16" t="s">
        <v>12181</v>
      </c>
      <c r="BS230" s="16" t="s">
        <v>12124</v>
      </c>
      <c r="BT230" s="16" t="s">
        <v>12125</v>
      </c>
      <c r="BU230" s="16" t="s">
        <v>12126</v>
      </c>
    </row>
    <row r="231" spans="61:74">
      <c r="BI231" s="16">
        <v>230</v>
      </c>
      <c r="BJ231" s="16" t="s">
        <v>73</v>
      </c>
      <c r="BO231" s="16" t="s">
        <v>12841</v>
      </c>
      <c r="BP231" s="16" t="s">
        <v>12842</v>
      </c>
      <c r="BQ231" s="16" t="s">
        <v>12843</v>
      </c>
      <c r="BR231" s="16" t="s">
        <v>12844</v>
      </c>
      <c r="BS231" s="16" t="s">
        <v>12124</v>
      </c>
      <c r="BT231" s="16" t="s">
        <v>12125</v>
      </c>
      <c r="BU231" s="16" t="s">
        <v>12126</v>
      </c>
    </row>
    <row r="232" spans="61:74">
      <c r="BI232" s="16">
        <v>231</v>
      </c>
      <c r="BJ232" s="16" t="s">
        <v>73</v>
      </c>
      <c r="BO232" s="16" t="s">
        <v>12845</v>
      </c>
      <c r="BP232" s="16" t="s">
        <v>12846</v>
      </c>
      <c r="BQ232" s="16" t="s">
        <v>12847</v>
      </c>
      <c r="BR232" s="16" t="s">
        <v>12135</v>
      </c>
      <c r="BS232" s="16" t="s">
        <v>12124</v>
      </c>
      <c r="BT232" s="16" t="s">
        <v>12125</v>
      </c>
      <c r="BU232" s="16" t="s">
        <v>12126</v>
      </c>
    </row>
    <row r="233" spans="61:74">
      <c r="BI233" s="16">
        <v>232</v>
      </c>
      <c r="BJ233" s="16" t="s">
        <v>73</v>
      </c>
      <c r="BO233" s="16" t="s">
        <v>12848</v>
      </c>
      <c r="BP233" s="16" t="s">
        <v>12849</v>
      </c>
      <c r="BQ233" s="16" t="s">
        <v>12850</v>
      </c>
      <c r="BR233" s="16" t="s">
        <v>12123</v>
      </c>
      <c r="BS233" s="16" t="s">
        <v>12124</v>
      </c>
      <c r="BT233" s="16" t="s">
        <v>12125</v>
      </c>
      <c r="BU233" s="16" t="s">
        <v>12126</v>
      </c>
    </row>
    <row r="234" spans="61:74">
      <c r="BI234" s="16">
        <v>233</v>
      </c>
      <c r="BJ234" s="16" t="s">
        <v>73</v>
      </c>
      <c r="BO234" s="16" t="s">
        <v>12851</v>
      </c>
      <c r="BP234" s="16" t="s">
        <v>12852</v>
      </c>
      <c r="BQ234" s="16" t="s">
        <v>12853</v>
      </c>
      <c r="BR234" s="16" t="s">
        <v>12854</v>
      </c>
      <c r="BS234" s="16" t="s">
        <v>12124</v>
      </c>
      <c r="BT234" s="16" t="s">
        <v>12125</v>
      </c>
      <c r="BU234" s="16" t="s">
        <v>12126</v>
      </c>
      <c r="BV234" s="16" t="s">
        <v>12855</v>
      </c>
    </row>
    <row r="235" spans="61:74">
      <c r="BI235" s="16">
        <v>234</v>
      </c>
      <c r="BJ235" s="16" t="s">
        <v>73</v>
      </c>
      <c r="BO235" s="16" t="s">
        <v>12856</v>
      </c>
      <c r="BP235" s="16" t="s">
        <v>12857</v>
      </c>
      <c r="BQ235" s="16" t="s">
        <v>12858</v>
      </c>
      <c r="BR235" s="16" t="s">
        <v>12444</v>
      </c>
      <c r="BS235" s="16" t="s">
        <v>12124</v>
      </c>
      <c r="BT235" s="16" t="s">
        <v>12125</v>
      </c>
      <c r="BU235" s="16" t="s">
        <v>12126</v>
      </c>
      <c r="BV235" s="16" t="s">
        <v>12859</v>
      </c>
    </row>
    <row r="236" spans="61:74">
      <c r="BI236" s="16">
        <v>235</v>
      </c>
      <c r="BJ236" s="16" t="s">
        <v>73</v>
      </c>
      <c r="BO236" s="16" t="s">
        <v>12860</v>
      </c>
      <c r="BP236" s="16" t="s">
        <v>12861</v>
      </c>
      <c r="BQ236" s="16" t="s">
        <v>12862</v>
      </c>
      <c r="BR236" s="16" t="s">
        <v>12123</v>
      </c>
      <c r="BS236" s="16" t="s">
        <v>12124</v>
      </c>
      <c r="BT236" s="16" t="s">
        <v>12125</v>
      </c>
      <c r="BU236" s="16" t="s">
        <v>12126</v>
      </c>
    </row>
    <row r="237" spans="61:74">
      <c r="BI237" s="16">
        <v>236</v>
      </c>
      <c r="BJ237" s="16" t="s">
        <v>73</v>
      </c>
      <c r="BO237" s="16" t="s">
        <v>12863</v>
      </c>
      <c r="BP237" s="16" t="s">
        <v>12864</v>
      </c>
      <c r="BQ237" s="16" t="s">
        <v>12865</v>
      </c>
      <c r="BR237" s="16" t="s">
        <v>12123</v>
      </c>
      <c r="BS237" s="16" t="s">
        <v>12124</v>
      </c>
      <c r="BT237" s="16" t="s">
        <v>12125</v>
      </c>
      <c r="BU237" s="16" t="s">
        <v>12126</v>
      </c>
    </row>
    <row r="238" spans="61:74">
      <c r="BI238" s="16">
        <v>237</v>
      </c>
      <c r="BJ238" s="16" t="s">
        <v>73</v>
      </c>
      <c r="BO238" s="16" t="s">
        <v>12866</v>
      </c>
      <c r="BP238" s="16" t="s">
        <v>12867</v>
      </c>
      <c r="BQ238" s="16" t="s">
        <v>12868</v>
      </c>
      <c r="BR238" s="16" t="s">
        <v>12347</v>
      </c>
      <c r="BS238" s="16" t="s">
        <v>12124</v>
      </c>
      <c r="BT238" s="16" t="s">
        <v>12125</v>
      </c>
      <c r="BU238" s="16" t="s">
        <v>12126</v>
      </c>
    </row>
    <row r="239" spans="61:74">
      <c r="BI239" s="16">
        <v>238</v>
      </c>
      <c r="BJ239" s="16" t="s">
        <v>73</v>
      </c>
      <c r="BO239" s="16" t="s">
        <v>12869</v>
      </c>
      <c r="BP239" s="16" t="s">
        <v>12870</v>
      </c>
      <c r="BQ239" s="16" t="s">
        <v>12871</v>
      </c>
      <c r="BR239" s="16" t="s">
        <v>12299</v>
      </c>
      <c r="BS239" s="16" t="s">
        <v>12124</v>
      </c>
      <c r="BT239" s="16" t="s">
        <v>12125</v>
      </c>
      <c r="BU239" s="16" t="s">
        <v>12126</v>
      </c>
    </row>
    <row r="240" spans="61:74">
      <c r="BI240" s="16">
        <v>239</v>
      </c>
      <c r="BJ240" s="16" t="s">
        <v>73</v>
      </c>
      <c r="BO240" s="16" t="s">
        <v>12872</v>
      </c>
      <c r="BP240" s="16" t="s">
        <v>12873</v>
      </c>
      <c r="BQ240" s="16" t="s">
        <v>12874</v>
      </c>
      <c r="BR240" s="16" t="s">
        <v>12201</v>
      </c>
      <c r="BS240" s="16" t="s">
        <v>12161</v>
      </c>
      <c r="BT240" s="16" t="s">
        <v>12162</v>
      </c>
      <c r="BU240" s="16" t="s">
        <v>12163</v>
      </c>
    </row>
    <row r="241" spans="61:74">
      <c r="BI241" s="16">
        <v>240</v>
      </c>
      <c r="BJ241" s="16" t="s">
        <v>73</v>
      </c>
      <c r="BO241" s="16" t="s">
        <v>12875</v>
      </c>
      <c r="BP241" s="16" t="s">
        <v>12876</v>
      </c>
      <c r="BQ241" s="16" t="s">
        <v>12877</v>
      </c>
      <c r="BR241" s="16" t="s">
        <v>12444</v>
      </c>
      <c r="BS241" s="16" t="s">
        <v>12124</v>
      </c>
      <c r="BT241" s="16" t="s">
        <v>12125</v>
      </c>
      <c r="BU241" s="16" t="s">
        <v>12126</v>
      </c>
    </row>
    <row r="242" spans="61:74">
      <c r="BI242" s="16">
        <v>241</v>
      </c>
      <c r="BJ242" s="16" t="s">
        <v>73</v>
      </c>
      <c r="BO242" s="16" t="s">
        <v>12875</v>
      </c>
      <c r="BP242" s="16" t="s">
        <v>12876</v>
      </c>
      <c r="BQ242" s="16" t="s">
        <v>12877</v>
      </c>
      <c r="BR242" s="16" t="s">
        <v>12444</v>
      </c>
      <c r="BS242" s="16" t="s">
        <v>12124</v>
      </c>
      <c r="BT242" s="16" t="s">
        <v>12125</v>
      </c>
      <c r="BU242" s="16" t="s">
        <v>12126</v>
      </c>
    </row>
    <row r="243" spans="61:74">
      <c r="BI243" s="16">
        <v>242</v>
      </c>
      <c r="BJ243" s="16" t="s">
        <v>73</v>
      </c>
      <c r="BO243" s="16" t="s">
        <v>12878</v>
      </c>
      <c r="BP243" s="16" t="s">
        <v>12879</v>
      </c>
      <c r="BQ243" s="16" t="s">
        <v>12880</v>
      </c>
      <c r="BR243" s="16" t="s">
        <v>12123</v>
      </c>
      <c r="BS243" s="16" t="s">
        <v>12161</v>
      </c>
      <c r="BT243" s="16" t="s">
        <v>12162</v>
      </c>
      <c r="BU243" s="16" t="s">
        <v>12163</v>
      </c>
    </row>
    <row r="244" spans="61:74">
      <c r="BI244" s="16">
        <v>243</v>
      </c>
      <c r="BJ244" s="16" t="s">
        <v>73</v>
      </c>
      <c r="BO244" s="16" t="s">
        <v>12881</v>
      </c>
      <c r="BP244" s="16" t="s">
        <v>12882</v>
      </c>
      <c r="BQ244" s="16" t="s">
        <v>12883</v>
      </c>
      <c r="BR244" s="16" t="s">
        <v>12181</v>
      </c>
      <c r="BS244" s="16" t="s">
        <v>12124</v>
      </c>
      <c r="BT244" s="16" t="s">
        <v>12125</v>
      </c>
      <c r="BU244" s="16" t="s">
        <v>12126</v>
      </c>
    </row>
    <row r="245" spans="61:74">
      <c r="BI245" s="16">
        <v>244</v>
      </c>
      <c r="BJ245" s="16" t="s">
        <v>73</v>
      </c>
      <c r="BO245" s="16" t="s">
        <v>12884</v>
      </c>
      <c r="BP245" s="16" t="s">
        <v>12885</v>
      </c>
      <c r="BQ245" s="16" t="s">
        <v>12886</v>
      </c>
      <c r="BR245" s="16" t="s">
        <v>12470</v>
      </c>
      <c r="BS245" s="16" t="s">
        <v>12124</v>
      </c>
      <c r="BT245" s="16" t="s">
        <v>12125</v>
      </c>
      <c r="BU245" s="16" t="s">
        <v>12126</v>
      </c>
    </row>
    <row r="246" spans="61:74">
      <c r="BI246" s="16">
        <v>245</v>
      </c>
      <c r="BJ246" s="16" t="s">
        <v>73</v>
      </c>
      <c r="BO246" s="16" t="s">
        <v>12887</v>
      </c>
      <c r="BP246" s="16" t="s">
        <v>12888</v>
      </c>
      <c r="BQ246" s="16" t="s">
        <v>12889</v>
      </c>
      <c r="BR246" s="16" t="s">
        <v>12131</v>
      </c>
      <c r="BS246" s="16" t="s">
        <v>12124</v>
      </c>
      <c r="BT246" s="16" t="s">
        <v>12125</v>
      </c>
      <c r="BU246" s="16" t="s">
        <v>12126</v>
      </c>
    </row>
    <row r="247" spans="61:74">
      <c r="BI247" s="16">
        <v>246</v>
      </c>
      <c r="BJ247" s="16" t="s">
        <v>73</v>
      </c>
      <c r="BO247" s="16" t="s">
        <v>12890</v>
      </c>
      <c r="BP247" s="16" t="s">
        <v>12891</v>
      </c>
      <c r="BQ247" s="16" t="s">
        <v>12892</v>
      </c>
      <c r="BR247" s="16" t="s">
        <v>12189</v>
      </c>
      <c r="BS247" s="16" t="s">
        <v>12124</v>
      </c>
      <c r="BT247" s="16" t="s">
        <v>12125</v>
      </c>
      <c r="BU247" s="16" t="s">
        <v>12126</v>
      </c>
    </row>
    <row r="248" spans="61:74">
      <c r="BI248" s="16">
        <v>247</v>
      </c>
      <c r="BJ248" s="16" t="s">
        <v>73</v>
      </c>
      <c r="BO248" s="16" t="s">
        <v>12893</v>
      </c>
      <c r="BP248" s="16" t="s">
        <v>12894</v>
      </c>
      <c r="BQ248" s="16" t="s">
        <v>12895</v>
      </c>
      <c r="BR248" s="16" t="s">
        <v>12813</v>
      </c>
      <c r="BS248" s="16" t="s">
        <v>12124</v>
      </c>
      <c r="BT248" s="16" t="s">
        <v>12125</v>
      </c>
      <c r="BU248" s="16" t="s">
        <v>12126</v>
      </c>
    </row>
    <row r="249" spans="61:74">
      <c r="BI249" s="16">
        <v>248</v>
      </c>
      <c r="BJ249" s="16" t="s">
        <v>73</v>
      </c>
      <c r="BO249" s="16" t="s">
        <v>12896</v>
      </c>
      <c r="BP249" s="16" t="s">
        <v>12897</v>
      </c>
      <c r="BQ249" s="16" t="s">
        <v>12898</v>
      </c>
      <c r="BR249" s="16" t="s">
        <v>12541</v>
      </c>
      <c r="BS249" s="16" t="s">
        <v>12124</v>
      </c>
      <c r="BT249" s="16" t="s">
        <v>12125</v>
      </c>
      <c r="BU249" s="16" t="s">
        <v>12126</v>
      </c>
    </row>
    <row r="250" spans="61:74">
      <c r="BI250" s="16">
        <v>249</v>
      </c>
      <c r="BJ250" s="16" t="s">
        <v>73</v>
      </c>
      <c r="BO250" s="16" t="s">
        <v>12899</v>
      </c>
      <c r="BP250" s="16" t="s">
        <v>12900</v>
      </c>
      <c r="BQ250" s="16" t="s">
        <v>12901</v>
      </c>
      <c r="BR250" s="16" t="s">
        <v>12215</v>
      </c>
      <c r="BS250" s="16" t="s">
        <v>130</v>
      </c>
      <c r="BT250" s="16" t="s">
        <v>130</v>
      </c>
      <c r="BU250" s="16" t="s">
        <v>12382</v>
      </c>
    </row>
    <row r="251" spans="61:74">
      <c r="BI251" s="16">
        <v>250</v>
      </c>
      <c r="BJ251" s="16" t="s">
        <v>73</v>
      </c>
      <c r="BO251" s="16" t="s">
        <v>12902</v>
      </c>
      <c r="BP251" s="16" t="s">
        <v>12903</v>
      </c>
      <c r="BQ251" s="16" t="s">
        <v>12904</v>
      </c>
      <c r="BR251" s="16" t="s">
        <v>12589</v>
      </c>
      <c r="BS251" s="16" t="s">
        <v>12124</v>
      </c>
      <c r="BT251" s="16" t="s">
        <v>12125</v>
      </c>
      <c r="BU251" s="16" t="s">
        <v>12126</v>
      </c>
    </row>
    <row r="252" spans="61:74">
      <c r="BI252" s="16">
        <v>251</v>
      </c>
      <c r="BJ252" s="16" t="s">
        <v>73</v>
      </c>
      <c r="BO252" s="16" t="s">
        <v>12905</v>
      </c>
      <c r="BP252" s="16" t="s">
        <v>12906</v>
      </c>
      <c r="BQ252" s="16" t="s">
        <v>12907</v>
      </c>
      <c r="BR252" s="16" t="s">
        <v>12470</v>
      </c>
      <c r="BS252" s="16" t="s">
        <v>12124</v>
      </c>
      <c r="BT252" s="16" t="s">
        <v>12125</v>
      </c>
      <c r="BU252" s="16" t="s">
        <v>12126</v>
      </c>
    </row>
    <row r="253" spans="61:74">
      <c r="BI253" s="16">
        <v>252</v>
      </c>
      <c r="BJ253" s="16" t="s">
        <v>73</v>
      </c>
      <c r="BO253" s="16" t="s">
        <v>12908</v>
      </c>
      <c r="BP253" s="16" t="s">
        <v>12909</v>
      </c>
      <c r="BQ253" s="16" t="s">
        <v>12910</v>
      </c>
      <c r="BR253" s="16" t="s">
        <v>12911</v>
      </c>
      <c r="BS253" s="16" t="s">
        <v>12149</v>
      </c>
      <c r="BT253" s="16" t="s">
        <v>12150</v>
      </c>
      <c r="BU253" s="16" t="s">
        <v>12151</v>
      </c>
      <c r="BV253" s="16" t="s">
        <v>12912</v>
      </c>
    </row>
    <row r="254" spans="61:74">
      <c r="BI254" s="16">
        <v>253</v>
      </c>
      <c r="BJ254" s="16" t="s">
        <v>73</v>
      </c>
      <c r="BO254" s="16" t="s">
        <v>12913</v>
      </c>
      <c r="BP254" s="16" t="s">
        <v>12914</v>
      </c>
      <c r="BQ254" s="16" t="s">
        <v>12915</v>
      </c>
      <c r="BR254" s="16" t="s">
        <v>12189</v>
      </c>
      <c r="BS254" s="16" t="s">
        <v>12161</v>
      </c>
      <c r="BT254" s="16" t="s">
        <v>12162</v>
      </c>
      <c r="BU254" s="16" t="s">
        <v>12163</v>
      </c>
    </row>
    <row r="255" spans="61:74">
      <c r="BI255" s="16">
        <v>254</v>
      </c>
      <c r="BJ255" s="16" t="s">
        <v>73</v>
      </c>
      <c r="BO255" s="16" t="s">
        <v>12916</v>
      </c>
      <c r="BP255" s="16" t="s">
        <v>12917</v>
      </c>
      <c r="BQ255" s="16" t="s">
        <v>12918</v>
      </c>
      <c r="BR255" s="16" t="s">
        <v>12919</v>
      </c>
      <c r="BS255" s="16" t="s">
        <v>12149</v>
      </c>
      <c r="BT255" s="16" t="s">
        <v>12150</v>
      </c>
      <c r="BU255" s="16" t="s">
        <v>12151</v>
      </c>
    </row>
    <row r="256" spans="61:74">
      <c r="BI256" s="16">
        <v>255</v>
      </c>
      <c r="BJ256" s="16" t="s">
        <v>73</v>
      </c>
      <c r="BO256" s="16" t="s">
        <v>12916</v>
      </c>
      <c r="BP256" s="16" t="s">
        <v>12917</v>
      </c>
      <c r="BQ256" s="16" t="s">
        <v>12918</v>
      </c>
      <c r="BR256" s="16" t="s">
        <v>12919</v>
      </c>
      <c r="BS256" s="16" t="s">
        <v>12149</v>
      </c>
      <c r="BT256" s="16" t="s">
        <v>12150</v>
      </c>
      <c r="BU256" s="16" t="s">
        <v>12151</v>
      </c>
    </row>
    <row r="257" spans="61:74">
      <c r="BI257" s="16">
        <v>256</v>
      </c>
      <c r="BJ257" s="16" t="s">
        <v>73</v>
      </c>
      <c r="BO257" s="16" t="s">
        <v>12920</v>
      </c>
      <c r="BP257" s="16" t="s">
        <v>12921</v>
      </c>
      <c r="BQ257" s="16" t="s">
        <v>12922</v>
      </c>
      <c r="BR257" s="16" t="s">
        <v>12167</v>
      </c>
      <c r="BS257" s="16" t="s">
        <v>12161</v>
      </c>
      <c r="BT257" s="16" t="s">
        <v>12162</v>
      </c>
      <c r="BU257" s="16" t="s">
        <v>12163</v>
      </c>
    </row>
    <row r="258" spans="61:74">
      <c r="BI258" s="16">
        <v>257</v>
      </c>
      <c r="BJ258" s="16" t="s">
        <v>73</v>
      </c>
      <c r="BO258" s="16" t="s">
        <v>12923</v>
      </c>
      <c r="BP258" s="16" t="s">
        <v>12924</v>
      </c>
      <c r="BQ258" s="16" t="s">
        <v>12925</v>
      </c>
      <c r="BR258" s="16" t="s">
        <v>12201</v>
      </c>
      <c r="BS258" s="16" t="s">
        <v>12124</v>
      </c>
      <c r="BT258" s="16" t="s">
        <v>12125</v>
      </c>
      <c r="BU258" s="16" t="s">
        <v>12126</v>
      </c>
    </row>
    <row r="259" spans="61:74">
      <c r="BI259" s="16">
        <v>258</v>
      </c>
      <c r="BJ259" s="16" t="s">
        <v>73</v>
      </c>
      <c r="BO259" s="16" t="s">
        <v>12926</v>
      </c>
      <c r="BP259" s="16" t="s">
        <v>12927</v>
      </c>
      <c r="BQ259" s="16" t="s">
        <v>12928</v>
      </c>
      <c r="BR259" s="16" t="s">
        <v>12177</v>
      </c>
      <c r="BS259" s="16" t="s">
        <v>12124</v>
      </c>
      <c r="BT259" s="16" t="s">
        <v>12125</v>
      </c>
      <c r="BU259" s="16" t="s">
        <v>12126</v>
      </c>
    </row>
    <row r="260" spans="61:74">
      <c r="BI260" s="16">
        <v>259</v>
      </c>
      <c r="BJ260" s="16" t="s">
        <v>73</v>
      </c>
      <c r="BO260" s="16" t="s">
        <v>12929</v>
      </c>
      <c r="BP260" s="16" t="s">
        <v>12930</v>
      </c>
      <c r="BQ260" s="16" t="s">
        <v>12931</v>
      </c>
      <c r="BR260" s="16" t="s">
        <v>12123</v>
      </c>
      <c r="BS260" s="16" t="s">
        <v>12124</v>
      </c>
      <c r="BT260" s="16" t="s">
        <v>12125</v>
      </c>
      <c r="BU260" s="16" t="s">
        <v>12126</v>
      </c>
    </row>
    <row r="261" spans="61:74">
      <c r="BI261" s="16">
        <v>260</v>
      </c>
      <c r="BJ261" s="16" t="s">
        <v>73</v>
      </c>
      <c r="BO261" s="16" t="s">
        <v>12932</v>
      </c>
      <c r="BP261" s="16" t="s">
        <v>12933</v>
      </c>
      <c r="BQ261" s="16" t="s">
        <v>12934</v>
      </c>
      <c r="BR261" s="16" t="s">
        <v>12123</v>
      </c>
      <c r="BS261" s="16" t="s">
        <v>12124</v>
      </c>
      <c r="BT261" s="16" t="s">
        <v>12125</v>
      </c>
      <c r="BU261" s="16" t="s">
        <v>12126</v>
      </c>
    </row>
    <row r="262" spans="61:74">
      <c r="BI262" s="16">
        <v>261</v>
      </c>
      <c r="BJ262" s="16" t="s">
        <v>73</v>
      </c>
      <c r="BO262" s="16" t="s">
        <v>12935</v>
      </c>
      <c r="BP262" s="16" t="s">
        <v>12936</v>
      </c>
      <c r="BQ262" s="16" t="s">
        <v>12937</v>
      </c>
      <c r="BR262" s="16" t="s">
        <v>12135</v>
      </c>
      <c r="BS262" s="16" t="s">
        <v>12124</v>
      </c>
      <c r="BT262" s="16" t="s">
        <v>12125</v>
      </c>
      <c r="BU262" s="16" t="s">
        <v>12126</v>
      </c>
    </row>
    <row r="263" spans="61:74">
      <c r="BI263" s="16">
        <v>262</v>
      </c>
      <c r="BJ263" s="16" t="s">
        <v>73</v>
      </c>
      <c r="BO263" s="16" t="s">
        <v>12938</v>
      </c>
      <c r="BP263" s="16" t="s">
        <v>12939</v>
      </c>
      <c r="BQ263" s="16" t="s">
        <v>12940</v>
      </c>
      <c r="BR263" s="16" t="s">
        <v>12225</v>
      </c>
      <c r="BS263" s="16" t="s">
        <v>12124</v>
      </c>
      <c r="BT263" s="16" t="s">
        <v>12125</v>
      </c>
      <c r="BU263" s="16" t="s">
        <v>12126</v>
      </c>
      <c r="BV263" s="16" t="s">
        <v>12941</v>
      </c>
    </row>
    <row r="264" spans="61:74">
      <c r="BI264" s="16">
        <v>263</v>
      </c>
      <c r="BJ264" s="16" t="s">
        <v>73</v>
      </c>
      <c r="BO264" s="16" t="s">
        <v>12942</v>
      </c>
      <c r="BP264" s="16" t="s">
        <v>12943</v>
      </c>
      <c r="BQ264" s="16" t="s">
        <v>12944</v>
      </c>
      <c r="BR264" s="16" t="s">
        <v>12299</v>
      </c>
      <c r="BS264" s="16" t="s">
        <v>12124</v>
      </c>
      <c r="BT264" s="16" t="s">
        <v>12125</v>
      </c>
      <c r="BU264" s="16" t="s">
        <v>12126</v>
      </c>
    </row>
    <row r="265" spans="61:74">
      <c r="BI265" s="16">
        <v>264</v>
      </c>
      <c r="BJ265" s="16" t="s">
        <v>73</v>
      </c>
      <c r="BO265" s="16" t="s">
        <v>12945</v>
      </c>
      <c r="BP265" s="16" t="s">
        <v>12946</v>
      </c>
      <c r="BQ265" s="16" t="s">
        <v>12947</v>
      </c>
      <c r="BR265" s="16" t="s">
        <v>12185</v>
      </c>
      <c r="BS265" s="16" t="s">
        <v>12124</v>
      </c>
      <c r="BT265" s="16" t="s">
        <v>12125</v>
      </c>
      <c r="BU265" s="16" t="s">
        <v>12126</v>
      </c>
    </row>
    <row r="266" spans="61:74">
      <c r="BI266" s="16">
        <v>265</v>
      </c>
      <c r="BJ266" s="16" t="s">
        <v>73</v>
      </c>
      <c r="BO266" s="16" t="s">
        <v>12948</v>
      </c>
      <c r="BP266" s="16" t="s">
        <v>12949</v>
      </c>
      <c r="BQ266" s="16" t="s">
        <v>12950</v>
      </c>
      <c r="BR266" s="16" t="s">
        <v>12123</v>
      </c>
      <c r="BS266" s="16" t="s">
        <v>12124</v>
      </c>
      <c r="BT266" s="16" t="s">
        <v>12125</v>
      </c>
      <c r="BU266" s="16" t="s">
        <v>12126</v>
      </c>
    </row>
    <row r="267" spans="61:74">
      <c r="BI267" s="16">
        <v>266</v>
      </c>
      <c r="BJ267" s="16" t="s">
        <v>73</v>
      </c>
      <c r="BO267" s="16" t="s">
        <v>12951</v>
      </c>
      <c r="BP267" s="16" t="s">
        <v>12952</v>
      </c>
      <c r="BQ267" s="16" t="s">
        <v>12953</v>
      </c>
      <c r="BR267" s="16" t="s">
        <v>12123</v>
      </c>
      <c r="BS267" s="16" t="s">
        <v>12124</v>
      </c>
      <c r="BT267" s="16" t="s">
        <v>12125</v>
      </c>
      <c r="BU267" s="16" t="s">
        <v>12126</v>
      </c>
    </row>
    <row r="268" spans="61:74">
      <c r="BI268" s="16">
        <v>267</v>
      </c>
      <c r="BJ268" s="16" t="s">
        <v>73</v>
      </c>
      <c r="BO268" s="16" t="s">
        <v>12951</v>
      </c>
      <c r="BP268" s="16" t="s">
        <v>12952</v>
      </c>
      <c r="BQ268" s="16" t="s">
        <v>12953</v>
      </c>
      <c r="BR268" s="16" t="s">
        <v>12123</v>
      </c>
      <c r="BS268" s="16" t="s">
        <v>12149</v>
      </c>
      <c r="BT268" s="16" t="s">
        <v>12150</v>
      </c>
      <c r="BU268" s="16" t="s">
        <v>12151</v>
      </c>
    </row>
    <row r="269" spans="61:74">
      <c r="BI269" s="16">
        <v>268</v>
      </c>
      <c r="BJ269" s="16" t="s">
        <v>73</v>
      </c>
      <c r="BO269" s="16" t="s">
        <v>12951</v>
      </c>
      <c r="BP269" s="16" t="s">
        <v>12952</v>
      </c>
      <c r="BQ269" s="16" t="s">
        <v>12953</v>
      </c>
      <c r="BR269" s="16" t="s">
        <v>12123</v>
      </c>
      <c r="BS269" s="16" t="s">
        <v>12152</v>
      </c>
      <c r="BT269" s="16" t="s">
        <v>12153</v>
      </c>
      <c r="BU269" s="16" t="s">
        <v>12154</v>
      </c>
    </row>
    <row r="270" spans="61:74">
      <c r="BI270" s="16">
        <v>269</v>
      </c>
      <c r="BJ270" s="16" t="s">
        <v>73</v>
      </c>
      <c r="BO270" s="16" t="s">
        <v>12954</v>
      </c>
      <c r="BP270" s="16" t="s">
        <v>12955</v>
      </c>
      <c r="BQ270" s="16" t="s">
        <v>12956</v>
      </c>
      <c r="BR270" s="16" t="s">
        <v>12177</v>
      </c>
      <c r="BS270" s="16" t="s">
        <v>12124</v>
      </c>
      <c r="BT270" s="16" t="s">
        <v>12125</v>
      </c>
      <c r="BU270" s="16" t="s">
        <v>12126</v>
      </c>
    </row>
    <row r="271" spans="61:74">
      <c r="BI271" s="16">
        <v>270</v>
      </c>
      <c r="BJ271" s="16" t="s">
        <v>73</v>
      </c>
      <c r="BO271" s="16" t="s">
        <v>12957</v>
      </c>
      <c r="BP271" s="16" t="s">
        <v>12958</v>
      </c>
      <c r="BQ271" s="16" t="s">
        <v>12959</v>
      </c>
      <c r="BR271" s="16" t="s">
        <v>12177</v>
      </c>
      <c r="BS271" s="16" t="s">
        <v>12124</v>
      </c>
      <c r="BT271" s="16" t="s">
        <v>12125</v>
      </c>
      <c r="BU271" s="16" t="s">
        <v>12126</v>
      </c>
    </row>
    <row r="272" spans="61:74">
      <c r="BI272" s="16">
        <v>271</v>
      </c>
      <c r="BJ272" s="16" t="s">
        <v>73</v>
      </c>
      <c r="BO272" s="16" t="s">
        <v>12960</v>
      </c>
      <c r="BP272" s="16" t="s">
        <v>12961</v>
      </c>
      <c r="BQ272" s="16" t="s">
        <v>12962</v>
      </c>
      <c r="BR272" s="16" t="s">
        <v>12963</v>
      </c>
      <c r="BS272" s="16" t="s">
        <v>12124</v>
      </c>
      <c r="BT272" s="16" t="s">
        <v>12125</v>
      </c>
      <c r="BU272" s="16" t="s">
        <v>12126</v>
      </c>
    </row>
    <row r="273" spans="61:74">
      <c r="BI273" s="16">
        <v>272</v>
      </c>
      <c r="BJ273" s="16" t="s">
        <v>73</v>
      </c>
      <c r="BO273" s="16" t="s">
        <v>12964</v>
      </c>
      <c r="BP273" s="16" t="s">
        <v>12965</v>
      </c>
      <c r="BQ273" s="16" t="s">
        <v>12966</v>
      </c>
      <c r="BR273" s="16" t="s">
        <v>12201</v>
      </c>
      <c r="BS273" s="16" t="s">
        <v>12149</v>
      </c>
      <c r="BT273" s="16" t="s">
        <v>12150</v>
      </c>
      <c r="BU273" s="16" t="s">
        <v>12151</v>
      </c>
    </row>
    <row r="274" spans="61:74">
      <c r="BI274" s="16">
        <v>273</v>
      </c>
      <c r="BJ274" s="16" t="s">
        <v>73</v>
      </c>
      <c r="BO274" s="16" t="s">
        <v>12967</v>
      </c>
      <c r="BP274" s="16" t="s">
        <v>12968</v>
      </c>
      <c r="BQ274" s="16" t="s">
        <v>12969</v>
      </c>
      <c r="BR274" s="16" t="s">
        <v>12541</v>
      </c>
      <c r="BS274" s="16" t="s">
        <v>12149</v>
      </c>
      <c r="BT274" s="16" t="s">
        <v>12150</v>
      </c>
      <c r="BU274" s="16" t="s">
        <v>12151</v>
      </c>
    </row>
    <row r="275" spans="61:74">
      <c r="BI275" s="16">
        <v>274</v>
      </c>
      <c r="BJ275" s="16" t="s">
        <v>73</v>
      </c>
      <c r="BO275" s="16" t="s">
        <v>12970</v>
      </c>
      <c r="BP275" s="16" t="s">
        <v>12971</v>
      </c>
      <c r="BQ275" s="16" t="s">
        <v>12972</v>
      </c>
      <c r="BR275" s="16" t="s">
        <v>12167</v>
      </c>
      <c r="BS275" s="16" t="s">
        <v>130</v>
      </c>
      <c r="BT275" s="16" t="s">
        <v>130</v>
      </c>
      <c r="BU275" s="16" t="s">
        <v>12382</v>
      </c>
    </row>
    <row r="276" spans="61:74">
      <c r="BI276" s="16">
        <v>275</v>
      </c>
      <c r="BJ276" s="16" t="s">
        <v>73</v>
      </c>
      <c r="BO276" s="16" t="s">
        <v>12973</v>
      </c>
      <c r="BP276" s="16" t="s">
        <v>12974</v>
      </c>
      <c r="BQ276" s="16" t="s">
        <v>12975</v>
      </c>
      <c r="BR276" s="16" t="s">
        <v>12123</v>
      </c>
      <c r="BS276" s="16" t="s">
        <v>12124</v>
      </c>
      <c r="BT276" s="16" t="s">
        <v>12125</v>
      </c>
      <c r="BU276" s="16" t="s">
        <v>12126</v>
      </c>
      <c r="BV276" s="16" t="s">
        <v>12976</v>
      </c>
    </row>
    <row r="277" spans="61:74">
      <c r="BI277" s="16">
        <v>276</v>
      </c>
      <c r="BJ277" s="16" t="s">
        <v>73</v>
      </c>
      <c r="BO277" s="16" t="s">
        <v>12977</v>
      </c>
      <c r="BP277" s="16" t="s">
        <v>12978</v>
      </c>
      <c r="BQ277" s="16" t="s">
        <v>12979</v>
      </c>
      <c r="BR277" s="16" t="s">
        <v>12444</v>
      </c>
      <c r="BS277" s="16" t="s">
        <v>12124</v>
      </c>
      <c r="BT277" s="16" t="s">
        <v>12125</v>
      </c>
      <c r="BU277" s="16" t="s">
        <v>12126</v>
      </c>
    </row>
    <row r="278" spans="61:74">
      <c r="BI278" s="16">
        <v>277</v>
      </c>
      <c r="BJ278" s="16" t="s">
        <v>73</v>
      </c>
      <c r="BO278" s="16" t="s">
        <v>12980</v>
      </c>
      <c r="BP278" s="16" t="s">
        <v>12981</v>
      </c>
      <c r="BQ278" s="16" t="s">
        <v>12982</v>
      </c>
      <c r="BR278" s="16" t="s">
        <v>12193</v>
      </c>
      <c r="BS278" s="16" t="s">
        <v>12124</v>
      </c>
      <c r="BT278" s="16" t="s">
        <v>12125</v>
      </c>
      <c r="BU278" s="16" t="s">
        <v>12126</v>
      </c>
    </row>
    <row r="279" spans="61:74">
      <c r="BI279" s="16">
        <v>278</v>
      </c>
      <c r="BJ279" s="16" t="s">
        <v>73</v>
      </c>
      <c r="BO279" s="16" t="s">
        <v>12983</v>
      </c>
      <c r="BP279" s="16" t="s">
        <v>12984</v>
      </c>
      <c r="BQ279" s="16" t="s">
        <v>12985</v>
      </c>
      <c r="BR279" s="16" t="s">
        <v>12497</v>
      </c>
      <c r="BS279" s="16" t="s">
        <v>12124</v>
      </c>
      <c r="BT279" s="16" t="s">
        <v>12125</v>
      </c>
      <c r="BU279" s="16" t="s">
        <v>12126</v>
      </c>
    </row>
    <row r="280" spans="61:74">
      <c r="BI280" s="16">
        <v>279</v>
      </c>
      <c r="BJ280" s="16" t="s">
        <v>73</v>
      </c>
      <c r="BO280" s="16" t="s">
        <v>12986</v>
      </c>
      <c r="BP280" s="16" t="s">
        <v>12987</v>
      </c>
      <c r="BQ280" s="16" t="s">
        <v>12988</v>
      </c>
      <c r="BR280" s="16" t="s">
        <v>12989</v>
      </c>
      <c r="BS280" s="16" t="s">
        <v>12124</v>
      </c>
      <c r="BT280" s="16" t="s">
        <v>12125</v>
      </c>
      <c r="BU280" s="16" t="s">
        <v>12126</v>
      </c>
    </row>
    <row r="281" spans="61:74">
      <c r="BI281" s="16">
        <v>280</v>
      </c>
      <c r="BJ281" s="16" t="s">
        <v>73</v>
      </c>
      <c r="BO281" s="16" t="s">
        <v>12990</v>
      </c>
      <c r="BP281" s="16" t="s">
        <v>12991</v>
      </c>
      <c r="BQ281" s="16" t="s">
        <v>12992</v>
      </c>
      <c r="BR281" s="16" t="s">
        <v>12177</v>
      </c>
      <c r="BS281" s="16" t="s">
        <v>12124</v>
      </c>
      <c r="BT281" s="16" t="s">
        <v>12125</v>
      </c>
      <c r="BU281" s="16" t="s">
        <v>12126</v>
      </c>
    </row>
    <row r="282" spans="61:74">
      <c r="BI282" s="16">
        <v>281</v>
      </c>
      <c r="BJ282" s="16" t="s">
        <v>73</v>
      </c>
      <c r="BO282" s="16" t="s">
        <v>12993</v>
      </c>
      <c r="BP282" s="16" t="s">
        <v>12994</v>
      </c>
      <c r="BQ282" s="16" t="s">
        <v>12995</v>
      </c>
      <c r="BR282" s="16" t="s">
        <v>12177</v>
      </c>
      <c r="BS282" s="16" t="s">
        <v>12124</v>
      </c>
      <c r="BT282" s="16" t="s">
        <v>12125</v>
      </c>
      <c r="BU282" s="16" t="s">
        <v>12126</v>
      </c>
    </row>
    <row r="283" spans="61:74">
      <c r="BI283" s="16">
        <v>282</v>
      </c>
      <c r="BJ283" s="16" t="s">
        <v>73</v>
      </c>
      <c r="BO283" s="16" t="s">
        <v>12996</v>
      </c>
      <c r="BP283" s="16" t="s">
        <v>12997</v>
      </c>
      <c r="BQ283" s="16" t="s">
        <v>12998</v>
      </c>
      <c r="BR283" s="16" t="s">
        <v>12573</v>
      </c>
      <c r="BS283" s="16" t="s">
        <v>12124</v>
      </c>
      <c r="BT283" s="16" t="s">
        <v>12125</v>
      </c>
      <c r="BU283" s="16" t="s">
        <v>12126</v>
      </c>
    </row>
    <row r="284" spans="61:74">
      <c r="BI284" s="16">
        <v>283</v>
      </c>
      <c r="BJ284" s="16" t="s">
        <v>73</v>
      </c>
      <c r="BO284" s="16" t="s">
        <v>12999</v>
      </c>
      <c r="BP284" s="16" t="s">
        <v>13000</v>
      </c>
      <c r="BQ284" s="16" t="s">
        <v>13001</v>
      </c>
      <c r="BR284" s="16" t="s">
        <v>12299</v>
      </c>
      <c r="BS284" s="16" t="s">
        <v>12205</v>
      </c>
      <c r="BT284" s="16" t="s">
        <v>12206</v>
      </c>
      <c r="BU284" s="16" t="s">
        <v>12207</v>
      </c>
    </row>
    <row r="285" spans="61:74">
      <c r="BI285" s="16">
        <v>284</v>
      </c>
      <c r="BJ285" s="16" t="s">
        <v>73</v>
      </c>
      <c r="BO285" s="16" t="s">
        <v>12999</v>
      </c>
      <c r="BP285" s="16" t="s">
        <v>13000</v>
      </c>
      <c r="BQ285" s="16" t="s">
        <v>13001</v>
      </c>
      <c r="BR285" s="16" t="s">
        <v>12299</v>
      </c>
      <c r="BS285" s="16" t="s">
        <v>12205</v>
      </c>
      <c r="BT285" s="16" t="s">
        <v>12206</v>
      </c>
      <c r="BU285" s="16" t="s">
        <v>12207</v>
      </c>
    </row>
    <row r="286" spans="61:74">
      <c r="BI286" s="16">
        <v>285</v>
      </c>
      <c r="BJ286" s="16" t="s">
        <v>73</v>
      </c>
      <c r="BO286" s="16" t="s">
        <v>13002</v>
      </c>
      <c r="BP286" s="16" t="s">
        <v>13003</v>
      </c>
      <c r="BQ286" s="16" t="s">
        <v>13004</v>
      </c>
      <c r="BR286" s="16" t="s">
        <v>12578</v>
      </c>
      <c r="BS286" s="16" t="s">
        <v>12124</v>
      </c>
      <c r="BT286" s="16" t="s">
        <v>12125</v>
      </c>
      <c r="BU286" s="16" t="s">
        <v>12126</v>
      </c>
    </row>
    <row r="287" spans="61:74">
      <c r="BI287" s="16">
        <v>286</v>
      </c>
      <c r="BJ287" s="16" t="s">
        <v>73</v>
      </c>
      <c r="BO287" s="16" t="s">
        <v>13005</v>
      </c>
      <c r="BP287" s="16" t="s">
        <v>13006</v>
      </c>
      <c r="BQ287" s="16" t="s">
        <v>13007</v>
      </c>
      <c r="BR287" s="16" t="s">
        <v>13008</v>
      </c>
      <c r="BS287" s="16" t="s">
        <v>12124</v>
      </c>
      <c r="BT287" s="16" t="s">
        <v>12125</v>
      </c>
      <c r="BU287" s="16" t="s">
        <v>12126</v>
      </c>
    </row>
    <row r="288" spans="61:74">
      <c r="BI288" s="16">
        <v>287</v>
      </c>
      <c r="BJ288" s="16" t="s">
        <v>73</v>
      </c>
      <c r="BO288" s="16" t="s">
        <v>13009</v>
      </c>
      <c r="BP288" s="16" t="s">
        <v>13010</v>
      </c>
      <c r="BQ288" s="16" t="s">
        <v>13011</v>
      </c>
      <c r="BR288" s="16" t="s">
        <v>12318</v>
      </c>
      <c r="BS288" s="16" t="s">
        <v>12124</v>
      </c>
      <c r="BT288" s="16" t="s">
        <v>12125</v>
      </c>
      <c r="BU288" s="16" t="s">
        <v>12126</v>
      </c>
    </row>
    <row r="289" spans="61:75">
      <c r="BI289" s="16">
        <v>288</v>
      </c>
      <c r="BJ289" s="16" t="s">
        <v>73</v>
      </c>
      <c r="BO289" s="16" t="s">
        <v>13012</v>
      </c>
      <c r="BP289" s="16" t="s">
        <v>13013</v>
      </c>
      <c r="BQ289" s="16" t="s">
        <v>13014</v>
      </c>
      <c r="BR289" s="16" t="s">
        <v>12123</v>
      </c>
      <c r="BS289" s="16" t="s">
        <v>12124</v>
      </c>
      <c r="BT289" s="16" t="s">
        <v>12125</v>
      </c>
      <c r="BU289" s="16" t="s">
        <v>12126</v>
      </c>
    </row>
    <row r="290" spans="61:75">
      <c r="BI290" s="16">
        <v>289</v>
      </c>
      <c r="BJ290" s="16" t="s">
        <v>73</v>
      </c>
      <c r="BO290" s="16" t="s">
        <v>13015</v>
      </c>
      <c r="BP290" s="16" t="s">
        <v>13016</v>
      </c>
      <c r="BQ290" s="16" t="s">
        <v>13017</v>
      </c>
      <c r="BR290" s="16" t="s">
        <v>13018</v>
      </c>
      <c r="BS290" s="16" t="s">
        <v>12149</v>
      </c>
      <c r="BT290" s="16" t="s">
        <v>12150</v>
      </c>
      <c r="BU290" s="16" t="s">
        <v>12151</v>
      </c>
    </row>
    <row r="291" spans="61:75">
      <c r="BI291" s="16">
        <v>290</v>
      </c>
      <c r="BJ291" s="16" t="s">
        <v>73</v>
      </c>
      <c r="BO291" s="16" t="s">
        <v>13015</v>
      </c>
      <c r="BP291" s="16" t="s">
        <v>13016</v>
      </c>
      <c r="BQ291" s="16" t="s">
        <v>13017</v>
      </c>
      <c r="BR291" s="16" t="s">
        <v>13018</v>
      </c>
      <c r="BS291" s="16" t="s">
        <v>12124</v>
      </c>
      <c r="BT291" s="16" t="s">
        <v>12125</v>
      </c>
      <c r="BU291" s="16" t="s">
        <v>12126</v>
      </c>
    </row>
    <row r="292" spans="61:75">
      <c r="BI292" s="16">
        <v>291</v>
      </c>
      <c r="BJ292" s="16" t="s">
        <v>73</v>
      </c>
      <c r="BO292" s="16" t="s">
        <v>13015</v>
      </c>
      <c r="BP292" s="16" t="s">
        <v>13016</v>
      </c>
      <c r="BQ292" s="16" t="s">
        <v>13017</v>
      </c>
      <c r="BR292" s="16" t="s">
        <v>13018</v>
      </c>
      <c r="BS292" s="16" t="s">
        <v>12152</v>
      </c>
      <c r="BT292" s="16" t="s">
        <v>12153</v>
      </c>
      <c r="BU292" s="16" t="s">
        <v>12154</v>
      </c>
    </row>
    <row r="293" spans="61:75">
      <c r="BI293" s="16">
        <v>292</v>
      </c>
      <c r="BJ293" s="16" t="s">
        <v>73</v>
      </c>
      <c r="BO293" s="16" t="s">
        <v>13019</v>
      </c>
      <c r="BP293" s="16" t="s">
        <v>13020</v>
      </c>
      <c r="BQ293" s="16" t="s">
        <v>13021</v>
      </c>
      <c r="BR293" s="16" t="s">
        <v>12275</v>
      </c>
      <c r="BS293" s="16" t="s">
        <v>130</v>
      </c>
      <c r="BT293" s="16" t="s">
        <v>130</v>
      </c>
      <c r="BU293" s="16" t="s">
        <v>12382</v>
      </c>
    </row>
    <row r="294" spans="61:75">
      <c r="BI294" s="16">
        <v>293</v>
      </c>
      <c r="BJ294" s="16" t="s">
        <v>73</v>
      </c>
      <c r="BO294" s="16" t="s">
        <v>13022</v>
      </c>
      <c r="BP294" s="16" t="s">
        <v>13023</v>
      </c>
      <c r="BQ294" s="16" t="s">
        <v>13024</v>
      </c>
      <c r="BR294" s="16" t="s">
        <v>13025</v>
      </c>
      <c r="BS294" s="16" t="s">
        <v>12124</v>
      </c>
      <c r="BT294" s="16" t="s">
        <v>12125</v>
      </c>
      <c r="BU294" s="16" t="s">
        <v>12126</v>
      </c>
    </row>
    <row r="295" spans="61:75">
      <c r="BI295" s="16">
        <v>294</v>
      </c>
      <c r="BJ295" s="16" t="s">
        <v>73</v>
      </c>
      <c r="BO295" s="16" t="s">
        <v>13026</v>
      </c>
      <c r="BP295" s="16" t="s">
        <v>13027</v>
      </c>
      <c r="BQ295" s="16" t="s">
        <v>13028</v>
      </c>
      <c r="BR295" s="16" t="s">
        <v>12181</v>
      </c>
      <c r="BS295" s="16" t="s">
        <v>12168</v>
      </c>
      <c r="BT295" s="16" t="s">
        <v>12169</v>
      </c>
      <c r="BU295" s="16" t="s">
        <v>12170</v>
      </c>
    </row>
    <row r="296" spans="61:75">
      <c r="BI296" s="16">
        <v>295</v>
      </c>
      <c r="BJ296" s="16" t="s">
        <v>73</v>
      </c>
      <c r="BO296" s="16" t="s">
        <v>13026</v>
      </c>
      <c r="BP296" s="16" t="s">
        <v>13027</v>
      </c>
      <c r="BQ296" s="16" t="s">
        <v>13028</v>
      </c>
      <c r="BR296" s="16" t="s">
        <v>12181</v>
      </c>
      <c r="BS296" s="16" t="s">
        <v>12124</v>
      </c>
      <c r="BT296" s="16" t="s">
        <v>12169</v>
      </c>
      <c r="BU296" s="16" t="s">
        <v>12170</v>
      </c>
    </row>
    <row r="297" spans="61:75">
      <c r="BI297" s="16">
        <v>296</v>
      </c>
      <c r="BJ297" s="16" t="s">
        <v>73</v>
      </c>
      <c r="BO297" s="16" t="s">
        <v>13026</v>
      </c>
      <c r="BP297" s="16" t="s">
        <v>13027</v>
      </c>
      <c r="BQ297" s="16" t="s">
        <v>13028</v>
      </c>
      <c r="BR297" s="16" t="s">
        <v>12181</v>
      </c>
      <c r="BS297" s="16" t="s">
        <v>12152</v>
      </c>
      <c r="BT297" s="16" t="s">
        <v>12169</v>
      </c>
      <c r="BU297" s="16" t="s">
        <v>12170</v>
      </c>
    </row>
    <row r="298" spans="61:75">
      <c r="BI298" s="16">
        <v>297</v>
      </c>
      <c r="BJ298" s="16" t="s">
        <v>73</v>
      </c>
      <c r="BO298" s="16" t="s">
        <v>13026</v>
      </c>
      <c r="BP298" s="16" t="s">
        <v>13027</v>
      </c>
      <c r="BQ298" s="16" t="s">
        <v>13028</v>
      </c>
      <c r="BR298" s="16" t="s">
        <v>12181</v>
      </c>
      <c r="BS298" s="16" t="s">
        <v>12124</v>
      </c>
      <c r="BT298" s="16" t="s">
        <v>12125</v>
      </c>
      <c r="BU298" s="16" t="s">
        <v>12126</v>
      </c>
    </row>
    <row r="299" spans="61:75">
      <c r="BI299" s="16">
        <v>298</v>
      </c>
      <c r="BJ299" s="16" t="s">
        <v>73</v>
      </c>
      <c r="BO299" s="16" t="s">
        <v>13029</v>
      </c>
      <c r="BP299" s="16" t="s">
        <v>13030</v>
      </c>
      <c r="BQ299" s="16" t="s">
        <v>13031</v>
      </c>
      <c r="BR299" s="16" t="s">
        <v>12573</v>
      </c>
      <c r="BS299" s="16" t="s">
        <v>12124</v>
      </c>
      <c r="BT299" s="16" t="s">
        <v>12125</v>
      </c>
      <c r="BU299" s="16" t="s">
        <v>12126</v>
      </c>
      <c r="BV299" s="16" t="s">
        <v>13032</v>
      </c>
    </row>
    <row r="300" spans="61:75">
      <c r="BI300" s="16">
        <v>299</v>
      </c>
      <c r="BJ300" s="16" t="s">
        <v>73</v>
      </c>
      <c r="BO300" s="16" t="s">
        <v>13033</v>
      </c>
      <c r="BP300" s="16" t="s">
        <v>13034</v>
      </c>
      <c r="BQ300" s="16" t="s">
        <v>13035</v>
      </c>
      <c r="BR300" s="16" t="s">
        <v>12331</v>
      </c>
      <c r="BS300" s="16" t="s">
        <v>12161</v>
      </c>
      <c r="BT300" s="16" t="s">
        <v>12162</v>
      </c>
      <c r="BU300" s="16" t="s">
        <v>12163</v>
      </c>
    </row>
    <row r="301" spans="61:75">
      <c r="BI301" s="16">
        <v>300</v>
      </c>
      <c r="BJ301" s="16" t="s">
        <v>73</v>
      </c>
      <c r="BO301" s="16" t="s">
        <v>13036</v>
      </c>
      <c r="BP301" s="16" t="s">
        <v>13037</v>
      </c>
      <c r="BQ301" s="16" t="s">
        <v>13038</v>
      </c>
      <c r="BR301" s="16" t="s">
        <v>12343</v>
      </c>
      <c r="BS301" s="16" t="s">
        <v>12124</v>
      </c>
      <c r="BT301" s="16" t="s">
        <v>12125</v>
      </c>
      <c r="BU301" s="16" t="s">
        <v>12126</v>
      </c>
    </row>
    <row r="302" spans="61:75">
      <c r="BI302" s="16">
        <v>301</v>
      </c>
      <c r="BJ302" s="16" t="s">
        <v>73</v>
      </c>
      <c r="BO302" s="16" t="s">
        <v>13039</v>
      </c>
      <c r="BP302" s="16" t="s">
        <v>13040</v>
      </c>
      <c r="BQ302" s="16" t="s">
        <v>13041</v>
      </c>
      <c r="BR302" s="16" t="s">
        <v>12414</v>
      </c>
      <c r="BS302" s="16" t="s">
        <v>12124</v>
      </c>
      <c r="BT302" s="16" t="s">
        <v>12125</v>
      </c>
      <c r="BU302" s="16" t="s">
        <v>12126</v>
      </c>
      <c r="BW302" s="16" t="s">
        <v>12486</v>
      </c>
    </row>
    <row r="303" spans="61:75">
      <c r="BI303" s="16">
        <v>302</v>
      </c>
      <c r="BJ303" s="16" t="s">
        <v>73</v>
      </c>
      <c r="BO303" s="16" t="s">
        <v>13042</v>
      </c>
      <c r="BP303" s="16" t="s">
        <v>13043</v>
      </c>
      <c r="BQ303" s="16" t="s">
        <v>13044</v>
      </c>
      <c r="BR303" s="16" t="s">
        <v>12573</v>
      </c>
      <c r="BS303" s="16" t="s">
        <v>12124</v>
      </c>
      <c r="BT303" s="16" t="s">
        <v>12125</v>
      </c>
      <c r="BU303" s="16" t="s">
        <v>12126</v>
      </c>
      <c r="BV303" s="16" t="s">
        <v>13045</v>
      </c>
    </row>
    <row r="304" spans="61:75">
      <c r="BI304" s="16">
        <v>303</v>
      </c>
      <c r="BJ304" s="16" t="s">
        <v>73</v>
      </c>
      <c r="BO304" s="16" t="s">
        <v>13046</v>
      </c>
      <c r="BP304" s="16" t="s">
        <v>13047</v>
      </c>
      <c r="BQ304" s="16" t="s">
        <v>13048</v>
      </c>
      <c r="BR304" s="16" t="s">
        <v>13049</v>
      </c>
      <c r="BS304" s="16" t="s">
        <v>12124</v>
      </c>
      <c r="BT304" s="16" t="s">
        <v>12125</v>
      </c>
      <c r="BU304" s="16" t="s">
        <v>12126</v>
      </c>
    </row>
    <row r="305" spans="61:73">
      <c r="BI305" s="16">
        <v>304</v>
      </c>
      <c r="BJ305" s="16" t="s">
        <v>73</v>
      </c>
      <c r="BO305" s="16" t="s">
        <v>13046</v>
      </c>
      <c r="BP305" s="16" t="s">
        <v>13047</v>
      </c>
      <c r="BQ305" s="16" t="s">
        <v>13048</v>
      </c>
      <c r="BR305" s="16" t="s">
        <v>13049</v>
      </c>
      <c r="BS305" s="16" t="s">
        <v>12171</v>
      </c>
      <c r="BT305" s="16" t="s">
        <v>12172</v>
      </c>
      <c r="BU305" s="16" t="s">
        <v>12173</v>
      </c>
    </row>
    <row r="306" spans="61:73">
      <c r="BI306" s="16">
        <v>305</v>
      </c>
      <c r="BJ306" s="16" t="s">
        <v>73</v>
      </c>
      <c r="BO306" s="16" t="s">
        <v>13046</v>
      </c>
      <c r="BP306" s="16" t="s">
        <v>13047</v>
      </c>
      <c r="BQ306" s="16" t="s">
        <v>13048</v>
      </c>
      <c r="BR306" s="16" t="s">
        <v>13049</v>
      </c>
      <c r="BS306" s="16" t="s">
        <v>12168</v>
      </c>
      <c r="BT306" s="16" t="s">
        <v>13050</v>
      </c>
      <c r="BU306" s="16" t="s">
        <v>13051</v>
      </c>
    </row>
    <row r="307" spans="61:73">
      <c r="BI307" s="16">
        <v>306</v>
      </c>
      <c r="BJ307" s="16" t="s">
        <v>73</v>
      </c>
      <c r="BO307" s="16" t="s">
        <v>13046</v>
      </c>
      <c r="BP307" s="16" t="s">
        <v>13047</v>
      </c>
      <c r="BQ307" s="16" t="s">
        <v>13048</v>
      </c>
      <c r="BR307" s="16" t="s">
        <v>13049</v>
      </c>
      <c r="BS307" s="16" t="s">
        <v>12152</v>
      </c>
      <c r="BT307" s="16" t="s">
        <v>13050</v>
      </c>
      <c r="BU307" s="16" t="s">
        <v>13051</v>
      </c>
    </row>
    <row r="308" spans="61:73">
      <c r="BI308" s="16">
        <v>307</v>
      </c>
      <c r="BJ308" s="16" t="s">
        <v>73</v>
      </c>
      <c r="BO308" s="16" t="s">
        <v>13052</v>
      </c>
      <c r="BP308" s="16" t="s">
        <v>13053</v>
      </c>
      <c r="BQ308" s="16" t="s">
        <v>13054</v>
      </c>
      <c r="BR308" s="16" t="s">
        <v>13055</v>
      </c>
      <c r="BS308" s="16" t="s">
        <v>12124</v>
      </c>
      <c r="BT308" s="16" t="s">
        <v>12125</v>
      </c>
      <c r="BU308" s="16" t="s">
        <v>12126</v>
      </c>
    </row>
    <row r="309" spans="61:73">
      <c r="BI309" s="16">
        <v>308</v>
      </c>
      <c r="BJ309" s="16" t="s">
        <v>73</v>
      </c>
      <c r="BO309" s="16" t="s">
        <v>13056</v>
      </c>
      <c r="BP309" s="16" t="s">
        <v>13057</v>
      </c>
      <c r="BQ309" s="16" t="s">
        <v>13021</v>
      </c>
      <c r="BR309" s="16" t="s">
        <v>13058</v>
      </c>
      <c r="BS309" s="16" t="s">
        <v>12124</v>
      </c>
      <c r="BT309" s="16" t="s">
        <v>12125</v>
      </c>
      <c r="BU309" s="16" t="s">
        <v>12126</v>
      </c>
    </row>
    <row r="310" spans="61:73">
      <c r="BI310" s="16">
        <v>309</v>
      </c>
      <c r="BJ310" s="16" t="s">
        <v>73</v>
      </c>
      <c r="BO310" s="16" t="s">
        <v>13059</v>
      </c>
      <c r="BP310" s="16" t="s">
        <v>13060</v>
      </c>
      <c r="BQ310" s="16" t="s">
        <v>13054</v>
      </c>
      <c r="BR310" s="16" t="s">
        <v>13061</v>
      </c>
      <c r="BS310" s="16" t="s">
        <v>12149</v>
      </c>
      <c r="BT310" s="16" t="s">
        <v>12150</v>
      </c>
      <c r="BU310" s="16" t="s">
        <v>12151</v>
      </c>
    </row>
  </sheetData>
  <sheetProtection formatColumns="0" formatRows="0"/>
  <phoneticPr fontId="3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SOURCE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16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EAT_BAL_PR">
    <tabColor indexed="31"/>
  </sheetPr>
  <dimension ref="A1:CM162"/>
  <sheetViews>
    <sheetView showGridLines="0" topLeftCell="D1" zoomScale="90" zoomScaleNormal="90" workbookViewId="0">
      <pane xSplit="4" ySplit="131" topLeftCell="H132" activePane="bottomRight" state="frozen"/>
      <selection activeCell="D118" sqref="D118"/>
      <selection pane="topRight" activeCell="H118" sqref="H118"/>
      <selection pane="bottomLeft" activeCell="D132" sqref="D132"/>
      <selection pane="bottomRight" activeCell="K134" sqref="K134"/>
    </sheetView>
  </sheetViews>
  <sheetFormatPr defaultRowHeight="11.4"/>
  <cols>
    <col min="1" max="3" width="9.125" hidden="1" customWidth="1"/>
    <col min="4" max="4" width="5.75" customWidth="1"/>
    <col min="5" max="5" width="0.125" customWidth="1"/>
    <col min="6" max="6" width="6.75" customWidth="1"/>
    <col min="7" max="7" width="20.75" customWidth="1"/>
    <col min="8" max="9" width="12.75" customWidth="1"/>
    <col min="10" max="10" width="18.75" customWidth="1"/>
    <col min="11" max="11" width="14.75" customWidth="1"/>
    <col min="12" max="13" width="13.75" customWidth="1"/>
    <col min="14" max="14" width="0.125" customWidth="1"/>
    <col min="15" max="15" width="15.75" customWidth="1"/>
    <col min="16" max="17" width="14.75" customWidth="1"/>
    <col min="18" max="22" width="13.75" customWidth="1"/>
    <col min="23" max="23" width="12.75" customWidth="1"/>
    <col min="24" max="25" width="13.75" customWidth="1"/>
    <col min="26" max="26" width="13.625" customWidth="1"/>
    <col min="27" max="29" width="13.75" customWidth="1"/>
    <col min="30" max="30" width="13.625" customWidth="1"/>
    <col min="31" max="41" width="13.75" customWidth="1"/>
    <col min="42" max="42" width="0.125" customWidth="1"/>
    <col min="43" max="45" width="13.75" customWidth="1"/>
    <col min="46" max="46" width="16.75" customWidth="1"/>
    <col min="47" max="50" width="15.75" customWidth="1"/>
    <col min="51" max="51" width="2.75" customWidth="1"/>
    <col min="52" max="52" width="2.625" customWidth="1"/>
    <col min="53" max="53" width="17.75" hidden="1" customWidth="1"/>
    <col min="54" max="67" width="2.625" customWidth="1"/>
    <col min="68" max="83" width="9.125" hidden="1" customWidth="1"/>
    <col min="84" max="88" width="9.125" customWidth="1"/>
    <col min="89" max="89" width="2.625" customWidth="1"/>
  </cols>
  <sheetData>
    <row r="1" spans="1:90" s="114" customFormat="1" ht="24" hidden="1" customHeight="1">
      <c r="A1" s="249"/>
      <c r="B1" s="937"/>
      <c r="C1" s="271" t="str">
        <f>F3</f>
        <v>0.0</v>
      </c>
      <c r="D1" s="272" t="s">
        <v>112</v>
      </c>
      <c r="E1" s="273"/>
      <c r="F1" s="938">
        <f>B1</f>
        <v>0</v>
      </c>
      <c r="G1" s="945"/>
      <c r="H1" s="274"/>
      <c r="I1" s="274"/>
      <c r="J1" s="274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6"/>
      <c r="W1" s="276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5"/>
      <c r="AT1" s="275"/>
      <c r="AU1" s="275"/>
      <c r="AV1" s="275"/>
      <c r="AW1" s="275"/>
      <c r="AX1" s="270"/>
      <c r="AY1" s="169"/>
      <c r="AZ1" s="169"/>
      <c r="BA1" s="277" t="s">
        <v>765</v>
      </c>
      <c r="BB1" s="169"/>
      <c r="BC1" s="278"/>
      <c r="BD1" s="278"/>
      <c r="BE1" s="278"/>
      <c r="BF1" s="278"/>
      <c r="BG1" s="278"/>
      <c r="BH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H1" s="212"/>
      <c r="CL1" s="249"/>
    </row>
    <row r="2" spans="1:90" s="114" customFormat="1" ht="0.75" hidden="1" customHeight="1">
      <c r="A2" s="249"/>
      <c r="B2" s="937"/>
      <c r="C2" s="271"/>
      <c r="D2" s="279"/>
      <c r="E2" s="273"/>
      <c r="F2" s="939"/>
      <c r="G2" s="941"/>
      <c r="H2" s="274"/>
      <c r="I2" s="274"/>
      <c r="J2" s="274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6"/>
      <c r="W2" s="276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5"/>
      <c r="AT2" s="275"/>
      <c r="AU2" s="275"/>
      <c r="AV2" s="275"/>
      <c r="AW2" s="275"/>
      <c r="AX2" s="270"/>
      <c r="AY2" s="169"/>
      <c r="AZ2" s="169"/>
      <c r="BA2" s="280"/>
      <c r="BB2" s="169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H2" s="212"/>
      <c r="CL2" s="249"/>
    </row>
    <row r="3" spans="1:90" s="114" customFormat="1" ht="11.25" hidden="1" customHeight="1">
      <c r="A3" s="249"/>
      <c r="B3" s="937"/>
      <c r="C3" s="937"/>
      <c r="D3" s="281"/>
      <c r="E3" s="282"/>
      <c r="F3" s="283" t="str">
        <f>F1 &amp; ".0"</f>
        <v>0.0</v>
      </c>
      <c r="G3" s="301" t="s">
        <v>136</v>
      </c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6"/>
      <c r="W3" s="276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5"/>
      <c r="AT3" s="275"/>
      <c r="AU3" s="275"/>
      <c r="AV3" s="275"/>
      <c r="AW3" s="275"/>
      <c r="AX3" s="270"/>
      <c r="AY3" s="169"/>
      <c r="AZ3" s="169"/>
      <c r="BA3" s="277" t="s">
        <v>21</v>
      </c>
      <c r="BB3" s="169"/>
      <c r="BC3" s="27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H3" s="212"/>
      <c r="CL3" s="249"/>
    </row>
    <row r="4" spans="1:90" s="114" customFormat="1" ht="11.25" hidden="1" customHeight="1">
      <c r="A4" s="249"/>
      <c r="B4" s="937"/>
      <c r="C4" s="937"/>
      <c r="D4" s="281"/>
      <c r="E4" s="282"/>
      <c r="F4" s="283" t="str">
        <f>F1 &amp; ".1"</f>
        <v>0.1</v>
      </c>
      <c r="G4" s="301" t="s">
        <v>137</v>
      </c>
      <c r="H4" s="274"/>
      <c r="I4" s="274"/>
      <c r="J4" s="274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6"/>
      <c r="W4" s="276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5"/>
      <c r="AT4" s="275"/>
      <c r="AU4" s="275"/>
      <c r="AV4" s="275"/>
      <c r="AW4" s="275"/>
      <c r="AX4" s="270"/>
      <c r="AY4" s="169"/>
      <c r="AZ4" s="169"/>
      <c r="BA4" s="280" t="str">
        <f>C1 &amp; "-I"</f>
        <v>0.0-I</v>
      </c>
      <c r="BB4" s="169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78"/>
      <c r="BS4" s="278"/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H4" s="212"/>
      <c r="CL4" s="249"/>
    </row>
    <row r="5" spans="1:90" s="114" customFormat="1" ht="11.25" hidden="1" customHeight="1">
      <c r="A5" s="249"/>
      <c r="B5" s="937"/>
      <c r="C5" s="937"/>
      <c r="D5" s="281"/>
      <c r="E5" s="282"/>
      <c r="F5" s="283" t="str">
        <f>F1 &amp; ".2"</f>
        <v>0.2</v>
      </c>
      <c r="G5" s="301" t="s">
        <v>138</v>
      </c>
      <c r="H5" s="274"/>
      <c r="I5" s="274"/>
      <c r="J5" s="274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6"/>
      <c r="W5" s="276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5"/>
      <c r="AU5" s="275"/>
      <c r="AV5" s="275"/>
      <c r="AW5" s="275"/>
      <c r="AX5" s="270"/>
      <c r="AY5" s="169"/>
      <c r="AZ5" s="169"/>
      <c r="BA5" s="280" t="str">
        <f>C1 &amp; "-I"</f>
        <v>0.0-I</v>
      </c>
      <c r="BB5" s="169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H5" s="212"/>
      <c r="CL5" s="249"/>
    </row>
    <row r="6" spans="1:90" s="114" customFormat="1" ht="11.25" hidden="1" customHeight="1">
      <c r="A6" s="249"/>
      <c r="B6" s="937"/>
      <c r="C6" s="937"/>
      <c r="D6" s="281"/>
      <c r="E6" s="282"/>
      <c r="F6" s="283" t="str">
        <f>F1 &amp; ".3"</f>
        <v>0.3</v>
      </c>
      <c r="G6" s="301" t="s">
        <v>139</v>
      </c>
      <c r="H6" s="274"/>
      <c r="I6" s="274"/>
      <c r="J6" s="274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6"/>
      <c r="W6" s="276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5"/>
      <c r="AT6" s="275"/>
      <c r="AU6" s="275"/>
      <c r="AV6" s="275"/>
      <c r="AW6" s="275"/>
      <c r="AX6" s="270"/>
      <c r="AY6" s="169"/>
      <c r="AZ6" s="169"/>
      <c r="BA6" s="280" t="str">
        <f>C1 &amp; "-I"</f>
        <v>0.0-I</v>
      </c>
      <c r="BB6" s="169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H6" s="212"/>
      <c r="CL6" s="249"/>
    </row>
    <row r="7" spans="1:90" s="114" customFormat="1" ht="11.25" hidden="1" customHeight="1">
      <c r="A7" s="249"/>
      <c r="B7" s="937"/>
      <c r="C7" s="937"/>
      <c r="D7" s="281"/>
      <c r="E7" s="282"/>
      <c r="F7" s="283" t="str">
        <f>F1 &amp; ".4"</f>
        <v>0.4</v>
      </c>
      <c r="G7" s="301" t="s">
        <v>140</v>
      </c>
      <c r="H7" s="274"/>
      <c r="I7" s="274"/>
      <c r="J7" s="274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6"/>
      <c r="W7" s="276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  <c r="AS7" s="275"/>
      <c r="AT7" s="275"/>
      <c r="AU7" s="275"/>
      <c r="AV7" s="275"/>
      <c r="AW7" s="275"/>
      <c r="AX7" s="270"/>
      <c r="AY7" s="169"/>
      <c r="AZ7" s="169"/>
      <c r="BA7" s="280" t="str">
        <f>C1 &amp; "-I"</f>
        <v>0.0-I</v>
      </c>
      <c r="BB7" s="169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H7" s="212"/>
      <c r="CL7" s="249"/>
    </row>
    <row r="8" spans="1:90" s="114" customFormat="1" ht="11.25" hidden="1" customHeight="1">
      <c r="A8" s="249"/>
      <c r="B8" s="937"/>
      <c r="C8" s="937"/>
      <c r="D8" s="281"/>
      <c r="E8" s="282"/>
      <c r="F8" s="283" t="str">
        <f>F1 &amp; ".5"</f>
        <v>0.5</v>
      </c>
      <c r="G8" s="301" t="s">
        <v>141</v>
      </c>
      <c r="H8" s="274"/>
      <c r="I8" s="274"/>
      <c r="J8" s="274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6"/>
      <c r="W8" s="276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/>
      <c r="AM8" s="275"/>
      <c r="AN8" s="275"/>
      <c r="AO8" s="275"/>
      <c r="AP8" s="275"/>
      <c r="AQ8" s="275"/>
      <c r="AR8" s="275"/>
      <c r="AS8" s="275"/>
      <c r="AT8" s="275"/>
      <c r="AU8" s="275"/>
      <c r="AV8" s="275"/>
      <c r="AW8" s="275"/>
      <c r="AX8" s="270"/>
      <c r="AY8" s="169"/>
      <c r="AZ8" s="169"/>
      <c r="BA8" s="280" t="str">
        <f>C1 &amp; "-I"</f>
        <v>0.0-I</v>
      </c>
      <c r="BB8" s="169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H8" s="212"/>
      <c r="CL8" s="249"/>
    </row>
    <row r="9" spans="1:90" s="114" customFormat="1" ht="11.25" hidden="1" customHeight="1">
      <c r="A9" s="249"/>
      <c r="B9" s="937"/>
      <c r="C9" s="937"/>
      <c r="D9" s="281"/>
      <c r="E9" s="282"/>
      <c r="F9" s="283" t="str">
        <f>F1 &amp; ".6"</f>
        <v>0.6</v>
      </c>
      <c r="G9" s="301" t="s">
        <v>142</v>
      </c>
      <c r="H9" s="274"/>
      <c r="I9" s="274"/>
      <c r="J9" s="274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6"/>
      <c r="W9" s="276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5"/>
      <c r="AT9" s="275"/>
      <c r="AU9" s="275"/>
      <c r="AV9" s="275"/>
      <c r="AW9" s="275"/>
      <c r="AX9" s="270"/>
      <c r="AY9" s="169"/>
      <c r="AZ9" s="169"/>
      <c r="BA9" s="280" t="str">
        <f>C1 &amp; "-I"</f>
        <v>0.0-I</v>
      </c>
      <c r="BB9" s="169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H9" s="212"/>
      <c r="CL9" s="249"/>
    </row>
    <row r="10" spans="1:90" s="114" customFormat="1" ht="11.25" hidden="1" customHeight="1">
      <c r="A10" s="249"/>
      <c r="B10" s="937"/>
      <c r="C10" s="937"/>
      <c r="D10" s="281"/>
      <c r="E10" s="282"/>
      <c r="F10" s="283" t="str">
        <f>F1 &amp; ".7"</f>
        <v>0.7</v>
      </c>
      <c r="G10" s="301" t="s">
        <v>143</v>
      </c>
      <c r="H10" s="274"/>
      <c r="I10" s="274"/>
      <c r="J10" s="274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6"/>
      <c r="W10" s="276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75"/>
      <c r="AT10" s="275"/>
      <c r="AU10" s="275"/>
      <c r="AV10" s="275"/>
      <c r="AW10" s="275"/>
      <c r="AX10" s="270"/>
      <c r="AY10" s="169"/>
      <c r="AZ10" s="169"/>
      <c r="BA10" s="280" t="str">
        <f>C1 &amp; "-II"</f>
        <v>0.0-II</v>
      </c>
      <c r="BB10" s="169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H10" s="212"/>
      <c r="CL10" s="249"/>
    </row>
    <row r="11" spans="1:90" s="114" customFormat="1" ht="11.25" hidden="1" customHeight="1">
      <c r="A11" s="249"/>
      <c r="B11" s="937"/>
      <c r="C11" s="937"/>
      <c r="D11" s="281"/>
      <c r="E11" s="282"/>
      <c r="F11" s="283" t="str">
        <f>F1 &amp; ".8"</f>
        <v>0.8</v>
      </c>
      <c r="G11" s="301" t="s">
        <v>144</v>
      </c>
      <c r="H11" s="274"/>
      <c r="I11" s="274"/>
      <c r="J11" s="274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6"/>
      <c r="W11" s="276"/>
      <c r="X11" s="275"/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5"/>
      <c r="AT11" s="275"/>
      <c r="AU11" s="275"/>
      <c r="AV11" s="275"/>
      <c r="AW11" s="275"/>
      <c r="AX11" s="270"/>
      <c r="AY11" s="169"/>
      <c r="AZ11" s="169"/>
      <c r="BA11" s="280" t="str">
        <f>C1 &amp; "-II"</f>
        <v>0.0-II</v>
      </c>
      <c r="BB11" s="169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H11" s="212"/>
      <c r="CL11" s="249"/>
    </row>
    <row r="12" spans="1:90" s="114" customFormat="1" ht="11.25" hidden="1" customHeight="1">
      <c r="A12" s="249"/>
      <c r="B12" s="937"/>
      <c r="C12" s="937"/>
      <c r="D12" s="281"/>
      <c r="E12" s="282"/>
      <c r="F12" s="283" t="str">
        <f>F1 &amp; ".9"</f>
        <v>0.9</v>
      </c>
      <c r="G12" s="301" t="s">
        <v>145</v>
      </c>
      <c r="H12" s="274"/>
      <c r="I12" s="274"/>
      <c r="J12" s="274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6"/>
      <c r="W12" s="276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0"/>
      <c r="AY12" s="169"/>
      <c r="AZ12" s="169"/>
      <c r="BA12" s="280" t="str">
        <f>C1 &amp; "-II"</f>
        <v>0.0-II</v>
      </c>
      <c r="BB12" s="169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H12" s="212"/>
      <c r="CL12" s="249"/>
    </row>
    <row r="13" spans="1:90" s="114" customFormat="1" ht="11.25" hidden="1" customHeight="1">
      <c r="A13" s="249"/>
      <c r="B13" s="937"/>
      <c r="C13" s="937"/>
      <c r="D13" s="281"/>
      <c r="E13" s="282"/>
      <c r="F13" s="283" t="str">
        <f>F1 &amp; ".10"</f>
        <v>0.10</v>
      </c>
      <c r="G13" s="301" t="s">
        <v>146</v>
      </c>
      <c r="H13" s="274"/>
      <c r="I13" s="274"/>
      <c r="J13" s="274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6"/>
      <c r="W13" s="276"/>
      <c r="X13" s="275"/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  <c r="AS13" s="275"/>
      <c r="AT13" s="275"/>
      <c r="AU13" s="275"/>
      <c r="AV13" s="275"/>
      <c r="AW13" s="275"/>
      <c r="AX13" s="270"/>
      <c r="AY13" s="169"/>
      <c r="AZ13" s="169"/>
      <c r="BA13" s="280" t="str">
        <f>C1 &amp; "-II"</f>
        <v>0.0-II</v>
      </c>
      <c r="BB13" s="169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H13" s="212"/>
      <c r="CL13" s="249"/>
    </row>
    <row r="14" spans="1:90" s="114" customFormat="1" ht="11.25" hidden="1" customHeight="1">
      <c r="A14" s="249"/>
      <c r="B14" s="937"/>
      <c r="C14" s="937"/>
      <c r="D14" s="281"/>
      <c r="E14" s="282"/>
      <c r="F14" s="283" t="str">
        <f>F1 &amp; ".11"</f>
        <v>0.11</v>
      </c>
      <c r="G14" s="301" t="s">
        <v>147</v>
      </c>
      <c r="H14" s="274"/>
      <c r="I14" s="274"/>
      <c r="J14" s="274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6"/>
      <c r="W14" s="276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5"/>
      <c r="AT14" s="275"/>
      <c r="AU14" s="275"/>
      <c r="AV14" s="275"/>
      <c r="AW14" s="275"/>
      <c r="AX14" s="270"/>
      <c r="AY14" s="169"/>
      <c r="AZ14" s="169"/>
      <c r="BA14" s="280" t="str">
        <f>C1 &amp; "-II"</f>
        <v>0.0-II</v>
      </c>
      <c r="BB14" s="169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H14" s="212"/>
      <c r="CL14" s="249"/>
    </row>
    <row r="15" spans="1:90" s="114" customFormat="1" ht="11.25" hidden="1" customHeight="1">
      <c r="A15" s="249"/>
      <c r="B15" s="937"/>
      <c r="C15" s="937"/>
      <c r="D15" s="281"/>
      <c r="E15" s="282"/>
      <c r="F15" s="283" t="str">
        <f>F1 &amp; ".12"</f>
        <v>0.12</v>
      </c>
      <c r="G15" s="301" t="s">
        <v>148</v>
      </c>
      <c r="H15" s="274"/>
      <c r="I15" s="274"/>
      <c r="J15" s="274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6"/>
      <c r="W15" s="276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5"/>
      <c r="AT15" s="275"/>
      <c r="AU15" s="275"/>
      <c r="AV15" s="275"/>
      <c r="AW15" s="275"/>
      <c r="AX15" s="270"/>
      <c r="AY15" s="169"/>
      <c r="AZ15" s="169"/>
      <c r="BA15" s="280" t="str">
        <f>C1 &amp; "-II"</f>
        <v>0.0-II</v>
      </c>
      <c r="BB15" s="169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H15" s="212"/>
      <c r="CL15" s="249"/>
    </row>
    <row r="16" spans="1:90" s="114" customFormat="1" ht="0.75" hidden="1" customHeight="1">
      <c r="A16" s="249"/>
      <c r="B16" s="937"/>
      <c r="C16" s="937"/>
      <c r="D16" s="281"/>
      <c r="E16" s="282"/>
      <c r="F16" s="274"/>
      <c r="G16" s="274"/>
      <c r="H16" s="274"/>
      <c r="I16" s="274"/>
      <c r="J16" s="274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6"/>
      <c r="W16" s="276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  <c r="AH16" s="275"/>
      <c r="AI16" s="275"/>
      <c r="AJ16" s="275"/>
      <c r="AK16" s="275"/>
      <c r="AL16" s="275"/>
      <c r="AM16" s="275"/>
      <c r="AN16" s="275"/>
      <c r="AO16" s="275"/>
      <c r="AP16" s="275"/>
      <c r="AQ16" s="275"/>
      <c r="AR16" s="275"/>
      <c r="AS16" s="275"/>
      <c r="AT16" s="275"/>
      <c r="AU16" s="275"/>
      <c r="AV16" s="275"/>
      <c r="AW16" s="275"/>
      <c r="AX16" s="270"/>
      <c r="AY16" s="169"/>
      <c r="AZ16" s="169"/>
      <c r="BA16" s="280"/>
      <c r="BB16" s="169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8"/>
      <c r="CD16" s="278"/>
      <c r="CE16" s="278"/>
      <c r="CH16" s="212"/>
      <c r="CL16" s="249"/>
    </row>
    <row r="17" spans="1:91" s="114" customFormat="1" ht="0.75" hidden="1" customHeight="1">
      <c r="A17" s="249"/>
      <c r="B17" s="937"/>
      <c r="C17" s="937"/>
      <c r="D17" s="281"/>
      <c r="E17" s="282"/>
      <c r="F17" s="274"/>
      <c r="G17" s="274"/>
      <c r="H17" s="274"/>
      <c r="I17" s="274"/>
      <c r="J17" s="274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6"/>
      <c r="W17" s="276"/>
      <c r="X17" s="275"/>
      <c r="Y17" s="275"/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0"/>
      <c r="AY17" s="169"/>
      <c r="AZ17" s="169"/>
      <c r="BA17" s="280"/>
      <c r="BB17" s="169"/>
      <c r="BC17" s="278"/>
      <c r="BD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H17" s="212"/>
      <c r="CL17" s="249"/>
    </row>
    <row r="18" spans="1:91" s="114" customFormat="1" ht="0.75" hidden="1" customHeight="1">
      <c r="A18" s="249"/>
      <c r="B18" s="937"/>
      <c r="C18" s="937"/>
      <c r="D18" s="281"/>
      <c r="E18" s="282"/>
      <c r="F18" s="274"/>
      <c r="G18" s="274"/>
      <c r="H18" s="274"/>
      <c r="I18" s="274"/>
      <c r="J18" s="274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6"/>
      <c r="W18" s="276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5"/>
      <c r="AT18" s="275"/>
      <c r="AU18" s="275"/>
      <c r="AV18" s="275"/>
      <c r="AW18" s="275"/>
      <c r="AX18" s="270"/>
      <c r="AY18" s="169"/>
      <c r="AZ18" s="169"/>
      <c r="BA18" s="280"/>
      <c r="BB18" s="169"/>
      <c r="BC18" s="278"/>
      <c r="BD18" s="278"/>
      <c r="BE18" s="278"/>
      <c r="BF18" s="278"/>
      <c r="BG18" s="278"/>
      <c r="BH18" s="278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H18" s="212"/>
      <c r="CL18" s="249"/>
    </row>
    <row r="19" spans="1:91" s="114" customFormat="1" ht="0.75" hidden="1" customHeight="1">
      <c r="A19" s="249"/>
      <c r="B19" s="937"/>
      <c r="C19" s="937"/>
      <c r="D19" s="281"/>
      <c r="E19" s="282"/>
      <c r="F19" s="274"/>
      <c r="G19" s="274"/>
      <c r="H19" s="274"/>
      <c r="I19" s="274"/>
      <c r="J19" s="274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6"/>
      <c r="W19" s="276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5"/>
      <c r="AT19" s="275"/>
      <c r="AU19" s="275"/>
      <c r="AV19" s="275"/>
      <c r="AW19" s="275"/>
      <c r="AX19" s="270"/>
      <c r="AY19" s="169"/>
      <c r="AZ19" s="169"/>
      <c r="BA19" s="280"/>
      <c r="BB19" s="169"/>
      <c r="BC19" s="278"/>
      <c r="BD19" s="278"/>
      <c r="BE19" s="278"/>
      <c r="BF19" s="278"/>
      <c r="BG19" s="278"/>
      <c r="BH19" s="278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  <c r="CB19" s="278"/>
      <c r="CC19" s="278"/>
      <c r="CD19" s="278"/>
      <c r="CE19" s="278"/>
      <c r="CH19" s="212"/>
      <c r="CL19" s="249"/>
    </row>
    <row r="20" spans="1:91" s="114" customFormat="1" ht="0.75" hidden="1" customHeight="1">
      <c r="A20" s="249"/>
      <c r="B20" s="937"/>
      <c r="C20" s="937"/>
      <c r="D20" s="281"/>
      <c r="E20" s="282"/>
      <c r="F20" s="274"/>
      <c r="G20" s="274"/>
      <c r="H20" s="274"/>
      <c r="I20" s="274"/>
      <c r="J20" s="274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6"/>
      <c r="W20" s="276"/>
      <c r="X20" s="275"/>
      <c r="Y20" s="275"/>
      <c r="Z20" s="275"/>
      <c r="AA20" s="275"/>
      <c r="AB20" s="275"/>
      <c r="AC20" s="275"/>
      <c r="AD20" s="275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5"/>
      <c r="AR20" s="275"/>
      <c r="AS20" s="275"/>
      <c r="AT20" s="275"/>
      <c r="AU20" s="275"/>
      <c r="AV20" s="275"/>
      <c r="AW20" s="275"/>
      <c r="AX20" s="270"/>
      <c r="AY20" s="169"/>
      <c r="AZ20" s="169"/>
      <c r="BA20" s="280"/>
      <c r="BB20" s="169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  <c r="CB20" s="278"/>
      <c r="CC20" s="278"/>
      <c r="CD20" s="278"/>
      <c r="CE20" s="278"/>
      <c r="CH20" s="212"/>
      <c r="CL20" s="249"/>
    </row>
    <row r="21" spans="1:91" s="114" customFormat="1" ht="0.75" hidden="1" customHeight="1">
      <c r="A21" s="249"/>
      <c r="B21" s="937"/>
      <c r="C21" s="937"/>
      <c r="D21" s="281"/>
      <c r="E21" s="282"/>
      <c r="F21" s="274"/>
      <c r="G21" s="274"/>
      <c r="H21" s="274"/>
      <c r="I21" s="274"/>
      <c r="J21" s="274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6"/>
      <c r="W21" s="276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5"/>
      <c r="AT21" s="275"/>
      <c r="AU21" s="275"/>
      <c r="AV21" s="275"/>
      <c r="AW21" s="275"/>
      <c r="AX21" s="270"/>
      <c r="AY21" s="169"/>
      <c r="AZ21" s="169"/>
      <c r="BA21" s="280"/>
      <c r="BB21" s="169"/>
      <c r="BC21" s="278"/>
      <c r="BD21" s="278"/>
      <c r="BE21" s="278"/>
      <c r="BF21" s="278"/>
      <c r="BG21" s="278"/>
      <c r="BH21" s="278"/>
      <c r="BI21" s="278"/>
      <c r="BJ21" s="278"/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8"/>
      <c r="BW21" s="278"/>
      <c r="BX21" s="278"/>
      <c r="BY21" s="278"/>
      <c r="BZ21" s="278"/>
      <c r="CA21" s="278"/>
      <c r="CB21" s="278"/>
      <c r="CC21" s="278"/>
      <c r="CD21" s="278"/>
      <c r="CE21" s="278"/>
      <c r="CH21" s="212"/>
      <c r="CL21" s="249"/>
    </row>
    <row r="22" spans="1:91" s="114" customFormat="1" ht="0.75" hidden="1" customHeight="1">
      <c r="A22" s="249"/>
      <c r="B22" s="937"/>
      <c r="C22" s="937"/>
      <c r="D22" s="281"/>
      <c r="E22" s="282"/>
      <c r="F22" s="274"/>
      <c r="G22" s="274"/>
      <c r="H22" s="274"/>
      <c r="I22" s="274"/>
      <c r="J22" s="274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6"/>
      <c r="W22" s="276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0"/>
      <c r="AY22" s="169"/>
      <c r="AZ22" s="169"/>
      <c r="BA22" s="280"/>
      <c r="BB22" s="169"/>
      <c r="BC22" s="278"/>
      <c r="BD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278"/>
      <c r="BU22" s="278"/>
      <c r="BV22" s="278"/>
      <c r="BW22" s="278"/>
      <c r="BX22" s="278"/>
      <c r="BY22" s="278"/>
      <c r="BZ22" s="278"/>
      <c r="CA22" s="278"/>
      <c r="CB22" s="278"/>
      <c r="CC22" s="278"/>
      <c r="CD22" s="278"/>
      <c r="CE22" s="278"/>
      <c r="CH22" s="212"/>
      <c r="CL22" s="249"/>
    </row>
    <row r="23" spans="1:91" s="114" customFormat="1" ht="0.75" hidden="1" customHeight="1">
      <c r="A23" s="249"/>
      <c r="B23" s="937"/>
      <c r="C23" s="937"/>
      <c r="D23" s="281"/>
      <c r="E23" s="282"/>
      <c r="F23" s="274"/>
      <c r="G23" s="274"/>
      <c r="H23" s="274"/>
      <c r="I23" s="274"/>
      <c r="J23" s="274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6"/>
      <c r="W23" s="276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5"/>
      <c r="AT23" s="275"/>
      <c r="AU23" s="275"/>
      <c r="AV23" s="275"/>
      <c r="AW23" s="275"/>
      <c r="AX23" s="270"/>
      <c r="AY23" s="169"/>
      <c r="AZ23" s="169"/>
      <c r="BA23" s="280"/>
      <c r="BB23" s="169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  <c r="CB23" s="278"/>
      <c r="CC23" s="278"/>
      <c r="CD23" s="278"/>
      <c r="CE23" s="278"/>
      <c r="CH23" s="212"/>
      <c r="CL23" s="249"/>
    </row>
    <row r="24" spans="1:91" s="114" customFormat="1" ht="0.75" hidden="1" customHeight="1">
      <c r="A24" s="249"/>
      <c r="B24" s="937"/>
      <c r="C24" s="937"/>
      <c r="D24" s="281"/>
      <c r="E24" s="282"/>
      <c r="F24" s="274"/>
      <c r="G24" s="274"/>
      <c r="H24" s="274"/>
      <c r="I24" s="274"/>
      <c r="J24" s="274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6"/>
      <c r="W24" s="276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5"/>
      <c r="AT24" s="275"/>
      <c r="AU24" s="275"/>
      <c r="AV24" s="275"/>
      <c r="AW24" s="275"/>
      <c r="AX24" s="270"/>
      <c r="AY24" s="169"/>
      <c r="AZ24" s="169"/>
      <c r="BA24" s="280"/>
      <c r="BB24" s="169"/>
      <c r="BC24" s="278"/>
      <c r="BD24" s="278"/>
      <c r="BE24" s="278"/>
      <c r="BF24" s="278"/>
      <c r="BG24" s="278"/>
      <c r="BH24" s="278"/>
      <c r="BI24" s="278"/>
      <c r="BJ24" s="278"/>
      <c r="BK24" s="278"/>
      <c r="BL24" s="278"/>
      <c r="BM24" s="278"/>
      <c r="BN24" s="278"/>
      <c r="BO24" s="278"/>
      <c r="BP24" s="278"/>
      <c r="BQ24" s="278"/>
      <c r="BR24" s="278"/>
      <c r="BS24" s="278"/>
      <c r="BT24" s="278"/>
      <c r="BU24" s="278"/>
      <c r="BV24" s="278"/>
      <c r="BW24" s="278"/>
      <c r="BX24" s="278"/>
      <c r="BY24" s="278"/>
      <c r="BZ24" s="278"/>
      <c r="CA24" s="278"/>
      <c r="CB24" s="278"/>
      <c r="CC24" s="278"/>
      <c r="CD24" s="278"/>
      <c r="CE24" s="278"/>
      <c r="CH24" s="212"/>
      <c r="CL24" s="249"/>
    </row>
    <row r="25" spans="1:91" s="114" customFormat="1" ht="0.75" hidden="1" customHeight="1">
      <c r="A25" s="249"/>
      <c r="B25" s="937"/>
      <c r="C25" s="937"/>
      <c r="D25" s="281"/>
      <c r="E25" s="282"/>
      <c r="F25" s="274"/>
      <c r="G25" s="274"/>
      <c r="H25" s="274"/>
      <c r="I25" s="274"/>
      <c r="J25" s="274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6"/>
      <c r="W25" s="276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0"/>
      <c r="AY25" s="169"/>
      <c r="AZ25" s="169"/>
      <c r="BA25" s="280"/>
      <c r="BB25" s="169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H25" s="212"/>
      <c r="CL25" s="249"/>
    </row>
    <row r="26" spans="1:91" s="114" customFormat="1" ht="0.75" hidden="1" customHeight="1">
      <c r="A26" s="249"/>
      <c r="B26" s="937"/>
      <c r="C26" s="937"/>
      <c r="D26" s="281"/>
      <c r="E26" s="282"/>
      <c r="F26" s="274"/>
      <c r="G26" s="274"/>
      <c r="H26" s="274"/>
      <c r="I26" s="274"/>
      <c r="J26" s="274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6"/>
      <c r="W26" s="276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5"/>
      <c r="AT26" s="275"/>
      <c r="AU26" s="275"/>
      <c r="AV26" s="275"/>
      <c r="AW26" s="275"/>
      <c r="AX26" s="270"/>
      <c r="AY26" s="169"/>
      <c r="AZ26" s="169"/>
      <c r="BA26" s="280"/>
      <c r="BB26" s="169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H26" s="212"/>
      <c r="CL26" s="249"/>
    </row>
    <row r="27" spans="1:91" s="114" customFormat="1" ht="0.75" hidden="1" customHeight="1">
      <c r="A27" s="249"/>
      <c r="B27" s="937"/>
      <c r="C27" s="937"/>
      <c r="D27" s="281"/>
      <c r="E27" s="282"/>
      <c r="F27" s="274"/>
      <c r="G27" s="274"/>
      <c r="H27" s="274"/>
      <c r="I27" s="274"/>
      <c r="J27" s="274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6"/>
      <c r="W27" s="276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5"/>
      <c r="AT27" s="275"/>
      <c r="AU27" s="275"/>
      <c r="AV27" s="275"/>
      <c r="AW27" s="275"/>
      <c r="AX27" s="270"/>
      <c r="AY27" s="169"/>
      <c r="AZ27" s="169"/>
      <c r="BA27" s="284"/>
      <c r="BB27" s="169"/>
      <c r="BC27" s="278"/>
      <c r="BD27" s="278"/>
      <c r="BE27" s="278"/>
      <c r="BF27" s="278"/>
      <c r="BG27" s="278"/>
      <c r="BH27" s="278"/>
      <c r="BI27" s="278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H27" s="212"/>
      <c r="CL27" s="249"/>
    </row>
    <row r="28" spans="1:91" s="114" customFormat="1" ht="0.75" hidden="1" customHeight="1">
      <c r="A28" s="249"/>
      <c r="B28" s="937"/>
      <c r="C28" s="937"/>
      <c r="D28" s="285"/>
      <c r="E28" s="282"/>
      <c r="F28" s="274"/>
      <c r="G28" s="274"/>
      <c r="H28" s="274"/>
      <c r="I28" s="274"/>
      <c r="J28" s="274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6"/>
      <c r="W28" s="276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5"/>
      <c r="AT28" s="275"/>
      <c r="AU28" s="275"/>
      <c r="AV28" s="275"/>
      <c r="AW28" s="275"/>
      <c r="AX28" s="270"/>
      <c r="AY28" s="169"/>
      <c r="AZ28" s="169"/>
      <c r="BA28" s="284"/>
      <c r="BB28" s="169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H28" s="212"/>
      <c r="CL28" s="249"/>
    </row>
    <row r="29" spans="1:91" s="169" customFormat="1" ht="0.75" hidden="1" customHeight="1">
      <c r="D29" s="286"/>
      <c r="CL29" s="249"/>
      <c r="CM29" s="114"/>
    </row>
    <row r="30" spans="1:91" s="169" customFormat="1" ht="0.75" hidden="1" customHeight="1">
      <c r="D30" s="286"/>
      <c r="CL30" s="249"/>
      <c r="CM30" s="114"/>
    </row>
    <row r="31" spans="1:91" s="169" customFormat="1" ht="0.75" hidden="1" customHeight="1">
      <c r="D31" s="286"/>
      <c r="CL31" s="249"/>
      <c r="CM31" s="114"/>
    </row>
    <row r="32" spans="1:91" s="169" customFormat="1" ht="0.75" hidden="1" customHeight="1">
      <c r="D32" s="286"/>
      <c r="CL32" s="249"/>
      <c r="CM32" s="114"/>
    </row>
    <row r="33" spans="4:91" s="169" customFormat="1" ht="0.75" hidden="1" customHeight="1">
      <c r="D33" s="286"/>
      <c r="CL33" s="249"/>
      <c r="CM33" s="114"/>
    </row>
    <row r="34" spans="4:91" s="169" customFormat="1" ht="0.75" hidden="1" customHeight="1">
      <c r="D34" s="286"/>
      <c r="CL34" s="249"/>
      <c r="CM34" s="114"/>
    </row>
    <row r="35" spans="4:91" s="169" customFormat="1" ht="0.75" hidden="1" customHeight="1">
      <c r="D35" s="286"/>
      <c r="CL35" s="249"/>
      <c r="CM35" s="114"/>
    </row>
    <row r="36" spans="4:91" s="169" customFormat="1" ht="0.75" hidden="1" customHeight="1">
      <c r="D36" s="286"/>
      <c r="CL36" s="249"/>
      <c r="CM36" s="114"/>
    </row>
    <row r="37" spans="4:91" s="169" customFormat="1" ht="0.75" hidden="1" customHeight="1">
      <c r="D37" s="286"/>
      <c r="CL37" s="249"/>
      <c r="CM37" s="114"/>
    </row>
    <row r="38" spans="4:91" s="169" customFormat="1" ht="0.75" hidden="1" customHeight="1">
      <c r="D38" s="286"/>
      <c r="CL38" s="249"/>
      <c r="CM38" s="114"/>
    </row>
    <row r="39" spans="4:91" s="169" customFormat="1" ht="0.75" hidden="1" customHeight="1">
      <c r="D39" s="286"/>
      <c r="CL39" s="249"/>
      <c r="CM39" s="114"/>
    </row>
    <row r="40" spans="4:91" s="169" customFormat="1" ht="0.75" hidden="1" customHeight="1">
      <c r="D40" s="286"/>
      <c r="CL40" s="249"/>
      <c r="CM40" s="114"/>
    </row>
    <row r="41" spans="4:91" s="169" customFormat="1" ht="0.75" hidden="1" customHeight="1">
      <c r="D41" s="286"/>
      <c r="CL41" s="249"/>
      <c r="CM41" s="114"/>
    </row>
    <row r="42" spans="4:91" s="169" customFormat="1" ht="0.75" hidden="1" customHeight="1">
      <c r="D42" s="286"/>
      <c r="CL42" s="249"/>
      <c r="CM42" s="114"/>
    </row>
    <row r="43" spans="4:91" s="169" customFormat="1" ht="0.75" hidden="1" customHeight="1">
      <c r="D43" s="286"/>
      <c r="CL43" s="249"/>
      <c r="CM43" s="114"/>
    </row>
    <row r="44" spans="4:91" s="169" customFormat="1" ht="0.75" hidden="1" customHeight="1">
      <c r="D44" s="286"/>
      <c r="CL44" s="249"/>
      <c r="CM44" s="114"/>
    </row>
    <row r="45" spans="4:91" s="169" customFormat="1" ht="0.75" hidden="1" customHeight="1">
      <c r="CL45" s="249"/>
      <c r="CM45" s="114"/>
    </row>
    <row r="46" spans="4:91" s="169" customFormat="1" ht="0.75" hidden="1" customHeight="1">
      <c r="CL46" s="249"/>
      <c r="CM46" s="114"/>
    </row>
    <row r="47" spans="4:91" s="169" customFormat="1" ht="0.75" hidden="1" customHeight="1">
      <c r="CL47" s="249"/>
      <c r="CM47" s="114"/>
    </row>
    <row r="48" spans="4:91" s="169" customFormat="1" ht="0.75" hidden="1" customHeight="1">
      <c r="CL48" s="249"/>
      <c r="CM48" s="114"/>
    </row>
    <row r="49" spans="1:91" s="169" customFormat="1" ht="0.75" hidden="1" customHeight="1">
      <c r="CL49" s="249"/>
      <c r="CM49" s="114"/>
    </row>
    <row r="50" spans="1:91" s="169" customFormat="1" ht="0.75" hidden="1" customHeight="1">
      <c r="CL50" s="249"/>
      <c r="CM50" s="114"/>
    </row>
    <row r="51" spans="1:91" s="169" customFormat="1" ht="0.75" hidden="1" customHeight="1">
      <c r="CL51" s="249"/>
      <c r="CM51" s="114"/>
    </row>
    <row r="52" spans="1:91" s="169" customFormat="1" ht="0.75" hidden="1" customHeight="1">
      <c r="CL52" s="249"/>
      <c r="CM52" s="114"/>
    </row>
    <row r="53" spans="1:91" s="169" customFormat="1" ht="0.75" hidden="1" customHeight="1">
      <c r="CL53" s="249"/>
      <c r="CM53" s="114"/>
    </row>
    <row r="54" spans="1:91" s="169" customFormat="1" ht="0.75" hidden="1" customHeight="1">
      <c r="CL54" s="249"/>
      <c r="CM54" s="114"/>
    </row>
    <row r="55" spans="1:91" s="169" customFormat="1" ht="0.75" hidden="1" customHeight="1">
      <c r="CL55" s="249"/>
      <c r="CM55" s="114"/>
    </row>
    <row r="56" spans="1:91" s="169" customFormat="1" ht="0.75" hidden="1" customHeight="1">
      <c r="CL56" s="249"/>
      <c r="CM56" s="114"/>
    </row>
    <row r="57" spans="1:91" s="114" customFormat="1" ht="24.75" hidden="1" customHeight="1">
      <c r="A57" s="391" t="s">
        <v>403</v>
      </c>
      <c r="B57" s="942"/>
      <c r="C57" s="288" t="str">
        <f>F59</f>
        <v>0.0</v>
      </c>
      <c r="D57" s="272" t="s">
        <v>112</v>
      </c>
      <c r="E57" s="289"/>
      <c r="F57" s="938">
        <f>B57</f>
        <v>0</v>
      </c>
      <c r="G57" s="945"/>
      <c r="H57" s="290">
        <f>H59</f>
        <v>0</v>
      </c>
      <c r="I57" s="290">
        <f>I59</f>
        <v>0</v>
      </c>
      <c r="J57" s="599" t="str">
        <f>A57</f>
        <v>TBD</v>
      </c>
      <c r="K57" s="290">
        <f>K59</f>
        <v>0</v>
      </c>
      <c r="L57" s="290">
        <f>L59</f>
        <v>0</v>
      </c>
      <c r="M57" s="290">
        <f>M59</f>
        <v>0</v>
      </c>
      <c r="N57" s="291"/>
      <c r="O57" s="290">
        <f t="shared" ref="O57:U57" si="0">O59</f>
        <v>0</v>
      </c>
      <c r="P57" s="290">
        <f t="shared" si="0"/>
        <v>0</v>
      </c>
      <c r="Q57" s="290">
        <f t="shared" si="0"/>
        <v>0</v>
      </c>
      <c r="R57" s="290">
        <f t="shared" si="0"/>
        <v>0</v>
      </c>
      <c r="S57" s="290">
        <f t="shared" si="0"/>
        <v>0</v>
      </c>
      <c r="T57" s="290">
        <f t="shared" si="0"/>
        <v>0</v>
      </c>
      <c r="U57" s="290">
        <f t="shared" si="0"/>
        <v>0</v>
      </c>
      <c r="V57" s="290">
        <f t="shared" ref="V57:AD57" si="1">V59</f>
        <v>0</v>
      </c>
      <c r="W57" s="290">
        <f t="shared" si="1"/>
        <v>0</v>
      </c>
      <c r="X57" s="290">
        <f t="shared" si="1"/>
        <v>0</v>
      </c>
      <c r="Y57" s="290">
        <f t="shared" si="1"/>
        <v>0</v>
      </c>
      <c r="Z57" s="290">
        <f t="shared" si="1"/>
        <v>0</v>
      </c>
      <c r="AA57" s="290">
        <f t="shared" si="1"/>
        <v>0</v>
      </c>
      <c r="AB57" s="290">
        <f t="shared" si="1"/>
        <v>0</v>
      </c>
      <c r="AC57" s="290">
        <f t="shared" si="1"/>
        <v>0</v>
      </c>
      <c r="AD57" s="290">
        <f t="shared" si="1"/>
        <v>0</v>
      </c>
      <c r="AE57" s="290">
        <f t="shared" ref="AE57:AL57" si="2">AE59</f>
        <v>0</v>
      </c>
      <c r="AF57" s="290">
        <f t="shared" si="2"/>
        <v>0</v>
      </c>
      <c r="AG57" s="290">
        <f t="shared" si="2"/>
        <v>0</v>
      </c>
      <c r="AH57" s="290">
        <f t="shared" si="2"/>
        <v>0</v>
      </c>
      <c r="AI57" s="290">
        <f t="shared" si="2"/>
        <v>0</v>
      </c>
      <c r="AJ57" s="290">
        <f t="shared" si="2"/>
        <v>0</v>
      </c>
      <c r="AK57" s="290">
        <f t="shared" si="2"/>
        <v>0</v>
      </c>
      <c r="AL57" s="290">
        <f t="shared" si="2"/>
        <v>0</v>
      </c>
      <c r="AM57" s="290">
        <f>AM59</f>
        <v>0</v>
      </c>
      <c r="AN57" s="290">
        <f>AN59</f>
        <v>0</v>
      </c>
      <c r="AO57" s="290">
        <f>AO59</f>
        <v>0</v>
      </c>
      <c r="AP57" s="291"/>
      <c r="AQ57" s="290">
        <f t="shared" ref="AQ57:AX57" si="3">AQ59</f>
        <v>0</v>
      </c>
      <c r="AR57" s="290">
        <f t="shared" si="3"/>
        <v>0</v>
      </c>
      <c r="AS57" s="290">
        <f t="shared" si="3"/>
        <v>0</v>
      </c>
      <c r="AT57" s="290">
        <f t="shared" si="3"/>
        <v>0</v>
      </c>
      <c r="AU57" s="290">
        <f t="shared" si="3"/>
        <v>0</v>
      </c>
      <c r="AV57" s="290">
        <f t="shared" si="3"/>
        <v>0</v>
      </c>
      <c r="AW57" s="290">
        <f t="shared" si="3"/>
        <v>0</v>
      </c>
      <c r="AX57" s="240">
        <f t="shared" si="3"/>
        <v>0</v>
      </c>
      <c r="AY57" s="169"/>
      <c r="AZ57" s="169"/>
      <c r="BA57" s="277" t="s">
        <v>765</v>
      </c>
      <c r="BB57" s="169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H57" s="212"/>
      <c r="CL57" s="249"/>
    </row>
    <row r="58" spans="1:91" s="114" customFormat="1" ht="0.75" hidden="1" customHeight="1">
      <c r="A58" s="287"/>
      <c r="B58" s="943"/>
      <c r="C58" s="288"/>
      <c r="D58" s="279"/>
      <c r="E58" s="289"/>
      <c r="F58" s="939"/>
      <c r="G58" s="941"/>
      <c r="H58" s="274"/>
      <c r="I58" s="274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275"/>
      <c r="U58" s="275"/>
      <c r="V58" s="276"/>
      <c r="W58" s="275"/>
      <c r="X58" s="275"/>
      <c r="Y58" s="275"/>
      <c r="Z58" s="275"/>
      <c r="AA58" s="275"/>
      <c r="AB58" s="275"/>
      <c r="AC58" s="275"/>
      <c r="AD58" s="275"/>
      <c r="AE58" s="275"/>
      <c r="AF58" s="275"/>
      <c r="AG58" s="275"/>
      <c r="AH58" s="275"/>
      <c r="AI58" s="275"/>
      <c r="AJ58" s="275"/>
      <c r="AK58" s="275"/>
      <c r="AL58" s="275"/>
      <c r="AM58" s="275"/>
      <c r="AN58" s="275"/>
      <c r="AO58" s="275"/>
      <c r="AP58" s="275"/>
      <c r="AQ58" s="275"/>
      <c r="AR58" s="275"/>
      <c r="AS58" s="275"/>
      <c r="AT58" s="275"/>
      <c r="AU58" s="275"/>
      <c r="AV58" s="275"/>
      <c r="AW58" s="275"/>
      <c r="AX58" s="241"/>
      <c r="AY58" s="169"/>
      <c r="AZ58" s="169"/>
      <c r="BA58" s="280"/>
      <c r="BB58" s="169"/>
      <c r="BC58" s="278"/>
      <c r="BD58" s="278"/>
      <c r="BE58" s="278"/>
      <c r="BF58" s="278"/>
      <c r="BG58" s="278"/>
      <c r="BH58" s="278"/>
      <c r="BI58" s="278"/>
      <c r="BJ58" s="278"/>
      <c r="BK58" s="278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8"/>
      <c r="BY58" s="278"/>
      <c r="BZ58" s="278"/>
      <c r="CA58" s="278"/>
      <c r="CB58" s="278"/>
      <c r="CC58" s="278"/>
      <c r="CD58" s="278"/>
      <c r="CE58" s="278"/>
      <c r="CH58" s="212"/>
      <c r="CL58" s="249"/>
    </row>
    <row r="59" spans="1:91" s="114" customFormat="1" ht="12" hidden="1" customHeight="1">
      <c r="A59" s="287"/>
      <c r="B59" s="943"/>
      <c r="C59" s="946"/>
      <c r="D59" s="281"/>
      <c r="E59" s="282"/>
      <c r="F59" s="283" t="str">
        <f>F57 &amp; ".0"</f>
        <v>0.0</v>
      </c>
      <c r="G59" s="301" t="s">
        <v>136</v>
      </c>
      <c r="H59" s="749">
        <f>SUMIF('Список объектов'!$R$15:$R$19,$F59,'Список объектов'!$S$15:$S$19)</f>
        <v>0</v>
      </c>
      <c r="I59" s="292">
        <f>SUMIF('Список объектов'!$R$15:$R$19,$F59,'Список объектов'!$T$15:$T$19)</f>
        <v>0</v>
      </c>
      <c r="J59" s="392" t="str">
        <f>J57</f>
        <v>TBD</v>
      </c>
      <c r="K59" s="293">
        <f>L59+M59-V59+AM59-W59-AE59</f>
        <v>0</v>
      </c>
      <c r="L59" s="292"/>
      <c r="M59" s="293">
        <f t="shared" ref="M59:M71" si="4">SUM(O59,R59:T59,U59,V59)</f>
        <v>0</v>
      </c>
      <c r="N59" s="275"/>
      <c r="O59" s="293">
        <f t="shared" ref="O59:T59" si="5">SUM(O60:O71)</f>
        <v>0</v>
      </c>
      <c r="P59" s="293">
        <f t="shared" si="5"/>
        <v>0</v>
      </c>
      <c r="Q59" s="293">
        <f t="shared" si="5"/>
        <v>0</v>
      </c>
      <c r="R59" s="293">
        <f t="shared" si="5"/>
        <v>0</v>
      </c>
      <c r="S59" s="293">
        <f t="shared" si="5"/>
        <v>0</v>
      </c>
      <c r="T59" s="293">
        <f t="shared" si="5"/>
        <v>0</v>
      </c>
      <c r="U59" s="293">
        <f>SUM(U60:U71)</f>
        <v>0</v>
      </c>
      <c r="V59" s="293">
        <f>SUM(V60:V71)</f>
        <v>0</v>
      </c>
      <c r="W59" s="294">
        <f>SUM(X59:Z59)</f>
        <v>0</v>
      </c>
      <c r="X59" s="292"/>
      <c r="Y59" s="292"/>
      <c r="Z59" s="292"/>
      <c r="AA59" s="294">
        <f>SUM(AB59:AD59)</f>
        <v>0</v>
      </c>
      <c r="AB59" s="292"/>
      <c r="AC59" s="292"/>
      <c r="AD59" s="292"/>
      <c r="AE59" s="294">
        <f>SUM(AF59:AH59)</f>
        <v>0</v>
      </c>
      <c r="AF59" s="292"/>
      <c r="AG59" s="292"/>
      <c r="AH59" s="292"/>
      <c r="AI59" s="294">
        <f>SUM(AJ59:AL59)</f>
        <v>0</v>
      </c>
      <c r="AJ59" s="292"/>
      <c r="AK59" s="292"/>
      <c r="AL59" s="292"/>
      <c r="AM59" s="293">
        <f>AN59+AO59</f>
        <v>0</v>
      </c>
      <c r="AN59" s="292"/>
      <c r="AO59" s="293">
        <f>SUM(AO60:AO71)</f>
        <v>0</v>
      </c>
      <c r="AP59" s="275"/>
      <c r="AQ59" s="293">
        <f t="shared" ref="AQ59:AX59" si="6">SUM(AQ60:AQ71)</f>
        <v>0</v>
      </c>
      <c r="AR59" s="293">
        <f t="shared" si="6"/>
        <v>0</v>
      </c>
      <c r="AS59" s="293">
        <f t="shared" si="6"/>
        <v>0</v>
      </c>
      <c r="AT59" s="293">
        <f t="shared" si="6"/>
        <v>0</v>
      </c>
      <c r="AU59" s="293">
        <f t="shared" si="6"/>
        <v>0</v>
      </c>
      <c r="AV59" s="293">
        <f t="shared" si="6"/>
        <v>0</v>
      </c>
      <c r="AW59" s="293">
        <f t="shared" si="6"/>
        <v>0</v>
      </c>
      <c r="AX59" s="247">
        <f t="shared" si="6"/>
        <v>0</v>
      </c>
      <c r="AY59" s="169"/>
      <c r="AZ59" s="169"/>
      <c r="BA59" s="277" t="s">
        <v>21</v>
      </c>
      <c r="BB59" s="169"/>
      <c r="BC59" s="278"/>
      <c r="BD59" s="278"/>
      <c r="BE59" s="278"/>
      <c r="BF59" s="278"/>
      <c r="BG59" s="278"/>
      <c r="BH59" s="278"/>
      <c r="BI59" s="278"/>
      <c r="BJ59" s="278"/>
      <c r="BK59" s="278"/>
      <c r="BL59" s="278"/>
      <c r="BM59" s="278"/>
      <c r="BN59" s="278"/>
      <c r="BO59" s="278"/>
      <c r="BP59" s="295">
        <f>SUM($U60:$U71)+SUM($AT60:$AT71)</f>
        <v>0</v>
      </c>
      <c r="BQ59" s="295">
        <f>SUM($R60:$R71)+SUM($AV60:$AV71)</f>
        <v>0</v>
      </c>
      <c r="BR59" s="295">
        <f>SUM($S60:$S71)+SUM($AW60:$AW71)</f>
        <v>0</v>
      </c>
      <c r="BS59" s="295">
        <f>SUM($T60:$T71)+SUM($AX60:$AX71)</f>
        <v>0</v>
      </c>
      <c r="BT59" s="295"/>
      <c r="BU59" s="295">
        <f>SUM($U60:$U71)+SUM($AT60:$AT71)</f>
        <v>0</v>
      </c>
      <c r="BV59" s="295">
        <f>SUM($R60:$R71)+SUM($AV60:$AV71)</f>
        <v>0</v>
      </c>
      <c r="BW59" s="295">
        <f>SUM($S60:$S71)+SUM($AW60:$AW71)</f>
        <v>0</v>
      </c>
      <c r="BX59" s="295">
        <f>SUM($T60:$T71)+SUM($AX60:$AX71)</f>
        <v>0</v>
      </c>
      <c r="BY59" s="295"/>
      <c r="BZ59" s="278"/>
      <c r="CA59" s="278"/>
      <c r="CB59" s="278"/>
      <c r="CC59" s="278"/>
      <c r="CD59" s="278"/>
      <c r="CE59" s="295">
        <f>M59-V59+AO59</f>
        <v>0</v>
      </c>
      <c r="CH59" s="212"/>
      <c r="CL59" s="249"/>
    </row>
    <row r="60" spans="1:91" s="114" customFormat="1" ht="12" hidden="1" customHeight="1">
      <c r="A60" s="287"/>
      <c r="B60" s="943"/>
      <c r="C60" s="947"/>
      <c r="D60" s="281"/>
      <c r="E60" s="282"/>
      <c r="F60" s="283" t="str">
        <f>F57 &amp; ".1"</f>
        <v>0.1</v>
      </c>
      <c r="G60" s="301" t="s">
        <v>137</v>
      </c>
      <c r="H60" s="274"/>
      <c r="I60" s="274"/>
      <c r="J60" s="602" t="str">
        <f ca="1">IF(OFFSET('Список территорий'!CJ$15,$F57,0)="a","Y","N")</f>
        <v>N</v>
      </c>
      <c r="K60" s="293">
        <f t="shared" ref="K60:K71" si="7">L60+M60-V60+AM60-W60-AE60</f>
        <v>0</v>
      </c>
      <c r="L60" s="292"/>
      <c r="M60" s="293">
        <f t="shared" si="4"/>
        <v>0</v>
      </c>
      <c r="N60" s="275"/>
      <c r="O60" s="293">
        <f>SUM(P60:Q60)</f>
        <v>0</v>
      </c>
      <c r="P60" s="292"/>
      <c r="Q60" s="292"/>
      <c r="R60" s="292"/>
      <c r="S60" s="292"/>
      <c r="T60" s="292"/>
      <c r="U60" s="292"/>
      <c r="V60" s="292"/>
      <c r="W60" s="275"/>
      <c r="X60" s="275"/>
      <c r="Y60" s="275"/>
      <c r="Z60" s="275"/>
      <c r="AA60" s="275"/>
      <c r="AB60" s="275"/>
      <c r="AC60" s="275"/>
      <c r="AD60" s="275"/>
      <c r="AE60" s="275"/>
      <c r="AF60" s="275"/>
      <c r="AG60" s="275"/>
      <c r="AH60" s="275"/>
      <c r="AI60" s="275"/>
      <c r="AJ60" s="275"/>
      <c r="AK60" s="275"/>
      <c r="AL60" s="275"/>
      <c r="AM60" s="275"/>
      <c r="AN60" s="275"/>
      <c r="AO60" s="293">
        <f t="shared" ref="AO60:AO71" si="8">SUM(AQ60,AT60,AU60)</f>
        <v>0</v>
      </c>
      <c r="AP60" s="275"/>
      <c r="AQ60" s="293">
        <f>SUM(AR60:AS60)</f>
        <v>0</v>
      </c>
      <c r="AR60" s="292"/>
      <c r="AS60" s="292"/>
      <c r="AT60" s="292"/>
      <c r="AU60" s="293">
        <f t="shared" ref="AU60:AU71" si="9">SUM(AV60:AX60)</f>
        <v>0</v>
      </c>
      <c r="AV60" s="292"/>
      <c r="AW60" s="292"/>
      <c r="AX60" s="245"/>
      <c r="AY60" s="169"/>
      <c r="AZ60" s="169"/>
      <c r="BA60" s="280" t="str">
        <f>C57 &amp; "-I"</f>
        <v>0.0-I</v>
      </c>
      <c r="BB60" s="169"/>
      <c r="BC60" s="278"/>
      <c r="BD60" s="278"/>
      <c r="BE60" s="278"/>
      <c r="BF60" s="278"/>
      <c r="BG60" s="278"/>
      <c r="BH60" s="278"/>
      <c r="BI60" s="278"/>
      <c r="BJ60" s="278"/>
      <c r="BK60" s="278"/>
      <c r="BL60" s="278"/>
      <c r="BM60" s="278"/>
      <c r="BN60" s="278"/>
      <c r="BO60" s="278"/>
      <c r="BP60" s="295">
        <f>SUM($U60:$U65)+SUM($AT60:$AT65)</f>
        <v>0</v>
      </c>
      <c r="BQ60" s="295">
        <f>SUM($R60:$R65)+SUM($AV60:$AV65)</f>
        <v>0</v>
      </c>
      <c r="BR60" s="295">
        <f>SUM($S60:$S65)+SUM($AW60:$AW65)</f>
        <v>0</v>
      </c>
      <c r="BS60" s="295">
        <f>SUM($T60:$T65)+SUM($AX60:$AX65)</f>
        <v>0</v>
      </c>
      <c r="BT60" s="278"/>
      <c r="BU60" s="295">
        <f>SUM($U60:$U65)+SUM($AT60:$AT65)</f>
        <v>0</v>
      </c>
      <c r="BV60" s="295">
        <f>SUM($R60:$R65)+SUM($AV60:$AV65)</f>
        <v>0</v>
      </c>
      <c r="BW60" s="295">
        <f>SUM($S60:$S65)+SUM($AW60:$AW65)</f>
        <v>0</v>
      </c>
      <c r="BX60" s="295">
        <f>SUM($T60:$T65)+SUM($AX60:$AX65)</f>
        <v>0</v>
      </c>
      <c r="BY60" s="278"/>
      <c r="BZ60" s="278"/>
      <c r="CA60" s="278"/>
      <c r="CB60" s="278"/>
      <c r="CC60" s="278"/>
      <c r="CD60" s="278"/>
      <c r="CE60" s="278"/>
      <c r="CH60" s="212"/>
      <c r="CL60" s="249"/>
    </row>
    <row r="61" spans="1:91" s="114" customFormat="1" ht="12" hidden="1" customHeight="1">
      <c r="A61" s="287"/>
      <c r="B61" s="943"/>
      <c r="C61" s="947"/>
      <c r="D61" s="281"/>
      <c r="E61" s="282"/>
      <c r="F61" s="283" t="str">
        <f>F57 &amp; ".2"</f>
        <v>0.2</v>
      </c>
      <c r="G61" s="301" t="s">
        <v>138</v>
      </c>
      <c r="H61" s="274"/>
      <c r="I61" s="274"/>
      <c r="J61" s="602" t="str">
        <f ca="1">IF(OFFSET('Список территорий'!CK$15,$F57,0)="a","Y","N")</f>
        <v>N</v>
      </c>
      <c r="K61" s="293">
        <f t="shared" si="7"/>
        <v>0</v>
      </c>
      <c r="L61" s="292"/>
      <c r="M61" s="293">
        <f t="shared" si="4"/>
        <v>0</v>
      </c>
      <c r="N61" s="275"/>
      <c r="O61" s="293">
        <f t="shared" ref="O61:O71" si="10">SUM(P61:Q61)</f>
        <v>0</v>
      </c>
      <c r="P61" s="292"/>
      <c r="Q61" s="292"/>
      <c r="R61" s="292"/>
      <c r="S61" s="292"/>
      <c r="T61" s="292"/>
      <c r="U61" s="292"/>
      <c r="V61" s="292"/>
      <c r="W61" s="275"/>
      <c r="X61" s="275"/>
      <c r="Y61" s="275"/>
      <c r="Z61" s="275"/>
      <c r="AA61" s="275"/>
      <c r="AB61" s="275"/>
      <c r="AC61" s="275"/>
      <c r="AD61" s="275"/>
      <c r="AE61" s="275"/>
      <c r="AF61" s="275"/>
      <c r="AG61" s="275"/>
      <c r="AH61" s="275"/>
      <c r="AI61" s="275"/>
      <c r="AJ61" s="275"/>
      <c r="AK61" s="275"/>
      <c r="AL61" s="275"/>
      <c r="AM61" s="275"/>
      <c r="AN61" s="275"/>
      <c r="AO61" s="293">
        <f t="shared" si="8"/>
        <v>0</v>
      </c>
      <c r="AP61" s="275"/>
      <c r="AQ61" s="293">
        <f t="shared" ref="AQ61:AQ71" si="11">SUM(AR61:AS61)</f>
        <v>0</v>
      </c>
      <c r="AR61" s="292"/>
      <c r="AS61" s="292"/>
      <c r="AT61" s="292"/>
      <c r="AU61" s="293">
        <f t="shared" si="9"/>
        <v>0</v>
      </c>
      <c r="AV61" s="292"/>
      <c r="AW61" s="292"/>
      <c r="AX61" s="245"/>
      <c r="AY61" s="169"/>
      <c r="AZ61" s="169"/>
      <c r="BA61" s="280" t="str">
        <f>C57 &amp; "-I"</f>
        <v>0.0-I</v>
      </c>
      <c r="BB61" s="169"/>
      <c r="BC61" s="278"/>
      <c r="BD61" s="278"/>
      <c r="BE61" s="278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H61" s="212"/>
      <c r="CL61" s="249"/>
    </row>
    <row r="62" spans="1:91" s="114" customFormat="1" ht="12" hidden="1" customHeight="1">
      <c r="A62" s="287"/>
      <c r="B62" s="943"/>
      <c r="C62" s="947"/>
      <c r="D62" s="281"/>
      <c r="E62" s="282"/>
      <c r="F62" s="283" t="str">
        <f>F57 &amp; ".3"</f>
        <v>0.3</v>
      </c>
      <c r="G62" s="301" t="s">
        <v>139</v>
      </c>
      <c r="H62" s="274"/>
      <c r="I62" s="274"/>
      <c r="J62" s="602" t="str">
        <f ca="1">IF(OFFSET('Список территорий'!CL$15,$F57,0)="a","Y","N")</f>
        <v>N</v>
      </c>
      <c r="K62" s="293">
        <f t="shared" si="7"/>
        <v>0</v>
      </c>
      <c r="L62" s="292"/>
      <c r="M62" s="293">
        <f t="shared" si="4"/>
        <v>0</v>
      </c>
      <c r="N62" s="275"/>
      <c r="O62" s="293">
        <f t="shared" si="10"/>
        <v>0</v>
      </c>
      <c r="P62" s="292"/>
      <c r="Q62" s="292"/>
      <c r="R62" s="292"/>
      <c r="S62" s="292"/>
      <c r="T62" s="292"/>
      <c r="U62" s="292"/>
      <c r="V62" s="292"/>
      <c r="W62" s="275"/>
      <c r="X62" s="275"/>
      <c r="Y62" s="275"/>
      <c r="Z62" s="275"/>
      <c r="AA62" s="275"/>
      <c r="AB62" s="275"/>
      <c r="AC62" s="275"/>
      <c r="AD62" s="275"/>
      <c r="AE62" s="275"/>
      <c r="AF62" s="275"/>
      <c r="AG62" s="275"/>
      <c r="AH62" s="275"/>
      <c r="AI62" s="275"/>
      <c r="AJ62" s="275"/>
      <c r="AK62" s="275"/>
      <c r="AL62" s="275"/>
      <c r="AM62" s="275"/>
      <c r="AN62" s="275"/>
      <c r="AO62" s="293">
        <f t="shared" si="8"/>
        <v>0</v>
      </c>
      <c r="AP62" s="275"/>
      <c r="AQ62" s="293">
        <f t="shared" si="11"/>
        <v>0</v>
      </c>
      <c r="AR62" s="292"/>
      <c r="AS62" s="292"/>
      <c r="AT62" s="292"/>
      <c r="AU62" s="293">
        <f t="shared" si="9"/>
        <v>0</v>
      </c>
      <c r="AV62" s="292"/>
      <c r="AW62" s="292"/>
      <c r="AX62" s="245"/>
      <c r="AY62" s="169"/>
      <c r="AZ62" s="169"/>
      <c r="BA62" s="280" t="str">
        <f>C57 &amp; "-I"</f>
        <v>0.0-I</v>
      </c>
      <c r="BB62" s="169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H62" s="212"/>
      <c r="CL62" s="249"/>
    </row>
    <row r="63" spans="1:91" s="114" customFormat="1" ht="12" hidden="1" customHeight="1">
      <c r="A63" s="287"/>
      <c r="B63" s="943"/>
      <c r="C63" s="947"/>
      <c r="D63" s="281"/>
      <c r="E63" s="282"/>
      <c r="F63" s="283" t="str">
        <f>F57 &amp; ".4"</f>
        <v>0.4</v>
      </c>
      <c r="G63" s="301" t="s">
        <v>140</v>
      </c>
      <c r="H63" s="274"/>
      <c r="I63" s="274"/>
      <c r="J63" s="602" t="str">
        <f ca="1">IF(OFFSET('Список территорий'!CM$15,$F57,0)="a","Y","N")</f>
        <v>N</v>
      </c>
      <c r="K63" s="293">
        <f t="shared" si="7"/>
        <v>0</v>
      </c>
      <c r="L63" s="292"/>
      <c r="M63" s="293">
        <f t="shared" si="4"/>
        <v>0</v>
      </c>
      <c r="N63" s="275"/>
      <c r="O63" s="293">
        <f t="shared" si="10"/>
        <v>0</v>
      </c>
      <c r="P63" s="292"/>
      <c r="Q63" s="292"/>
      <c r="R63" s="292"/>
      <c r="S63" s="292"/>
      <c r="T63" s="292"/>
      <c r="U63" s="292"/>
      <c r="V63" s="292"/>
      <c r="W63" s="275"/>
      <c r="X63" s="275"/>
      <c r="Y63" s="275"/>
      <c r="Z63" s="275"/>
      <c r="AA63" s="275"/>
      <c r="AB63" s="275"/>
      <c r="AC63" s="275"/>
      <c r="AD63" s="275"/>
      <c r="AE63" s="275"/>
      <c r="AF63" s="275"/>
      <c r="AG63" s="275"/>
      <c r="AH63" s="275"/>
      <c r="AI63" s="275"/>
      <c r="AJ63" s="275"/>
      <c r="AK63" s="275"/>
      <c r="AL63" s="275"/>
      <c r="AM63" s="275"/>
      <c r="AN63" s="275"/>
      <c r="AO63" s="293">
        <f t="shared" si="8"/>
        <v>0</v>
      </c>
      <c r="AP63" s="275"/>
      <c r="AQ63" s="293">
        <f t="shared" si="11"/>
        <v>0</v>
      </c>
      <c r="AR63" s="292"/>
      <c r="AS63" s="292"/>
      <c r="AT63" s="292"/>
      <c r="AU63" s="293">
        <f t="shared" si="9"/>
        <v>0</v>
      </c>
      <c r="AV63" s="292"/>
      <c r="AW63" s="292"/>
      <c r="AX63" s="245"/>
      <c r="AY63" s="169"/>
      <c r="AZ63" s="169"/>
      <c r="BA63" s="280" t="str">
        <f>C57 &amp; "-I"</f>
        <v>0.0-I</v>
      </c>
      <c r="BB63" s="169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H63" s="212"/>
      <c r="CL63" s="249"/>
    </row>
    <row r="64" spans="1:91" s="114" customFormat="1" ht="12" hidden="1" customHeight="1">
      <c r="A64" s="287"/>
      <c r="B64" s="943"/>
      <c r="C64" s="947"/>
      <c r="D64" s="281"/>
      <c r="E64" s="282"/>
      <c r="F64" s="283" t="str">
        <f>F57 &amp; ".5"</f>
        <v>0.5</v>
      </c>
      <c r="G64" s="301" t="s">
        <v>141</v>
      </c>
      <c r="H64" s="274"/>
      <c r="I64" s="274"/>
      <c r="J64" s="602" t="str">
        <f ca="1">IF(OFFSET('Список территорий'!CN$15,$F57,0)="a","Y","N")</f>
        <v>N</v>
      </c>
      <c r="K64" s="293">
        <f t="shared" si="7"/>
        <v>0</v>
      </c>
      <c r="L64" s="292"/>
      <c r="M64" s="293">
        <f t="shared" si="4"/>
        <v>0</v>
      </c>
      <c r="N64" s="275"/>
      <c r="O64" s="293">
        <f t="shared" si="10"/>
        <v>0</v>
      </c>
      <c r="P64" s="292"/>
      <c r="Q64" s="292"/>
      <c r="R64" s="292"/>
      <c r="S64" s="292"/>
      <c r="T64" s="292"/>
      <c r="U64" s="292"/>
      <c r="V64" s="292"/>
      <c r="W64" s="275"/>
      <c r="X64" s="275"/>
      <c r="Y64" s="275"/>
      <c r="Z64" s="275"/>
      <c r="AA64" s="275"/>
      <c r="AB64" s="275"/>
      <c r="AC64" s="275"/>
      <c r="AD64" s="275"/>
      <c r="AE64" s="275"/>
      <c r="AF64" s="275"/>
      <c r="AG64" s="275"/>
      <c r="AH64" s="275"/>
      <c r="AI64" s="275"/>
      <c r="AJ64" s="275"/>
      <c r="AK64" s="275"/>
      <c r="AL64" s="275"/>
      <c r="AM64" s="275"/>
      <c r="AN64" s="275"/>
      <c r="AO64" s="293">
        <f t="shared" si="8"/>
        <v>0</v>
      </c>
      <c r="AP64" s="275"/>
      <c r="AQ64" s="293">
        <f t="shared" si="11"/>
        <v>0</v>
      </c>
      <c r="AR64" s="292"/>
      <c r="AS64" s="292"/>
      <c r="AT64" s="292"/>
      <c r="AU64" s="293">
        <f t="shared" si="9"/>
        <v>0</v>
      </c>
      <c r="AV64" s="292"/>
      <c r="AW64" s="292"/>
      <c r="AX64" s="245"/>
      <c r="AY64" s="169"/>
      <c r="AZ64" s="169"/>
      <c r="BA64" s="280" t="str">
        <f>C57 &amp; "-I"</f>
        <v>0.0-I</v>
      </c>
      <c r="BB64" s="169"/>
      <c r="BC64" s="278"/>
      <c r="BD64" s="278"/>
      <c r="BE64" s="278"/>
      <c r="BF64" s="278"/>
      <c r="BG64" s="278"/>
      <c r="BH64" s="278"/>
      <c r="BI64" s="278"/>
      <c r="BJ64" s="278"/>
      <c r="BK64" s="278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8"/>
      <c r="BW64" s="278"/>
      <c r="BX64" s="278"/>
      <c r="BY64" s="278"/>
      <c r="BZ64" s="278"/>
      <c r="CA64" s="278"/>
      <c r="CB64" s="278"/>
      <c r="CC64" s="278"/>
      <c r="CD64" s="278"/>
      <c r="CE64" s="278"/>
      <c r="CH64" s="212"/>
      <c r="CL64" s="249"/>
    </row>
    <row r="65" spans="1:90" s="114" customFormat="1" ht="12" hidden="1" customHeight="1">
      <c r="A65" s="287"/>
      <c r="B65" s="943"/>
      <c r="C65" s="947"/>
      <c r="D65" s="281"/>
      <c r="E65" s="282"/>
      <c r="F65" s="283" t="str">
        <f>F57 &amp; ".6"</f>
        <v>0.6</v>
      </c>
      <c r="G65" s="301" t="s">
        <v>142</v>
      </c>
      <c r="H65" s="274"/>
      <c r="I65" s="274"/>
      <c r="J65" s="602" t="str">
        <f ca="1">IF(OFFSET('Список территорий'!CO$15,$F57,0)="a","Y","N")</f>
        <v>N</v>
      </c>
      <c r="K65" s="293">
        <f t="shared" si="7"/>
        <v>0</v>
      </c>
      <c r="L65" s="292"/>
      <c r="M65" s="293">
        <f t="shared" si="4"/>
        <v>0</v>
      </c>
      <c r="N65" s="275"/>
      <c r="O65" s="293">
        <f t="shared" si="10"/>
        <v>0</v>
      </c>
      <c r="P65" s="292"/>
      <c r="Q65" s="292"/>
      <c r="R65" s="292"/>
      <c r="S65" s="292"/>
      <c r="T65" s="292"/>
      <c r="U65" s="292"/>
      <c r="V65" s="292"/>
      <c r="W65" s="275"/>
      <c r="X65" s="275"/>
      <c r="Y65" s="275"/>
      <c r="Z65" s="275"/>
      <c r="AA65" s="275"/>
      <c r="AB65" s="275"/>
      <c r="AC65" s="275"/>
      <c r="AD65" s="275"/>
      <c r="AE65" s="275"/>
      <c r="AF65" s="275"/>
      <c r="AG65" s="275"/>
      <c r="AH65" s="275"/>
      <c r="AI65" s="275"/>
      <c r="AJ65" s="275"/>
      <c r="AK65" s="275"/>
      <c r="AL65" s="275"/>
      <c r="AM65" s="275"/>
      <c r="AN65" s="275"/>
      <c r="AO65" s="293">
        <f t="shared" si="8"/>
        <v>0</v>
      </c>
      <c r="AP65" s="275"/>
      <c r="AQ65" s="293">
        <f t="shared" si="11"/>
        <v>0</v>
      </c>
      <c r="AR65" s="292"/>
      <c r="AS65" s="292"/>
      <c r="AT65" s="292"/>
      <c r="AU65" s="293">
        <f t="shared" si="9"/>
        <v>0</v>
      </c>
      <c r="AV65" s="292"/>
      <c r="AW65" s="292"/>
      <c r="AX65" s="245"/>
      <c r="AY65" s="169"/>
      <c r="AZ65" s="169"/>
      <c r="BA65" s="280" t="str">
        <f>C57 &amp; "-I"</f>
        <v>0.0-I</v>
      </c>
      <c r="BB65" s="169"/>
      <c r="BC65" s="278"/>
      <c r="BD65" s="278"/>
      <c r="BE65" s="278"/>
      <c r="BF65" s="278"/>
      <c r="BG65" s="278"/>
      <c r="BH65" s="278"/>
      <c r="BI65" s="278"/>
      <c r="BJ65" s="278"/>
      <c r="BK65" s="278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8"/>
      <c r="BW65" s="278"/>
      <c r="BX65" s="278"/>
      <c r="BY65" s="278"/>
      <c r="BZ65" s="278"/>
      <c r="CA65" s="278"/>
      <c r="CB65" s="278"/>
      <c r="CC65" s="278"/>
      <c r="CD65" s="278"/>
      <c r="CE65" s="278"/>
      <c r="CH65" s="212"/>
      <c r="CL65" s="249"/>
    </row>
    <row r="66" spans="1:90" s="114" customFormat="1" ht="12" hidden="1" customHeight="1">
      <c r="A66" s="287"/>
      <c r="B66" s="943"/>
      <c r="C66" s="947"/>
      <c r="D66" s="281"/>
      <c r="E66" s="282"/>
      <c r="F66" s="283" t="str">
        <f>F57 &amp; ".7"</f>
        <v>0.7</v>
      </c>
      <c r="G66" s="301" t="s">
        <v>143</v>
      </c>
      <c r="H66" s="274"/>
      <c r="I66" s="274"/>
      <c r="J66" s="602" t="str">
        <f ca="1">IF(OFFSET('Список территорий'!CP$15,$F57,0)="a","Y","N")</f>
        <v>N</v>
      </c>
      <c r="K66" s="293">
        <f t="shared" si="7"/>
        <v>0</v>
      </c>
      <c r="L66" s="292"/>
      <c r="M66" s="293">
        <f t="shared" si="4"/>
        <v>0</v>
      </c>
      <c r="N66" s="275"/>
      <c r="O66" s="293">
        <f t="shared" si="10"/>
        <v>0</v>
      </c>
      <c r="P66" s="292"/>
      <c r="Q66" s="292"/>
      <c r="R66" s="292"/>
      <c r="S66" s="292"/>
      <c r="T66" s="292"/>
      <c r="U66" s="292"/>
      <c r="V66" s="292"/>
      <c r="W66" s="275"/>
      <c r="X66" s="275"/>
      <c r="Y66" s="275"/>
      <c r="Z66" s="275"/>
      <c r="AA66" s="275"/>
      <c r="AB66" s="275"/>
      <c r="AC66" s="275"/>
      <c r="AD66" s="275"/>
      <c r="AE66" s="275"/>
      <c r="AF66" s="275"/>
      <c r="AG66" s="275"/>
      <c r="AH66" s="275"/>
      <c r="AI66" s="275"/>
      <c r="AJ66" s="275"/>
      <c r="AK66" s="275"/>
      <c r="AL66" s="275"/>
      <c r="AM66" s="275"/>
      <c r="AN66" s="275"/>
      <c r="AO66" s="293">
        <f t="shared" si="8"/>
        <v>0</v>
      </c>
      <c r="AP66" s="275"/>
      <c r="AQ66" s="293">
        <f t="shared" si="11"/>
        <v>0</v>
      </c>
      <c r="AR66" s="292"/>
      <c r="AS66" s="292"/>
      <c r="AT66" s="292"/>
      <c r="AU66" s="293">
        <f t="shared" si="9"/>
        <v>0</v>
      </c>
      <c r="AV66" s="292"/>
      <c r="AW66" s="292"/>
      <c r="AX66" s="245"/>
      <c r="AY66" s="169"/>
      <c r="AZ66" s="169"/>
      <c r="BA66" s="280" t="str">
        <f>C57 &amp; "-II"</f>
        <v>0.0-II</v>
      </c>
      <c r="BB66" s="169"/>
      <c r="BC66" s="278"/>
      <c r="BD66" s="278"/>
      <c r="BE66" s="278"/>
      <c r="BF66" s="278"/>
      <c r="BG66" s="278"/>
      <c r="BH66" s="278"/>
      <c r="BI66" s="278"/>
      <c r="BJ66" s="278"/>
      <c r="BK66" s="278"/>
      <c r="BL66" s="278"/>
      <c r="BM66" s="278"/>
      <c r="BN66" s="278"/>
      <c r="BO66" s="278"/>
      <c r="BP66" s="295">
        <f>SUM($U66:$U71)+SUM($AT66:$AT71)</f>
        <v>0</v>
      </c>
      <c r="BQ66" s="295">
        <f>SUM($R66:$R71)+SUM($AV66:$AV71)</f>
        <v>0</v>
      </c>
      <c r="BR66" s="295">
        <f>SUM($S66:$S71)+SUM($AW66:$AW71)</f>
        <v>0</v>
      </c>
      <c r="BS66" s="295">
        <f>SUM($T66:$T71)+SUM($AX66:$AX71)</f>
        <v>0</v>
      </c>
      <c r="BT66" s="278"/>
      <c r="BU66" s="295">
        <f>SUM($U66:$U71)+SUM($AT66:$AT71)</f>
        <v>0</v>
      </c>
      <c r="BV66" s="295">
        <f>SUM($R66:$R71)+SUM($AV66:$AV71)</f>
        <v>0</v>
      </c>
      <c r="BW66" s="295">
        <f>SUM($S66:$S71)+SUM($AW66:$AW71)</f>
        <v>0</v>
      </c>
      <c r="BX66" s="295">
        <f>SUM($T66:$T71)+SUM($AX66:$AX71)</f>
        <v>0</v>
      </c>
      <c r="BY66" s="278"/>
      <c r="BZ66" s="278"/>
      <c r="CA66" s="278"/>
      <c r="CB66" s="278"/>
      <c r="CC66" s="278"/>
      <c r="CD66" s="278"/>
      <c r="CE66" s="278"/>
      <c r="CH66" s="212"/>
      <c r="CL66" s="249"/>
    </row>
    <row r="67" spans="1:90" s="114" customFormat="1" ht="12" hidden="1" customHeight="1">
      <c r="A67" s="287"/>
      <c r="B67" s="943"/>
      <c r="C67" s="947"/>
      <c r="D67" s="281"/>
      <c r="E67" s="282"/>
      <c r="F67" s="283" t="str">
        <f>F57 &amp; ".8"</f>
        <v>0.8</v>
      </c>
      <c r="G67" s="301" t="s">
        <v>144</v>
      </c>
      <c r="H67" s="274"/>
      <c r="I67" s="274"/>
      <c r="J67" s="602" t="str">
        <f ca="1">IF(OFFSET('Список территорий'!CQ$15,$F57,0)="a","Y","N")</f>
        <v>N</v>
      </c>
      <c r="K67" s="293">
        <f t="shared" si="7"/>
        <v>0</v>
      </c>
      <c r="L67" s="292"/>
      <c r="M67" s="293">
        <f t="shared" si="4"/>
        <v>0</v>
      </c>
      <c r="N67" s="275"/>
      <c r="O67" s="293">
        <f t="shared" si="10"/>
        <v>0</v>
      </c>
      <c r="P67" s="292"/>
      <c r="Q67" s="292"/>
      <c r="R67" s="292"/>
      <c r="S67" s="292"/>
      <c r="T67" s="292"/>
      <c r="U67" s="292"/>
      <c r="V67" s="292"/>
      <c r="W67" s="275"/>
      <c r="X67" s="275"/>
      <c r="Y67" s="275"/>
      <c r="Z67" s="275"/>
      <c r="AA67" s="275"/>
      <c r="AB67" s="275"/>
      <c r="AC67" s="275"/>
      <c r="AD67" s="275"/>
      <c r="AE67" s="275"/>
      <c r="AF67" s="275"/>
      <c r="AG67" s="275"/>
      <c r="AH67" s="275"/>
      <c r="AI67" s="275"/>
      <c r="AJ67" s="275"/>
      <c r="AK67" s="275"/>
      <c r="AL67" s="275"/>
      <c r="AM67" s="275"/>
      <c r="AN67" s="275"/>
      <c r="AO67" s="293">
        <f t="shared" si="8"/>
        <v>0</v>
      </c>
      <c r="AP67" s="275"/>
      <c r="AQ67" s="293">
        <f t="shared" si="11"/>
        <v>0</v>
      </c>
      <c r="AR67" s="292"/>
      <c r="AS67" s="292"/>
      <c r="AT67" s="292"/>
      <c r="AU67" s="293">
        <f t="shared" si="9"/>
        <v>0</v>
      </c>
      <c r="AV67" s="292"/>
      <c r="AW67" s="292"/>
      <c r="AX67" s="245"/>
      <c r="AY67" s="169"/>
      <c r="AZ67" s="169"/>
      <c r="BA67" s="280" t="str">
        <f>C57 &amp; "-II"</f>
        <v>0.0-II</v>
      </c>
      <c r="BB67" s="169"/>
      <c r="BC67" s="278"/>
      <c r="BD67" s="278"/>
      <c r="BE67" s="278"/>
      <c r="BF67" s="278"/>
      <c r="BG67" s="278"/>
      <c r="BH67" s="278"/>
      <c r="BI67" s="278"/>
      <c r="BJ67" s="278"/>
      <c r="BK67" s="278"/>
      <c r="BL67" s="278"/>
      <c r="BM67" s="278"/>
      <c r="BN67" s="278"/>
      <c r="BO67" s="278"/>
      <c r="BP67" s="278"/>
      <c r="BQ67" s="278"/>
      <c r="BR67" s="278"/>
      <c r="BS67" s="278"/>
      <c r="BT67" s="278"/>
      <c r="BU67" s="278"/>
      <c r="BV67" s="278"/>
      <c r="BW67" s="278"/>
      <c r="BX67" s="278"/>
      <c r="BY67" s="278"/>
      <c r="BZ67" s="278"/>
      <c r="CA67" s="278"/>
      <c r="CB67" s="278"/>
      <c r="CC67" s="278"/>
      <c r="CD67" s="278"/>
      <c r="CE67" s="278"/>
      <c r="CH67" s="212"/>
      <c r="CL67" s="249"/>
    </row>
    <row r="68" spans="1:90" s="114" customFormat="1" ht="12" hidden="1" customHeight="1">
      <c r="A68" s="287"/>
      <c r="B68" s="943"/>
      <c r="C68" s="947"/>
      <c r="D68" s="281"/>
      <c r="E68" s="282"/>
      <c r="F68" s="283" t="str">
        <f>F57 &amp; ".9"</f>
        <v>0.9</v>
      </c>
      <c r="G68" s="301" t="s">
        <v>145</v>
      </c>
      <c r="H68" s="274"/>
      <c r="I68" s="274"/>
      <c r="J68" s="602" t="str">
        <f ca="1">IF(OFFSET('Список территорий'!CR$15,$F57,0)="a","Y","N")</f>
        <v>N</v>
      </c>
      <c r="K68" s="293">
        <f t="shared" si="7"/>
        <v>0</v>
      </c>
      <c r="L68" s="292"/>
      <c r="M68" s="293">
        <f t="shared" si="4"/>
        <v>0</v>
      </c>
      <c r="N68" s="275"/>
      <c r="O68" s="293">
        <f t="shared" si="10"/>
        <v>0</v>
      </c>
      <c r="P68" s="292"/>
      <c r="Q68" s="292"/>
      <c r="R68" s="292"/>
      <c r="S68" s="292"/>
      <c r="T68" s="292"/>
      <c r="U68" s="292"/>
      <c r="V68" s="292"/>
      <c r="W68" s="275"/>
      <c r="X68" s="275"/>
      <c r="Y68" s="275"/>
      <c r="Z68" s="275"/>
      <c r="AA68" s="275"/>
      <c r="AB68" s="275"/>
      <c r="AC68" s="275"/>
      <c r="AD68" s="275"/>
      <c r="AE68" s="275"/>
      <c r="AF68" s="275"/>
      <c r="AG68" s="275"/>
      <c r="AH68" s="275"/>
      <c r="AI68" s="275"/>
      <c r="AJ68" s="275"/>
      <c r="AK68" s="275"/>
      <c r="AL68" s="275"/>
      <c r="AM68" s="275"/>
      <c r="AN68" s="275"/>
      <c r="AO68" s="293">
        <f t="shared" si="8"/>
        <v>0</v>
      </c>
      <c r="AP68" s="275"/>
      <c r="AQ68" s="293">
        <f t="shared" si="11"/>
        <v>0</v>
      </c>
      <c r="AR68" s="292"/>
      <c r="AS68" s="292"/>
      <c r="AT68" s="292"/>
      <c r="AU68" s="293">
        <f t="shared" si="9"/>
        <v>0</v>
      </c>
      <c r="AV68" s="292"/>
      <c r="AW68" s="292"/>
      <c r="AX68" s="245"/>
      <c r="AY68" s="169"/>
      <c r="AZ68" s="169"/>
      <c r="BA68" s="280" t="str">
        <f>C57 &amp; "-II"</f>
        <v>0.0-II</v>
      </c>
      <c r="BB68" s="169"/>
      <c r="BC68" s="278"/>
      <c r="BD68" s="278"/>
      <c r="BE68" s="278"/>
      <c r="BF68" s="278"/>
      <c r="BG68" s="278"/>
      <c r="BH68" s="278"/>
      <c r="BI68" s="278"/>
      <c r="BJ68" s="278"/>
      <c r="BK68" s="278"/>
      <c r="BL68" s="278"/>
      <c r="BM68" s="278"/>
      <c r="BN68" s="278"/>
      <c r="BO68" s="278"/>
      <c r="BP68" s="278"/>
      <c r="BQ68" s="278"/>
      <c r="BR68" s="278"/>
      <c r="BS68" s="278"/>
      <c r="BT68" s="278"/>
      <c r="BU68" s="278"/>
      <c r="BV68" s="278"/>
      <c r="BW68" s="278"/>
      <c r="BX68" s="278"/>
      <c r="BY68" s="278"/>
      <c r="BZ68" s="278"/>
      <c r="CA68" s="278"/>
      <c r="CB68" s="278"/>
      <c r="CC68" s="278"/>
      <c r="CD68" s="278"/>
      <c r="CE68" s="278"/>
      <c r="CH68" s="212"/>
      <c r="CL68" s="249"/>
    </row>
    <row r="69" spans="1:90" s="114" customFormat="1" ht="12" hidden="1" customHeight="1">
      <c r="A69" s="287"/>
      <c r="B69" s="943"/>
      <c r="C69" s="947"/>
      <c r="D69" s="281"/>
      <c r="E69" s="282"/>
      <c r="F69" s="283" t="str">
        <f>F57 &amp; ".10"</f>
        <v>0.10</v>
      </c>
      <c r="G69" s="301" t="s">
        <v>146</v>
      </c>
      <c r="H69" s="274"/>
      <c r="I69" s="274"/>
      <c r="J69" s="602" t="str">
        <f ca="1">IF(OFFSET('Список территорий'!CS$15,$F57,0)="a","Y","N")</f>
        <v>N</v>
      </c>
      <c r="K69" s="293">
        <f t="shared" si="7"/>
        <v>0</v>
      </c>
      <c r="L69" s="292"/>
      <c r="M69" s="293">
        <f t="shared" si="4"/>
        <v>0</v>
      </c>
      <c r="N69" s="275"/>
      <c r="O69" s="293">
        <f t="shared" si="10"/>
        <v>0</v>
      </c>
      <c r="P69" s="292"/>
      <c r="Q69" s="292"/>
      <c r="R69" s="292"/>
      <c r="S69" s="292"/>
      <c r="T69" s="292"/>
      <c r="U69" s="292"/>
      <c r="V69" s="292"/>
      <c r="W69" s="275"/>
      <c r="X69" s="275"/>
      <c r="Y69" s="275"/>
      <c r="Z69" s="275"/>
      <c r="AA69" s="275"/>
      <c r="AB69" s="275"/>
      <c r="AC69" s="275"/>
      <c r="AD69" s="275"/>
      <c r="AE69" s="275"/>
      <c r="AF69" s="275"/>
      <c r="AG69" s="275"/>
      <c r="AH69" s="275"/>
      <c r="AI69" s="275"/>
      <c r="AJ69" s="275"/>
      <c r="AK69" s="275"/>
      <c r="AL69" s="275"/>
      <c r="AM69" s="275"/>
      <c r="AN69" s="275"/>
      <c r="AO69" s="293">
        <f t="shared" si="8"/>
        <v>0</v>
      </c>
      <c r="AP69" s="275"/>
      <c r="AQ69" s="293">
        <f t="shared" si="11"/>
        <v>0</v>
      </c>
      <c r="AR69" s="292"/>
      <c r="AS69" s="292"/>
      <c r="AT69" s="292"/>
      <c r="AU69" s="293">
        <f t="shared" si="9"/>
        <v>0</v>
      </c>
      <c r="AV69" s="292"/>
      <c r="AW69" s="292"/>
      <c r="AX69" s="245"/>
      <c r="AY69" s="169"/>
      <c r="AZ69" s="169"/>
      <c r="BA69" s="280" t="str">
        <f>C57 &amp; "-II"</f>
        <v>0.0-II</v>
      </c>
      <c r="BB69" s="169"/>
      <c r="BC69" s="278"/>
      <c r="BD69" s="278"/>
      <c r="BE69" s="278"/>
      <c r="BF69" s="278"/>
      <c r="BG69" s="278"/>
      <c r="BH69" s="278"/>
      <c r="BI69" s="278"/>
      <c r="BJ69" s="278"/>
      <c r="BK69" s="278"/>
      <c r="BL69" s="278"/>
      <c r="BM69" s="278"/>
      <c r="BN69" s="278"/>
      <c r="BO69" s="278"/>
      <c r="BP69" s="278"/>
      <c r="BQ69" s="278"/>
      <c r="BR69" s="278"/>
      <c r="BS69" s="278"/>
      <c r="BT69" s="278"/>
      <c r="BU69" s="278"/>
      <c r="BV69" s="278"/>
      <c r="BW69" s="278"/>
      <c r="BX69" s="278"/>
      <c r="BY69" s="278"/>
      <c r="BZ69" s="278"/>
      <c r="CA69" s="278"/>
      <c r="CB69" s="278"/>
      <c r="CC69" s="278"/>
      <c r="CD69" s="278"/>
      <c r="CE69" s="278"/>
      <c r="CH69" s="212"/>
      <c r="CL69" s="249"/>
    </row>
    <row r="70" spans="1:90" s="114" customFormat="1" ht="12" hidden="1" customHeight="1">
      <c r="A70" s="287"/>
      <c r="B70" s="943"/>
      <c r="C70" s="947"/>
      <c r="D70" s="281"/>
      <c r="E70" s="282"/>
      <c r="F70" s="283" t="str">
        <f>F57 &amp; ".11"</f>
        <v>0.11</v>
      </c>
      <c r="G70" s="301" t="s">
        <v>147</v>
      </c>
      <c r="H70" s="274"/>
      <c r="I70" s="274"/>
      <c r="J70" s="602" t="str">
        <f ca="1">IF(OFFSET('Список территорий'!CT$15,$F57,0)="a","Y","N")</f>
        <v>N</v>
      </c>
      <c r="K70" s="293">
        <f t="shared" si="7"/>
        <v>0</v>
      </c>
      <c r="L70" s="292"/>
      <c r="M70" s="293">
        <f t="shared" si="4"/>
        <v>0</v>
      </c>
      <c r="N70" s="275"/>
      <c r="O70" s="293">
        <f t="shared" si="10"/>
        <v>0</v>
      </c>
      <c r="P70" s="292"/>
      <c r="Q70" s="292"/>
      <c r="R70" s="292"/>
      <c r="S70" s="292"/>
      <c r="T70" s="292"/>
      <c r="U70" s="292"/>
      <c r="V70" s="292"/>
      <c r="W70" s="275"/>
      <c r="X70" s="275"/>
      <c r="Y70" s="275"/>
      <c r="Z70" s="275"/>
      <c r="AA70" s="275"/>
      <c r="AB70" s="275"/>
      <c r="AC70" s="275"/>
      <c r="AD70" s="275"/>
      <c r="AE70" s="275"/>
      <c r="AF70" s="275"/>
      <c r="AG70" s="275"/>
      <c r="AH70" s="275"/>
      <c r="AI70" s="275"/>
      <c r="AJ70" s="275"/>
      <c r="AK70" s="275"/>
      <c r="AL70" s="275"/>
      <c r="AM70" s="275"/>
      <c r="AN70" s="275"/>
      <c r="AO70" s="293">
        <f t="shared" si="8"/>
        <v>0</v>
      </c>
      <c r="AP70" s="275"/>
      <c r="AQ70" s="293">
        <f t="shared" si="11"/>
        <v>0</v>
      </c>
      <c r="AR70" s="292"/>
      <c r="AS70" s="292"/>
      <c r="AT70" s="292"/>
      <c r="AU70" s="293">
        <f t="shared" si="9"/>
        <v>0</v>
      </c>
      <c r="AV70" s="292"/>
      <c r="AW70" s="292"/>
      <c r="AX70" s="245"/>
      <c r="AY70" s="169"/>
      <c r="AZ70" s="169"/>
      <c r="BA70" s="280" t="str">
        <f>C57 &amp; "-II"</f>
        <v>0.0-II</v>
      </c>
      <c r="BB70" s="169"/>
      <c r="BC70" s="278"/>
      <c r="BD70" s="278"/>
      <c r="BE70" s="278"/>
      <c r="BF70" s="278"/>
      <c r="BG70" s="278"/>
      <c r="BH70" s="278"/>
      <c r="BI70" s="278"/>
      <c r="BJ70" s="278"/>
      <c r="BK70" s="278"/>
      <c r="BL70" s="278"/>
      <c r="BM70" s="278"/>
      <c r="BN70" s="278"/>
      <c r="BO70" s="278"/>
      <c r="BP70" s="278"/>
      <c r="BQ70" s="278"/>
      <c r="BR70" s="278"/>
      <c r="BS70" s="278"/>
      <c r="BT70" s="278"/>
      <c r="BU70" s="278"/>
      <c r="BV70" s="278"/>
      <c r="BW70" s="278"/>
      <c r="BX70" s="278"/>
      <c r="BY70" s="278"/>
      <c r="BZ70" s="278"/>
      <c r="CA70" s="278"/>
      <c r="CB70" s="278"/>
      <c r="CC70" s="278"/>
      <c r="CD70" s="278"/>
      <c r="CE70" s="278"/>
      <c r="CH70" s="212"/>
      <c r="CL70" s="249"/>
    </row>
    <row r="71" spans="1:90" s="114" customFormat="1" ht="12" hidden="1" customHeight="1">
      <c r="A71" s="287"/>
      <c r="B71" s="943"/>
      <c r="C71" s="948"/>
      <c r="D71" s="281"/>
      <c r="E71" s="282"/>
      <c r="F71" s="283" t="str">
        <f>F57 &amp; ".12"</f>
        <v>0.12</v>
      </c>
      <c r="G71" s="301" t="s">
        <v>148</v>
      </c>
      <c r="H71" s="274"/>
      <c r="I71" s="274"/>
      <c r="J71" s="602" t="str">
        <f ca="1">IF(OFFSET('Список территорий'!CU$15,$F57,0)="a","Y","N")</f>
        <v>N</v>
      </c>
      <c r="K71" s="293">
        <f t="shared" si="7"/>
        <v>0</v>
      </c>
      <c r="L71" s="292"/>
      <c r="M71" s="293">
        <f t="shared" si="4"/>
        <v>0</v>
      </c>
      <c r="N71" s="275"/>
      <c r="O71" s="293">
        <f t="shared" si="10"/>
        <v>0</v>
      </c>
      <c r="P71" s="292"/>
      <c r="Q71" s="292"/>
      <c r="R71" s="292"/>
      <c r="S71" s="292"/>
      <c r="T71" s="292"/>
      <c r="U71" s="292"/>
      <c r="V71" s="292"/>
      <c r="W71" s="275"/>
      <c r="X71" s="275"/>
      <c r="Y71" s="275"/>
      <c r="Z71" s="275"/>
      <c r="AA71" s="275"/>
      <c r="AB71" s="275"/>
      <c r="AC71" s="275"/>
      <c r="AD71" s="275"/>
      <c r="AE71" s="275"/>
      <c r="AF71" s="275"/>
      <c r="AG71" s="275"/>
      <c r="AH71" s="275"/>
      <c r="AI71" s="275"/>
      <c r="AJ71" s="275"/>
      <c r="AK71" s="275"/>
      <c r="AL71" s="275"/>
      <c r="AM71" s="275"/>
      <c r="AN71" s="275"/>
      <c r="AO71" s="293">
        <f t="shared" si="8"/>
        <v>0</v>
      </c>
      <c r="AP71" s="275"/>
      <c r="AQ71" s="293">
        <f t="shared" si="11"/>
        <v>0</v>
      </c>
      <c r="AR71" s="292"/>
      <c r="AS71" s="292"/>
      <c r="AT71" s="292"/>
      <c r="AU71" s="293">
        <f t="shared" si="9"/>
        <v>0</v>
      </c>
      <c r="AV71" s="292"/>
      <c r="AW71" s="292"/>
      <c r="AX71" s="245"/>
      <c r="AY71" s="169"/>
      <c r="AZ71" s="169"/>
      <c r="BA71" s="280" t="str">
        <f>C57 &amp; "-II"</f>
        <v>0.0-II</v>
      </c>
      <c r="BB71" s="169"/>
      <c r="BC71" s="278"/>
      <c r="BD71" s="278"/>
      <c r="BE71" s="278"/>
      <c r="BF71" s="278"/>
      <c r="BG71" s="278"/>
      <c r="BH71" s="278"/>
      <c r="BI71" s="278"/>
      <c r="BJ71" s="278"/>
      <c r="BK71" s="278"/>
      <c r="BL71" s="278"/>
      <c r="BM71" s="278"/>
      <c r="BN71" s="278"/>
      <c r="BO71" s="278"/>
      <c r="BP71" s="278"/>
      <c r="BQ71" s="278"/>
      <c r="BR71" s="278"/>
      <c r="BS71" s="278"/>
      <c r="BT71" s="278"/>
      <c r="BU71" s="278"/>
      <c r="BV71" s="278"/>
      <c r="BW71" s="278"/>
      <c r="BX71" s="278"/>
      <c r="BY71" s="278"/>
      <c r="BZ71" s="278"/>
      <c r="CA71" s="278"/>
      <c r="CB71" s="278"/>
      <c r="CC71" s="278"/>
      <c r="CD71" s="278"/>
      <c r="CE71" s="278"/>
      <c r="CH71" s="212"/>
      <c r="CL71" s="249"/>
    </row>
    <row r="72" spans="1:90" s="114" customFormat="1" ht="0.75" hidden="1" customHeight="1">
      <c r="A72" s="287"/>
      <c r="B72" s="943"/>
      <c r="C72" s="946"/>
      <c r="D72" s="281"/>
      <c r="E72" s="282"/>
      <c r="F72" s="274"/>
      <c r="G72" s="274"/>
      <c r="H72" s="274"/>
      <c r="I72" s="274"/>
      <c r="J72" s="274"/>
      <c r="K72" s="275"/>
      <c r="L72" s="275"/>
      <c r="M72" s="275"/>
      <c r="N72" s="275"/>
      <c r="O72" s="275"/>
      <c r="P72" s="275"/>
      <c r="Q72" s="275"/>
      <c r="R72" s="275"/>
      <c r="S72" s="275"/>
      <c r="T72" s="275"/>
      <c r="U72" s="275"/>
      <c r="V72" s="276"/>
      <c r="W72" s="276"/>
      <c r="X72" s="275"/>
      <c r="Y72" s="275"/>
      <c r="Z72" s="275"/>
      <c r="AA72" s="275"/>
      <c r="AB72" s="275"/>
      <c r="AC72" s="275"/>
      <c r="AD72" s="275"/>
      <c r="AE72" s="275"/>
      <c r="AF72" s="275"/>
      <c r="AG72" s="275"/>
      <c r="AH72" s="275"/>
      <c r="AI72" s="275"/>
      <c r="AJ72" s="275"/>
      <c r="AK72" s="275"/>
      <c r="AL72" s="275"/>
      <c r="AM72" s="275"/>
      <c r="AN72" s="275"/>
      <c r="AO72" s="275"/>
      <c r="AP72" s="275"/>
      <c r="AQ72" s="275"/>
      <c r="AR72" s="275"/>
      <c r="AS72" s="275"/>
      <c r="AT72" s="275"/>
      <c r="AU72" s="275"/>
      <c r="AV72" s="275"/>
      <c r="AW72" s="275"/>
      <c r="AX72" s="241"/>
      <c r="AY72" s="169"/>
      <c r="AZ72" s="169"/>
      <c r="BA72" s="280"/>
      <c r="BB72" s="169"/>
      <c r="BC72" s="278"/>
      <c r="BD72" s="278"/>
      <c r="BE72" s="278"/>
      <c r="BF72" s="278"/>
      <c r="BG72" s="278"/>
      <c r="BH72" s="278"/>
      <c r="BI72" s="278"/>
      <c r="BJ72" s="278"/>
      <c r="BK72" s="278"/>
      <c r="BL72" s="278"/>
      <c r="BM72" s="278"/>
      <c r="BN72" s="278"/>
      <c r="BO72" s="278"/>
      <c r="BP72" s="278"/>
      <c r="BQ72" s="278"/>
      <c r="BR72" s="278"/>
      <c r="BS72" s="278"/>
      <c r="BT72" s="278"/>
      <c r="BU72" s="278"/>
      <c r="BV72" s="278"/>
      <c r="BW72" s="278"/>
      <c r="BX72" s="278"/>
      <c r="BY72" s="278"/>
      <c r="BZ72" s="278"/>
      <c r="CA72" s="278"/>
      <c r="CB72" s="278"/>
      <c r="CC72" s="278"/>
      <c r="CD72" s="278"/>
      <c r="CE72" s="278"/>
      <c r="CH72" s="212"/>
      <c r="CL72" s="249"/>
    </row>
    <row r="73" spans="1:90" s="114" customFormat="1" ht="0.75" hidden="1" customHeight="1">
      <c r="A73" s="287"/>
      <c r="B73" s="943"/>
      <c r="C73" s="947"/>
      <c r="D73" s="281"/>
      <c r="E73" s="282"/>
      <c r="F73" s="274"/>
      <c r="G73" s="274"/>
      <c r="H73" s="274"/>
      <c r="I73" s="274"/>
      <c r="J73" s="274"/>
      <c r="K73" s="275"/>
      <c r="L73" s="275"/>
      <c r="M73" s="275"/>
      <c r="N73" s="275"/>
      <c r="O73" s="275"/>
      <c r="P73" s="275"/>
      <c r="Q73" s="275"/>
      <c r="R73" s="275"/>
      <c r="S73" s="275"/>
      <c r="T73" s="275"/>
      <c r="U73" s="275"/>
      <c r="V73" s="276"/>
      <c r="W73" s="276"/>
      <c r="X73" s="275"/>
      <c r="Y73" s="275"/>
      <c r="Z73" s="275"/>
      <c r="AA73" s="275"/>
      <c r="AB73" s="275"/>
      <c r="AC73" s="275"/>
      <c r="AD73" s="275"/>
      <c r="AE73" s="275"/>
      <c r="AF73" s="275"/>
      <c r="AG73" s="275"/>
      <c r="AH73" s="275"/>
      <c r="AI73" s="275"/>
      <c r="AJ73" s="275"/>
      <c r="AK73" s="275"/>
      <c r="AL73" s="275"/>
      <c r="AM73" s="275"/>
      <c r="AN73" s="275"/>
      <c r="AO73" s="275"/>
      <c r="AP73" s="275"/>
      <c r="AQ73" s="275"/>
      <c r="AR73" s="275"/>
      <c r="AS73" s="275"/>
      <c r="AT73" s="275"/>
      <c r="AU73" s="275"/>
      <c r="AV73" s="275"/>
      <c r="AW73" s="275"/>
      <c r="AX73" s="241"/>
      <c r="AY73" s="169"/>
      <c r="AZ73" s="169"/>
      <c r="BA73" s="280"/>
      <c r="BB73" s="169"/>
      <c r="BC73" s="278"/>
      <c r="BD73" s="278"/>
      <c r="BE73" s="278"/>
      <c r="BF73" s="278"/>
      <c r="BG73" s="278"/>
      <c r="BH73" s="278"/>
      <c r="BI73" s="278"/>
      <c r="BJ73" s="278"/>
      <c r="BK73" s="278"/>
      <c r="BL73" s="278"/>
      <c r="BM73" s="278"/>
      <c r="BN73" s="278"/>
      <c r="BO73" s="278"/>
      <c r="BP73" s="278"/>
      <c r="BQ73" s="278"/>
      <c r="BR73" s="278"/>
      <c r="BS73" s="278"/>
      <c r="BT73" s="278"/>
      <c r="BU73" s="278"/>
      <c r="BV73" s="278"/>
      <c r="BW73" s="278"/>
      <c r="BX73" s="278"/>
      <c r="BY73" s="278"/>
      <c r="BZ73" s="278"/>
      <c r="CA73" s="278"/>
      <c r="CB73" s="278"/>
      <c r="CC73" s="278"/>
      <c r="CD73" s="278"/>
      <c r="CE73" s="278"/>
      <c r="CH73" s="212"/>
      <c r="CL73" s="249"/>
    </row>
    <row r="74" spans="1:90" s="114" customFormat="1" ht="0.75" hidden="1" customHeight="1">
      <c r="A74" s="287"/>
      <c r="B74" s="943"/>
      <c r="C74" s="947"/>
      <c r="D74" s="281"/>
      <c r="E74" s="282"/>
      <c r="F74" s="274"/>
      <c r="G74" s="274"/>
      <c r="H74" s="274"/>
      <c r="I74" s="274"/>
      <c r="J74" s="274"/>
      <c r="K74" s="275"/>
      <c r="L74" s="275"/>
      <c r="M74" s="275"/>
      <c r="N74" s="275"/>
      <c r="O74" s="275"/>
      <c r="P74" s="275"/>
      <c r="Q74" s="275"/>
      <c r="R74" s="275"/>
      <c r="S74" s="275"/>
      <c r="T74" s="275"/>
      <c r="U74" s="275"/>
      <c r="V74" s="276"/>
      <c r="W74" s="276"/>
      <c r="X74" s="275"/>
      <c r="Y74" s="275"/>
      <c r="Z74" s="275"/>
      <c r="AA74" s="275"/>
      <c r="AB74" s="275"/>
      <c r="AC74" s="275"/>
      <c r="AD74" s="275"/>
      <c r="AE74" s="275"/>
      <c r="AF74" s="275"/>
      <c r="AG74" s="275"/>
      <c r="AH74" s="275"/>
      <c r="AI74" s="275"/>
      <c r="AJ74" s="275"/>
      <c r="AK74" s="275"/>
      <c r="AL74" s="275"/>
      <c r="AM74" s="275"/>
      <c r="AN74" s="275"/>
      <c r="AO74" s="275"/>
      <c r="AP74" s="275"/>
      <c r="AQ74" s="275"/>
      <c r="AR74" s="275"/>
      <c r="AS74" s="275"/>
      <c r="AT74" s="275"/>
      <c r="AU74" s="275"/>
      <c r="AV74" s="275"/>
      <c r="AW74" s="275"/>
      <c r="AX74" s="241"/>
      <c r="AY74" s="169"/>
      <c r="AZ74" s="169"/>
      <c r="BA74" s="280"/>
      <c r="BB74" s="169"/>
      <c r="BC74" s="278"/>
      <c r="BD74" s="278"/>
      <c r="BE74" s="278"/>
      <c r="BF74" s="278"/>
      <c r="BG74" s="278"/>
      <c r="BH74" s="278"/>
      <c r="BI74" s="278"/>
      <c r="BJ74" s="278"/>
      <c r="BK74" s="278"/>
      <c r="BL74" s="278"/>
      <c r="BM74" s="278"/>
      <c r="BN74" s="278"/>
      <c r="BO74" s="278"/>
      <c r="BP74" s="278"/>
      <c r="BQ74" s="278"/>
      <c r="BR74" s="278"/>
      <c r="BS74" s="278"/>
      <c r="BT74" s="278"/>
      <c r="BU74" s="278"/>
      <c r="BV74" s="278"/>
      <c r="BW74" s="278"/>
      <c r="BX74" s="278"/>
      <c r="BY74" s="278"/>
      <c r="BZ74" s="278"/>
      <c r="CA74" s="278"/>
      <c r="CB74" s="278"/>
      <c r="CC74" s="278"/>
      <c r="CD74" s="278"/>
      <c r="CE74" s="278"/>
      <c r="CH74" s="212"/>
      <c r="CL74" s="249"/>
    </row>
    <row r="75" spans="1:90" s="114" customFormat="1" ht="0.75" hidden="1" customHeight="1">
      <c r="A75" s="287"/>
      <c r="B75" s="943"/>
      <c r="C75" s="947"/>
      <c r="D75" s="281"/>
      <c r="E75" s="282"/>
      <c r="F75" s="274"/>
      <c r="G75" s="274"/>
      <c r="H75" s="274"/>
      <c r="I75" s="274"/>
      <c r="J75" s="274"/>
      <c r="K75" s="275"/>
      <c r="L75" s="275"/>
      <c r="M75" s="275"/>
      <c r="N75" s="275"/>
      <c r="O75" s="275"/>
      <c r="P75" s="275"/>
      <c r="Q75" s="275"/>
      <c r="R75" s="275"/>
      <c r="S75" s="275"/>
      <c r="T75" s="275"/>
      <c r="U75" s="275"/>
      <c r="V75" s="276"/>
      <c r="W75" s="276"/>
      <c r="X75" s="275"/>
      <c r="Y75" s="275"/>
      <c r="Z75" s="275"/>
      <c r="AA75" s="275"/>
      <c r="AB75" s="275"/>
      <c r="AC75" s="275"/>
      <c r="AD75" s="275"/>
      <c r="AE75" s="275"/>
      <c r="AF75" s="275"/>
      <c r="AG75" s="275"/>
      <c r="AH75" s="275"/>
      <c r="AI75" s="275"/>
      <c r="AJ75" s="275"/>
      <c r="AK75" s="275"/>
      <c r="AL75" s="275"/>
      <c r="AM75" s="275"/>
      <c r="AN75" s="275"/>
      <c r="AO75" s="275"/>
      <c r="AP75" s="275"/>
      <c r="AQ75" s="275"/>
      <c r="AR75" s="275"/>
      <c r="AS75" s="275"/>
      <c r="AT75" s="275"/>
      <c r="AU75" s="275"/>
      <c r="AV75" s="275"/>
      <c r="AW75" s="275"/>
      <c r="AX75" s="241"/>
      <c r="AY75" s="169"/>
      <c r="AZ75" s="169"/>
      <c r="BA75" s="280"/>
      <c r="BB75" s="169"/>
      <c r="BC75" s="278"/>
      <c r="BD75" s="278"/>
      <c r="BE75" s="278"/>
      <c r="BF75" s="278"/>
      <c r="BG75" s="278"/>
      <c r="BH75" s="278"/>
      <c r="BI75" s="278"/>
      <c r="BJ75" s="278"/>
      <c r="BK75" s="278"/>
      <c r="BL75" s="278"/>
      <c r="BM75" s="278"/>
      <c r="BN75" s="278"/>
      <c r="BO75" s="278"/>
      <c r="BP75" s="278"/>
      <c r="BQ75" s="278"/>
      <c r="BR75" s="278"/>
      <c r="BS75" s="278"/>
      <c r="BT75" s="278"/>
      <c r="BU75" s="278"/>
      <c r="BV75" s="278"/>
      <c r="BW75" s="278"/>
      <c r="BX75" s="278"/>
      <c r="BY75" s="278"/>
      <c r="BZ75" s="278"/>
      <c r="CA75" s="278"/>
      <c r="CB75" s="278"/>
      <c r="CC75" s="278"/>
      <c r="CD75" s="278"/>
      <c r="CE75" s="278"/>
      <c r="CH75" s="212"/>
      <c r="CL75" s="249"/>
    </row>
    <row r="76" spans="1:90" s="114" customFormat="1" ht="0.75" hidden="1" customHeight="1">
      <c r="A76" s="287"/>
      <c r="B76" s="943"/>
      <c r="C76" s="947"/>
      <c r="D76" s="281"/>
      <c r="E76" s="282"/>
      <c r="F76" s="274"/>
      <c r="G76" s="274"/>
      <c r="H76" s="274"/>
      <c r="I76" s="274"/>
      <c r="J76" s="274"/>
      <c r="K76" s="275"/>
      <c r="L76" s="275"/>
      <c r="M76" s="275"/>
      <c r="N76" s="275"/>
      <c r="O76" s="275"/>
      <c r="P76" s="275"/>
      <c r="Q76" s="275"/>
      <c r="R76" s="275"/>
      <c r="S76" s="275"/>
      <c r="T76" s="275"/>
      <c r="U76" s="275"/>
      <c r="V76" s="276"/>
      <c r="W76" s="276"/>
      <c r="X76" s="275"/>
      <c r="Y76" s="275"/>
      <c r="Z76" s="275"/>
      <c r="AA76" s="275"/>
      <c r="AB76" s="275"/>
      <c r="AC76" s="275"/>
      <c r="AD76" s="275"/>
      <c r="AE76" s="275"/>
      <c r="AF76" s="275"/>
      <c r="AG76" s="275"/>
      <c r="AH76" s="275"/>
      <c r="AI76" s="275"/>
      <c r="AJ76" s="275"/>
      <c r="AK76" s="275"/>
      <c r="AL76" s="275"/>
      <c r="AM76" s="275"/>
      <c r="AN76" s="275"/>
      <c r="AO76" s="275"/>
      <c r="AP76" s="275"/>
      <c r="AQ76" s="275"/>
      <c r="AR76" s="275"/>
      <c r="AS76" s="275"/>
      <c r="AT76" s="275"/>
      <c r="AU76" s="275"/>
      <c r="AV76" s="275"/>
      <c r="AW76" s="275"/>
      <c r="AX76" s="241"/>
      <c r="AY76" s="169"/>
      <c r="AZ76" s="169"/>
      <c r="BA76" s="280"/>
      <c r="BB76" s="169"/>
      <c r="BC76" s="278"/>
      <c r="BD76" s="278"/>
      <c r="BE76" s="278"/>
      <c r="BF76" s="278"/>
      <c r="BG76" s="278"/>
      <c r="BH76" s="278"/>
      <c r="BI76" s="278"/>
      <c r="BJ76" s="278"/>
      <c r="BK76" s="278"/>
      <c r="BL76" s="278"/>
      <c r="BM76" s="278"/>
      <c r="BN76" s="278"/>
      <c r="BO76" s="278"/>
      <c r="BP76" s="278"/>
      <c r="BQ76" s="278"/>
      <c r="BR76" s="278"/>
      <c r="BS76" s="278"/>
      <c r="BT76" s="278"/>
      <c r="BU76" s="278"/>
      <c r="BV76" s="278"/>
      <c r="BW76" s="278"/>
      <c r="BX76" s="278"/>
      <c r="BY76" s="278"/>
      <c r="BZ76" s="278"/>
      <c r="CA76" s="278"/>
      <c r="CB76" s="278"/>
      <c r="CC76" s="278"/>
      <c r="CD76" s="278"/>
      <c r="CE76" s="278"/>
      <c r="CH76" s="212"/>
      <c r="CL76" s="249"/>
    </row>
    <row r="77" spans="1:90" s="114" customFormat="1" ht="0.75" hidden="1" customHeight="1">
      <c r="A77" s="287"/>
      <c r="B77" s="943"/>
      <c r="C77" s="947"/>
      <c r="D77" s="281"/>
      <c r="E77" s="282"/>
      <c r="F77" s="274"/>
      <c r="G77" s="274"/>
      <c r="H77" s="274"/>
      <c r="I77" s="274"/>
      <c r="J77" s="274"/>
      <c r="K77" s="275"/>
      <c r="L77" s="275"/>
      <c r="M77" s="275"/>
      <c r="N77" s="275"/>
      <c r="O77" s="275"/>
      <c r="P77" s="275"/>
      <c r="Q77" s="275"/>
      <c r="R77" s="275"/>
      <c r="S77" s="275"/>
      <c r="T77" s="275"/>
      <c r="U77" s="275"/>
      <c r="V77" s="276"/>
      <c r="W77" s="276"/>
      <c r="X77" s="275"/>
      <c r="Y77" s="275"/>
      <c r="Z77" s="275"/>
      <c r="AA77" s="275"/>
      <c r="AB77" s="275"/>
      <c r="AC77" s="275"/>
      <c r="AD77" s="275"/>
      <c r="AE77" s="275"/>
      <c r="AF77" s="275"/>
      <c r="AG77" s="275"/>
      <c r="AH77" s="275"/>
      <c r="AI77" s="275"/>
      <c r="AJ77" s="275"/>
      <c r="AK77" s="275"/>
      <c r="AL77" s="275"/>
      <c r="AM77" s="275"/>
      <c r="AN77" s="275"/>
      <c r="AO77" s="275"/>
      <c r="AP77" s="275"/>
      <c r="AQ77" s="275"/>
      <c r="AR77" s="275"/>
      <c r="AS77" s="275"/>
      <c r="AT77" s="275"/>
      <c r="AU77" s="275"/>
      <c r="AV77" s="275"/>
      <c r="AW77" s="275"/>
      <c r="AX77" s="241"/>
      <c r="AY77" s="169"/>
      <c r="AZ77" s="169"/>
      <c r="BA77" s="280"/>
      <c r="BB77" s="169"/>
      <c r="BC77" s="278"/>
      <c r="BD77" s="278"/>
      <c r="BE77" s="278"/>
      <c r="BF77" s="278"/>
      <c r="BG77" s="278"/>
      <c r="BH77" s="278"/>
      <c r="BI77" s="278"/>
      <c r="BJ77" s="278"/>
      <c r="BK77" s="278"/>
      <c r="BL77" s="278"/>
      <c r="BM77" s="278"/>
      <c r="BN77" s="278"/>
      <c r="BO77" s="278"/>
      <c r="BP77" s="278"/>
      <c r="BQ77" s="278"/>
      <c r="BR77" s="278"/>
      <c r="BS77" s="278"/>
      <c r="BT77" s="278"/>
      <c r="BU77" s="278"/>
      <c r="BV77" s="278"/>
      <c r="BW77" s="278"/>
      <c r="BX77" s="278"/>
      <c r="BY77" s="278"/>
      <c r="BZ77" s="278"/>
      <c r="CA77" s="278"/>
      <c r="CB77" s="278"/>
      <c r="CC77" s="278"/>
      <c r="CD77" s="278"/>
      <c r="CE77" s="278"/>
      <c r="CH77" s="212"/>
      <c r="CL77" s="249"/>
    </row>
    <row r="78" spans="1:90" s="114" customFormat="1" ht="0.75" hidden="1" customHeight="1">
      <c r="A78" s="287"/>
      <c r="B78" s="943"/>
      <c r="C78" s="947"/>
      <c r="D78" s="281"/>
      <c r="E78" s="282"/>
      <c r="F78" s="274"/>
      <c r="G78" s="274"/>
      <c r="H78" s="274"/>
      <c r="I78" s="274"/>
      <c r="J78" s="274"/>
      <c r="K78" s="275"/>
      <c r="L78" s="275"/>
      <c r="M78" s="275"/>
      <c r="N78" s="275"/>
      <c r="O78" s="275"/>
      <c r="P78" s="275"/>
      <c r="Q78" s="275"/>
      <c r="R78" s="275"/>
      <c r="S78" s="275"/>
      <c r="T78" s="275"/>
      <c r="U78" s="275"/>
      <c r="V78" s="276"/>
      <c r="W78" s="276"/>
      <c r="X78" s="275"/>
      <c r="Y78" s="275"/>
      <c r="Z78" s="275"/>
      <c r="AA78" s="275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275"/>
      <c r="AW78" s="275"/>
      <c r="AX78" s="241"/>
      <c r="AY78" s="169"/>
      <c r="AZ78" s="169"/>
      <c r="BA78" s="280"/>
      <c r="BB78" s="169"/>
      <c r="BC78" s="278"/>
      <c r="BD78" s="278"/>
      <c r="BE78" s="278"/>
      <c r="BF78" s="278"/>
      <c r="BG78" s="278"/>
      <c r="BH78" s="278"/>
      <c r="BI78" s="278"/>
      <c r="BJ78" s="278"/>
      <c r="BK78" s="278"/>
      <c r="BL78" s="278"/>
      <c r="BM78" s="278"/>
      <c r="BN78" s="278"/>
      <c r="BO78" s="278"/>
      <c r="BP78" s="278"/>
      <c r="BQ78" s="278"/>
      <c r="BR78" s="278"/>
      <c r="BS78" s="278"/>
      <c r="BT78" s="278"/>
      <c r="BU78" s="278"/>
      <c r="BV78" s="278"/>
      <c r="BW78" s="278"/>
      <c r="BX78" s="278"/>
      <c r="BY78" s="278"/>
      <c r="BZ78" s="278"/>
      <c r="CA78" s="278"/>
      <c r="CB78" s="278"/>
      <c r="CC78" s="278"/>
      <c r="CD78" s="278"/>
      <c r="CE78" s="278"/>
      <c r="CH78" s="212"/>
      <c r="CL78" s="249"/>
    </row>
    <row r="79" spans="1:90" s="114" customFormat="1" ht="0.75" hidden="1" customHeight="1">
      <c r="A79" s="287"/>
      <c r="B79" s="943"/>
      <c r="C79" s="947"/>
      <c r="D79" s="281"/>
      <c r="E79" s="282"/>
      <c r="F79" s="274"/>
      <c r="G79" s="274"/>
      <c r="H79" s="274"/>
      <c r="I79" s="274"/>
      <c r="J79" s="274"/>
      <c r="K79" s="275"/>
      <c r="L79" s="275"/>
      <c r="M79" s="275"/>
      <c r="N79" s="275"/>
      <c r="O79" s="275"/>
      <c r="P79" s="275"/>
      <c r="Q79" s="275"/>
      <c r="R79" s="275"/>
      <c r="S79" s="275"/>
      <c r="T79" s="275"/>
      <c r="U79" s="275"/>
      <c r="V79" s="276"/>
      <c r="W79" s="276"/>
      <c r="X79" s="275"/>
      <c r="Y79" s="275"/>
      <c r="Z79" s="275"/>
      <c r="AA79" s="275"/>
      <c r="AB79" s="275"/>
      <c r="AC79" s="275"/>
      <c r="AD79" s="275"/>
      <c r="AE79" s="275"/>
      <c r="AF79" s="275"/>
      <c r="AG79" s="275"/>
      <c r="AH79" s="275"/>
      <c r="AI79" s="275"/>
      <c r="AJ79" s="275"/>
      <c r="AK79" s="275"/>
      <c r="AL79" s="275"/>
      <c r="AM79" s="275"/>
      <c r="AN79" s="275"/>
      <c r="AO79" s="275"/>
      <c r="AP79" s="275"/>
      <c r="AQ79" s="275"/>
      <c r="AR79" s="275"/>
      <c r="AS79" s="275"/>
      <c r="AT79" s="275"/>
      <c r="AU79" s="275"/>
      <c r="AV79" s="275"/>
      <c r="AW79" s="275"/>
      <c r="AX79" s="241"/>
      <c r="AY79" s="169"/>
      <c r="AZ79" s="169"/>
      <c r="BA79" s="280"/>
      <c r="BB79" s="169"/>
      <c r="BC79" s="278"/>
      <c r="BD79" s="278"/>
      <c r="BE79" s="278"/>
      <c r="BF79" s="278"/>
      <c r="BG79" s="278"/>
      <c r="BH79" s="278"/>
      <c r="BI79" s="278"/>
      <c r="BJ79" s="278"/>
      <c r="BK79" s="278"/>
      <c r="BL79" s="278"/>
      <c r="BM79" s="278"/>
      <c r="BN79" s="278"/>
      <c r="BO79" s="278"/>
      <c r="BP79" s="278"/>
      <c r="BQ79" s="278"/>
      <c r="BR79" s="278"/>
      <c r="BS79" s="278"/>
      <c r="BT79" s="278"/>
      <c r="BU79" s="278"/>
      <c r="BV79" s="278"/>
      <c r="BW79" s="278"/>
      <c r="BX79" s="278"/>
      <c r="BY79" s="278"/>
      <c r="BZ79" s="278"/>
      <c r="CA79" s="278"/>
      <c r="CB79" s="278"/>
      <c r="CC79" s="278"/>
      <c r="CD79" s="278"/>
      <c r="CE79" s="278"/>
      <c r="CH79" s="212"/>
      <c r="CL79" s="249"/>
    </row>
    <row r="80" spans="1:90" s="114" customFormat="1" ht="0.75" hidden="1" customHeight="1">
      <c r="A80" s="287"/>
      <c r="B80" s="943"/>
      <c r="C80" s="947"/>
      <c r="D80" s="281"/>
      <c r="E80" s="282"/>
      <c r="F80" s="274"/>
      <c r="G80" s="274"/>
      <c r="H80" s="274"/>
      <c r="I80" s="274"/>
      <c r="J80" s="274"/>
      <c r="K80" s="275"/>
      <c r="L80" s="275"/>
      <c r="M80" s="275"/>
      <c r="N80" s="275"/>
      <c r="O80" s="275"/>
      <c r="P80" s="275"/>
      <c r="Q80" s="275"/>
      <c r="R80" s="275"/>
      <c r="S80" s="275"/>
      <c r="T80" s="275"/>
      <c r="U80" s="275"/>
      <c r="V80" s="276"/>
      <c r="W80" s="276"/>
      <c r="X80" s="275"/>
      <c r="Y80" s="275"/>
      <c r="Z80" s="275"/>
      <c r="AA80" s="275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275"/>
      <c r="AW80" s="275"/>
      <c r="AX80" s="241"/>
      <c r="AY80" s="169"/>
      <c r="AZ80" s="169"/>
      <c r="BA80" s="280"/>
      <c r="BB80" s="169"/>
      <c r="BC80" s="278"/>
      <c r="BD80" s="278"/>
      <c r="BE80" s="278"/>
      <c r="BF80" s="278"/>
      <c r="BG80" s="278"/>
      <c r="BH80" s="278"/>
      <c r="BI80" s="278"/>
      <c r="BJ80" s="278"/>
      <c r="BK80" s="278"/>
      <c r="BL80" s="278"/>
      <c r="BM80" s="278"/>
      <c r="BN80" s="278"/>
      <c r="BO80" s="278"/>
      <c r="BP80" s="278"/>
      <c r="BQ80" s="278"/>
      <c r="BR80" s="278"/>
      <c r="BS80" s="278"/>
      <c r="BT80" s="278"/>
      <c r="BU80" s="278"/>
      <c r="BV80" s="278"/>
      <c r="BW80" s="278"/>
      <c r="BX80" s="278"/>
      <c r="BY80" s="278"/>
      <c r="BZ80" s="278"/>
      <c r="CA80" s="278"/>
      <c r="CB80" s="278"/>
      <c r="CC80" s="278"/>
      <c r="CD80" s="278"/>
      <c r="CE80" s="278"/>
      <c r="CH80" s="212"/>
      <c r="CL80" s="249"/>
    </row>
    <row r="81" spans="1:90" s="114" customFormat="1" ht="0.75" hidden="1" customHeight="1">
      <c r="A81" s="287"/>
      <c r="B81" s="943"/>
      <c r="C81" s="947"/>
      <c r="D81" s="281"/>
      <c r="E81" s="282"/>
      <c r="F81" s="274"/>
      <c r="G81" s="274"/>
      <c r="H81" s="274"/>
      <c r="I81" s="274"/>
      <c r="J81" s="274"/>
      <c r="K81" s="275"/>
      <c r="L81" s="275"/>
      <c r="M81" s="275"/>
      <c r="N81" s="275"/>
      <c r="O81" s="275"/>
      <c r="P81" s="275"/>
      <c r="Q81" s="275"/>
      <c r="R81" s="275"/>
      <c r="S81" s="275"/>
      <c r="T81" s="275"/>
      <c r="U81" s="275"/>
      <c r="V81" s="276"/>
      <c r="W81" s="276"/>
      <c r="X81" s="275"/>
      <c r="Y81" s="275"/>
      <c r="Z81" s="275"/>
      <c r="AA81" s="275"/>
      <c r="AB81" s="275"/>
      <c r="AC81" s="275"/>
      <c r="AD81" s="275"/>
      <c r="AE81" s="275"/>
      <c r="AF81" s="275"/>
      <c r="AG81" s="275"/>
      <c r="AH81" s="275"/>
      <c r="AI81" s="275"/>
      <c r="AJ81" s="275"/>
      <c r="AK81" s="275"/>
      <c r="AL81" s="275"/>
      <c r="AM81" s="275"/>
      <c r="AN81" s="275"/>
      <c r="AO81" s="275"/>
      <c r="AP81" s="275"/>
      <c r="AQ81" s="275"/>
      <c r="AR81" s="275"/>
      <c r="AS81" s="275"/>
      <c r="AT81" s="275"/>
      <c r="AU81" s="275"/>
      <c r="AV81" s="275"/>
      <c r="AW81" s="275"/>
      <c r="AX81" s="241"/>
      <c r="AY81" s="169"/>
      <c r="AZ81" s="169"/>
      <c r="BA81" s="280"/>
      <c r="BB81" s="169"/>
      <c r="BC81" s="278"/>
      <c r="BD81" s="278"/>
      <c r="BE81" s="278"/>
      <c r="BF81" s="278"/>
      <c r="BG81" s="278"/>
      <c r="BH81" s="278"/>
      <c r="BI81" s="278"/>
      <c r="BJ81" s="278"/>
      <c r="BK81" s="278"/>
      <c r="BL81" s="278"/>
      <c r="BM81" s="278"/>
      <c r="BN81" s="278"/>
      <c r="BO81" s="278"/>
      <c r="BP81" s="278"/>
      <c r="BQ81" s="278"/>
      <c r="BR81" s="278"/>
      <c r="BS81" s="278"/>
      <c r="BT81" s="278"/>
      <c r="BU81" s="278"/>
      <c r="BV81" s="278"/>
      <c r="BW81" s="278"/>
      <c r="BX81" s="278"/>
      <c r="BY81" s="278"/>
      <c r="BZ81" s="278"/>
      <c r="CA81" s="278"/>
      <c r="CB81" s="278"/>
      <c r="CC81" s="278"/>
      <c r="CD81" s="278"/>
      <c r="CE81" s="278"/>
      <c r="CH81" s="212"/>
      <c r="CL81" s="249"/>
    </row>
    <row r="82" spans="1:90" s="114" customFormat="1" ht="0.75" hidden="1" customHeight="1">
      <c r="A82" s="287"/>
      <c r="B82" s="943"/>
      <c r="C82" s="947"/>
      <c r="D82" s="281"/>
      <c r="E82" s="282"/>
      <c r="F82" s="274"/>
      <c r="G82" s="274"/>
      <c r="H82" s="274"/>
      <c r="I82" s="274"/>
      <c r="J82" s="274"/>
      <c r="K82" s="275"/>
      <c r="L82" s="275"/>
      <c r="M82" s="275"/>
      <c r="N82" s="275"/>
      <c r="O82" s="275"/>
      <c r="P82" s="275"/>
      <c r="Q82" s="275"/>
      <c r="R82" s="275"/>
      <c r="S82" s="275"/>
      <c r="T82" s="275"/>
      <c r="U82" s="275"/>
      <c r="V82" s="276"/>
      <c r="W82" s="276"/>
      <c r="X82" s="275"/>
      <c r="Y82" s="275"/>
      <c r="Z82" s="275"/>
      <c r="AA82" s="275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275"/>
      <c r="AW82" s="275"/>
      <c r="AX82" s="241"/>
      <c r="AY82" s="169"/>
      <c r="AZ82" s="169"/>
      <c r="BA82" s="280"/>
      <c r="BB82" s="169"/>
      <c r="BC82" s="278"/>
      <c r="BD82" s="278"/>
      <c r="BE82" s="278"/>
      <c r="BF82" s="278"/>
      <c r="BG82" s="278"/>
      <c r="BH82" s="278"/>
      <c r="BI82" s="278"/>
      <c r="BJ82" s="278"/>
      <c r="BK82" s="278"/>
      <c r="BL82" s="278"/>
      <c r="BM82" s="278"/>
      <c r="BN82" s="278"/>
      <c r="BO82" s="278"/>
      <c r="BP82" s="278"/>
      <c r="BQ82" s="278"/>
      <c r="BR82" s="278"/>
      <c r="BS82" s="278"/>
      <c r="BT82" s="278"/>
      <c r="BU82" s="278"/>
      <c r="BV82" s="278"/>
      <c r="BW82" s="278"/>
      <c r="BX82" s="278"/>
      <c r="BY82" s="278"/>
      <c r="BZ82" s="278"/>
      <c r="CA82" s="278"/>
      <c r="CB82" s="278"/>
      <c r="CC82" s="278"/>
      <c r="CD82" s="278"/>
      <c r="CE82" s="278"/>
      <c r="CH82" s="212"/>
      <c r="CL82" s="249"/>
    </row>
    <row r="83" spans="1:90" s="114" customFormat="1" ht="0.75" hidden="1" customHeight="1">
      <c r="A83" s="287"/>
      <c r="B83" s="943"/>
      <c r="C83" s="947"/>
      <c r="D83" s="281"/>
      <c r="E83" s="282"/>
      <c r="F83" s="274"/>
      <c r="G83" s="274"/>
      <c r="H83" s="274"/>
      <c r="I83" s="274"/>
      <c r="J83" s="274"/>
      <c r="K83" s="275"/>
      <c r="L83" s="275"/>
      <c r="M83" s="275"/>
      <c r="N83" s="275"/>
      <c r="O83" s="275"/>
      <c r="P83" s="275"/>
      <c r="Q83" s="275"/>
      <c r="R83" s="275"/>
      <c r="S83" s="275"/>
      <c r="T83" s="275"/>
      <c r="U83" s="275"/>
      <c r="V83" s="276"/>
      <c r="W83" s="276"/>
      <c r="X83" s="275"/>
      <c r="Y83" s="275"/>
      <c r="Z83" s="275"/>
      <c r="AA83" s="275"/>
      <c r="AB83" s="275"/>
      <c r="AC83" s="275"/>
      <c r="AD83" s="275"/>
      <c r="AE83" s="275"/>
      <c r="AF83" s="275"/>
      <c r="AG83" s="275"/>
      <c r="AH83" s="275"/>
      <c r="AI83" s="275"/>
      <c r="AJ83" s="275"/>
      <c r="AK83" s="275"/>
      <c r="AL83" s="275"/>
      <c r="AM83" s="275"/>
      <c r="AN83" s="275"/>
      <c r="AO83" s="275"/>
      <c r="AP83" s="275"/>
      <c r="AQ83" s="275"/>
      <c r="AR83" s="275"/>
      <c r="AS83" s="275"/>
      <c r="AT83" s="275"/>
      <c r="AU83" s="275"/>
      <c r="AV83" s="275"/>
      <c r="AW83" s="275"/>
      <c r="AX83" s="241"/>
      <c r="AY83" s="169"/>
      <c r="AZ83" s="169"/>
      <c r="BA83" s="284"/>
      <c r="BB83" s="169"/>
      <c r="BC83" s="278"/>
      <c r="BD83" s="278"/>
      <c r="BE83" s="278"/>
      <c r="BF83" s="278"/>
      <c r="BG83" s="278"/>
      <c r="BH83" s="278"/>
      <c r="BI83" s="278"/>
      <c r="BJ83" s="278"/>
      <c r="BK83" s="278"/>
      <c r="BL83" s="278"/>
      <c r="BM83" s="278"/>
      <c r="BN83" s="278"/>
      <c r="BO83" s="278"/>
      <c r="BP83" s="278"/>
      <c r="BQ83" s="278"/>
      <c r="BR83" s="278"/>
      <c r="BS83" s="278"/>
      <c r="BT83" s="278"/>
      <c r="BU83" s="278"/>
      <c r="BV83" s="278"/>
      <c r="BW83" s="278"/>
      <c r="BX83" s="278"/>
      <c r="BY83" s="278"/>
      <c r="BZ83" s="278"/>
      <c r="CA83" s="278"/>
      <c r="CB83" s="278"/>
      <c r="CC83" s="278"/>
      <c r="CD83" s="278"/>
      <c r="CE83" s="278"/>
      <c r="CH83" s="212"/>
      <c r="CL83" s="249"/>
    </row>
    <row r="84" spans="1:90" s="114" customFormat="1" ht="0.75" hidden="1" customHeight="1">
      <c r="A84" s="287"/>
      <c r="B84" s="944"/>
      <c r="C84" s="949"/>
      <c r="D84" s="285"/>
      <c r="E84" s="282"/>
      <c r="F84" s="297"/>
      <c r="G84" s="297"/>
      <c r="H84" s="297"/>
      <c r="I84" s="297"/>
      <c r="J84" s="297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98"/>
      <c r="W84" s="298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59"/>
      <c r="AN84" s="259"/>
      <c r="AO84" s="259"/>
      <c r="AP84" s="259"/>
      <c r="AQ84" s="259"/>
      <c r="AR84" s="259"/>
      <c r="AS84" s="259"/>
      <c r="AT84" s="259"/>
      <c r="AU84" s="259"/>
      <c r="AV84" s="259"/>
      <c r="AW84" s="259"/>
      <c r="AX84" s="241"/>
      <c r="AY84" s="169"/>
      <c r="AZ84" s="169"/>
      <c r="BA84" s="284"/>
      <c r="BB84" s="169"/>
      <c r="BC84" s="278"/>
      <c r="BD84" s="278"/>
      <c r="BE84" s="278"/>
      <c r="BF84" s="278"/>
      <c r="BG84" s="278"/>
      <c r="BH84" s="278"/>
      <c r="BI84" s="278"/>
      <c r="BJ84" s="278"/>
      <c r="BK84" s="278"/>
      <c r="BL84" s="278"/>
      <c r="BM84" s="278"/>
      <c r="BN84" s="278"/>
      <c r="BO84" s="278"/>
      <c r="BP84" s="278"/>
      <c r="BQ84" s="278"/>
      <c r="BR84" s="278"/>
      <c r="BS84" s="278"/>
      <c r="BT84" s="278"/>
      <c r="BU84" s="278"/>
      <c r="BV84" s="278"/>
      <c r="BW84" s="278"/>
      <c r="BX84" s="278"/>
      <c r="BY84" s="278"/>
      <c r="BZ84" s="278"/>
      <c r="CA84" s="278"/>
      <c r="CB84" s="278"/>
      <c r="CC84" s="278"/>
      <c r="CD84" s="278"/>
      <c r="CE84" s="278"/>
      <c r="CH84" s="212"/>
      <c r="CL84" s="249"/>
    </row>
    <row r="85" spans="1:90" s="114" customFormat="1" ht="0.75" hidden="1" customHeight="1">
      <c r="A85" s="249"/>
      <c r="B85" s="299"/>
      <c r="C85" s="249"/>
      <c r="D85" s="286"/>
      <c r="E85" s="249"/>
      <c r="F85" s="249"/>
      <c r="G85" s="249"/>
      <c r="H85" s="249"/>
      <c r="I85" s="249"/>
      <c r="J85" s="249"/>
      <c r="K85" s="249"/>
      <c r="L85" s="249"/>
      <c r="M85" s="249"/>
      <c r="N85" s="249"/>
      <c r="O85" s="249"/>
      <c r="P85" s="249"/>
      <c r="Q85" s="249"/>
      <c r="R85" s="249"/>
      <c r="S85" s="249"/>
      <c r="T85" s="249"/>
      <c r="U85" s="249"/>
      <c r="V85" s="300"/>
      <c r="W85" s="300"/>
      <c r="X85" s="249"/>
      <c r="Y85" s="249"/>
      <c r="Z85" s="249"/>
      <c r="AA85" s="249"/>
      <c r="AB85" s="249"/>
      <c r="AC85" s="249"/>
      <c r="AD85" s="249"/>
      <c r="AE85" s="249"/>
      <c r="AF85" s="249"/>
      <c r="AG85" s="249"/>
      <c r="AH85" s="249"/>
      <c r="AI85" s="249"/>
      <c r="AJ85" s="249"/>
      <c r="AK85" s="249"/>
      <c r="AL85" s="249"/>
      <c r="AM85" s="249"/>
      <c r="AN85" s="249"/>
      <c r="AO85" s="249"/>
      <c r="AP85" s="249"/>
      <c r="AQ85" s="249"/>
      <c r="AR85" s="249"/>
      <c r="AS85" s="249"/>
      <c r="AT85" s="249"/>
      <c r="AU85" s="249"/>
      <c r="AV85" s="249"/>
      <c r="AW85" s="249"/>
      <c r="AX85" s="249"/>
      <c r="AY85" s="169"/>
      <c r="AZ85" s="169"/>
      <c r="BA85" s="278"/>
      <c r="BB85" s="169"/>
      <c r="BC85" s="278"/>
      <c r="BD85" s="278"/>
      <c r="BE85" s="278"/>
      <c r="BF85" s="278"/>
      <c r="BG85" s="278"/>
      <c r="BH85" s="278"/>
      <c r="BI85" s="278"/>
      <c r="BJ85" s="278"/>
      <c r="BK85" s="278"/>
      <c r="BL85" s="278"/>
      <c r="BM85" s="278"/>
      <c r="BN85" s="278"/>
      <c r="BO85" s="278"/>
      <c r="BP85" s="278"/>
      <c r="BQ85" s="278"/>
      <c r="BR85" s="278"/>
      <c r="BS85" s="278"/>
      <c r="BT85" s="278"/>
      <c r="BU85" s="278"/>
      <c r="BV85" s="278"/>
      <c r="BW85" s="278"/>
      <c r="BX85" s="278"/>
      <c r="BY85" s="278"/>
      <c r="BZ85" s="278"/>
      <c r="CA85" s="278"/>
      <c r="CB85" s="278"/>
      <c r="CC85" s="278"/>
      <c r="CD85" s="278"/>
      <c r="CE85" s="278"/>
      <c r="CH85" s="212"/>
      <c r="CL85" s="249"/>
    </row>
    <row r="86" spans="1:90" s="114" customFormat="1" ht="0.75" hidden="1" customHeight="1">
      <c r="A86" s="249"/>
      <c r="B86" s="299"/>
      <c r="C86" s="249"/>
      <c r="D86" s="286"/>
      <c r="E86" s="249"/>
      <c r="F86" s="249"/>
      <c r="G86" s="249"/>
      <c r="H86" s="249"/>
      <c r="I86" s="249"/>
      <c r="J86" s="249"/>
      <c r="K86" s="249"/>
      <c r="L86" s="249"/>
      <c r="M86" s="249"/>
      <c r="N86" s="249"/>
      <c r="O86" s="249"/>
      <c r="P86" s="249"/>
      <c r="Q86" s="249"/>
      <c r="R86" s="249"/>
      <c r="S86" s="249"/>
      <c r="T86" s="249"/>
      <c r="U86" s="249"/>
      <c r="V86" s="300"/>
      <c r="W86" s="300"/>
      <c r="X86" s="249"/>
      <c r="Y86" s="249"/>
      <c r="Z86" s="249"/>
      <c r="AA86" s="249"/>
      <c r="AB86" s="249"/>
      <c r="AC86" s="249"/>
      <c r="AD86" s="249"/>
      <c r="AE86" s="249"/>
      <c r="AF86" s="249"/>
      <c r="AG86" s="249"/>
      <c r="AH86" s="249"/>
      <c r="AI86" s="249"/>
      <c r="AJ86" s="249"/>
      <c r="AK86" s="249"/>
      <c r="AL86" s="249"/>
      <c r="AM86" s="249"/>
      <c r="AN86" s="249"/>
      <c r="AO86" s="249"/>
      <c r="AP86" s="249"/>
      <c r="AQ86" s="249"/>
      <c r="AR86" s="249"/>
      <c r="AS86" s="249"/>
      <c r="AT86" s="249"/>
      <c r="AU86" s="249"/>
      <c r="AV86" s="249"/>
      <c r="AW86" s="249"/>
      <c r="AX86" s="249"/>
      <c r="AY86" s="169"/>
      <c r="AZ86" s="169"/>
      <c r="BA86" s="278"/>
      <c r="BB86" s="169"/>
      <c r="BC86" s="278"/>
      <c r="BD86" s="278"/>
      <c r="BE86" s="278"/>
      <c r="BF86" s="278"/>
      <c r="BG86" s="278"/>
      <c r="BH86" s="278"/>
      <c r="BI86" s="278"/>
      <c r="BJ86" s="278"/>
      <c r="BK86" s="278"/>
      <c r="BL86" s="278"/>
      <c r="BM86" s="278"/>
      <c r="BN86" s="278"/>
      <c r="BO86" s="278"/>
      <c r="BP86" s="278"/>
      <c r="BQ86" s="278"/>
      <c r="BR86" s="278"/>
      <c r="BS86" s="278"/>
      <c r="BT86" s="278"/>
      <c r="BU86" s="278"/>
      <c r="BV86" s="278"/>
      <c r="BW86" s="278"/>
      <c r="BX86" s="278"/>
      <c r="BY86" s="278"/>
      <c r="BZ86" s="278"/>
      <c r="CA86" s="278"/>
      <c r="CB86" s="278"/>
      <c r="CC86" s="278"/>
      <c r="CD86" s="278"/>
      <c r="CE86" s="278"/>
      <c r="CH86" s="212"/>
      <c r="CL86" s="249"/>
    </row>
    <row r="87" spans="1:90" s="114" customFormat="1" ht="0.75" hidden="1" customHeight="1">
      <c r="A87" s="249"/>
      <c r="B87" s="299"/>
      <c r="C87" s="249"/>
      <c r="D87" s="286"/>
      <c r="E87" s="249"/>
      <c r="F87" s="249"/>
      <c r="G87" s="249"/>
      <c r="H87" s="249"/>
      <c r="I87" s="249"/>
      <c r="J87" s="249"/>
      <c r="K87" s="249"/>
      <c r="L87" s="249"/>
      <c r="M87" s="249"/>
      <c r="N87" s="249"/>
      <c r="O87" s="249"/>
      <c r="P87" s="249"/>
      <c r="Q87" s="249"/>
      <c r="R87" s="249"/>
      <c r="S87" s="249"/>
      <c r="T87" s="249"/>
      <c r="U87" s="249"/>
      <c r="V87" s="300"/>
      <c r="W87" s="300"/>
      <c r="X87" s="249"/>
      <c r="Y87" s="249"/>
      <c r="Z87" s="249"/>
      <c r="AA87" s="249"/>
      <c r="AB87" s="249"/>
      <c r="AC87" s="249"/>
      <c r="AD87" s="249"/>
      <c r="AE87" s="249"/>
      <c r="AF87" s="249"/>
      <c r="AG87" s="249"/>
      <c r="AH87" s="249"/>
      <c r="AI87" s="249"/>
      <c r="AJ87" s="249"/>
      <c r="AK87" s="249"/>
      <c r="AL87" s="249"/>
      <c r="AM87" s="249"/>
      <c r="AN87" s="249"/>
      <c r="AO87" s="249"/>
      <c r="AP87" s="249"/>
      <c r="AQ87" s="249"/>
      <c r="AR87" s="249"/>
      <c r="AS87" s="249"/>
      <c r="AT87" s="249"/>
      <c r="AU87" s="249"/>
      <c r="AV87" s="249"/>
      <c r="AW87" s="249"/>
      <c r="AX87" s="249"/>
      <c r="AY87" s="169"/>
      <c r="AZ87" s="169"/>
      <c r="BA87" s="278"/>
      <c r="BB87" s="169"/>
      <c r="BC87" s="278"/>
      <c r="BD87" s="278"/>
      <c r="BE87" s="278"/>
      <c r="BF87" s="278"/>
      <c r="BG87" s="278"/>
      <c r="BH87" s="278"/>
      <c r="BI87" s="278"/>
      <c r="BJ87" s="278"/>
      <c r="BK87" s="278"/>
      <c r="BL87" s="278"/>
      <c r="BM87" s="278"/>
      <c r="BN87" s="278"/>
      <c r="BO87" s="278"/>
      <c r="BP87" s="278"/>
      <c r="BQ87" s="278"/>
      <c r="BR87" s="278"/>
      <c r="BS87" s="278"/>
      <c r="BT87" s="278"/>
      <c r="BU87" s="278"/>
      <c r="BV87" s="278"/>
      <c r="BW87" s="278"/>
      <c r="BX87" s="278"/>
      <c r="BY87" s="278"/>
      <c r="BZ87" s="278"/>
      <c r="CA87" s="278"/>
      <c r="CB87" s="278"/>
      <c r="CC87" s="278"/>
      <c r="CD87" s="278"/>
      <c r="CE87" s="278"/>
      <c r="CH87" s="212"/>
      <c r="CL87" s="249"/>
    </row>
    <row r="88" spans="1:90" s="114" customFormat="1" ht="0.75" hidden="1" customHeight="1">
      <c r="A88" s="249"/>
      <c r="B88" s="299"/>
      <c r="C88" s="249"/>
      <c r="D88" s="286"/>
      <c r="E88" s="249"/>
      <c r="F88" s="249"/>
      <c r="G88" s="249"/>
      <c r="H88" s="249"/>
      <c r="I88" s="249"/>
      <c r="J88" s="249"/>
      <c r="K88" s="249"/>
      <c r="L88" s="249"/>
      <c r="M88" s="249"/>
      <c r="N88" s="249"/>
      <c r="O88" s="249"/>
      <c r="P88" s="249"/>
      <c r="Q88" s="249"/>
      <c r="R88" s="249"/>
      <c r="S88" s="249"/>
      <c r="T88" s="249"/>
      <c r="U88" s="249"/>
      <c r="V88" s="300"/>
      <c r="W88" s="300"/>
      <c r="X88" s="249"/>
      <c r="Y88" s="249"/>
      <c r="Z88" s="249"/>
      <c r="AA88" s="249"/>
      <c r="AB88" s="249"/>
      <c r="AC88" s="249"/>
      <c r="AD88" s="249"/>
      <c r="AE88" s="249"/>
      <c r="AF88" s="249"/>
      <c r="AG88" s="249"/>
      <c r="AH88" s="249"/>
      <c r="AI88" s="249"/>
      <c r="AJ88" s="249"/>
      <c r="AK88" s="249"/>
      <c r="AL88" s="249"/>
      <c r="AM88" s="249"/>
      <c r="AN88" s="249"/>
      <c r="AO88" s="249"/>
      <c r="AP88" s="249"/>
      <c r="AQ88" s="249"/>
      <c r="AR88" s="249"/>
      <c r="AS88" s="249"/>
      <c r="AT88" s="249"/>
      <c r="AU88" s="249"/>
      <c r="AV88" s="249"/>
      <c r="AW88" s="249"/>
      <c r="AX88" s="249"/>
      <c r="AY88" s="169"/>
      <c r="AZ88" s="169"/>
      <c r="BA88" s="278"/>
      <c r="BB88" s="169"/>
      <c r="BC88" s="278"/>
      <c r="BD88" s="278"/>
      <c r="BE88" s="278"/>
      <c r="BF88" s="278"/>
      <c r="BG88" s="278"/>
      <c r="BH88" s="278"/>
      <c r="BI88" s="278"/>
      <c r="BJ88" s="278"/>
      <c r="BK88" s="278"/>
      <c r="BL88" s="278"/>
      <c r="BM88" s="278"/>
      <c r="BN88" s="278"/>
      <c r="BO88" s="278"/>
      <c r="BP88" s="278"/>
      <c r="BQ88" s="278"/>
      <c r="BR88" s="278"/>
      <c r="BS88" s="278"/>
      <c r="BT88" s="278"/>
      <c r="BU88" s="278"/>
      <c r="BV88" s="278"/>
      <c r="BW88" s="278"/>
      <c r="BX88" s="278"/>
      <c r="BY88" s="278"/>
      <c r="BZ88" s="278"/>
      <c r="CA88" s="278"/>
      <c r="CB88" s="278"/>
      <c r="CC88" s="278"/>
      <c r="CD88" s="278"/>
      <c r="CE88" s="278"/>
      <c r="CH88" s="212"/>
      <c r="CL88" s="249"/>
    </row>
    <row r="89" spans="1:90" s="114" customFormat="1" ht="0.75" hidden="1" customHeight="1">
      <c r="A89" s="249"/>
      <c r="B89" s="299"/>
      <c r="C89" s="249"/>
      <c r="D89" s="286"/>
      <c r="E89" s="249"/>
      <c r="F89" s="249"/>
      <c r="G89" s="249"/>
      <c r="H89" s="249"/>
      <c r="I89" s="249"/>
      <c r="J89" s="249"/>
      <c r="K89" s="249"/>
      <c r="L89" s="249"/>
      <c r="M89" s="249"/>
      <c r="N89" s="249"/>
      <c r="O89" s="249"/>
      <c r="P89" s="249"/>
      <c r="Q89" s="249"/>
      <c r="R89" s="249"/>
      <c r="S89" s="249"/>
      <c r="T89" s="249"/>
      <c r="U89" s="249"/>
      <c r="V89" s="300"/>
      <c r="W89" s="300"/>
      <c r="X89" s="249"/>
      <c r="Y89" s="249"/>
      <c r="Z89" s="249"/>
      <c r="AA89" s="249"/>
      <c r="AB89" s="249"/>
      <c r="AC89" s="249"/>
      <c r="AD89" s="249"/>
      <c r="AE89" s="249"/>
      <c r="AF89" s="249"/>
      <c r="AG89" s="249"/>
      <c r="AH89" s="249"/>
      <c r="AI89" s="249"/>
      <c r="AJ89" s="249"/>
      <c r="AK89" s="249"/>
      <c r="AL89" s="249"/>
      <c r="AM89" s="249"/>
      <c r="AN89" s="249"/>
      <c r="AO89" s="249"/>
      <c r="AP89" s="249"/>
      <c r="AQ89" s="249"/>
      <c r="AR89" s="249"/>
      <c r="AS89" s="249"/>
      <c r="AT89" s="249"/>
      <c r="AU89" s="249"/>
      <c r="AV89" s="249"/>
      <c r="AW89" s="249"/>
      <c r="AX89" s="249"/>
      <c r="AY89" s="169"/>
      <c r="AZ89" s="169"/>
      <c r="BA89" s="278"/>
      <c r="BB89" s="169"/>
      <c r="BC89" s="278"/>
      <c r="BD89" s="278"/>
      <c r="BE89" s="278"/>
      <c r="BF89" s="278"/>
      <c r="BG89" s="278"/>
      <c r="BH89" s="278"/>
      <c r="BI89" s="278"/>
      <c r="BJ89" s="278"/>
      <c r="BK89" s="278"/>
      <c r="BL89" s="278"/>
      <c r="BM89" s="278"/>
      <c r="BN89" s="278"/>
      <c r="BO89" s="278"/>
      <c r="BP89" s="278"/>
      <c r="BQ89" s="278"/>
      <c r="BR89" s="278"/>
      <c r="BS89" s="278"/>
      <c r="BT89" s="278"/>
      <c r="BU89" s="278"/>
      <c r="BV89" s="278"/>
      <c r="BW89" s="278"/>
      <c r="BX89" s="278"/>
      <c r="BY89" s="278"/>
      <c r="BZ89" s="278"/>
      <c r="CA89" s="278"/>
      <c r="CB89" s="278"/>
      <c r="CC89" s="278"/>
      <c r="CD89" s="278"/>
      <c r="CE89" s="278"/>
      <c r="CH89" s="212"/>
      <c r="CL89" s="249"/>
    </row>
    <row r="90" spans="1:90" s="114" customFormat="1" ht="0.75" hidden="1" customHeight="1">
      <c r="A90" s="249"/>
      <c r="B90" s="299"/>
      <c r="C90" s="249"/>
      <c r="D90" s="286"/>
      <c r="E90" s="249"/>
      <c r="F90" s="249"/>
      <c r="G90" s="249"/>
      <c r="H90" s="249"/>
      <c r="I90" s="249"/>
      <c r="J90" s="249"/>
      <c r="K90" s="249"/>
      <c r="L90" s="249"/>
      <c r="M90" s="249"/>
      <c r="N90" s="249"/>
      <c r="O90" s="249"/>
      <c r="P90" s="249"/>
      <c r="Q90" s="249"/>
      <c r="R90" s="249"/>
      <c r="S90" s="249"/>
      <c r="T90" s="249"/>
      <c r="U90" s="249"/>
      <c r="V90" s="300"/>
      <c r="W90" s="300"/>
      <c r="X90" s="249"/>
      <c r="Y90" s="249"/>
      <c r="Z90" s="249"/>
      <c r="AA90" s="249"/>
      <c r="AB90" s="249"/>
      <c r="AC90" s="249"/>
      <c r="AD90" s="249"/>
      <c r="AE90" s="249"/>
      <c r="AF90" s="249"/>
      <c r="AG90" s="249"/>
      <c r="AH90" s="249"/>
      <c r="AI90" s="249"/>
      <c r="AJ90" s="249"/>
      <c r="AK90" s="249"/>
      <c r="AL90" s="249"/>
      <c r="AM90" s="249"/>
      <c r="AN90" s="249"/>
      <c r="AO90" s="249"/>
      <c r="AP90" s="249"/>
      <c r="AQ90" s="249"/>
      <c r="AR90" s="249"/>
      <c r="AS90" s="249"/>
      <c r="AT90" s="249"/>
      <c r="AU90" s="249"/>
      <c r="AV90" s="249"/>
      <c r="AW90" s="249"/>
      <c r="AX90" s="249"/>
      <c r="AY90" s="169"/>
      <c r="AZ90" s="169"/>
      <c r="BA90" s="278"/>
      <c r="BB90" s="169"/>
      <c r="BC90" s="278"/>
      <c r="BD90" s="278"/>
      <c r="BE90" s="278"/>
      <c r="BF90" s="278"/>
      <c r="BG90" s="278"/>
      <c r="BH90" s="278"/>
      <c r="BI90" s="278"/>
      <c r="BJ90" s="278"/>
      <c r="BK90" s="278"/>
      <c r="BL90" s="278"/>
      <c r="BM90" s="278"/>
      <c r="BN90" s="278"/>
      <c r="BO90" s="278"/>
      <c r="BP90" s="278"/>
      <c r="BQ90" s="278"/>
      <c r="BR90" s="278"/>
      <c r="BS90" s="278"/>
      <c r="BT90" s="278"/>
      <c r="BU90" s="278"/>
      <c r="BV90" s="278"/>
      <c r="BW90" s="278"/>
      <c r="BX90" s="278"/>
      <c r="BY90" s="278"/>
      <c r="BZ90" s="278"/>
      <c r="CA90" s="278"/>
      <c r="CB90" s="278"/>
      <c r="CC90" s="278"/>
      <c r="CD90" s="278"/>
      <c r="CE90" s="278"/>
      <c r="CH90" s="212"/>
      <c r="CL90" s="249"/>
    </row>
    <row r="91" spans="1:90" s="114" customFormat="1" ht="0.75" hidden="1" customHeight="1">
      <c r="A91" s="249"/>
      <c r="B91" s="299"/>
      <c r="C91" s="249"/>
      <c r="D91" s="286"/>
      <c r="E91" s="249"/>
      <c r="F91" s="249"/>
      <c r="G91" s="249"/>
      <c r="H91" s="249"/>
      <c r="I91" s="249"/>
      <c r="J91" s="249"/>
      <c r="K91" s="249"/>
      <c r="L91" s="249"/>
      <c r="M91" s="249"/>
      <c r="N91" s="249"/>
      <c r="O91" s="249"/>
      <c r="P91" s="249"/>
      <c r="Q91" s="249"/>
      <c r="R91" s="249"/>
      <c r="S91" s="249"/>
      <c r="T91" s="249"/>
      <c r="U91" s="249"/>
      <c r="V91" s="300"/>
      <c r="W91" s="300"/>
      <c r="X91" s="249"/>
      <c r="Y91" s="249"/>
      <c r="Z91" s="249"/>
      <c r="AA91" s="249"/>
      <c r="AB91" s="249"/>
      <c r="AC91" s="249"/>
      <c r="AD91" s="249"/>
      <c r="AE91" s="249"/>
      <c r="AF91" s="249"/>
      <c r="AG91" s="249"/>
      <c r="AH91" s="249"/>
      <c r="AI91" s="249"/>
      <c r="AJ91" s="249"/>
      <c r="AK91" s="249"/>
      <c r="AL91" s="249"/>
      <c r="AM91" s="249"/>
      <c r="AN91" s="249"/>
      <c r="AO91" s="249"/>
      <c r="AP91" s="249"/>
      <c r="AQ91" s="249"/>
      <c r="AR91" s="249"/>
      <c r="AS91" s="249"/>
      <c r="AT91" s="249"/>
      <c r="AU91" s="249"/>
      <c r="AV91" s="249"/>
      <c r="AW91" s="249"/>
      <c r="AX91" s="249"/>
      <c r="AY91" s="169"/>
      <c r="AZ91" s="169"/>
      <c r="BA91" s="278"/>
      <c r="BB91" s="169"/>
      <c r="BC91" s="278"/>
      <c r="BD91" s="278"/>
      <c r="BE91" s="278"/>
      <c r="BF91" s="278"/>
      <c r="BG91" s="278"/>
      <c r="BH91" s="278"/>
      <c r="BI91" s="278"/>
      <c r="BJ91" s="278"/>
      <c r="BK91" s="278"/>
      <c r="BL91" s="278"/>
      <c r="BM91" s="278"/>
      <c r="BN91" s="278"/>
      <c r="BO91" s="278"/>
      <c r="BP91" s="278"/>
      <c r="BQ91" s="278"/>
      <c r="BR91" s="278"/>
      <c r="BS91" s="278"/>
      <c r="BT91" s="278"/>
      <c r="BU91" s="278"/>
      <c r="BV91" s="278"/>
      <c r="BW91" s="278"/>
      <c r="BX91" s="278"/>
      <c r="BY91" s="278"/>
      <c r="BZ91" s="278"/>
      <c r="CA91" s="278"/>
      <c r="CB91" s="278"/>
      <c r="CC91" s="278"/>
      <c r="CD91" s="278"/>
      <c r="CE91" s="278"/>
      <c r="CH91" s="212"/>
      <c r="CL91" s="249"/>
    </row>
    <row r="92" spans="1:90" s="114" customFormat="1" ht="0.75" hidden="1" customHeight="1">
      <c r="A92" s="249"/>
      <c r="B92" s="299"/>
      <c r="C92" s="249"/>
      <c r="D92" s="286"/>
      <c r="E92" s="249"/>
      <c r="F92" s="249"/>
      <c r="G92" s="249"/>
      <c r="H92" s="249"/>
      <c r="I92" s="249"/>
      <c r="J92" s="249"/>
      <c r="K92" s="249"/>
      <c r="L92" s="249"/>
      <c r="M92" s="249"/>
      <c r="N92" s="249"/>
      <c r="O92" s="249"/>
      <c r="P92" s="249"/>
      <c r="Q92" s="249"/>
      <c r="R92" s="249"/>
      <c r="S92" s="249"/>
      <c r="T92" s="249"/>
      <c r="U92" s="249"/>
      <c r="V92" s="300"/>
      <c r="W92" s="300"/>
      <c r="X92" s="249"/>
      <c r="Y92" s="249"/>
      <c r="Z92" s="249"/>
      <c r="AA92" s="249"/>
      <c r="AB92" s="249"/>
      <c r="AC92" s="249"/>
      <c r="AD92" s="249"/>
      <c r="AE92" s="249"/>
      <c r="AF92" s="249"/>
      <c r="AG92" s="249"/>
      <c r="AH92" s="249"/>
      <c r="AI92" s="249"/>
      <c r="AJ92" s="249"/>
      <c r="AK92" s="249"/>
      <c r="AL92" s="249"/>
      <c r="AM92" s="249"/>
      <c r="AN92" s="249"/>
      <c r="AO92" s="249"/>
      <c r="AP92" s="249"/>
      <c r="AQ92" s="249"/>
      <c r="AR92" s="249"/>
      <c r="AS92" s="249"/>
      <c r="AT92" s="249"/>
      <c r="AU92" s="249"/>
      <c r="AV92" s="249"/>
      <c r="AW92" s="249"/>
      <c r="AX92" s="249"/>
      <c r="AY92" s="169"/>
      <c r="AZ92" s="169"/>
      <c r="BA92" s="278"/>
      <c r="BB92" s="169"/>
      <c r="BC92" s="278"/>
      <c r="BD92" s="278"/>
      <c r="BE92" s="278"/>
      <c r="BF92" s="278"/>
      <c r="BG92" s="278"/>
      <c r="BH92" s="278"/>
      <c r="BI92" s="278"/>
      <c r="BJ92" s="278"/>
      <c r="BK92" s="278"/>
      <c r="BL92" s="278"/>
      <c r="BM92" s="278"/>
      <c r="BN92" s="278"/>
      <c r="BO92" s="278"/>
      <c r="BP92" s="278"/>
      <c r="BQ92" s="278"/>
      <c r="BR92" s="278"/>
      <c r="BS92" s="278"/>
      <c r="BT92" s="278"/>
      <c r="BU92" s="278"/>
      <c r="BV92" s="278"/>
      <c r="BW92" s="278"/>
      <c r="BX92" s="278"/>
      <c r="BY92" s="278"/>
      <c r="BZ92" s="278"/>
      <c r="CA92" s="278"/>
      <c r="CB92" s="278"/>
      <c r="CC92" s="278"/>
      <c r="CD92" s="278"/>
      <c r="CE92" s="278"/>
      <c r="CH92" s="212"/>
      <c r="CL92" s="249"/>
    </row>
    <row r="93" spans="1:90" s="114" customFormat="1" ht="0.75" hidden="1" customHeight="1">
      <c r="A93" s="249"/>
      <c r="B93" s="299"/>
      <c r="C93" s="249"/>
      <c r="D93" s="286"/>
      <c r="E93" s="249"/>
      <c r="F93" s="249"/>
      <c r="G93" s="249"/>
      <c r="H93" s="249"/>
      <c r="I93" s="249"/>
      <c r="J93" s="249"/>
      <c r="K93" s="249"/>
      <c r="L93" s="249"/>
      <c r="M93" s="249"/>
      <c r="N93" s="249"/>
      <c r="O93" s="249"/>
      <c r="P93" s="249"/>
      <c r="Q93" s="249"/>
      <c r="R93" s="249"/>
      <c r="S93" s="249"/>
      <c r="T93" s="249"/>
      <c r="U93" s="249"/>
      <c r="V93" s="300"/>
      <c r="W93" s="300"/>
      <c r="X93" s="249"/>
      <c r="Y93" s="249"/>
      <c r="Z93" s="249"/>
      <c r="AA93" s="249"/>
      <c r="AB93" s="249"/>
      <c r="AC93" s="249"/>
      <c r="AD93" s="249"/>
      <c r="AE93" s="249"/>
      <c r="AF93" s="249"/>
      <c r="AG93" s="249"/>
      <c r="AH93" s="249"/>
      <c r="AI93" s="249"/>
      <c r="AJ93" s="249"/>
      <c r="AK93" s="249"/>
      <c r="AL93" s="249"/>
      <c r="AM93" s="249"/>
      <c r="AN93" s="249"/>
      <c r="AO93" s="249"/>
      <c r="AP93" s="249"/>
      <c r="AQ93" s="249"/>
      <c r="AR93" s="249"/>
      <c r="AS93" s="249"/>
      <c r="AT93" s="249"/>
      <c r="AU93" s="249"/>
      <c r="AV93" s="249"/>
      <c r="AW93" s="249"/>
      <c r="AX93" s="249"/>
      <c r="AY93" s="169"/>
      <c r="AZ93" s="169"/>
      <c r="BA93" s="278"/>
      <c r="BB93" s="169"/>
      <c r="BC93" s="278"/>
      <c r="BD93" s="278"/>
      <c r="BE93" s="278"/>
      <c r="BF93" s="278"/>
      <c r="BG93" s="278"/>
      <c r="BH93" s="278"/>
      <c r="BI93" s="278"/>
      <c r="BJ93" s="278"/>
      <c r="BK93" s="278"/>
      <c r="BL93" s="278"/>
      <c r="BM93" s="278"/>
      <c r="BN93" s="278"/>
      <c r="BO93" s="278"/>
      <c r="BP93" s="278"/>
      <c r="BQ93" s="278"/>
      <c r="BR93" s="278"/>
      <c r="BS93" s="278"/>
      <c r="BT93" s="278"/>
      <c r="BU93" s="278"/>
      <c r="BV93" s="278"/>
      <c r="BW93" s="278"/>
      <c r="BX93" s="278"/>
      <c r="BY93" s="278"/>
      <c r="BZ93" s="278"/>
      <c r="CA93" s="278"/>
      <c r="CB93" s="278"/>
      <c r="CC93" s="278"/>
      <c r="CD93" s="278"/>
      <c r="CE93" s="278"/>
      <c r="CH93" s="212"/>
      <c r="CL93" s="249"/>
    </row>
    <row r="94" spans="1:90" s="114" customFormat="1" ht="0.75" hidden="1" customHeight="1">
      <c r="A94" s="249"/>
      <c r="B94" s="299"/>
      <c r="C94" s="249"/>
      <c r="D94" s="286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300"/>
      <c r="W94" s="300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169"/>
      <c r="AZ94" s="169"/>
      <c r="BA94" s="278"/>
      <c r="BB94" s="169"/>
      <c r="BC94" s="278"/>
      <c r="BD94" s="278"/>
      <c r="BE94" s="278"/>
      <c r="BF94" s="278"/>
      <c r="BG94" s="278"/>
      <c r="BH94" s="278"/>
      <c r="BI94" s="278"/>
      <c r="BJ94" s="278"/>
      <c r="BK94" s="278"/>
      <c r="BL94" s="278"/>
      <c r="BM94" s="278"/>
      <c r="BN94" s="278"/>
      <c r="BO94" s="278"/>
      <c r="BP94" s="278"/>
      <c r="BQ94" s="278"/>
      <c r="BR94" s="278"/>
      <c r="BS94" s="278"/>
      <c r="BT94" s="278"/>
      <c r="BU94" s="278"/>
      <c r="BV94" s="278"/>
      <c r="BW94" s="278"/>
      <c r="BX94" s="278"/>
      <c r="BY94" s="278"/>
      <c r="BZ94" s="278"/>
      <c r="CA94" s="278"/>
      <c r="CB94" s="278"/>
      <c r="CC94" s="278"/>
      <c r="CD94" s="278"/>
      <c r="CE94" s="278"/>
      <c r="CH94" s="212"/>
      <c r="CL94" s="249"/>
    </row>
    <row r="95" spans="1:90" s="114" customFormat="1" ht="0.75" hidden="1" customHeight="1">
      <c r="A95" s="249"/>
      <c r="B95" s="299"/>
      <c r="C95" s="249"/>
      <c r="D95" s="286"/>
      <c r="E95" s="249"/>
      <c r="F95" s="249"/>
      <c r="G95" s="249"/>
      <c r="H95" s="249"/>
      <c r="I95" s="249"/>
      <c r="J95" s="249"/>
      <c r="K95" s="249"/>
      <c r="L95" s="249"/>
      <c r="M95" s="249"/>
      <c r="N95" s="249"/>
      <c r="O95" s="249"/>
      <c r="P95" s="249"/>
      <c r="Q95" s="249"/>
      <c r="R95" s="249"/>
      <c r="S95" s="249"/>
      <c r="T95" s="249"/>
      <c r="U95" s="249"/>
      <c r="V95" s="300"/>
      <c r="W95" s="300"/>
      <c r="X95" s="249"/>
      <c r="Y95" s="249"/>
      <c r="Z95" s="249"/>
      <c r="AA95" s="249"/>
      <c r="AB95" s="249"/>
      <c r="AC95" s="249"/>
      <c r="AD95" s="249"/>
      <c r="AE95" s="249"/>
      <c r="AF95" s="249"/>
      <c r="AG95" s="249"/>
      <c r="AH95" s="249"/>
      <c r="AI95" s="249"/>
      <c r="AJ95" s="249"/>
      <c r="AK95" s="249"/>
      <c r="AL95" s="249"/>
      <c r="AM95" s="249"/>
      <c r="AN95" s="249"/>
      <c r="AO95" s="249"/>
      <c r="AP95" s="249"/>
      <c r="AQ95" s="249"/>
      <c r="AR95" s="249"/>
      <c r="AS95" s="249"/>
      <c r="AT95" s="249"/>
      <c r="AU95" s="249"/>
      <c r="AV95" s="249"/>
      <c r="AW95" s="249"/>
      <c r="AX95" s="249"/>
      <c r="AY95" s="169"/>
      <c r="AZ95" s="169"/>
      <c r="BA95" s="278"/>
      <c r="BB95" s="169"/>
      <c r="BC95" s="278"/>
      <c r="BD95" s="278"/>
      <c r="BE95" s="278"/>
      <c r="BF95" s="278"/>
      <c r="BG95" s="278"/>
      <c r="BH95" s="278"/>
      <c r="BI95" s="278"/>
      <c r="BJ95" s="278"/>
      <c r="BK95" s="278"/>
      <c r="BL95" s="278"/>
      <c r="BM95" s="278"/>
      <c r="BN95" s="278"/>
      <c r="BO95" s="278"/>
      <c r="BP95" s="278"/>
      <c r="BQ95" s="278"/>
      <c r="BR95" s="278"/>
      <c r="BS95" s="278"/>
      <c r="BT95" s="278"/>
      <c r="BU95" s="278"/>
      <c r="BV95" s="278"/>
      <c r="BW95" s="278"/>
      <c r="BX95" s="278"/>
      <c r="BY95" s="278"/>
      <c r="BZ95" s="278"/>
      <c r="CA95" s="278"/>
      <c r="CB95" s="278"/>
      <c r="CC95" s="278"/>
      <c r="CD95" s="278"/>
      <c r="CE95" s="278"/>
      <c r="CH95" s="212"/>
      <c r="CL95" s="249"/>
    </row>
    <row r="96" spans="1:90" s="114" customFormat="1" ht="0.75" hidden="1" customHeight="1">
      <c r="A96" s="249"/>
      <c r="B96" s="299"/>
      <c r="C96" s="249"/>
      <c r="D96" s="286"/>
      <c r="E96" s="249"/>
      <c r="F96" s="249"/>
      <c r="G96" s="249"/>
      <c r="H96" s="249"/>
      <c r="I96" s="249"/>
      <c r="J96" s="249"/>
      <c r="K96" s="249"/>
      <c r="L96" s="249"/>
      <c r="M96" s="249"/>
      <c r="N96" s="249"/>
      <c r="O96" s="249"/>
      <c r="P96" s="249"/>
      <c r="Q96" s="249"/>
      <c r="R96" s="249"/>
      <c r="S96" s="249"/>
      <c r="T96" s="249"/>
      <c r="U96" s="249"/>
      <c r="V96" s="300"/>
      <c r="W96" s="300"/>
      <c r="X96" s="249"/>
      <c r="Y96" s="249"/>
      <c r="Z96" s="249"/>
      <c r="AA96" s="249"/>
      <c r="AB96" s="249"/>
      <c r="AC96" s="249"/>
      <c r="AD96" s="249"/>
      <c r="AE96" s="249"/>
      <c r="AF96" s="249"/>
      <c r="AG96" s="249"/>
      <c r="AH96" s="249"/>
      <c r="AI96" s="249"/>
      <c r="AJ96" s="249"/>
      <c r="AK96" s="249"/>
      <c r="AL96" s="249"/>
      <c r="AM96" s="249"/>
      <c r="AN96" s="249"/>
      <c r="AO96" s="249"/>
      <c r="AP96" s="249"/>
      <c r="AQ96" s="249"/>
      <c r="AR96" s="249"/>
      <c r="AS96" s="249"/>
      <c r="AT96" s="249"/>
      <c r="AU96" s="249"/>
      <c r="AV96" s="249"/>
      <c r="AW96" s="249"/>
      <c r="AX96" s="249"/>
      <c r="AY96" s="169"/>
      <c r="AZ96" s="169"/>
      <c r="BA96" s="278"/>
      <c r="BB96" s="169"/>
      <c r="BC96" s="278"/>
      <c r="BD96" s="278"/>
      <c r="BE96" s="278"/>
      <c r="BF96" s="278"/>
      <c r="BG96" s="278"/>
      <c r="BH96" s="278"/>
      <c r="BI96" s="278"/>
      <c r="BJ96" s="278"/>
      <c r="BK96" s="278"/>
      <c r="BL96" s="278"/>
      <c r="BM96" s="278"/>
      <c r="BN96" s="278"/>
      <c r="BO96" s="278"/>
      <c r="BP96" s="278"/>
      <c r="BQ96" s="278"/>
      <c r="BR96" s="278"/>
      <c r="BS96" s="278"/>
      <c r="BT96" s="278"/>
      <c r="BU96" s="278"/>
      <c r="BV96" s="278"/>
      <c r="BW96" s="278"/>
      <c r="BX96" s="278"/>
      <c r="BY96" s="278"/>
      <c r="BZ96" s="278"/>
      <c r="CA96" s="278"/>
      <c r="CB96" s="278"/>
      <c r="CC96" s="278"/>
      <c r="CD96" s="278"/>
      <c r="CE96" s="278"/>
      <c r="CH96" s="212"/>
      <c r="CL96" s="249"/>
    </row>
    <row r="97" spans="1:90" s="114" customFormat="1" ht="0.75" hidden="1" customHeight="1">
      <c r="A97" s="249"/>
      <c r="B97" s="299"/>
      <c r="C97" s="249"/>
      <c r="D97" s="286"/>
      <c r="E97" s="249"/>
      <c r="F97" s="249"/>
      <c r="G97" s="249"/>
      <c r="H97" s="249"/>
      <c r="I97" s="249"/>
      <c r="J97" s="249"/>
      <c r="K97" s="249"/>
      <c r="L97" s="249"/>
      <c r="M97" s="249"/>
      <c r="N97" s="249"/>
      <c r="O97" s="249"/>
      <c r="P97" s="249"/>
      <c r="Q97" s="249"/>
      <c r="R97" s="249"/>
      <c r="S97" s="249"/>
      <c r="T97" s="249"/>
      <c r="U97" s="249"/>
      <c r="V97" s="300"/>
      <c r="W97" s="300"/>
      <c r="X97" s="249"/>
      <c r="Y97" s="249"/>
      <c r="Z97" s="249"/>
      <c r="AA97" s="249"/>
      <c r="AB97" s="249"/>
      <c r="AC97" s="249"/>
      <c r="AD97" s="249"/>
      <c r="AE97" s="249"/>
      <c r="AF97" s="249"/>
      <c r="AG97" s="249"/>
      <c r="AH97" s="249"/>
      <c r="AI97" s="249"/>
      <c r="AJ97" s="249"/>
      <c r="AK97" s="249"/>
      <c r="AL97" s="249"/>
      <c r="AM97" s="249"/>
      <c r="AN97" s="249"/>
      <c r="AO97" s="249"/>
      <c r="AP97" s="249"/>
      <c r="AQ97" s="249"/>
      <c r="AR97" s="249"/>
      <c r="AS97" s="249"/>
      <c r="AT97" s="249"/>
      <c r="AU97" s="249"/>
      <c r="AV97" s="249"/>
      <c r="AW97" s="249"/>
      <c r="AX97" s="249"/>
      <c r="AY97" s="169"/>
      <c r="AZ97" s="169"/>
      <c r="BA97" s="278"/>
      <c r="BB97" s="169"/>
      <c r="BC97" s="278"/>
      <c r="BD97" s="278"/>
      <c r="BE97" s="278"/>
      <c r="BF97" s="278"/>
      <c r="BG97" s="278"/>
      <c r="BH97" s="278"/>
      <c r="BI97" s="278"/>
      <c r="BJ97" s="278"/>
      <c r="BK97" s="278"/>
      <c r="BL97" s="278"/>
      <c r="BM97" s="278"/>
      <c r="BN97" s="278"/>
      <c r="BO97" s="278"/>
      <c r="BP97" s="278"/>
      <c r="BQ97" s="278"/>
      <c r="BR97" s="278"/>
      <c r="BS97" s="278"/>
      <c r="BT97" s="278"/>
      <c r="BU97" s="278"/>
      <c r="BV97" s="278"/>
      <c r="BW97" s="278"/>
      <c r="BX97" s="278"/>
      <c r="BY97" s="278"/>
      <c r="BZ97" s="278"/>
      <c r="CA97" s="278"/>
      <c r="CB97" s="278"/>
      <c r="CC97" s="278"/>
      <c r="CD97" s="278"/>
      <c r="CE97" s="278"/>
      <c r="CH97" s="212"/>
      <c r="CL97" s="249"/>
    </row>
    <row r="98" spans="1:90" s="114" customFormat="1" ht="0.75" hidden="1" customHeight="1">
      <c r="A98" s="249"/>
      <c r="B98" s="299"/>
      <c r="C98" s="249"/>
      <c r="D98" s="286"/>
      <c r="E98" s="249"/>
      <c r="F98" s="249"/>
      <c r="G98" s="249"/>
      <c r="H98" s="249"/>
      <c r="I98" s="249"/>
      <c r="J98" s="249"/>
      <c r="K98" s="249"/>
      <c r="L98" s="249"/>
      <c r="M98" s="249"/>
      <c r="N98" s="249"/>
      <c r="O98" s="249"/>
      <c r="P98" s="249"/>
      <c r="Q98" s="249"/>
      <c r="R98" s="249"/>
      <c r="S98" s="249"/>
      <c r="T98" s="249"/>
      <c r="U98" s="249"/>
      <c r="V98" s="300"/>
      <c r="W98" s="300"/>
      <c r="X98" s="249"/>
      <c r="Y98" s="249"/>
      <c r="Z98" s="249"/>
      <c r="AA98" s="249"/>
      <c r="AB98" s="249"/>
      <c r="AC98" s="249"/>
      <c r="AD98" s="249"/>
      <c r="AE98" s="249"/>
      <c r="AF98" s="249"/>
      <c r="AG98" s="249"/>
      <c r="AH98" s="249"/>
      <c r="AI98" s="249"/>
      <c r="AJ98" s="249"/>
      <c r="AK98" s="249"/>
      <c r="AL98" s="249"/>
      <c r="AM98" s="249"/>
      <c r="AN98" s="249"/>
      <c r="AO98" s="249"/>
      <c r="AP98" s="249"/>
      <c r="AQ98" s="249"/>
      <c r="AR98" s="249"/>
      <c r="AS98" s="249"/>
      <c r="AT98" s="249"/>
      <c r="AU98" s="249"/>
      <c r="AV98" s="249"/>
      <c r="AW98" s="249"/>
      <c r="AX98" s="249"/>
      <c r="AY98" s="169"/>
      <c r="AZ98" s="169"/>
      <c r="BA98" s="278"/>
      <c r="BB98" s="169"/>
      <c r="BC98" s="278"/>
      <c r="BD98" s="278"/>
      <c r="BE98" s="278"/>
      <c r="BF98" s="278"/>
      <c r="BG98" s="278"/>
      <c r="BH98" s="278"/>
      <c r="BI98" s="278"/>
      <c r="BJ98" s="278"/>
      <c r="BK98" s="278"/>
      <c r="BL98" s="278"/>
      <c r="BM98" s="278"/>
      <c r="BN98" s="278"/>
      <c r="BO98" s="278"/>
      <c r="BP98" s="278"/>
      <c r="BQ98" s="278"/>
      <c r="BR98" s="278"/>
      <c r="BS98" s="278"/>
      <c r="BT98" s="278"/>
      <c r="BU98" s="278"/>
      <c r="BV98" s="278"/>
      <c r="BW98" s="278"/>
      <c r="BX98" s="278"/>
      <c r="BY98" s="278"/>
      <c r="BZ98" s="278"/>
      <c r="CA98" s="278"/>
      <c r="CB98" s="278"/>
      <c r="CC98" s="278"/>
      <c r="CD98" s="278"/>
      <c r="CE98" s="278"/>
      <c r="CH98" s="212"/>
      <c r="CL98" s="249"/>
    </row>
    <row r="99" spans="1:90" s="114" customFormat="1" ht="0.75" hidden="1" customHeight="1">
      <c r="A99" s="249"/>
      <c r="B99" s="299"/>
      <c r="C99" s="249"/>
      <c r="D99" s="286"/>
      <c r="E99" s="249"/>
      <c r="F99" s="249"/>
      <c r="G99" s="249"/>
      <c r="H99" s="249"/>
      <c r="I99" s="249"/>
      <c r="J99" s="249"/>
      <c r="K99" s="249"/>
      <c r="L99" s="249"/>
      <c r="M99" s="249"/>
      <c r="N99" s="249"/>
      <c r="O99" s="249"/>
      <c r="P99" s="249"/>
      <c r="Q99" s="249"/>
      <c r="R99" s="249"/>
      <c r="S99" s="249"/>
      <c r="T99" s="249"/>
      <c r="U99" s="249"/>
      <c r="V99" s="300"/>
      <c r="W99" s="300"/>
      <c r="X99" s="249"/>
      <c r="Y99" s="249"/>
      <c r="Z99" s="249"/>
      <c r="AA99" s="249"/>
      <c r="AB99" s="249"/>
      <c r="AC99" s="249"/>
      <c r="AD99" s="249"/>
      <c r="AE99" s="249"/>
      <c r="AF99" s="249"/>
      <c r="AG99" s="249"/>
      <c r="AH99" s="249"/>
      <c r="AI99" s="249"/>
      <c r="AJ99" s="249"/>
      <c r="AK99" s="249"/>
      <c r="AL99" s="249"/>
      <c r="AM99" s="249"/>
      <c r="AN99" s="249"/>
      <c r="AO99" s="249"/>
      <c r="AP99" s="249"/>
      <c r="AQ99" s="249"/>
      <c r="AR99" s="249"/>
      <c r="AS99" s="249"/>
      <c r="AT99" s="249"/>
      <c r="AU99" s="249"/>
      <c r="AV99" s="249"/>
      <c r="AW99" s="249"/>
      <c r="AX99" s="249"/>
      <c r="AY99" s="169"/>
      <c r="AZ99" s="169"/>
      <c r="BA99" s="278"/>
      <c r="BB99" s="169"/>
      <c r="BC99" s="278"/>
      <c r="BD99" s="278"/>
      <c r="BE99" s="278"/>
      <c r="BF99" s="278"/>
      <c r="BG99" s="278"/>
      <c r="BH99" s="278"/>
      <c r="BI99" s="278"/>
      <c r="BJ99" s="278"/>
      <c r="BK99" s="278"/>
      <c r="BL99" s="278"/>
      <c r="BM99" s="278"/>
      <c r="BN99" s="278"/>
      <c r="BO99" s="278"/>
      <c r="BP99" s="278"/>
      <c r="BQ99" s="278"/>
      <c r="BR99" s="278"/>
      <c r="BS99" s="278"/>
      <c r="BT99" s="278"/>
      <c r="BU99" s="278"/>
      <c r="BV99" s="278"/>
      <c r="BW99" s="278"/>
      <c r="BX99" s="278"/>
      <c r="BY99" s="278"/>
      <c r="BZ99" s="278"/>
      <c r="CA99" s="278"/>
      <c r="CB99" s="278"/>
      <c r="CC99" s="278"/>
      <c r="CD99" s="278"/>
      <c r="CE99" s="278"/>
      <c r="CH99" s="212"/>
      <c r="CL99" s="249"/>
    </row>
    <row r="100" spans="1:90" s="114" customFormat="1" ht="0.75" hidden="1" customHeight="1">
      <c r="A100" s="249"/>
      <c r="B100" s="299"/>
      <c r="C100" s="249"/>
      <c r="D100" s="286"/>
      <c r="E100" s="249"/>
      <c r="F100" s="249"/>
      <c r="G100" s="249"/>
      <c r="H100" s="249"/>
      <c r="I100" s="249"/>
      <c r="J100" s="249"/>
      <c r="K100" s="249"/>
      <c r="L100" s="249"/>
      <c r="M100" s="249"/>
      <c r="N100" s="249"/>
      <c r="O100" s="249"/>
      <c r="P100" s="249"/>
      <c r="Q100" s="249"/>
      <c r="R100" s="249"/>
      <c r="S100" s="249"/>
      <c r="T100" s="249"/>
      <c r="U100" s="249"/>
      <c r="V100" s="300"/>
      <c r="W100" s="300"/>
      <c r="X100" s="249"/>
      <c r="Y100" s="249"/>
      <c r="Z100" s="249"/>
      <c r="AA100" s="249"/>
      <c r="AB100" s="249"/>
      <c r="AC100" s="249"/>
      <c r="AD100" s="249"/>
      <c r="AE100" s="249"/>
      <c r="AF100" s="249"/>
      <c r="AG100" s="249"/>
      <c r="AH100" s="249"/>
      <c r="AI100" s="249"/>
      <c r="AJ100" s="249"/>
      <c r="AK100" s="249"/>
      <c r="AL100" s="249"/>
      <c r="AM100" s="249"/>
      <c r="AN100" s="249"/>
      <c r="AO100" s="249"/>
      <c r="AP100" s="249"/>
      <c r="AQ100" s="249"/>
      <c r="AR100" s="249"/>
      <c r="AS100" s="249"/>
      <c r="AT100" s="249"/>
      <c r="AU100" s="249"/>
      <c r="AV100" s="249"/>
      <c r="AW100" s="249"/>
      <c r="AX100" s="249"/>
      <c r="AY100" s="169"/>
      <c r="AZ100" s="169"/>
      <c r="BA100" s="278"/>
      <c r="BB100" s="169"/>
      <c r="BC100" s="278"/>
      <c r="BD100" s="278"/>
      <c r="BE100" s="278"/>
      <c r="BF100" s="278"/>
      <c r="BG100" s="278"/>
      <c r="BH100" s="278"/>
      <c r="BI100" s="278"/>
      <c r="BJ100" s="278"/>
      <c r="BK100" s="278"/>
      <c r="BL100" s="278"/>
      <c r="BM100" s="278"/>
      <c r="BN100" s="278"/>
      <c r="BO100" s="278"/>
      <c r="BP100" s="278"/>
      <c r="BQ100" s="278"/>
      <c r="BR100" s="278"/>
      <c r="BS100" s="278"/>
      <c r="BT100" s="278"/>
      <c r="BU100" s="278"/>
      <c r="BV100" s="278"/>
      <c r="BW100" s="278"/>
      <c r="BX100" s="278"/>
      <c r="BY100" s="278"/>
      <c r="BZ100" s="278"/>
      <c r="CA100" s="278"/>
      <c r="CB100" s="278"/>
      <c r="CC100" s="278"/>
      <c r="CD100" s="278"/>
      <c r="CE100" s="278"/>
      <c r="CH100" s="212"/>
      <c r="CL100" s="249"/>
    </row>
    <row r="101" spans="1:90" s="114" customFormat="1" ht="0.75" hidden="1" customHeight="1">
      <c r="A101" s="249"/>
      <c r="B101" s="299"/>
      <c r="C101" s="249"/>
      <c r="D101" s="286"/>
      <c r="E101" s="249"/>
      <c r="F101" s="249"/>
      <c r="G101" s="249"/>
      <c r="H101" s="249"/>
      <c r="I101" s="249"/>
      <c r="J101" s="249"/>
      <c r="K101" s="249"/>
      <c r="L101" s="249"/>
      <c r="M101" s="249"/>
      <c r="N101" s="249"/>
      <c r="O101" s="249"/>
      <c r="P101" s="249"/>
      <c r="Q101" s="249"/>
      <c r="R101" s="249"/>
      <c r="S101" s="249"/>
      <c r="T101" s="249"/>
      <c r="U101" s="249"/>
      <c r="V101" s="300"/>
      <c r="W101" s="300"/>
      <c r="X101" s="249"/>
      <c r="Y101" s="249"/>
      <c r="Z101" s="249"/>
      <c r="AA101" s="249"/>
      <c r="AB101" s="249"/>
      <c r="AC101" s="249"/>
      <c r="AD101" s="249"/>
      <c r="AE101" s="249"/>
      <c r="AF101" s="249"/>
      <c r="AG101" s="249"/>
      <c r="AH101" s="249"/>
      <c r="AI101" s="249"/>
      <c r="AJ101" s="249"/>
      <c r="AK101" s="249"/>
      <c r="AL101" s="249"/>
      <c r="AM101" s="249"/>
      <c r="AN101" s="249"/>
      <c r="AO101" s="249"/>
      <c r="AP101" s="249"/>
      <c r="AQ101" s="249"/>
      <c r="AR101" s="249"/>
      <c r="AS101" s="249"/>
      <c r="AT101" s="249"/>
      <c r="AU101" s="249"/>
      <c r="AV101" s="249"/>
      <c r="AW101" s="249"/>
      <c r="AX101" s="249"/>
      <c r="AY101" s="169"/>
      <c r="AZ101" s="169"/>
      <c r="BA101" s="278"/>
      <c r="BB101" s="169"/>
      <c r="BC101" s="278"/>
      <c r="BD101" s="278"/>
      <c r="BE101" s="278"/>
      <c r="BF101" s="278"/>
      <c r="BG101" s="278"/>
      <c r="BH101" s="278"/>
      <c r="BI101" s="278"/>
      <c r="BJ101" s="278"/>
      <c r="BK101" s="278"/>
      <c r="BL101" s="278"/>
      <c r="BM101" s="278"/>
      <c r="BN101" s="278"/>
      <c r="BO101" s="278"/>
      <c r="BP101" s="278"/>
      <c r="BQ101" s="278"/>
      <c r="BR101" s="278"/>
      <c r="BS101" s="278"/>
      <c r="BT101" s="278"/>
      <c r="BU101" s="278"/>
      <c r="BV101" s="278"/>
      <c r="BW101" s="278"/>
      <c r="BX101" s="278"/>
      <c r="BY101" s="278"/>
      <c r="BZ101" s="278"/>
      <c r="CA101" s="278"/>
      <c r="CB101" s="278"/>
      <c r="CC101" s="278"/>
      <c r="CD101" s="278"/>
      <c r="CE101" s="278"/>
      <c r="CH101" s="212"/>
      <c r="CL101" s="249"/>
    </row>
    <row r="102" spans="1:90" s="114" customFormat="1" ht="0.75" hidden="1" customHeight="1">
      <c r="A102" s="249"/>
      <c r="B102" s="299"/>
      <c r="C102" s="249"/>
      <c r="D102" s="286"/>
      <c r="E102" s="249"/>
      <c r="F102" s="249"/>
      <c r="G102" s="249"/>
      <c r="H102" s="249"/>
      <c r="I102" s="249"/>
      <c r="J102" s="249"/>
      <c r="K102" s="249"/>
      <c r="L102" s="249"/>
      <c r="M102" s="249"/>
      <c r="N102" s="249"/>
      <c r="O102" s="249"/>
      <c r="P102" s="249"/>
      <c r="Q102" s="249"/>
      <c r="R102" s="249"/>
      <c r="S102" s="249"/>
      <c r="T102" s="249"/>
      <c r="U102" s="249"/>
      <c r="V102" s="300"/>
      <c r="W102" s="300"/>
      <c r="X102" s="249"/>
      <c r="Y102" s="249"/>
      <c r="Z102" s="249"/>
      <c r="AA102" s="249"/>
      <c r="AB102" s="249"/>
      <c r="AC102" s="249"/>
      <c r="AD102" s="249"/>
      <c r="AE102" s="249"/>
      <c r="AF102" s="249"/>
      <c r="AG102" s="249"/>
      <c r="AH102" s="249"/>
      <c r="AI102" s="249"/>
      <c r="AJ102" s="249"/>
      <c r="AK102" s="249"/>
      <c r="AL102" s="249"/>
      <c r="AM102" s="249"/>
      <c r="AN102" s="249"/>
      <c r="AO102" s="249"/>
      <c r="AP102" s="249"/>
      <c r="AQ102" s="249"/>
      <c r="AR102" s="249"/>
      <c r="AS102" s="249"/>
      <c r="AT102" s="249"/>
      <c r="AU102" s="249"/>
      <c r="AV102" s="249"/>
      <c r="AW102" s="249"/>
      <c r="AX102" s="249"/>
      <c r="AY102" s="169"/>
      <c r="AZ102" s="169"/>
      <c r="BA102" s="278"/>
      <c r="BB102" s="169"/>
      <c r="BC102" s="278"/>
      <c r="BD102" s="278"/>
      <c r="BE102" s="278"/>
      <c r="BF102" s="278"/>
      <c r="BG102" s="278"/>
      <c r="BH102" s="278"/>
      <c r="BI102" s="278"/>
      <c r="BJ102" s="278"/>
      <c r="BK102" s="278"/>
      <c r="BL102" s="278"/>
      <c r="BM102" s="278"/>
      <c r="BN102" s="278"/>
      <c r="BO102" s="278"/>
      <c r="BP102" s="278"/>
      <c r="BQ102" s="278"/>
      <c r="BR102" s="278"/>
      <c r="BS102" s="278"/>
      <c r="BT102" s="278"/>
      <c r="BU102" s="278"/>
      <c r="BV102" s="278"/>
      <c r="BW102" s="278"/>
      <c r="BX102" s="278"/>
      <c r="BY102" s="278"/>
      <c r="BZ102" s="278"/>
      <c r="CA102" s="278"/>
      <c r="CB102" s="278"/>
      <c r="CC102" s="278"/>
      <c r="CD102" s="278"/>
      <c r="CE102" s="278"/>
      <c r="CH102" s="212"/>
      <c r="CL102" s="249"/>
    </row>
    <row r="103" spans="1:90" s="114" customFormat="1" ht="0.75" hidden="1" customHeight="1">
      <c r="A103" s="249"/>
      <c r="B103" s="299"/>
      <c r="C103" s="249"/>
      <c r="D103" s="286"/>
      <c r="E103" s="249"/>
      <c r="F103" s="249"/>
      <c r="G103" s="249"/>
      <c r="H103" s="249"/>
      <c r="I103" s="249"/>
      <c r="J103" s="249"/>
      <c r="K103" s="249"/>
      <c r="L103" s="249"/>
      <c r="M103" s="249"/>
      <c r="N103" s="249"/>
      <c r="O103" s="249"/>
      <c r="P103" s="249"/>
      <c r="Q103" s="249"/>
      <c r="R103" s="249"/>
      <c r="S103" s="249"/>
      <c r="T103" s="249"/>
      <c r="U103" s="249"/>
      <c r="V103" s="300"/>
      <c r="W103" s="300"/>
      <c r="X103" s="249"/>
      <c r="Y103" s="249"/>
      <c r="Z103" s="249"/>
      <c r="AA103" s="249"/>
      <c r="AB103" s="249"/>
      <c r="AC103" s="249"/>
      <c r="AD103" s="249"/>
      <c r="AE103" s="249"/>
      <c r="AF103" s="249"/>
      <c r="AG103" s="249"/>
      <c r="AH103" s="249"/>
      <c r="AI103" s="249"/>
      <c r="AJ103" s="249"/>
      <c r="AK103" s="249"/>
      <c r="AL103" s="249"/>
      <c r="AM103" s="249"/>
      <c r="AN103" s="249"/>
      <c r="AO103" s="249"/>
      <c r="AP103" s="249"/>
      <c r="AQ103" s="249"/>
      <c r="AR103" s="249"/>
      <c r="AS103" s="249"/>
      <c r="AT103" s="249"/>
      <c r="AU103" s="249"/>
      <c r="AV103" s="249"/>
      <c r="AW103" s="249"/>
      <c r="AX103" s="249"/>
      <c r="AY103" s="169"/>
      <c r="AZ103" s="169"/>
      <c r="BA103" s="278"/>
      <c r="BB103" s="169"/>
      <c r="BC103" s="278"/>
      <c r="BD103" s="278"/>
      <c r="BE103" s="278"/>
      <c r="BF103" s="278"/>
      <c r="BG103" s="278"/>
      <c r="BH103" s="278"/>
      <c r="BI103" s="278"/>
      <c r="BJ103" s="278"/>
      <c r="BK103" s="278"/>
      <c r="BL103" s="278"/>
      <c r="BM103" s="278"/>
      <c r="BN103" s="278"/>
      <c r="BO103" s="278"/>
      <c r="BP103" s="278"/>
      <c r="BQ103" s="278"/>
      <c r="BR103" s="278"/>
      <c r="BS103" s="278"/>
      <c r="BT103" s="278"/>
      <c r="BU103" s="278"/>
      <c r="BV103" s="278"/>
      <c r="BW103" s="278"/>
      <c r="BX103" s="278"/>
      <c r="BY103" s="278"/>
      <c r="BZ103" s="278"/>
      <c r="CA103" s="278"/>
      <c r="CB103" s="278"/>
      <c r="CC103" s="278"/>
      <c r="CD103" s="278"/>
      <c r="CE103" s="278"/>
      <c r="CH103" s="212"/>
      <c r="CL103" s="249"/>
    </row>
    <row r="104" spans="1:90" s="114" customFormat="1" ht="0.75" hidden="1" customHeight="1">
      <c r="A104" s="249"/>
      <c r="B104" s="299"/>
      <c r="C104" s="249"/>
      <c r="D104" s="286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300"/>
      <c r="W104" s="300"/>
      <c r="X104" s="249"/>
      <c r="Y104" s="249"/>
      <c r="Z104" s="249"/>
      <c r="AA104" s="249"/>
      <c r="AB104" s="249"/>
      <c r="AC104" s="249"/>
      <c r="AD104" s="249"/>
      <c r="AE104" s="249"/>
      <c r="AF104" s="249"/>
      <c r="AG104" s="249"/>
      <c r="AH104" s="249"/>
      <c r="AI104" s="249"/>
      <c r="AJ104" s="249"/>
      <c r="AK104" s="249"/>
      <c r="AL104" s="249"/>
      <c r="AM104" s="249"/>
      <c r="AN104" s="249"/>
      <c r="AO104" s="249"/>
      <c r="AP104" s="249"/>
      <c r="AQ104" s="249"/>
      <c r="AR104" s="249"/>
      <c r="AS104" s="249"/>
      <c r="AT104" s="249"/>
      <c r="AU104" s="249"/>
      <c r="AV104" s="249"/>
      <c r="AW104" s="249"/>
      <c r="AX104" s="249"/>
      <c r="AY104" s="169"/>
      <c r="AZ104" s="169"/>
      <c r="BA104" s="278"/>
      <c r="BB104" s="169"/>
      <c r="BC104" s="278"/>
      <c r="BD104" s="278"/>
      <c r="BE104" s="278"/>
      <c r="BF104" s="278"/>
      <c r="BG104" s="278"/>
      <c r="BH104" s="278"/>
      <c r="BI104" s="278"/>
      <c r="BJ104" s="278"/>
      <c r="BK104" s="278"/>
      <c r="BL104" s="278"/>
      <c r="BM104" s="278"/>
      <c r="BN104" s="278"/>
      <c r="BO104" s="278"/>
      <c r="BP104" s="278"/>
      <c r="BQ104" s="278"/>
      <c r="BR104" s="278"/>
      <c r="BS104" s="278"/>
      <c r="BT104" s="278"/>
      <c r="BU104" s="278"/>
      <c r="BV104" s="278"/>
      <c r="BW104" s="278"/>
      <c r="BX104" s="278"/>
      <c r="BY104" s="278"/>
      <c r="BZ104" s="278"/>
      <c r="CA104" s="278"/>
      <c r="CB104" s="278"/>
      <c r="CC104" s="278"/>
      <c r="CD104" s="278"/>
      <c r="CE104" s="278"/>
      <c r="CH104" s="212"/>
      <c r="CL104" s="249"/>
    </row>
    <row r="105" spans="1:90" s="114" customFormat="1" ht="0.75" hidden="1" customHeight="1">
      <c r="A105" s="249"/>
      <c r="B105" s="299"/>
      <c r="C105" s="249"/>
      <c r="D105" s="286"/>
      <c r="E105" s="249"/>
      <c r="F105" s="249"/>
      <c r="G105" s="249"/>
      <c r="H105" s="249"/>
      <c r="I105" s="249"/>
      <c r="J105" s="249"/>
      <c r="K105" s="249"/>
      <c r="L105" s="249"/>
      <c r="M105" s="249"/>
      <c r="N105" s="249"/>
      <c r="O105" s="249"/>
      <c r="P105" s="249"/>
      <c r="Q105" s="249"/>
      <c r="R105" s="249"/>
      <c r="S105" s="249"/>
      <c r="T105" s="249"/>
      <c r="U105" s="249"/>
      <c r="V105" s="300"/>
      <c r="W105" s="300"/>
      <c r="X105" s="249"/>
      <c r="Y105" s="249"/>
      <c r="Z105" s="249"/>
      <c r="AA105" s="249"/>
      <c r="AB105" s="249"/>
      <c r="AC105" s="249"/>
      <c r="AD105" s="249"/>
      <c r="AE105" s="249"/>
      <c r="AF105" s="249"/>
      <c r="AG105" s="249"/>
      <c r="AH105" s="249"/>
      <c r="AI105" s="249"/>
      <c r="AJ105" s="249"/>
      <c r="AK105" s="249"/>
      <c r="AL105" s="249"/>
      <c r="AM105" s="249"/>
      <c r="AN105" s="249"/>
      <c r="AO105" s="249"/>
      <c r="AP105" s="249"/>
      <c r="AQ105" s="249"/>
      <c r="AR105" s="249"/>
      <c r="AS105" s="249"/>
      <c r="AT105" s="249"/>
      <c r="AU105" s="249"/>
      <c r="AV105" s="249"/>
      <c r="AW105" s="249"/>
      <c r="AX105" s="249"/>
      <c r="AY105" s="169"/>
      <c r="AZ105" s="169"/>
      <c r="BA105" s="278"/>
      <c r="BB105" s="169"/>
      <c r="BC105" s="278"/>
      <c r="BD105" s="278"/>
      <c r="BE105" s="278"/>
      <c r="BF105" s="278"/>
      <c r="BG105" s="278"/>
      <c r="BH105" s="278"/>
      <c r="BI105" s="278"/>
      <c r="BJ105" s="278"/>
      <c r="BK105" s="278"/>
      <c r="BL105" s="278"/>
      <c r="BM105" s="278"/>
      <c r="BN105" s="278"/>
      <c r="BO105" s="278"/>
      <c r="BP105" s="278"/>
      <c r="BQ105" s="278"/>
      <c r="BR105" s="278"/>
      <c r="BS105" s="278"/>
      <c r="BT105" s="278"/>
      <c r="BU105" s="278"/>
      <c r="BV105" s="278"/>
      <c r="BW105" s="278"/>
      <c r="BX105" s="278"/>
      <c r="BY105" s="278"/>
      <c r="BZ105" s="278"/>
      <c r="CA105" s="278"/>
      <c r="CB105" s="278"/>
      <c r="CC105" s="278"/>
      <c r="CD105" s="278"/>
      <c r="CE105" s="278"/>
      <c r="CH105" s="212"/>
      <c r="CL105" s="249"/>
    </row>
    <row r="106" spans="1:90" s="114" customFormat="1" ht="0.75" hidden="1" customHeight="1">
      <c r="A106" s="249"/>
      <c r="B106" s="299"/>
      <c r="C106" s="249"/>
      <c r="D106" s="286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300"/>
      <c r="W106" s="300"/>
      <c r="X106" s="249"/>
      <c r="Y106" s="249"/>
      <c r="Z106" s="249"/>
      <c r="AA106" s="249"/>
      <c r="AB106" s="249"/>
      <c r="AC106" s="249"/>
      <c r="AD106" s="249"/>
      <c r="AE106" s="249"/>
      <c r="AF106" s="249"/>
      <c r="AG106" s="249"/>
      <c r="AH106" s="249"/>
      <c r="AI106" s="249"/>
      <c r="AJ106" s="249"/>
      <c r="AK106" s="249"/>
      <c r="AL106" s="249"/>
      <c r="AM106" s="249"/>
      <c r="AN106" s="249"/>
      <c r="AO106" s="249"/>
      <c r="AP106" s="249"/>
      <c r="AQ106" s="249"/>
      <c r="AR106" s="249"/>
      <c r="AS106" s="249"/>
      <c r="AT106" s="249"/>
      <c r="AU106" s="249"/>
      <c r="AV106" s="249"/>
      <c r="AW106" s="249"/>
      <c r="AX106" s="249"/>
      <c r="AY106" s="169"/>
      <c r="AZ106" s="169"/>
      <c r="BA106" s="278"/>
      <c r="BB106" s="169"/>
      <c r="BC106" s="278"/>
      <c r="BD106" s="278"/>
      <c r="BE106" s="278"/>
      <c r="BF106" s="278"/>
      <c r="BG106" s="278"/>
      <c r="BH106" s="278"/>
      <c r="BI106" s="278"/>
      <c r="BJ106" s="278"/>
      <c r="BK106" s="278"/>
      <c r="BL106" s="278"/>
      <c r="BM106" s="278"/>
      <c r="BN106" s="278"/>
      <c r="BO106" s="278"/>
      <c r="BP106" s="278"/>
      <c r="BQ106" s="278"/>
      <c r="BR106" s="278"/>
      <c r="BS106" s="278"/>
      <c r="BT106" s="278"/>
      <c r="BU106" s="278"/>
      <c r="BV106" s="278"/>
      <c r="BW106" s="278"/>
      <c r="BX106" s="278"/>
      <c r="BY106" s="278"/>
      <c r="BZ106" s="278"/>
      <c r="CA106" s="278"/>
      <c r="CB106" s="278"/>
      <c r="CC106" s="278"/>
      <c r="CD106" s="278"/>
      <c r="CE106" s="278"/>
      <c r="CH106" s="212"/>
      <c r="CL106" s="249"/>
    </row>
    <row r="107" spans="1:90" s="114" customFormat="1" ht="0.75" hidden="1" customHeight="1">
      <c r="A107" s="249"/>
      <c r="B107" s="299"/>
      <c r="C107" s="249"/>
      <c r="D107" s="286"/>
      <c r="E107" s="249"/>
      <c r="F107" s="249"/>
      <c r="G107" s="249"/>
      <c r="H107" s="249"/>
      <c r="I107" s="249"/>
      <c r="J107" s="249"/>
      <c r="K107" s="249"/>
      <c r="L107" s="249"/>
      <c r="M107" s="249"/>
      <c r="N107" s="249"/>
      <c r="O107" s="249"/>
      <c r="P107" s="249"/>
      <c r="Q107" s="249"/>
      <c r="R107" s="249"/>
      <c r="S107" s="249"/>
      <c r="T107" s="249"/>
      <c r="U107" s="249"/>
      <c r="V107" s="300"/>
      <c r="W107" s="300"/>
      <c r="X107" s="249"/>
      <c r="Y107" s="249"/>
      <c r="Z107" s="249"/>
      <c r="AA107" s="249"/>
      <c r="AB107" s="249"/>
      <c r="AC107" s="249"/>
      <c r="AD107" s="249"/>
      <c r="AE107" s="249"/>
      <c r="AF107" s="249"/>
      <c r="AG107" s="249"/>
      <c r="AH107" s="249"/>
      <c r="AI107" s="249"/>
      <c r="AJ107" s="249"/>
      <c r="AK107" s="249"/>
      <c r="AL107" s="249"/>
      <c r="AM107" s="249"/>
      <c r="AN107" s="249"/>
      <c r="AO107" s="249"/>
      <c r="AP107" s="249"/>
      <c r="AQ107" s="249"/>
      <c r="AR107" s="249"/>
      <c r="AS107" s="249"/>
      <c r="AT107" s="249"/>
      <c r="AU107" s="249"/>
      <c r="AV107" s="249"/>
      <c r="AW107" s="249"/>
      <c r="AX107" s="249"/>
      <c r="AY107" s="169"/>
      <c r="AZ107" s="169"/>
      <c r="BA107" s="278"/>
      <c r="BB107" s="169"/>
      <c r="BC107" s="278"/>
      <c r="BD107" s="278"/>
      <c r="BE107" s="278"/>
      <c r="BF107" s="278"/>
      <c r="BG107" s="278"/>
      <c r="BH107" s="278"/>
      <c r="BI107" s="278"/>
      <c r="BJ107" s="278"/>
      <c r="BK107" s="278"/>
      <c r="BL107" s="278"/>
      <c r="BM107" s="278"/>
      <c r="BN107" s="278"/>
      <c r="BO107" s="278"/>
      <c r="BP107" s="278"/>
      <c r="BQ107" s="278"/>
      <c r="BR107" s="278"/>
      <c r="BS107" s="278"/>
      <c r="BT107" s="278"/>
      <c r="BU107" s="278"/>
      <c r="BV107" s="278"/>
      <c r="BW107" s="278"/>
      <c r="BX107" s="278"/>
      <c r="BY107" s="278"/>
      <c r="BZ107" s="278"/>
      <c r="CA107" s="278"/>
      <c r="CB107" s="278"/>
      <c r="CC107" s="278"/>
      <c r="CD107" s="278"/>
      <c r="CE107" s="278"/>
      <c r="CH107" s="212"/>
      <c r="CL107" s="249"/>
    </row>
    <row r="108" spans="1:90" s="114" customFormat="1" ht="0.75" hidden="1" customHeight="1">
      <c r="A108" s="249"/>
      <c r="B108" s="299"/>
      <c r="C108" s="249"/>
      <c r="D108" s="286"/>
      <c r="E108" s="249"/>
      <c r="F108" s="249"/>
      <c r="G108" s="249"/>
      <c r="H108" s="249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49"/>
      <c r="T108" s="249"/>
      <c r="U108" s="249"/>
      <c r="V108" s="300"/>
      <c r="W108" s="300"/>
      <c r="X108" s="249"/>
      <c r="Y108" s="249"/>
      <c r="Z108" s="249"/>
      <c r="AA108" s="249"/>
      <c r="AB108" s="249"/>
      <c r="AC108" s="249"/>
      <c r="AD108" s="249"/>
      <c r="AE108" s="249"/>
      <c r="AF108" s="249"/>
      <c r="AG108" s="249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  <c r="AS108" s="249"/>
      <c r="AT108" s="249"/>
      <c r="AU108" s="249"/>
      <c r="AV108" s="249"/>
      <c r="AW108" s="249"/>
      <c r="AX108" s="249"/>
      <c r="AY108" s="169"/>
      <c r="AZ108" s="169"/>
      <c r="BA108" s="278"/>
      <c r="BB108" s="169"/>
      <c r="BC108" s="278"/>
      <c r="BD108" s="278"/>
      <c r="BE108" s="278"/>
      <c r="BF108" s="278"/>
      <c r="BG108" s="278"/>
      <c r="BH108" s="278"/>
      <c r="BI108" s="278"/>
      <c r="BJ108" s="278"/>
      <c r="BK108" s="278"/>
      <c r="BL108" s="278"/>
      <c r="BM108" s="278"/>
      <c r="BN108" s="278"/>
      <c r="BO108" s="278"/>
      <c r="BP108" s="278"/>
      <c r="BQ108" s="278"/>
      <c r="BR108" s="278"/>
      <c r="BS108" s="278"/>
      <c r="BT108" s="278"/>
      <c r="BU108" s="278"/>
      <c r="BV108" s="278"/>
      <c r="BW108" s="278"/>
      <c r="BX108" s="278"/>
      <c r="BY108" s="278"/>
      <c r="BZ108" s="278"/>
      <c r="CA108" s="278"/>
      <c r="CB108" s="278"/>
      <c r="CC108" s="278"/>
      <c r="CD108" s="278"/>
      <c r="CE108" s="278"/>
      <c r="CH108" s="212"/>
      <c r="CL108" s="249"/>
    </row>
    <row r="109" spans="1:90" s="114" customFormat="1" ht="0.75" hidden="1" customHeight="1">
      <c r="A109" s="249"/>
      <c r="B109" s="299"/>
      <c r="C109" s="249"/>
      <c r="D109" s="286"/>
      <c r="E109" s="249"/>
      <c r="F109" s="249"/>
      <c r="G109" s="249"/>
      <c r="H109" s="249"/>
      <c r="I109" s="249"/>
      <c r="J109" s="249"/>
      <c r="K109" s="249"/>
      <c r="L109" s="249"/>
      <c r="M109" s="249"/>
      <c r="N109" s="249"/>
      <c r="O109" s="249"/>
      <c r="P109" s="249"/>
      <c r="Q109" s="249"/>
      <c r="R109" s="249"/>
      <c r="S109" s="249"/>
      <c r="T109" s="249"/>
      <c r="U109" s="249"/>
      <c r="V109" s="300"/>
      <c r="W109" s="300"/>
      <c r="X109" s="249"/>
      <c r="Y109" s="249"/>
      <c r="Z109" s="249"/>
      <c r="AA109" s="249"/>
      <c r="AB109" s="249"/>
      <c r="AC109" s="249"/>
      <c r="AD109" s="249"/>
      <c r="AE109" s="249"/>
      <c r="AF109" s="249"/>
      <c r="AG109" s="249"/>
      <c r="AH109" s="249"/>
      <c r="AI109" s="249"/>
      <c r="AJ109" s="249"/>
      <c r="AK109" s="249"/>
      <c r="AL109" s="249"/>
      <c r="AM109" s="249"/>
      <c r="AN109" s="249"/>
      <c r="AO109" s="249"/>
      <c r="AP109" s="249"/>
      <c r="AQ109" s="249"/>
      <c r="AR109" s="249"/>
      <c r="AS109" s="249"/>
      <c r="AT109" s="249"/>
      <c r="AU109" s="249"/>
      <c r="AV109" s="249"/>
      <c r="AW109" s="249"/>
      <c r="AX109" s="249"/>
      <c r="AY109" s="169"/>
      <c r="AZ109" s="169"/>
      <c r="BA109" s="278"/>
      <c r="BB109" s="169"/>
      <c r="BC109" s="278"/>
      <c r="BD109" s="278"/>
      <c r="BE109" s="278"/>
      <c r="BF109" s="278"/>
      <c r="BG109" s="278"/>
      <c r="BH109" s="278"/>
      <c r="BI109" s="278"/>
      <c r="BJ109" s="278"/>
      <c r="BK109" s="278"/>
      <c r="BL109" s="278"/>
      <c r="BM109" s="278"/>
      <c r="BN109" s="278"/>
      <c r="BO109" s="278"/>
      <c r="BP109" s="278"/>
      <c r="BQ109" s="278"/>
      <c r="BR109" s="278"/>
      <c r="BS109" s="278"/>
      <c r="BT109" s="278"/>
      <c r="BU109" s="278"/>
      <c r="BV109" s="278"/>
      <c r="BW109" s="278"/>
      <c r="BX109" s="278"/>
      <c r="BY109" s="278"/>
      <c r="BZ109" s="278"/>
      <c r="CA109" s="278"/>
      <c r="CB109" s="278"/>
      <c r="CC109" s="278"/>
      <c r="CD109" s="278"/>
      <c r="CE109" s="278"/>
      <c r="CH109" s="212"/>
      <c r="CL109" s="249"/>
    </row>
    <row r="110" spans="1:90" s="114" customFormat="1" ht="0.75" hidden="1" customHeight="1">
      <c r="A110" s="249"/>
      <c r="B110" s="299"/>
      <c r="C110" s="249"/>
      <c r="D110" s="286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300"/>
      <c r="W110" s="300"/>
      <c r="X110" s="249"/>
      <c r="Y110" s="249"/>
      <c r="Z110" s="249"/>
      <c r="AA110" s="249"/>
      <c r="AB110" s="249"/>
      <c r="AC110" s="249"/>
      <c r="AD110" s="249"/>
      <c r="AE110" s="249"/>
      <c r="AF110" s="249"/>
      <c r="AG110" s="249"/>
      <c r="AH110" s="249"/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249"/>
      <c r="AU110" s="249"/>
      <c r="AV110" s="249"/>
      <c r="AW110" s="249"/>
      <c r="AX110" s="249"/>
      <c r="AY110" s="169"/>
      <c r="AZ110" s="169"/>
      <c r="BA110" s="278"/>
      <c r="BB110" s="169"/>
      <c r="BC110" s="278"/>
      <c r="BD110" s="278"/>
      <c r="BE110" s="278"/>
      <c r="BF110" s="278"/>
      <c r="BG110" s="278"/>
      <c r="BH110" s="278"/>
      <c r="BI110" s="278"/>
      <c r="BJ110" s="278"/>
      <c r="BK110" s="278"/>
      <c r="BL110" s="278"/>
      <c r="BM110" s="278"/>
      <c r="BN110" s="278"/>
      <c r="BO110" s="278"/>
      <c r="BP110" s="278"/>
      <c r="BQ110" s="278"/>
      <c r="BR110" s="278"/>
      <c r="BS110" s="278"/>
      <c r="BT110" s="278"/>
      <c r="BU110" s="278"/>
      <c r="BV110" s="278"/>
      <c r="BW110" s="278"/>
      <c r="BX110" s="278"/>
      <c r="BY110" s="278"/>
      <c r="BZ110" s="278"/>
      <c r="CA110" s="278"/>
      <c r="CB110" s="278"/>
      <c r="CC110" s="278"/>
      <c r="CD110" s="278"/>
      <c r="CE110" s="278"/>
      <c r="CH110" s="212"/>
      <c r="CL110" s="249"/>
    </row>
    <row r="111" spans="1:90" s="114" customFormat="1" ht="0.75" hidden="1" customHeight="1">
      <c r="A111" s="249"/>
      <c r="B111" s="299"/>
      <c r="C111" s="249"/>
      <c r="D111" s="286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  <c r="O111" s="249"/>
      <c r="P111" s="249"/>
      <c r="Q111" s="249"/>
      <c r="R111" s="249"/>
      <c r="S111" s="249"/>
      <c r="T111" s="249"/>
      <c r="U111" s="249"/>
      <c r="V111" s="300"/>
      <c r="W111" s="300"/>
      <c r="X111" s="249"/>
      <c r="Y111" s="249"/>
      <c r="Z111" s="249"/>
      <c r="AA111" s="249"/>
      <c r="AB111" s="249"/>
      <c r="AC111" s="249"/>
      <c r="AD111" s="249"/>
      <c r="AE111" s="249"/>
      <c r="AF111" s="249"/>
      <c r="AG111" s="249"/>
      <c r="AH111" s="249"/>
      <c r="AI111" s="249"/>
      <c r="AJ111" s="249"/>
      <c r="AK111" s="249"/>
      <c r="AL111" s="249"/>
      <c r="AM111" s="249"/>
      <c r="AN111" s="249"/>
      <c r="AO111" s="249"/>
      <c r="AP111" s="249"/>
      <c r="AQ111" s="249"/>
      <c r="AR111" s="249"/>
      <c r="AS111" s="249"/>
      <c r="AT111" s="249"/>
      <c r="AU111" s="249"/>
      <c r="AV111" s="249"/>
      <c r="AW111" s="249"/>
      <c r="AX111" s="249"/>
      <c r="AY111" s="169"/>
      <c r="AZ111" s="169"/>
      <c r="BA111" s="278"/>
      <c r="BB111" s="169"/>
      <c r="BC111" s="278"/>
      <c r="BD111" s="278"/>
      <c r="BE111" s="278"/>
      <c r="BF111" s="278"/>
      <c r="BG111" s="278"/>
      <c r="BH111" s="278"/>
      <c r="BI111" s="278"/>
      <c r="BJ111" s="278"/>
      <c r="BK111" s="278"/>
      <c r="BL111" s="278"/>
      <c r="BM111" s="278"/>
      <c r="BN111" s="278"/>
      <c r="BO111" s="278"/>
      <c r="BP111" s="278"/>
      <c r="BQ111" s="278"/>
      <c r="BR111" s="278"/>
      <c r="BS111" s="278"/>
      <c r="BT111" s="278"/>
      <c r="BU111" s="278"/>
      <c r="BV111" s="278"/>
      <c r="BW111" s="278"/>
      <c r="BX111" s="278"/>
      <c r="BY111" s="278"/>
      <c r="BZ111" s="278"/>
      <c r="CA111" s="278"/>
      <c r="CB111" s="278"/>
      <c r="CC111" s="278"/>
      <c r="CD111" s="278"/>
      <c r="CE111" s="278"/>
      <c r="CH111" s="212"/>
      <c r="CL111" s="249"/>
    </row>
    <row r="112" spans="1:90" s="114" customFormat="1" ht="0.75" hidden="1" customHeight="1">
      <c r="A112" s="249"/>
      <c r="B112" s="299"/>
      <c r="C112" s="249"/>
      <c r="D112" s="286"/>
      <c r="E112" s="249"/>
      <c r="F112" s="249"/>
      <c r="G112" s="249"/>
      <c r="H112" s="249"/>
      <c r="I112" s="249"/>
      <c r="J112" s="249"/>
      <c r="K112" s="249"/>
      <c r="L112" s="249"/>
      <c r="M112" s="249"/>
      <c r="N112" s="249"/>
      <c r="O112" s="249"/>
      <c r="P112" s="249"/>
      <c r="Q112" s="249"/>
      <c r="R112" s="249"/>
      <c r="S112" s="249"/>
      <c r="T112" s="249"/>
      <c r="U112" s="249"/>
      <c r="V112" s="300"/>
      <c r="W112" s="300"/>
      <c r="X112" s="249"/>
      <c r="Y112" s="249"/>
      <c r="Z112" s="249"/>
      <c r="AA112" s="249"/>
      <c r="AB112" s="249"/>
      <c r="AC112" s="249"/>
      <c r="AD112" s="249"/>
      <c r="AE112" s="249"/>
      <c r="AF112" s="249"/>
      <c r="AG112" s="249"/>
      <c r="AH112" s="249"/>
      <c r="AI112" s="249"/>
      <c r="AJ112" s="249"/>
      <c r="AK112" s="249"/>
      <c r="AL112" s="249"/>
      <c r="AM112" s="249"/>
      <c r="AN112" s="249"/>
      <c r="AO112" s="249"/>
      <c r="AP112" s="249"/>
      <c r="AQ112" s="249"/>
      <c r="AR112" s="249"/>
      <c r="AS112" s="249"/>
      <c r="AT112" s="249"/>
      <c r="AU112" s="249"/>
      <c r="AV112" s="249"/>
      <c r="AW112" s="249"/>
      <c r="AX112" s="249"/>
      <c r="AY112" s="169"/>
      <c r="AZ112" s="169"/>
      <c r="BA112" s="278"/>
      <c r="BB112" s="169"/>
      <c r="BC112" s="278"/>
      <c r="BD112" s="278"/>
      <c r="BE112" s="278"/>
      <c r="BF112" s="278"/>
      <c r="BG112" s="278"/>
      <c r="BH112" s="278"/>
      <c r="BI112" s="278"/>
      <c r="BJ112" s="278"/>
      <c r="BK112" s="278"/>
      <c r="BL112" s="278"/>
      <c r="BM112" s="278"/>
      <c r="BN112" s="278"/>
      <c r="BO112" s="278"/>
      <c r="BP112" s="278"/>
      <c r="BQ112" s="278"/>
      <c r="BR112" s="278"/>
      <c r="BS112" s="278"/>
      <c r="BT112" s="278"/>
      <c r="BU112" s="278"/>
      <c r="BV112" s="278"/>
      <c r="BW112" s="278"/>
      <c r="BX112" s="278"/>
      <c r="BY112" s="278"/>
      <c r="BZ112" s="278"/>
      <c r="CA112" s="278"/>
      <c r="CB112" s="278"/>
      <c r="CC112" s="278"/>
      <c r="CD112" s="278"/>
      <c r="CE112" s="278"/>
      <c r="CH112" s="212"/>
      <c r="CL112" s="249"/>
    </row>
    <row r="113" spans="1:90" s="114" customFormat="1" ht="0.75" hidden="1" customHeight="1">
      <c r="A113" s="249"/>
      <c r="B113" s="299"/>
      <c r="C113" s="249"/>
      <c r="D113" s="286"/>
      <c r="E113" s="249"/>
      <c r="F113" s="249"/>
      <c r="G113" s="249"/>
      <c r="H113" s="249"/>
      <c r="I113" s="249"/>
      <c r="J113" s="249"/>
      <c r="K113" s="249"/>
      <c r="L113" s="249"/>
      <c r="M113" s="249"/>
      <c r="N113" s="249"/>
      <c r="O113" s="249"/>
      <c r="P113" s="249"/>
      <c r="Q113" s="249"/>
      <c r="R113" s="249"/>
      <c r="S113" s="249"/>
      <c r="T113" s="249"/>
      <c r="U113" s="249"/>
      <c r="V113" s="300"/>
      <c r="W113" s="300"/>
      <c r="X113" s="249"/>
      <c r="Y113" s="249"/>
      <c r="Z113" s="249"/>
      <c r="AA113" s="249"/>
      <c r="AB113" s="249"/>
      <c r="AC113" s="249"/>
      <c r="AD113" s="249"/>
      <c r="AE113" s="249"/>
      <c r="AF113" s="249"/>
      <c r="AG113" s="249"/>
      <c r="AH113" s="249"/>
      <c r="AI113" s="249"/>
      <c r="AJ113" s="249"/>
      <c r="AK113" s="249"/>
      <c r="AL113" s="249"/>
      <c r="AM113" s="249"/>
      <c r="AN113" s="249"/>
      <c r="AO113" s="249"/>
      <c r="AP113" s="249"/>
      <c r="AQ113" s="249"/>
      <c r="AR113" s="249"/>
      <c r="AS113" s="249"/>
      <c r="AT113" s="249"/>
      <c r="AU113" s="249"/>
      <c r="AV113" s="249"/>
      <c r="AW113" s="249"/>
      <c r="AX113" s="249"/>
      <c r="AY113" s="169"/>
      <c r="AZ113" s="169"/>
      <c r="BA113" s="278"/>
      <c r="BB113" s="169"/>
      <c r="BC113" s="278"/>
      <c r="BD113" s="278"/>
      <c r="BE113" s="278"/>
      <c r="BF113" s="278"/>
      <c r="BG113" s="278"/>
      <c r="BH113" s="278"/>
      <c r="BI113" s="278"/>
      <c r="BJ113" s="278"/>
      <c r="BK113" s="278"/>
      <c r="BL113" s="278"/>
      <c r="BM113" s="278"/>
      <c r="BN113" s="278"/>
      <c r="BO113" s="278"/>
      <c r="BP113" s="278"/>
      <c r="BQ113" s="278"/>
      <c r="BR113" s="278"/>
      <c r="BS113" s="278"/>
      <c r="BT113" s="278"/>
      <c r="BU113" s="278"/>
      <c r="BV113" s="278"/>
      <c r="BW113" s="278"/>
      <c r="BX113" s="278"/>
      <c r="BY113" s="278"/>
      <c r="BZ113" s="278"/>
      <c r="CA113" s="278"/>
      <c r="CB113" s="278"/>
      <c r="CC113" s="278"/>
      <c r="CD113" s="278"/>
      <c r="CE113" s="278"/>
      <c r="CH113" s="212"/>
      <c r="CL113" s="249"/>
    </row>
    <row r="114" spans="1:90" s="114" customFormat="1" ht="0.75" hidden="1" customHeight="1">
      <c r="A114" s="249"/>
      <c r="B114" s="299"/>
      <c r="C114" s="249"/>
      <c r="D114" s="286"/>
      <c r="E114" s="249"/>
      <c r="F114" s="249"/>
      <c r="G114" s="249"/>
      <c r="H114" s="249"/>
      <c r="I114" s="249"/>
      <c r="J114" s="249"/>
      <c r="K114" s="249"/>
      <c r="L114" s="249"/>
      <c r="M114" s="249"/>
      <c r="N114" s="249"/>
      <c r="O114" s="249"/>
      <c r="P114" s="249"/>
      <c r="Q114" s="249"/>
      <c r="R114" s="249"/>
      <c r="S114" s="249"/>
      <c r="T114" s="249"/>
      <c r="U114" s="249"/>
      <c r="V114" s="300"/>
      <c r="W114" s="300"/>
      <c r="X114" s="249"/>
      <c r="Y114" s="249"/>
      <c r="Z114" s="249"/>
      <c r="AA114" s="249"/>
      <c r="AB114" s="249"/>
      <c r="AC114" s="249"/>
      <c r="AD114" s="249"/>
      <c r="AE114" s="249"/>
      <c r="AF114" s="249"/>
      <c r="AG114" s="249"/>
      <c r="AH114" s="249"/>
      <c r="AI114" s="249"/>
      <c r="AJ114" s="249"/>
      <c r="AK114" s="249"/>
      <c r="AL114" s="249"/>
      <c r="AM114" s="249"/>
      <c r="AN114" s="249"/>
      <c r="AO114" s="249"/>
      <c r="AP114" s="249"/>
      <c r="AQ114" s="249"/>
      <c r="AR114" s="249"/>
      <c r="AS114" s="249"/>
      <c r="AT114" s="249"/>
      <c r="AU114" s="249"/>
      <c r="AV114" s="249"/>
      <c r="AW114" s="249"/>
      <c r="AX114" s="249"/>
      <c r="AY114" s="169"/>
      <c r="AZ114" s="169"/>
      <c r="BA114" s="278"/>
      <c r="BB114" s="169"/>
      <c r="BC114" s="278"/>
      <c r="BD114" s="278"/>
      <c r="BE114" s="278"/>
      <c r="BF114" s="278"/>
      <c r="BG114" s="278"/>
      <c r="BH114" s="278"/>
      <c r="BI114" s="278"/>
      <c r="BJ114" s="278"/>
      <c r="BK114" s="278"/>
      <c r="BL114" s="278"/>
      <c r="BM114" s="278"/>
      <c r="BN114" s="278"/>
      <c r="BO114" s="278"/>
      <c r="BP114" s="278"/>
      <c r="BQ114" s="278"/>
      <c r="BR114" s="278"/>
      <c r="BS114" s="278"/>
      <c r="BT114" s="278"/>
      <c r="BU114" s="278"/>
      <c r="BV114" s="278"/>
      <c r="BW114" s="278"/>
      <c r="BX114" s="278"/>
      <c r="BY114" s="278"/>
      <c r="BZ114" s="278"/>
      <c r="CA114" s="278"/>
      <c r="CB114" s="278"/>
      <c r="CC114" s="278"/>
      <c r="CD114" s="278"/>
      <c r="CE114" s="278"/>
      <c r="CH114" s="212"/>
      <c r="CL114" s="249"/>
    </row>
    <row r="115" spans="1:90" s="114" customFormat="1" ht="0.75" hidden="1" customHeight="1">
      <c r="A115" s="249"/>
      <c r="B115" s="299"/>
      <c r="C115" s="249"/>
      <c r="D115" s="286"/>
      <c r="E115" s="249"/>
      <c r="F115" s="249"/>
      <c r="G115" s="249"/>
      <c r="H115" s="249"/>
      <c r="I115" s="249"/>
      <c r="J115" s="249"/>
      <c r="K115" s="249"/>
      <c r="L115" s="249"/>
      <c r="M115" s="249"/>
      <c r="N115" s="249"/>
      <c r="O115" s="249"/>
      <c r="P115" s="249"/>
      <c r="Q115" s="249"/>
      <c r="R115" s="249"/>
      <c r="S115" s="249"/>
      <c r="T115" s="249"/>
      <c r="U115" s="249"/>
      <c r="V115" s="300"/>
      <c r="W115" s="300"/>
      <c r="X115" s="249"/>
      <c r="Y115" s="249"/>
      <c r="Z115" s="249"/>
      <c r="AA115" s="249"/>
      <c r="AB115" s="249"/>
      <c r="AC115" s="249"/>
      <c r="AD115" s="249"/>
      <c r="AE115" s="249"/>
      <c r="AF115" s="249"/>
      <c r="AG115" s="249"/>
      <c r="AH115" s="249"/>
      <c r="AI115" s="249"/>
      <c r="AJ115" s="249"/>
      <c r="AK115" s="249"/>
      <c r="AL115" s="249"/>
      <c r="AM115" s="249"/>
      <c r="AN115" s="249"/>
      <c r="AO115" s="249"/>
      <c r="AP115" s="249"/>
      <c r="AQ115" s="249"/>
      <c r="AR115" s="249"/>
      <c r="AS115" s="249"/>
      <c r="AT115" s="249"/>
      <c r="AU115" s="249"/>
      <c r="AV115" s="249"/>
      <c r="AW115" s="249"/>
      <c r="AX115" s="249"/>
      <c r="AY115" s="169"/>
      <c r="AZ115" s="169"/>
      <c r="BA115" s="278"/>
      <c r="BB115" s="169"/>
      <c r="BC115" s="278"/>
      <c r="BD115" s="278"/>
      <c r="BE115" s="278"/>
      <c r="BF115" s="278"/>
      <c r="BG115" s="278"/>
      <c r="BH115" s="278"/>
      <c r="BI115" s="278"/>
      <c r="BJ115" s="278"/>
      <c r="BK115" s="278"/>
      <c r="BL115" s="278"/>
      <c r="BM115" s="278"/>
      <c r="BN115" s="278"/>
      <c r="BO115" s="278"/>
      <c r="BP115" s="278"/>
      <c r="BQ115" s="278"/>
      <c r="BR115" s="278"/>
      <c r="BS115" s="278"/>
      <c r="BT115" s="278"/>
      <c r="BU115" s="278"/>
      <c r="BV115" s="278"/>
      <c r="BW115" s="278"/>
      <c r="BX115" s="278"/>
      <c r="BY115" s="278"/>
      <c r="BZ115" s="278"/>
      <c r="CA115" s="278"/>
      <c r="CB115" s="278"/>
      <c r="CC115" s="278"/>
      <c r="CD115" s="278"/>
      <c r="CE115" s="278"/>
      <c r="CH115" s="212"/>
      <c r="CL115" s="249"/>
    </row>
    <row r="116" spans="1:90" s="114" customFormat="1" ht="0.75" hidden="1" customHeight="1">
      <c r="A116" s="249"/>
      <c r="B116" s="299"/>
      <c r="C116" s="249"/>
      <c r="D116" s="286"/>
      <c r="E116" s="249"/>
      <c r="F116" s="249"/>
      <c r="G116" s="249"/>
      <c r="H116" s="249"/>
      <c r="I116" s="249"/>
      <c r="J116" s="249"/>
      <c r="K116" s="249"/>
      <c r="L116" s="249"/>
      <c r="M116" s="249"/>
      <c r="N116" s="249"/>
      <c r="O116" s="249"/>
      <c r="P116" s="249"/>
      <c r="Q116" s="249"/>
      <c r="R116" s="249"/>
      <c r="S116" s="249"/>
      <c r="T116" s="249"/>
      <c r="U116" s="249"/>
      <c r="V116" s="300"/>
      <c r="W116" s="300"/>
      <c r="X116" s="249"/>
      <c r="Y116" s="249"/>
      <c r="Z116" s="249"/>
      <c r="AA116" s="249"/>
      <c r="AB116" s="249"/>
      <c r="AC116" s="249"/>
      <c r="AD116" s="249"/>
      <c r="AE116" s="249"/>
      <c r="AF116" s="249"/>
      <c r="AG116" s="249"/>
      <c r="AH116" s="249"/>
      <c r="AI116" s="249"/>
      <c r="AJ116" s="249"/>
      <c r="AK116" s="249"/>
      <c r="AL116" s="249"/>
      <c r="AM116" s="249"/>
      <c r="AN116" s="249"/>
      <c r="AO116" s="249"/>
      <c r="AP116" s="249"/>
      <c r="AQ116" s="249"/>
      <c r="AR116" s="249"/>
      <c r="AS116" s="249"/>
      <c r="AT116" s="249"/>
      <c r="AU116" s="249"/>
      <c r="AV116" s="249"/>
      <c r="AW116" s="249"/>
      <c r="AX116" s="249"/>
      <c r="AY116" s="169"/>
      <c r="AZ116" s="169"/>
      <c r="BA116" s="278"/>
      <c r="BB116" s="169"/>
      <c r="BC116" s="278"/>
      <c r="BD116" s="278"/>
      <c r="BE116" s="278"/>
      <c r="BF116" s="278"/>
      <c r="BG116" s="278"/>
      <c r="BH116" s="278"/>
      <c r="BI116" s="278"/>
      <c r="BJ116" s="278"/>
      <c r="BK116" s="278"/>
      <c r="BL116" s="278"/>
      <c r="BM116" s="278"/>
      <c r="BN116" s="278"/>
      <c r="BO116" s="278"/>
      <c r="BP116" s="278"/>
      <c r="BQ116" s="278"/>
      <c r="BR116" s="278"/>
      <c r="BS116" s="278"/>
      <c r="BT116" s="278"/>
      <c r="BU116" s="278"/>
      <c r="BV116" s="278"/>
      <c r="BW116" s="278"/>
      <c r="BX116" s="278"/>
      <c r="BY116" s="278"/>
      <c r="BZ116" s="278"/>
      <c r="CA116" s="278"/>
      <c r="CB116" s="278"/>
      <c r="CC116" s="278"/>
      <c r="CD116" s="278"/>
      <c r="CE116" s="278"/>
      <c r="CH116" s="212"/>
      <c r="CL116" s="249"/>
    </row>
    <row r="117" spans="1:90" s="114" customFormat="1" ht="12" hidden="1" customHeight="1">
      <c r="A117" s="249"/>
      <c r="B117" s="299"/>
      <c r="C117" s="249"/>
      <c r="D117" s="286"/>
      <c r="E117" s="249"/>
      <c r="F117" s="249"/>
      <c r="G117" s="249"/>
      <c r="H117" s="249"/>
      <c r="I117" s="249"/>
      <c r="J117" s="249"/>
      <c r="K117" s="249"/>
      <c r="L117" s="249"/>
      <c r="M117" s="249"/>
      <c r="N117" s="249"/>
      <c r="O117" s="249"/>
      <c r="P117" s="249"/>
      <c r="Q117" s="249"/>
      <c r="R117" s="249"/>
      <c r="S117" s="249"/>
      <c r="T117" s="249"/>
      <c r="U117" s="249"/>
      <c r="V117" s="300"/>
      <c r="W117" s="300"/>
      <c r="X117" s="249"/>
      <c r="Y117" s="249"/>
      <c r="Z117" s="249"/>
      <c r="AA117" s="249"/>
      <c r="AB117" s="249"/>
      <c r="AC117" s="249"/>
      <c r="AD117" s="249"/>
      <c r="AE117" s="249"/>
      <c r="AF117" s="249"/>
      <c r="AG117" s="249"/>
      <c r="AH117" s="249"/>
      <c r="AI117" s="249"/>
      <c r="AJ117" s="249"/>
      <c r="AK117" s="249"/>
      <c r="AL117" s="249"/>
      <c r="AM117" s="249"/>
      <c r="AN117" s="249"/>
      <c r="AO117" s="249"/>
      <c r="AP117" s="249"/>
      <c r="AQ117" s="249"/>
      <c r="AR117" s="249"/>
      <c r="AS117" s="249"/>
      <c r="AT117" s="249"/>
      <c r="AU117" s="249"/>
      <c r="AV117" s="249"/>
      <c r="AW117" s="249"/>
      <c r="AX117" s="249"/>
      <c r="AY117" s="169"/>
      <c r="AZ117" s="169"/>
      <c r="BA117" s="278"/>
      <c r="BB117" s="169"/>
      <c r="BC117" s="278"/>
      <c r="BD117" s="278"/>
      <c r="BE117" s="278"/>
      <c r="BF117" s="278"/>
      <c r="BG117" s="278"/>
      <c r="BH117" s="278"/>
      <c r="BI117" s="278"/>
      <c r="BJ117" s="278"/>
      <c r="BK117" s="278"/>
      <c r="BL117" s="278"/>
      <c r="BM117" s="278"/>
      <c r="BN117" s="278"/>
      <c r="BO117" s="278"/>
      <c r="BP117" s="278"/>
      <c r="BQ117" s="278"/>
      <c r="BR117" s="278"/>
      <c r="BS117" s="278"/>
      <c r="BT117" s="278"/>
      <c r="BU117" s="278"/>
      <c r="BV117" s="278"/>
      <c r="BW117" s="278"/>
      <c r="BX117" s="278"/>
      <c r="BY117" s="278"/>
      <c r="BZ117" s="278"/>
      <c r="CA117" s="278"/>
      <c r="CB117" s="278"/>
      <c r="CC117" s="278"/>
      <c r="CD117" s="278"/>
      <c r="CE117" s="278"/>
      <c r="CH117" s="212"/>
      <c r="CL117" s="249"/>
    </row>
    <row r="118" spans="1:90" s="10" customFormat="1" ht="12" customHeight="1">
      <c r="A118" s="9"/>
      <c r="B118" s="41"/>
      <c r="C118" s="11"/>
      <c r="D118" s="85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72"/>
      <c r="W118" s="72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/>
      <c r="AZ118"/>
      <c r="BA118" s="11"/>
      <c r="BB118"/>
      <c r="BC118" s="11"/>
      <c r="BD118" s="11"/>
      <c r="BE118" s="11"/>
      <c r="BF118" s="11"/>
      <c r="BG118" s="11"/>
      <c r="BH118" s="11"/>
      <c r="BI118" s="11"/>
      <c r="BJ118" s="11"/>
      <c r="BK118" s="11"/>
      <c r="BL118" s="27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"/>
      <c r="CG118" s="2"/>
    </row>
    <row r="119" spans="1:90" s="10" customFormat="1" ht="18" customHeight="1">
      <c r="A119" s="9"/>
      <c r="B119" s="41"/>
      <c r="C119" s="11"/>
      <c r="D119" s="85"/>
      <c r="E119" s="38"/>
      <c r="F119" s="119" t="str">
        <f>"Баланс " &amp; TEMPLATE_SPHERE &amp; " (производство)"</f>
        <v>Баланс теплоснабжения (производство)</v>
      </c>
      <c r="G119" s="120"/>
      <c r="H119" s="120"/>
      <c r="I119" s="12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3"/>
      <c r="W119" s="74"/>
      <c r="X119" s="70"/>
      <c r="Y119" s="70"/>
      <c r="Z119" s="70"/>
      <c r="AA119" s="70"/>
      <c r="AB119" s="70"/>
      <c r="AC119" s="70"/>
      <c r="AD119" s="70"/>
      <c r="AE119" s="70"/>
      <c r="AF119" s="70"/>
      <c r="AG119" s="70"/>
      <c r="AH119" s="70"/>
      <c r="AI119" s="70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/>
      <c r="AZ119"/>
      <c r="BA119" s="69"/>
      <c r="BB119"/>
      <c r="BC119" s="69"/>
      <c r="BD119" s="69"/>
      <c r="BE119" s="69"/>
      <c r="BF119" s="69"/>
      <c r="BG119" s="69"/>
      <c r="BH119" s="69"/>
      <c r="BI119" s="69"/>
      <c r="BJ119" s="69"/>
      <c r="BK119" s="69"/>
      <c r="BL119" s="27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"/>
      <c r="CG119" s="2"/>
    </row>
    <row r="120" spans="1:90" s="10" customFormat="1" ht="12" customHeight="1">
      <c r="A120" s="9"/>
      <c r="B120" s="41"/>
      <c r="C120" s="11"/>
      <c r="D120" s="85"/>
      <c r="E120" s="11"/>
      <c r="F120" s="121" t="s">
        <v>149</v>
      </c>
      <c r="G120" s="121"/>
      <c r="H120" s="121"/>
      <c r="I120" s="12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/>
      <c r="AZ120"/>
      <c r="BA120" s="11"/>
      <c r="BB120"/>
      <c r="BC120" s="11"/>
      <c r="BD120" s="11"/>
      <c r="BE120" s="11"/>
      <c r="BF120" s="11"/>
      <c r="BG120" s="11"/>
      <c r="BH120" s="11"/>
      <c r="BI120" s="11"/>
      <c r="BJ120" s="11"/>
      <c r="BK120" s="11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11"/>
      <c r="CG120" s="2"/>
    </row>
    <row r="121" spans="1:90" s="2" customFormat="1" ht="24" customHeight="1">
      <c r="B121" s="35"/>
      <c r="C121" s="9"/>
      <c r="D121" s="84"/>
      <c r="E121" s="39"/>
      <c r="F121" s="925" t="s">
        <v>104</v>
      </c>
      <c r="G121" s="925" t="s">
        <v>150</v>
      </c>
      <c r="H121" s="961" t="s">
        <v>560</v>
      </c>
      <c r="I121" s="961" t="s">
        <v>561</v>
      </c>
      <c r="J121" s="961" t="s">
        <v>827</v>
      </c>
      <c r="K121" s="925" t="s">
        <v>151</v>
      </c>
      <c r="L121" s="908" t="s">
        <v>152</v>
      </c>
      <c r="M121" s="969" t="s">
        <v>153</v>
      </c>
      <c r="N121" s="970"/>
      <c r="O121" s="970"/>
      <c r="P121" s="970"/>
      <c r="Q121" s="970"/>
      <c r="R121" s="970"/>
      <c r="S121" s="970"/>
      <c r="T121" s="970"/>
      <c r="U121" s="970"/>
      <c r="V121" s="978"/>
      <c r="W121" s="925" t="s">
        <v>154</v>
      </c>
      <c r="X121" s="925"/>
      <c r="Y121" s="925"/>
      <c r="Z121" s="925"/>
      <c r="AA121" s="925"/>
      <c r="AB121" s="925"/>
      <c r="AC121" s="925"/>
      <c r="AD121" s="958"/>
      <c r="AE121" s="925"/>
      <c r="AF121" s="925"/>
      <c r="AG121" s="925"/>
      <c r="AH121" s="925"/>
      <c r="AI121" s="925"/>
      <c r="AJ121" s="925"/>
      <c r="AK121" s="925"/>
      <c r="AL121" s="958"/>
      <c r="AM121" s="925" t="s">
        <v>155</v>
      </c>
      <c r="AN121" s="908" t="s">
        <v>156</v>
      </c>
      <c r="AO121" s="954" t="s">
        <v>157</v>
      </c>
      <c r="AP121" s="975"/>
      <c r="AQ121" s="962" t="s">
        <v>562</v>
      </c>
      <c r="AR121" s="963"/>
      <c r="AS121" s="974"/>
      <c r="AT121" s="591" t="s">
        <v>158</v>
      </c>
      <c r="AU121" s="969" t="s">
        <v>159</v>
      </c>
      <c r="AV121" s="970"/>
      <c r="AW121" s="970"/>
      <c r="AX121" s="971"/>
      <c r="AY121"/>
      <c r="AZ121"/>
      <c r="BA121" s="22"/>
      <c r="BB121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</row>
    <row r="122" spans="1:90" s="26" customFormat="1" ht="12" customHeight="1">
      <c r="A122" s="2"/>
      <c r="B122" s="43"/>
      <c r="C122" s="42"/>
      <c r="D122" s="84"/>
      <c r="E122" s="40"/>
      <c r="F122" s="925"/>
      <c r="G122" s="925"/>
      <c r="H122" s="961"/>
      <c r="I122" s="961"/>
      <c r="J122" s="961"/>
      <c r="K122" s="925"/>
      <c r="L122" s="960"/>
      <c r="M122" s="954" t="s">
        <v>160</v>
      </c>
      <c r="N122" s="917"/>
      <c r="O122" s="962" t="s">
        <v>563</v>
      </c>
      <c r="P122" s="963"/>
      <c r="Q122" s="964"/>
      <c r="R122" s="908" t="s">
        <v>161</v>
      </c>
      <c r="S122" s="954" t="s">
        <v>162</v>
      </c>
      <c r="T122" s="954" t="s">
        <v>163</v>
      </c>
      <c r="U122" s="925" t="s">
        <v>602</v>
      </c>
      <c r="V122" s="925" t="s">
        <v>167</v>
      </c>
      <c r="W122" s="958" t="s">
        <v>294</v>
      </c>
      <c r="X122" s="956" t="s">
        <v>738</v>
      </c>
      <c r="Y122" s="956" t="s">
        <v>739</v>
      </c>
      <c r="Z122" s="956" t="s">
        <v>2224</v>
      </c>
      <c r="AA122" s="958" t="s">
        <v>278</v>
      </c>
      <c r="AB122" s="956" t="s">
        <v>738</v>
      </c>
      <c r="AC122" s="956" t="s">
        <v>739</v>
      </c>
      <c r="AD122" s="956" t="s">
        <v>2224</v>
      </c>
      <c r="AE122" s="958" t="s">
        <v>295</v>
      </c>
      <c r="AF122" s="956" t="s">
        <v>738</v>
      </c>
      <c r="AG122" s="956" t="s">
        <v>739</v>
      </c>
      <c r="AH122" s="956" t="s">
        <v>737</v>
      </c>
      <c r="AI122" s="958" t="s">
        <v>279</v>
      </c>
      <c r="AJ122" s="956" t="s">
        <v>738</v>
      </c>
      <c r="AK122" s="956" t="s">
        <v>739</v>
      </c>
      <c r="AL122" s="956" t="s">
        <v>737</v>
      </c>
      <c r="AM122" s="925"/>
      <c r="AN122" s="960"/>
      <c r="AO122" s="977"/>
      <c r="AP122" s="976"/>
      <c r="AQ122" s="967" t="s">
        <v>160</v>
      </c>
      <c r="AR122" s="967" t="s">
        <v>564</v>
      </c>
      <c r="AS122" s="967" t="s">
        <v>565</v>
      </c>
      <c r="AT122" s="925" t="s">
        <v>160</v>
      </c>
      <c r="AU122" s="925" t="s">
        <v>160</v>
      </c>
      <c r="AV122" s="908" t="s">
        <v>168</v>
      </c>
      <c r="AW122" s="954" t="s">
        <v>162</v>
      </c>
      <c r="AX122" s="972" t="s">
        <v>169</v>
      </c>
      <c r="AY122"/>
      <c r="AZ122"/>
      <c r="BA122" s="22"/>
      <c r="BB1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"/>
      <c r="CG122" s="2"/>
    </row>
    <row r="123" spans="1:90" s="26" customFormat="1" ht="42" customHeight="1">
      <c r="A123" s="2"/>
      <c r="B123" s="43"/>
      <c r="C123" s="42"/>
      <c r="D123" s="84"/>
      <c r="E123" s="40"/>
      <c r="F123" s="925"/>
      <c r="G123" s="925"/>
      <c r="H123" s="961"/>
      <c r="I123" s="961"/>
      <c r="J123" s="961"/>
      <c r="K123" s="925"/>
      <c r="L123" s="909"/>
      <c r="M123" s="955"/>
      <c r="N123" s="979"/>
      <c r="O123" s="133" t="s">
        <v>160</v>
      </c>
      <c r="P123" s="133" t="s">
        <v>564</v>
      </c>
      <c r="Q123" s="134" t="s">
        <v>565</v>
      </c>
      <c r="R123" s="909"/>
      <c r="S123" s="955"/>
      <c r="T123" s="955"/>
      <c r="U123" s="925"/>
      <c r="V123" s="925"/>
      <c r="W123" s="959"/>
      <c r="X123" s="957"/>
      <c r="Y123" s="957"/>
      <c r="Z123" s="957"/>
      <c r="AA123" s="959"/>
      <c r="AB123" s="957"/>
      <c r="AC123" s="957"/>
      <c r="AD123" s="957"/>
      <c r="AE123" s="959"/>
      <c r="AF123" s="957"/>
      <c r="AG123" s="957"/>
      <c r="AH123" s="957"/>
      <c r="AI123" s="959"/>
      <c r="AJ123" s="957"/>
      <c r="AK123" s="957"/>
      <c r="AL123" s="957"/>
      <c r="AM123" s="925"/>
      <c r="AN123" s="909"/>
      <c r="AO123" s="955"/>
      <c r="AP123" s="976"/>
      <c r="AQ123" s="968"/>
      <c r="AR123" s="968"/>
      <c r="AS123" s="968"/>
      <c r="AT123" s="925"/>
      <c r="AU123" s="925"/>
      <c r="AV123" s="909"/>
      <c r="AW123" s="955"/>
      <c r="AX123" s="973"/>
      <c r="AY123"/>
      <c r="AZ123"/>
      <c r="BA123" s="22"/>
      <c r="BB123"/>
      <c r="BC123" s="22"/>
      <c r="BD123"/>
      <c r="BE123"/>
      <c r="BF123"/>
      <c r="BG123"/>
      <c r="BH123"/>
      <c r="BI123"/>
      <c r="BJ123"/>
      <c r="BK123"/>
      <c r="BL123"/>
      <c r="BM123"/>
      <c r="BN123"/>
      <c r="BO123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"/>
      <c r="CG123" s="2"/>
    </row>
    <row r="124" spans="1:90" s="300" customFormat="1" ht="12" customHeight="1">
      <c r="A124" s="249"/>
      <c r="B124" s="302"/>
      <c r="D124" s="303"/>
      <c r="E124" s="304"/>
      <c r="F124" s="305"/>
      <c r="G124" s="305" t="s">
        <v>170</v>
      </c>
      <c r="H124" s="354" t="s">
        <v>637</v>
      </c>
      <c r="I124" s="354" t="s">
        <v>1068</v>
      </c>
      <c r="J124" s="354" t="s">
        <v>101</v>
      </c>
      <c r="K124" s="305" t="s">
        <v>105</v>
      </c>
      <c r="L124" s="306" t="s">
        <v>164</v>
      </c>
      <c r="M124" s="306" t="s">
        <v>165</v>
      </c>
      <c r="N124" s="307"/>
      <c r="O124" s="308" t="s">
        <v>171</v>
      </c>
      <c r="P124" s="308" t="s">
        <v>556</v>
      </c>
      <c r="Q124" s="308" t="s">
        <v>566</v>
      </c>
      <c r="R124" s="306" t="s">
        <v>172</v>
      </c>
      <c r="S124" s="306" t="s">
        <v>173</v>
      </c>
      <c r="T124" s="306" t="s">
        <v>174</v>
      </c>
      <c r="U124" s="305" t="s">
        <v>175</v>
      </c>
      <c r="V124" s="305" t="s">
        <v>176</v>
      </c>
      <c r="W124" s="306" t="s">
        <v>177</v>
      </c>
      <c r="X124" s="308" t="s">
        <v>178</v>
      </c>
      <c r="Y124" s="308" t="s">
        <v>557</v>
      </c>
      <c r="Z124" s="308" t="s">
        <v>2225</v>
      </c>
      <c r="AA124" s="306" t="s">
        <v>179</v>
      </c>
      <c r="AB124" s="308" t="s">
        <v>740</v>
      </c>
      <c r="AC124" s="308" t="s">
        <v>714</v>
      </c>
      <c r="AD124" s="308" t="s">
        <v>2226</v>
      </c>
      <c r="AE124" s="306" t="s">
        <v>717</v>
      </c>
      <c r="AF124" s="308" t="s">
        <v>567</v>
      </c>
      <c r="AG124" s="308" t="s">
        <v>568</v>
      </c>
      <c r="AH124" s="308" t="s">
        <v>569</v>
      </c>
      <c r="AI124" s="306" t="s">
        <v>719</v>
      </c>
      <c r="AJ124" s="308" t="s">
        <v>570</v>
      </c>
      <c r="AK124" s="308" t="s">
        <v>571</v>
      </c>
      <c r="AL124" s="308" t="s">
        <v>572</v>
      </c>
      <c r="AM124" s="309" t="s">
        <v>180</v>
      </c>
      <c r="AN124" s="306" t="s">
        <v>181</v>
      </c>
      <c r="AO124" s="306" t="s">
        <v>182</v>
      </c>
      <c r="AP124" s="307"/>
      <c r="AQ124" s="308" t="s">
        <v>183</v>
      </c>
      <c r="AR124" s="308" t="s">
        <v>642</v>
      </c>
      <c r="AS124" s="308" t="s">
        <v>643</v>
      </c>
      <c r="AT124" s="305" t="s">
        <v>184</v>
      </c>
      <c r="AU124" s="305" t="s">
        <v>185</v>
      </c>
      <c r="AV124" s="306" t="s">
        <v>186</v>
      </c>
      <c r="AW124" s="306" t="s">
        <v>187</v>
      </c>
      <c r="AX124" s="306" t="s">
        <v>188</v>
      </c>
      <c r="AY124" s="169"/>
      <c r="AZ124" s="169"/>
      <c r="BA124" s="53"/>
      <c r="BB124" s="310"/>
      <c r="BC124" s="53"/>
      <c r="BD124" s="310"/>
      <c r="BE124" s="310"/>
      <c r="BF124" s="310"/>
      <c r="BG124" s="310"/>
      <c r="BH124" s="310"/>
      <c r="BI124" s="310"/>
      <c r="BJ124" s="310"/>
      <c r="BK124" s="310"/>
      <c r="BL124" s="310"/>
      <c r="BM124" s="310"/>
      <c r="BN124" s="310"/>
      <c r="BO124" s="310"/>
      <c r="BP124" s="311" t="s">
        <v>728</v>
      </c>
      <c r="BQ124" s="311" t="s">
        <v>725</v>
      </c>
      <c r="BR124" s="311" t="s">
        <v>726</v>
      </c>
      <c r="BS124" s="311" t="s">
        <v>727</v>
      </c>
      <c r="BT124" s="311" t="s">
        <v>735</v>
      </c>
      <c r="BU124" s="311" t="s">
        <v>729</v>
      </c>
      <c r="BV124" s="311" t="s">
        <v>730</v>
      </c>
      <c r="BW124" s="311" t="s">
        <v>731</v>
      </c>
      <c r="BX124" s="311" t="s">
        <v>732</v>
      </c>
      <c r="BY124" s="311" t="s">
        <v>736</v>
      </c>
      <c r="BZ124" s="169"/>
      <c r="CA124" s="169"/>
      <c r="CB124" s="169"/>
      <c r="CC124" s="169"/>
      <c r="CD124" s="169"/>
      <c r="CE124" s="311" t="s">
        <v>733</v>
      </c>
      <c r="CF124" s="249"/>
      <c r="CG124" s="249"/>
    </row>
    <row r="125" spans="1:90" s="171" customFormat="1" ht="0.75" customHeight="1">
      <c r="A125" s="114"/>
      <c r="B125" s="302"/>
      <c r="C125" s="300"/>
      <c r="D125" s="303"/>
      <c r="E125" s="304"/>
      <c r="F125" s="313"/>
      <c r="G125" s="314"/>
      <c r="H125" s="315"/>
      <c r="I125" s="315"/>
      <c r="J125" s="315"/>
      <c r="K125" s="241"/>
      <c r="L125" s="241"/>
      <c r="M125" s="241"/>
      <c r="N125" s="241"/>
      <c r="O125" s="241"/>
      <c r="P125" s="241"/>
      <c r="Q125" s="241"/>
      <c r="R125" s="241"/>
      <c r="S125" s="241"/>
      <c r="T125" s="241"/>
      <c r="U125" s="241"/>
      <c r="V125" s="241"/>
      <c r="W125" s="241"/>
      <c r="X125" s="241"/>
      <c r="Y125" s="241"/>
      <c r="Z125" s="241"/>
      <c r="AA125" s="241"/>
      <c r="AB125" s="241"/>
      <c r="AC125" s="241"/>
      <c r="AD125" s="241"/>
      <c r="AE125" s="241"/>
      <c r="AF125" s="241"/>
      <c r="AG125" s="241"/>
      <c r="AH125" s="241"/>
      <c r="AI125" s="241"/>
      <c r="AJ125" s="241"/>
      <c r="AK125" s="241"/>
      <c r="AL125" s="241"/>
      <c r="AM125" s="241"/>
      <c r="AN125" s="241"/>
      <c r="AO125" s="241"/>
      <c r="AP125" s="241"/>
      <c r="AQ125" s="241"/>
      <c r="AR125" s="241"/>
      <c r="AS125" s="241"/>
      <c r="AT125" s="241"/>
      <c r="AU125" s="241"/>
      <c r="AV125" s="241"/>
      <c r="AW125" s="241"/>
      <c r="AX125" s="241"/>
      <c r="AY125" s="169"/>
      <c r="AZ125" s="169"/>
      <c r="BA125" s="278"/>
      <c r="BB125" s="169"/>
      <c r="BC125" s="278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310"/>
      <c r="BP125" s="305"/>
      <c r="BQ125" s="305"/>
      <c r="BR125" s="305"/>
      <c r="BS125" s="305"/>
      <c r="BT125" s="305"/>
      <c r="BU125" s="305"/>
      <c r="BV125" s="305"/>
      <c r="BW125" s="305"/>
      <c r="BX125" s="305"/>
      <c r="BY125" s="305"/>
      <c r="BZ125" s="305"/>
      <c r="CA125" s="305"/>
      <c r="CB125" s="305"/>
      <c r="CC125" s="305"/>
      <c r="CD125" s="305"/>
      <c r="CE125" s="305"/>
      <c r="CF125" s="114"/>
      <c r="CG125" s="114"/>
    </row>
    <row r="126" spans="1:90" s="114" customFormat="1" ht="24" customHeight="1">
      <c r="B126" s="299"/>
      <c r="C126" s="249"/>
      <c r="D126" s="272" t="s">
        <v>112</v>
      </c>
      <c r="E126" s="316"/>
      <c r="F126" s="317" t="str">
        <f>IF(TEMPLATE_SPHERE_CODE="COLDVSNA","0.1.P","0.1")</f>
        <v>0.1</v>
      </c>
      <c r="G126" s="952" t="s">
        <v>2118</v>
      </c>
      <c r="H126" s="315"/>
      <c r="I126" s="315"/>
      <c r="J126" s="315"/>
      <c r="K126" s="247">
        <f>SUMIF($BA131:$BA160,$BA126,K131:K160)</f>
        <v>7596.3749999999991</v>
      </c>
      <c r="L126" s="247">
        <f>SUMIF($BA131:$BA160,$BA126,L131:L160)</f>
        <v>347.5</v>
      </c>
      <c r="M126" s="247">
        <f>SUMIF($BA131:$BA160,$BA126,M131:M160)</f>
        <v>4931.5249999999996</v>
      </c>
      <c r="N126" s="241"/>
      <c r="O126" s="247">
        <f t="shared" ref="O126:AO126" si="12">SUMIF($BA131:$BA160,$BA126,O131:O160)</f>
        <v>0</v>
      </c>
      <c r="P126" s="247">
        <f t="shared" si="12"/>
        <v>0</v>
      </c>
      <c r="Q126" s="247">
        <f t="shared" si="12"/>
        <v>0</v>
      </c>
      <c r="R126" s="247">
        <f t="shared" si="12"/>
        <v>0</v>
      </c>
      <c r="S126" s="247">
        <f t="shared" si="12"/>
        <v>0</v>
      </c>
      <c r="T126" s="247">
        <f t="shared" si="12"/>
        <v>0</v>
      </c>
      <c r="U126" s="247">
        <f t="shared" si="12"/>
        <v>0</v>
      </c>
      <c r="V126" s="247">
        <f t="shared" si="12"/>
        <v>4931.5249999999996</v>
      </c>
      <c r="W126" s="247">
        <f t="shared" si="12"/>
        <v>0</v>
      </c>
      <c r="X126" s="247">
        <f t="shared" si="12"/>
        <v>0</v>
      </c>
      <c r="Y126" s="247">
        <f t="shared" si="12"/>
        <v>0</v>
      </c>
      <c r="Z126" s="247">
        <f t="shared" si="12"/>
        <v>0</v>
      </c>
      <c r="AA126" s="247">
        <f t="shared" si="12"/>
        <v>0</v>
      </c>
      <c r="AB126" s="247">
        <f t="shared" si="12"/>
        <v>0</v>
      </c>
      <c r="AC126" s="247">
        <f t="shared" si="12"/>
        <v>0</v>
      </c>
      <c r="AD126" s="247">
        <f t="shared" si="12"/>
        <v>0</v>
      </c>
      <c r="AE126" s="247">
        <f t="shared" si="12"/>
        <v>0</v>
      </c>
      <c r="AF126" s="247">
        <f t="shared" si="12"/>
        <v>0</v>
      </c>
      <c r="AG126" s="247">
        <f t="shared" si="12"/>
        <v>0</v>
      </c>
      <c r="AH126" s="247">
        <f t="shared" si="12"/>
        <v>0</v>
      </c>
      <c r="AI126" s="247">
        <f t="shared" si="12"/>
        <v>0</v>
      </c>
      <c r="AJ126" s="247">
        <f t="shared" si="12"/>
        <v>0</v>
      </c>
      <c r="AK126" s="247">
        <f t="shared" si="12"/>
        <v>0</v>
      </c>
      <c r="AL126" s="247">
        <f t="shared" si="12"/>
        <v>0</v>
      </c>
      <c r="AM126" s="247">
        <f t="shared" si="12"/>
        <v>7248.8749999999991</v>
      </c>
      <c r="AN126" s="247">
        <f t="shared" si="12"/>
        <v>560.4</v>
      </c>
      <c r="AO126" s="247">
        <f t="shared" si="12"/>
        <v>6688.4749999999995</v>
      </c>
      <c r="AP126" s="241"/>
      <c r="AQ126" s="247">
        <f t="shared" ref="AQ126:AX126" si="13">SUMIF($BA131:$BA160,$BA126,AQ131:AQ160)</f>
        <v>4371.1400000000003</v>
      </c>
      <c r="AR126" s="247">
        <f t="shared" si="13"/>
        <v>0</v>
      </c>
      <c r="AS126" s="247">
        <f t="shared" si="13"/>
        <v>4371.1400000000003</v>
      </c>
      <c r="AT126" s="247">
        <f t="shared" si="13"/>
        <v>0</v>
      </c>
      <c r="AU126" s="247">
        <f t="shared" si="13"/>
        <v>2317.335</v>
      </c>
      <c r="AV126" s="247">
        <f t="shared" si="13"/>
        <v>185.01300000000001</v>
      </c>
      <c r="AW126" s="247">
        <f t="shared" si="13"/>
        <v>0</v>
      </c>
      <c r="AX126" s="247">
        <f t="shared" si="13"/>
        <v>2132.3220000000001</v>
      </c>
      <c r="AY126" s="169"/>
      <c r="AZ126" s="169"/>
      <c r="BA126" s="277" t="s">
        <v>21</v>
      </c>
      <c r="BB126" s="169"/>
      <c r="BC126" s="278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278"/>
      <c r="BQ126" s="278"/>
      <c r="BR126" s="278"/>
      <c r="BS126" s="278"/>
      <c r="BT126" s="278"/>
      <c r="BU126" s="278"/>
      <c r="BV126" s="278"/>
      <c r="BW126" s="278"/>
      <c r="BX126" s="278"/>
      <c r="BY126" s="278"/>
      <c r="BZ126" s="278"/>
      <c r="CA126" s="278"/>
      <c r="CB126" s="278"/>
      <c r="CC126" s="278"/>
      <c r="CD126" s="278"/>
      <c r="CE126" s="278"/>
    </row>
    <row r="127" spans="1:90" s="114" customFormat="1" ht="0.75" customHeight="1">
      <c r="B127" s="299"/>
      <c r="C127" s="249"/>
      <c r="D127" s="286"/>
      <c r="E127" s="316"/>
      <c r="F127" s="318" t="str">
        <f>IF(TEMPLATE_SPHERE_CODE="COLDVSNA","0.1.T","")</f>
        <v/>
      </c>
      <c r="G127" s="953"/>
      <c r="H127" s="315"/>
      <c r="I127" s="315"/>
      <c r="J127" s="315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241"/>
      <c r="V127" s="241"/>
      <c r="W127" s="241"/>
      <c r="X127" s="241"/>
      <c r="Y127" s="241"/>
      <c r="Z127" s="241"/>
      <c r="AA127" s="241"/>
      <c r="AB127" s="241"/>
      <c r="AC127" s="241"/>
      <c r="AD127" s="241"/>
      <c r="AE127" s="241"/>
      <c r="AF127" s="241"/>
      <c r="AG127" s="241"/>
      <c r="AH127" s="241"/>
      <c r="AI127" s="241"/>
      <c r="AJ127" s="241"/>
      <c r="AK127" s="241"/>
      <c r="AL127" s="241"/>
      <c r="AM127" s="241"/>
      <c r="AN127" s="241"/>
      <c r="AO127" s="241"/>
      <c r="AP127" s="241"/>
      <c r="AQ127" s="241"/>
      <c r="AR127" s="241"/>
      <c r="AS127" s="241"/>
      <c r="AT127" s="241"/>
      <c r="AU127" s="241"/>
      <c r="AV127" s="241"/>
      <c r="AW127" s="241"/>
      <c r="AX127" s="241"/>
      <c r="AY127" s="169"/>
      <c r="AZ127" s="169"/>
      <c r="BA127" s="280"/>
      <c r="BB127" s="169"/>
      <c r="BC127" s="278"/>
      <c r="BD127" s="278"/>
      <c r="BE127" s="278"/>
      <c r="BF127" s="278"/>
      <c r="BG127" s="278"/>
      <c r="BH127" s="278"/>
      <c r="BI127" s="278"/>
      <c r="BJ127" s="278"/>
      <c r="BK127" s="278"/>
      <c r="BL127" s="278"/>
      <c r="BM127" s="278"/>
      <c r="BN127" s="278"/>
      <c r="BO127" s="278"/>
      <c r="BP127" s="278"/>
      <c r="BQ127" s="278"/>
      <c r="BR127" s="278"/>
      <c r="BS127" s="278"/>
      <c r="BT127" s="278"/>
      <c r="BU127" s="278"/>
      <c r="BV127" s="278"/>
      <c r="BW127" s="278"/>
      <c r="BX127" s="278"/>
      <c r="BY127" s="278"/>
      <c r="BZ127" s="278"/>
      <c r="CA127" s="278"/>
      <c r="CB127" s="278"/>
      <c r="CC127" s="278"/>
      <c r="CD127" s="278"/>
      <c r="CE127" s="278"/>
    </row>
    <row r="128" spans="1:90" s="114" customFormat="1" ht="0.75" customHeight="1">
      <c r="B128" s="299"/>
      <c r="C128" s="249"/>
      <c r="D128" s="286"/>
      <c r="E128" s="316"/>
      <c r="F128" s="319"/>
      <c r="G128" s="950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5"/>
      <c r="AB128" s="315"/>
      <c r="AC128" s="315"/>
      <c r="AD128" s="315"/>
      <c r="AE128" s="315"/>
      <c r="AF128" s="315"/>
      <c r="AG128" s="315"/>
      <c r="AH128" s="315"/>
      <c r="AI128" s="315"/>
      <c r="AJ128" s="315"/>
      <c r="AK128" s="315"/>
      <c r="AL128" s="315"/>
      <c r="AM128" s="315"/>
      <c r="AN128" s="315"/>
      <c r="AO128" s="315"/>
      <c r="AP128" s="315"/>
      <c r="AQ128" s="315"/>
      <c r="AR128" s="315"/>
      <c r="AS128" s="315"/>
      <c r="AT128" s="315"/>
      <c r="AU128" s="315"/>
      <c r="AV128" s="315"/>
      <c r="AW128" s="315"/>
      <c r="AX128" s="315"/>
      <c r="AY128" s="169"/>
      <c r="AZ128" s="169"/>
      <c r="BA128" s="320"/>
      <c r="BB128" s="169"/>
      <c r="BC128" s="278"/>
      <c r="BD128" s="169"/>
      <c r="BE128" s="169"/>
      <c r="BF128" s="169"/>
      <c r="BG128" s="169"/>
      <c r="BH128" s="169"/>
      <c r="BI128" s="169"/>
      <c r="BJ128" s="169"/>
      <c r="BK128" s="169"/>
      <c r="BL128" s="169"/>
      <c r="BM128" s="169"/>
      <c r="BN128" s="169"/>
      <c r="BO128" s="169"/>
      <c r="BP128" s="278"/>
      <c r="BQ128" s="278"/>
      <c r="BR128" s="278"/>
      <c r="BS128" s="278"/>
      <c r="BT128" s="278"/>
      <c r="BU128" s="278"/>
      <c r="BV128" s="278"/>
      <c r="BW128" s="278"/>
      <c r="BX128" s="278"/>
      <c r="BY128" s="278"/>
      <c r="BZ128" s="278"/>
      <c r="CA128" s="278"/>
      <c r="CB128" s="278"/>
      <c r="CC128" s="278"/>
      <c r="CD128" s="278"/>
      <c r="CE128" s="278"/>
    </row>
    <row r="129" spans="1:90" s="114" customFormat="1" ht="0.75" customHeight="1">
      <c r="B129" s="299"/>
      <c r="C129" s="249"/>
      <c r="D129" s="286"/>
      <c r="E129" s="316"/>
      <c r="F129" s="321"/>
      <c r="G129" s="951"/>
      <c r="H129" s="315"/>
      <c r="I129" s="315"/>
      <c r="J129" s="315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241"/>
      <c r="V129" s="241"/>
      <c r="W129" s="241"/>
      <c r="X129" s="241"/>
      <c r="Y129" s="241"/>
      <c r="Z129" s="241"/>
      <c r="AA129" s="241"/>
      <c r="AB129" s="241"/>
      <c r="AC129" s="241"/>
      <c r="AD129" s="241"/>
      <c r="AE129" s="241"/>
      <c r="AF129" s="241"/>
      <c r="AG129" s="241"/>
      <c r="AH129" s="241"/>
      <c r="AI129" s="241"/>
      <c r="AJ129" s="241"/>
      <c r="AK129" s="241"/>
      <c r="AL129" s="241"/>
      <c r="AM129" s="241"/>
      <c r="AN129" s="241"/>
      <c r="AO129" s="241"/>
      <c r="AP129" s="241"/>
      <c r="AQ129" s="241"/>
      <c r="AR129" s="241"/>
      <c r="AS129" s="241"/>
      <c r="AT129" s="241"/>
      <c r="AU129" s="241"/>
      <c r="AV129" s="241"/>
      <c r="AW129" s="241"/>
      <c r="AX129" s="241"/>
      <c r="AY129" s="169"/>
      <c r="AZ129" s="169"/>
      <c r="BA129" s="280"/>
      <c r="BB129" s="169"/>
      <c r="BC129" s="278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53"/>
      <c r="BQ129" s="53"/>
      <c r="BR129" s="53"/>
      <c r="BS129" s="53"/>
      <c r="BT129" s="53"/>
      <c r="BU129" s="53"/>
      <c r="BV129" s="53"/>
      <c r="BW129" s="53"/>
      <c r="BX129" s="53"/>
      <c r="BY129" s="53"/>
      <c r="BZ129" s="53"/>
      <c r="CA129" s="53"/>
      <c r="CB129" s="53"/>
      <c r="CC129" s="53"/>
      <c r="CD129" s="53"/>
      <c r="CE129" s="53"/>
    </row>
    <row r="130" spans="1:90" s="114" customFormat="1" ht="0.75" customHeight="1">
      <c r="B130" s="299"/>
      <c r="C130" s="249"/>
      <c r="D130" s="286"/>
      <c r="E130" s="316"/>
      <c r="F130" s="322"/>
      <c r="G130" s="314"/>
      <c r="H130" s="315"/>
      <c r="I130" s="315"/>
      <c r="J130" s="315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241"/>
      <c r="V130" s="241"/>
      <c r="W130" s="241"/>
      <c r="X130" s="241"/>
      <c r="Y130" s="241"/>
      <c r="Z130" s="241"/>
      <c r="AA130" s="241"/>
      <c r="AB130" s="241"/>
      <c r="AC130" s="241"/>
      <c r="AD130" s="241"/>
      <c r="AE130" s="241"/>
      <c r="AF130" s="241"/>
      <c r="AG130" s="241"/>
      <c r="AH130" s="241"/>
      <c r="AI130" s="241"/>
      <c r="AJ130" s="241"/>
      <c r="AK130" s="241"/>
      <c r="AL130" s="241"/>
      <c r="AM130" s="241"/>
      <c r="AN130" s="241"/>
      <c r="AO130" s="241"/>
      <c r="AP130" s="241"/>
      <c r="AQ130" s="241"/>
      <c r="AR130" s="241"/>
      <c r="AS130" s="241"/>
      <c r="AT130" s="241"/>
      <c r="AU130" s="241"/>
      <c r="AV130" s="241"/>
      <c r="AW130" s="241"/>
      <c r="AX130" s="241"/>
      <c r="AY130" s="169"/>
      <c r="AZ130" s="169"/>
      <c r="BA130" s="280"/>
      <c r="BB130" s="169"/>
      <c r="BC130" s="278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53"/>
      <c r="BQ130" s="53"/>
      <c r="BR130" s="53"/>
      <c r="BS130" s="53"/>
      <c r="BT130" s="53"/>
      <c r="BU130" s="53"/>
      <c r="BV130" s="53"/>
      <c r="BW130" s="53"/>
      <c r="BX130" s="53"/>
      <c r="BY130" s="53"/>
      <c r="BZ130" s="53"/>
      <c r="CA130" s="53"/>
      <c r="CB130" s="53"/>
      <c r="CC130" s="53"/>
      <c r="CD130" s="53"/>
      <c r="CE130" s="53"/>
    </row>
    <row r="131" spans="1:90" s="249" customFormat="1" ht="0.75" customHeight="1">
      <c r="B131" s="323">
        <v>0</v>
      </c>
      <c r="D131" s="286"/>
      <c r="E131" s="316"/>
      <c r="F131" s="324"/>
      <c r="G131" s="325"/>
      <c r="H131" s="312"/>
      <c r="I131" s="312"/>
      <c r="J131" s="312"/>
      <c r="K131" s="326"/>
      <c r="L131" s="326"/>
      <c r="M131" s="326"/>
      <c r="N131" s="326"/>
      <c r="O131" s="326"/>
      <c r="P131" s="326"/>
      <c r="Q131" s="326"/>
      <c r="R131" s="326"/>
      <c r="S131" s="326"/>
      <c r="T131" s="326"/>
      <c r="U131" s="326"/>
      <c r="V131" s="326"/>
      <c r="W131" s="326"/>
      <c r="X131" s="326"/>
      <c r="Y131" s="326"/>
      <c r="Z131" s="326"/>
      <c r="AA131" s="326"/>
      <c r="AB131" s="326"/>
      <c r="AC131" s="326"/>
      <c r="AD131" s="326"/>
      <c r="AE131" s="326"/>
      <c r="AF131" s="326"/>
      <c r="AG131" s="326"/>
      <c r="AH131" s="326"/>
      <c r="AI131" s="326"/>
      <c r="AJ131" s="326"/>
      <c r="AK131" s="326"/>
      <c r="AL131" s="326"/>
      <c r="AM131" s="326"/>
      <c r="AN131" s="326"/>
      <c r="AO131" s="326"/>
      <c r="AP131" s="326"/>
      <c r="AQ131" s="326"/>
      <c r="AR131" s="326"/>
      <c r="AS131" s="326"/>
      <c r="AT131" s="326"/>
      <c r="AU131" s="326"/>
      <c r="AV131" s="326"/>
      <c r="AW131" s="326"/>
      <c r="AX131" s="326"/>
      <c r="AY131" s="169"/>
      <c r="AZ131" s="169"/>
      <c r="BA131" s="53"/>
      <c r="BB131" s="327"/>
      <c r="BC131" s="53"/>
      <c r="BD131" s="327"/>
      <c r="BE131" s="327"/>
      <c r="BF131" s="327"/>
      <c r="BG131" s="327"/>
      <c r="BH131" s="327"/>
      <c r="BI131" s="327"/>
      <c r="BJ131" s="327"/>
      <c r="BK131" s="327"/>
      <c r="BL131" s="327"/>
      <c r="BM131" s="327"/>
      <c r="BN131" s="327"/>
      <c r="BO131" s="327"/>
      <c r="BP131" s="965" t="s">
        <v>2126</v>
      </c>
      <c r="BQ131" s="966"/>
      <c r="BR131" s="966"/>
      <c r="BS131" s="966"/>
      <c r="BT131" s="966"/>
      <c r="BU131" s="966"/>
      <c r="BV131" s="966"/>
      <c r="BW131" s="966"/>
      <c r="BX131" s="966"/>
      <c r="BY131" s="966"/>
      <c r="BZ131" s="966"/>
      <c r="CA131" s="966"/>
      <c r="CB131" s="966"/>
      <c r="CC131" s="966"/>
      <c r="CD131" s="966"/>
      <c r="CE131" s="328" t="s">
        <v>724</v>
      </c>
    </row>
    <row r="132" spans="1:90" s="114" customFormat="1" ht="24" customHeight="1">
      <c r="A132" s="762" t="str">
        <f>IF('Список территорий'!$AC$16="","Не определено",'Список территорий'!$AC$16)</f>
        <v>Тариф: Носитель - горячая вода (Т)</v>
      </c>
      <c r="B132" s="937" t="s">
        <v>105</v>
      </c>
      <c r="C132" s="753" t="str">
        <f>F134</f>
        <v>1.0</v>
      </c>
      <c r="D132" s="272" t="s">
        <v>112</v>
      </c>
      <c r="E132" s="761" t="s">
        <v>134</v>
      </c>
      <c r="F132" s="938" t="str">
        <f>B132</f>
        <v>1</v>
      </c>
      <c r="G132" s="940" t="str">
        <f>IF('Список территорий'!$I$16="","Не определено",'Список территорий'!$G$16 &amp; " / " &amp; 'Список территорий'!$H$16 &amp; " / " &amp; 'Список территорий'!$I$16)</f>
        <v>город Нижний Новгород / город Нижний Новгород / 22701000</v>
      </c>
      <c r="H132" s="290">
        <f>H134</f>
        <v>5.6</v>
      </c>
      <c r="I132" s="290">
        <f>I134</f>
        <v>4.82</v>
      </c>
      <c r="J132" s="599" t="str">
        <f>A132</f>
        <v>Тариф: Носитель - горячая вода (Т)</v>
      </c>
      <c r="K132" s="290">
        <f>K134</f>
        <v>7596.3749999999991</v>
      </c>
      <c r="L132" s="290">
        <f>L134</f>
        <v>347.5</v>
      </c>
      <c r="M132" s="290">
        <f>M134</f>
        <v>4931.5249999999996</v>
      </c>
      <c r="N132" s="291"/>
      <c r="O132" s="290">
        <f t="shared" ref="O132:AL132" si="14">O134</f>
        <v>0</v>
      </c>
      <c r="P132" s="290">
        <f t="shared" si="14"/>
        <v>0</v>
      </c>
      <c r="Q132" s="290">
        <f t="shared" si="14"/>
        <v>0</v>
      </c>
      <c r="R132" s="290">
        <f t="shared" si="14"/>
        <v>0</v>
      </c>
      <c r="S132" s="290">
        <f t="shared" si="14"/>
        <v>0</v>
      </c>
      <c r="T132" s="290">
        <f t="shared" si="14"/>
        <v>0</v>
      </c>
      <c r="U132" s="290">
        <f t="shared" si="14"/>
        <v>0</v>
      </c>
      <c r="V132" s="290">
        <f t="shared" si="14"/>
        <v>4931.5249999999996</v>
      </c>
      <c r="W132" s="290">
        <f t="shared" si="14"/>
        <v>0</v>
      </c>
      <c r="X132" s="290">
        <f t="shared" si="14"/>
        <v>0</v>
      </c>
      <c r="Y132" s="290">
        <f t="shared" si="14"/>
        <v>0</v>
      </c>
      <c r="Z132" s="290">
        <f t="shared" si="14"/>
        <v>0</v>
      </c>
      <c r="AA132" s="290">
        <f t="shared" si="14"/>
        <v>0</v>
      </c>
      <c r="AB132" s="290">
        <f t="shared" si="14"/>
        <v>0</v>
      </c>
      <c r="AC132" s="290">
        <f t="shared" si="14"/>
        <v>0</v>
      </c>
      <c r="AD132" s="290">
        <f t="shared" si="14"/>
        <v>0</v>
      </c>
      <c r="AE132" s="290">
        <f t="shared" si="14"/>
        <v>0</v>
      </c>
      <c r="AF132" s="290">
        <f t="shared" si="14"/>
        <v>0</v>
      </c>
      <c r="AG132" s="290">
        <f t="shared" si="14"/>
        <v>0</v>
      </c>
      <c r="AH132" s="290">
        <f t="shared" si="14"/>
        <v>0</v>
      </c>
      <c r="AI132" s="290">
        <f t="shared" si="14"/>
        <v>0</v>
      </c>
      <c r="AJ132" s="290">
        <f t="shared" si="14"/>
        <v>0</v>
      </c>
      <c r="AK132" s="290">
        <f t="shared" si="14"/>
        <v>0</v>
      </c>
      <c r="AL132" s="290">
        <f t="shared" si="14"/>
        <v>0</v>
      </c>
      <c r="AM132" s="290">
        <f>AM134</f>
        <v>7248.8749999999991</v>
      </c>
      <c r="AN132" s="290">
        <f>AN134</f>
        <v>560.4</v>
      </c>
      <c r="AO132" s="290">
        <f>AO134</f>
        <v>6688.4749999999995</v>
      </c>
      <c r="AP132" s="291"/>
      <c r="AQ132" s="290">
        <f t="shared" ref="AQ132:AX132" si="15">AQ134</f>
        <v>4371.1400000000003</v>
      </c>
      <c r="AR132" s="290">
        <f t="shared" si="15"/>
        <v>0</v>
      </c>
      <c r="AS132" s="290">
        <f t="shared" si="15"/>
        <v>4371.1400000000003</v>
      </c>
      <c r="AT132" s="290">
        <f t="shared" si="15"/>
        <v>0</v>
      </c>
      <c r="AU132" s="290">
        <f t="shared" si="15"/>
        <v>2317.335</v>
      </c>
      <c r="AV132" s="290">
        <f t="shared" si="15"/>
        <v>185.01300000000001</v>
      </c>
      <c r="AW132" s="290">
        <f t="shared" si="15"/>
        <v>0</v>
      </c>
      <c r="AX132" s="240">
        <f t="shared" si="15"/>
        <v>2132.3220000000001</v>
      </c>
      <c r="AY132" s="169"/>
      <c r="AZ132" s="169"/>
      <c r="BA132" s="277" t="s">
        <v>765</v>
      </c>
      <c r="BB132" s="169"/>
      <c r="BC132" s="278"/>
      <c r="BD132" s="278"/>
      <c r="BE132" s="278"/>
      <c r="BF132" s="278"/>
      <c r="BG132" s="278"/>
      <c r="BH132" s="278"/>
      <c r="BI132" s="278"/>
      <c r="BJ132" s="278"/>
      <c r="BK132" s="278"/>
      <c r="BL132" s="278"/>
      <c r="BM132" s="278"/>
      <c r="BN132" s="278"/>
      <c r="BO132" s="278"/>
      <c r="BP132" s="278"/>
      <c r="BQ132" s="278"/>
      <c r="BR132" s="278"/>
      <c r="BS132" s="278"/>
      <c r="BT132" s="278"/>
      <c r="BU132" s="278"/>
      <c r="BV132" s="278"/>
      <c r="BW132" s="278"/>
      <c r="BX132" s="278"/>
      <c r="BY132" s="278"/>
      <c r="BZ132" s="278"/>
      <c r="CA132" s="278"/>
      <c r="CB132" s="278"/>
      <c r="CC132" s="278"/>
      <c r="CD132" s="278"/>
      <c r="CE132" s="278"/>
      <c r="CH132" s="212"/>
      <c r="CL132" s="249"/>
    </row>
    <row r="133" spans="1:90" s="114" customFormat="1" ht="0.75" customHeight="1">
      <c r="A133" s="249"/>
      <c r="B133" s="937"/>
      <c r="C133" s="753"/>
      <c r="D133" s="279"/>
      <c r="E133" s="273"/>
      <c r="F133" s="939"/>
      <c r="G133" s="941"/>
      <c r="H133" s="274"/>
      <c r="I133" s="274"/>
      <c r="J133" s="275"/>
      <c r="K133" s="275"/>
      <c r="L133" s="275"/>
      <c r="M133" s="275"/>
      <c r="N133" s="275"/>
      <c r="O133" s="275"/>
      <c r="P133" s="275"/>
      <c r="Q133" s="275"/>
      <c r="R133" s="275"/>
      <c r="S133" s="275"/>
      <c r="T133" s="275"/>
      <c r="U133" s="275"/>
      <c r="V133" s="276"/>
      <c r="W133" s="275"/>
      <c r="X133" s="275"/>
      <c r="Y133" s="275"/>
      <c r="Z133" s="275"/>
      <c r="AA133" s="275"/>
      <c r="AB133" s="275"/>
      <c r="AC133" s="275"/>
      <c r="AD133" s="275"/>
      <c r="AE133" s="275"/>
      <c r="AF133" s="275"/>
      <c r="AG133" s="275"/>
      <c r="AH133" s="275"/>
      <c r="AI133" s="275"/>
      <c r="AJ133" s="275"/>
      <c r="AK133" s="275"/>
      <c r="AL133" s="275"/>
      <c r="AM133" s="275"/>
      <c r="AN133" s="275"/>
      <c r="AO133" s="275"/>
      <c r="AP133" s="275"/>
      <c r="AQ133" s="275"/>
      <c r="AR133" s="275"/>
      <c r="AS133" s="275"/>
      <c r="AT133" s="275"/>
      <c r="AU133" s="275"/>
      <c r="AV133" s="275"/>
      <c r="AW133" s="275"/>
      <c r="AX133" s="241"/>
      <c r="AY133" s="169"/>
      <c r="AZ133" s="169"/>
      <c r="BA133" s="280"/>
      <c r="BB133" s="169"/>
      <c r="BC133" s="278"/>
      <c r="BD133" s="278"/>
      <c r="BE133" s="278"/>
      <c r="BF133" s="278"/>
      <c r="BG133" s="278"/>
      <c r="BH133" s="278"/>
      <c r="BI133" s="278"/>
      <c r="BJ133" s="278"/>
      <c r="BK133" s="278"/>
      <c r="BL133" s="278"/>
      <c r="BM133" s="278"/>
      <c r="BN133" s="278"/>
      <c r="BO133" s="278"/>
      <c r="BP133" s="278"/>
      <c r="BQ133" s="278"/>
      <c r="BR133" s="278"/>
      <c r="BS133" s="278"/>
      <c r="BT133" s="278"/>
      <c r="BU133" s="278"/>
      <c r="BV133" s="278"/>
      <c r="BW133" s="278"/>
      <c r="BX133" s="278"/>
      <c r="BY133" s="278"/>
      <c r="BZ133" s="278"/>
      <c r="CA133" s="278"/>
      <c r="CB133" s="278"/>
      <c r="CC133" s="278"/>
      <c r="CD133" s="278"/>
      <c r="CE133" s="278"/>
      <c r="CH133" s="212"/>
      <c r="CL133" s="249"/>
    </row>
    <row r="134" spans="1:90" s="114" customFormat="1" ht="11.25" customHeight="1">
      <c r="A134" s="249"/>
      <c r="B134" s="937"/>
      <c r="C134" s="937"/>
      <c r="D134" s="281"/>
      <c r="E134" s="282"/>
      <c r="F134" s="283" t="str">
        <f>F132 &amp; ".0"</f>
        <v>1.0</v>
      </c>
      <c r="G134" s="301" t="s">
        <v>136</v>
      </c>
      <c r="H134" s="749">
        <f>SUMIF('Список объектов'!$R$15:$R$19,$F134,'Список объектов'!$S$15:$S$19)</f>
        <v>5.6</v>
      </c>
      <c r="I134" s="292">
        <f>SUMIF('Список объектов'!$R$15:$R$19,$F134,'Список объектов'!$T$15:$T$19)</f>
        <v>4.82</v>
      </c>
      <c r="J134" s="392" t="str">
        <f>J132</f>
        <v>Тариф: Носитель - горячая вода (Т)</v>
      </c>
      <c r="K134" s="293">
        <f>L134+M134-V134+AM134-W134-AE134</f>
        <v>7596.3749999999991</v>
      </c>
      <c r="L134" s="292">
        <v>347.5</v>
      </c>
      <c r="M134" s="293">
        <f t="shared" ref="M134:M146" si="16">SUM(O134,R134:T134,U134,V134)</f>
        <v>4931.5249999999996</v>
      </c>
      <c r="N134" s="275"/>
      <c r="O134" s="293">
        <f t="shared" ref="O134:T134" si="17">SUM(O135:O146)</f>
        <v>0</v>
      </c>
      <c r="P134" s="293">
        <f t="shared" si="17"/>
        <v>0</v>
      </c>
      <c r="Q134" s="293">
        <f t="shared" si="17"/>
        <v>0</v>
      </c>
      <c r="R134" s="293">
        <f t="shared" si="17"/>
        <v>0</v>
      </c>
      <c r="S134" s="293">
        <f t="shared" si="17"/>
        <v>0</v>
      </c>
      <c r="T134" s="293">
        <f t="shared" si="17"/>
        <v>0</v>
      </c>
      <c r="U134" s="293">
        <f>SUM(U135:U146)</f>
        <v>0</v>
      </c>
      <c r="V134" s="293">
        <f>SUM(V135:V146)</f>
        <v>4931.5249999999996</v>
      </c>
      <c r="W134" s="294">
        <f>SUM(X134:Z134)</f>
        <v>0</v>
      </c>
      <c r="X134" s="292"/>
      <c r="Y134" s="292"/>
      <c r="Z134" s="292"/>
      <c r="AA134" s="294">
        <f>SUM(AB134:AD134)</f>
        <v>0</v>
      </c>
      <c r="AB134" s="292"/>
      <c r="AC134" s="292"/>
      <c r="AD134" s="292"/>
      <c r="AE134" s="294">
        <f>SUM(AF134:AH134)</f>
        <v>0</v>
      </c>
      <c r="AF134" s="292"/>
      <c r="AG134" s="292"/>
      <c r="AH134" s="292"/>
      <c r="AI134" s="294">
        <f>SUM(AJ134:AL134)</f>
        <v>0</v>
      </c>
      <c r="AJ134" s="292"/>
      <c r="AK134" s="292"/>
      <c r="AL134" s="292"/>
      <c r="AM134" s="293">
        <f>AN134+AO134</f>
        <v>7248.8749999999991</v>
      </c>
      <c r="AN134" s="292">
        <v>560.4</v>
      </c>
      <c r="AO134" s="293">
        <f>SUM(AO135:AO146)</f>
        <v>6688.4749999999995</v>
      </c>
      <c r="AP134" s="275"/>
      <c r="AQ134" s="293">
        <f t="shared" ref="AQ134:AX134" si="18">SUM(AQ135:AQ146)</f>
        <v>4371.1400000000003</v>
      </c>
      <c r="AR134" s="293">
        <f t="shared" si="18"/>
        <v>0</v>
      </c>
      <c r="AS134" s="293">
        <f t="shared" si="18"/>
        <v>4371.1400000000003</v>
      </c>
      <c r="AT134" s="293">
        <f t="shared" si="18"/>
        <v>0</v>
      </c>
      <c r="AU134" s="293">
        <f t="shared" si="18"/>
        <v>2317.335</v>
      </c>
      <c r="AV134" s="293">
        <f t="shared" si="18"/>
        <v>185.01300000000001</v>
      </c>
      <c r="AW134" s="293">
        <f t="shared" si="18"/>
        <v>0</v>
      </c>
      <c r="AX134" s="754">
        <f t="shared" si="18"/>
        <v>2132.3220000000001</v>
      </c>
      <c r="AY134" s="169"/>
      <c r="AZ134" s="169"/>
      <c r="BA134" s="277" t="s">
        <v>21</v>
      </c>
      <c r="BB134" s="169"/>
      <c r="BC134" s="278"/>
      <c r="BD134" s="278"/>
      <c r="BE134" s="278"/>
      <c r="BF134" s="278"/>
      <c r="BG134" s="278"/>
      <c r="BH134" s="278"/>
      <c r="BI134" s="278"/>
      <c r="BJ134" s="278"/>
      <c r="BK134" s="278"/>
      <c r="BL134" s="278"/>
      <c r="BM134" s="278"/>
      <c r="BN134" s="278"/>
      <c r="BO134" s="278"/>
      <c r="BP134" s="295">
        <f>SUM($U135:$U146)+SUM($AT135:$AT146)</f>
        <v>0</v>
      </c>
      <c r="BQ134" s="295">
        <f>SUM($R135:$R146)+SUM($AV135:$AV146)</f>
        <v>185.01300000000001</v>
      </c>
      <c r="BR134" s="295">
        <f>SUM($S135:$S146)+SUM($AW135:$AW146)</f>
        <v>0</v>
      </c>
      <c r="BS134" s="295">
        <f>SUM($T135:$T146)+SUM($AX135:$AX146)</f>
        <v>2132.3220000000001</v>
      </c>
      <c r="BT134" s="295"/>
      <c r="BU134" s="295">
        <f>SUM($U135:$U146)+SUM($AT135:$AT146)</f>
        <v>0</v>
      </c>
      <c r="BV134" s="295">
        <f>SUM($R135:$R146)+SUM($AV135:$AV146)</f>
        <v>185.01300000000001</v>
      </c>
      <c r="BW134" s="295">
        <f>SUM($S135:$S146)+SUM($AW135:$AW146)</f>
        <v>0</v>
      </c>
      <c r="BX134" s="295">
        <f>SUM($T135:$T146)+SUM($AX135:$AX146)</f>
        <v>2132.3220000000001</v>
      </c>
      <c r="BY134" s="295"/>
      <c r="BZ134" s="278"/>
      <c r="CA134" s="278"/>
      <c r="CB134" s="278"/>
      <c r="CC134" s="278"/>
      <c r="CD134" s="278"/>
      <c r="CE134" s="295">
        <f>M134-V134+AO134</f>
        <v>6688.4749999999995</v>
      </c>
      <c r="CH134" s="212"/>
      <c r="CL134" s="249"/>
    </row>
    <row r="135" spans="1:90" s="114" customFormat="1" ht="11.25" customHeight="1">
      <c r="A135" s="249"/>
      <c r="B135" s="937"/>
      <c r="C135" s="937"/>
      <c r="D135" s="281"/>
      <c r="E135" s="282"/>
      <c r="F135" s="283" t="str">
        <f>F132 &amp; ".1"</f>
        <v>1.1</v>
      </c>
      <c r="G135" s="301" t="s">
        <v>137</v>
      </c>
      <c r="H135" s="274"/>
      <c r="I135" s="274"/>
      <c r="J135" s="602" t="str">
        <f ca="1">IF(OFFSET('Список территорий'!CJ$15,$F132,0)="a","Y","N")</f>
        <v>Y</v>
      </c>
      <c r="K135" s="293">
        <f t="shared" ref="K135:K146" si="19">L135+M135-V135+AM135-W135-AE135</f>
        <v>104.40000000000009</v>
      </c>
      <c r="L135" s="292">
        <v>104.40000000000009</v>
      </c>
      <c r="M135" s="293">
        <f t="shared" si="16"/>
        <v>1481.5439999999999</v>
      </c>
      <c r="N135" s="275"/>
      <c r="O135" s="293">
        <f>SUM(P135:Q135)</f>
        <v>0</v>
      </c>
      <c r="P135" s="292"/>
      <c r="Q135" s="292"/>
      <c r="R135" s="292"/>
      <c r="S135" s="292"/>
      <c r="T135" s="292"/>
      <c r="U135" s="292"/>
      <c r="V135" s="292">
        <v>1481.5439999999999</v>
      </c>
      <c r="W135" s="275"/>
      <c r="X135" s="275"/>
      <c r="Y135" s="275"/>
      <c r="Z135" s="275"/>
      <c r="AA135" s="275"/>
      <c r="AB135" s="275"/>
      <c r="AC135" s="275"/>
      <c r="AD135" s="275"/>
      <c r="AE135" s="275"/>
      <c r="AF135" s="275"/>
      <c r="AG135" s="275"/>
      <c r="AH135" s="275"/>
      <c r="AI135" s="275"/>
      <c r="AJ135" s="275"/>
      <c r="AK135" s="275"/>
      <c r="AL135" s="275"/>
      <c r="AM135" s="275"/>
      <c r="AN135" s="275"/>
      <c r="AO135" s="293">
        <f t="shared" ref="AO135:AO146" si="20">SUM(AQ135,AT135,AU135)</f>
        <v>1477.7060000000001</v>
      </c>
      <c r="AP135" s="275"/>
      <c r="AQ135" s="293">
        <f>SUM(AR135:AS135)</f>
        <v>950.25</v>
      </c>
      <c r="AR135" s="292"/>
      <c r="AS135" s="292">
        <v>950.25</v>
      </c>
      <c r="AT135" s="292"/>
      <c r="AU135" s="293">
        <f t="shared" ref="AU135:AU146" si="21">SUM(AV135:AX135)</f>
        <v>527.45600000000002</v>
      </c>
      <c r="AV135" s="292">
        <v>4.6589999999999998</v>
      </c>
      <c r="AW135" s="292"/>
      <c r="AX135" s="245">
        <v>522.79700000000003</v>
      </c>
      <c r="AY135" s="169"/>
      <c r="AZ135" s="169"/>
      <c r="BA135" s="280" t="str">
        <f>C132 &amp; "-I"</f>
        <v>1.0-I</v>
      </c>
      <c r="BB135" s="169"/>
      <c r="BC135" s="278"/>
      <c r="BD135" s="278"/>
      <c r="BE135" s="278"/>
      <c r="BF135" s="278"/>
      <c r="BG135" s="278"/>
      <c r="BH135" s="278"/>
      <c r="BI135" s="278"/>
      <c r="BJ135" s="278"/>
      <c r="BK135" s="278"/>
      <c r="BL135" s="278"/>
      <c r="BM135" s="278"/>
      <c r="BN135" s="278"/>
      <c r="BO135" s="278"/>
      <c r="BP135" s="295">
        <f>SUM($U135:$U140)+SUM($AT135:$AT140)</f>
        <v>0</v>
      </c>
      <c r="BQ135" s="295">
        <f>SUM($R135:$R140)+SUM($AV135:$AV140)</f>
        <v>63.406000000000006</v>
      </c>
      <c r="BR135" s="295">
        <f>SUM($S135:$S140)+SUM($AW135:$AW140)</f>
        <v>0</v>
      </c>
      <c r="BS135" s="295">
        <f>SUM($T135:$T140)+SUM($AX135:$AX140)</f>
        <v>1257.854</v>
      </c>
      <c r="BT135" s="278"/>
      <c r="BU135" s="295">
        <f>SUM($U135:$U140)+SUM($AT135:$AT140)</f>
        <v>0</v>
      </c>
      <c r="BV135" s="295">
        <f>SUM($R135:$R140)+SUM($AV135:$AV140)</f>
        <v>63.406000000000006</v>
      </c>
      <c r="BW135" s="295">
        <f>SUM($S135:$S140)+SUM($AW135:$AW140)</f>
        <v>0</v>
      </c>
      <c r="BX135" s="295">
        <f>SUM($T135:$T140)+SUM($AX135:$AX140)</f>
        <v>1257.854</v>
      </c>
      <c r="BY135" s="278"/>
      <c r="BZ135" s="278"/>
      <c r="CA135" s="278"/>
      <c r="CB135" s="278"/>
      <c r="CC135" s="278"/>
      <c r="CD135" s="278"/>
      <c r="CE135" s="278"/>
      <c r="CH135" s="212"/>
      <c r="CL135" s="249"/>
    </row>
    <row r="136" spans="1:90" s="114" customFormat="1" ht="11.25" customHeight="1">
      <c r="A136" s="249"/>
      <c r="B136" s="937"/>
      <c r="C136" s="937"/>
      <c r="D136" s="281"/>
      <c r="E136" s="282"/>
      <c r="F136" s="283" t="str">
        <f>F132 &amp; ".2"</f>
        <v>1.2</v>
      </c>
      <c r="G136" s="301" t="s">
        <v>138</v>
      </c>
      <c r="H136" s="274"/>
      <c r="I136" s="274"/>
      <c r="J136" s="602" t="str">
        <f ca="1">IF(OFFSET('Список территорий'!CK$15,$F132,0)="a","Y","N")</f>
        <v>Y</v>
      </c>
      <c r="K136" s="293">
        <f t="shared" si="19"/>
        <v>70.700000000000045</v>
      </c>
      <c r="L136" s="292">
        <v>70.700000000000045</v>
      </c>
      <c r="M136" s="293">
        <f t="shared" si="16"/>
        <v>1038.578</v>
      </c>
      <c r="N136" s="275"/>
      <c r="O136" s="293">
        <f t="shared" ref="O136:O146" si="22">SUM(P136:Q136)</f>
        <v>0</v>
      </c>
      <c r="P136" s="292"/>
      <c r="Q136" s="292"/>
      <c r="R136" s="292"/>
      <c r="S136" s="292"/>
      <c r="T136" s="292"/>
      <c r="U136" s="292"/>
      <c r="V136" s="292">
        <v>1038.578</v>
      </c>
      <c r="W136" s="275"/>
      <c r="X136" s="275"/>
      <c r="Y136" s="275"/>
      <c r="Z136" s="275"/>
      <c r="AA136" s="275"/>
      <c r="AB136" s="275"/>
      <c r="AC136" s="275"/>
      <c r="AD136" s="275"/>
      <c r="AE136" s="275"/>
      <c r="AF136" s="275"/>
      <c r="AG136" s="275"/>
      <c r="AH136" s="275"/>
      <c r="AI136" s="275"/>
      <c r="AJ136" s="275"/>
      <c r="AK136" s="275"/>
      <c r="AL136" s="275"/>
      <c r="AM136" s="275"/>
      <c r="AN136" s="275"/>
      <c r="AO136" s="293">
        <f t="shared" si="20"/>
        <v>1284.3719999999998</v>
      </c>
      <c r="AP136" s="275"/>
      <c r="AQ136" s="293">
        <f t="shared" ref="AQ136:AQ146" si="23">SUM(AR136:AS136)</f>
        <v>805.65</v>
      </c>
      <c r="AR136" s="292"/>
      <c r="AS136" s="292">
        <v>805.65</v>
      </c>
      <c r="AT136" s="292"/>
      <c r="AU136" s="293">
        <f t="shared" si="21"/>
        <v>478.72199999999998</v>
      </c>
      <c r="AV136" s="292">
        <v>30.681999999999999</v>
      </c>
      <c r="AW136" s="292"/>
      <c r="AX136" s="245">
        <v>448.03999999999996</v>
      </c>
      <c r="AY136" s="169"/>
      <c r="AZ136" s="169"/>
      <c r="BA136" s="280" t="str">
        <f>C132 &amp; "-I"</f>
        <v>1.0-I</v>
      </c>
      <c r="BB136" s="169"/>
      <c r="BC136" s="278"/>
      <c r="BD136" s="278"/>
      <c r="BE136" s="278"/>
      <c r="BF136" s="278"/>
      <c r="BG136" s="278"/>
      <c r="BH136" s="278"/>
      <c r="BI136" s="278"/>
      <c r="BJ136" s="278"/>
      <c r="BK136" s="278"/>
      <c r="BL136" s="278"/>
      <c r="BM136" s="278"/>
      <c r="BN136" s="278"/>
      <c r="BO136" s="278"/>
      <c r="BP136" s="278"/>
      <c r="BQ136" s="278"/>
      <c r="BR136" s="278"/>
      <c r="BS136" s="278"/>
      <c r="BT136" s="278"/>
      <c r="BU136" s="278"/>
      <c r="BV136" s="278"/>
      <c r="BW136" s="278"/>
      <c r="BX136" s="278"/>
      <c r="BY136" s="278"/>
      <c r="BZ136" s="278"/>
      <c r="CA136" s="278"/>
      <c r="CB136" s="278"/>
      <c r="CC136" s="278"/>
      <c r="CD136" s="278"/>
      <c r="CE136" s="278"/>
      <c r="CH136" s="212"/>
      <c r="CL136" s="249"/>
    </row>
    <row r="137" spans="1:90" s="114" customFormat="1" ht="11.25" customHeight="1">
      <c r="A137" s="249"/>
      <c r="B137" s="937"/>
      <c r="C137" s="937"/>
      <c r="D137" s="281"/>
      <c r="E137" s="282"/>
      <c r="F137" s="283" t="str">
        <f>F132 &amp; ".3"</f>
        <v>1.3</v>
      </c>
      <c r="G137" s="301" t="s">
        <v>139</v>
      </c>
      <c r="H137" s="274"/>
      <c r="I137" s="274"/>
      <c r="J137" s="602" t="str">
        <f ca="1">IF(OFFSET('Список территорий'!CL$15,$F132,0)="a","Y","N")</f>
        <v>Y</v>
      </c>
      <c r="K137" s="293">
        <f t="shared" si="19"/>
        <v>45</v>
      </c>
      <c r="L137" s="292">
        <v>45</v>
      </c>
      <c r="M137" s="293">
        <f t="shared" si="16"/>
        <v>565.91800000000012</v>
      </c>
      <c r="N137" s="275"/>
      <c r="O137" s="293">
        <f t="shared" si="22"/>
        <v>0</v>
      </c>
      <c r="P137" s="292"/>
      <c r="Q137" s="292"/>
      <c r="R137" s="292"/>
      <c r="S137" s="292"/>
      <c r="T137" s="292"/>
      <c r="U137" s="292"/>
      <c r="V137" s="292">
        <v>565.91800000000012</v>
      </c>
      <c r="W137" s="275"/>
      <c r="X137" s="275"/>
      <c r="Y137" s="275"/>
      <c r="Z137" s="275"/>
      <c r="AA137" s="275"/>
      <c r="AB137" s="275"/>
      <c r="AC137" s="275"/>
      <c r="AD137" s="275"/>
      <c r="AE137" s="275"/>
      <c r="AF137" s="275"/>
      <c r="AG137" s="275"/>
      <c r="AH137" s="275"/>
      <c r="AI137" s="275"/>
      <c r="AJ137" s="275"/>
      <c r="AK137" s="275"/>
      <c r="AL137" s="275"/>
      <c r="AM137" s="275"/>
      <c r="AN137" s="275"/>
      <c r="AO137" s="293">
        <f t="shared" si="20"/>
        <v>1065.0819999999999</v>
      </c>
      <c r="AP137" s="275"/>
      <c r="AQ137" s="293">
        <f t="shared" si="23"/>
        <v>750</v>
      </c>
      <c r="AR137" s="292"/>
      <c r="AS137" s="292">
        <v>750</v>
      </c>
      <c r="AT137" s="292"/>
      <c r="AU137" s="293">
        <f t="shared" si="21"/>
        <v>315.08199999999999</v>
      </c>
      <c r="AV137" s="292">
        <v>28.065000000000001</v>
      </c>
      <c r="AW137" s="292"/>
      <c r="AX137" s="245">
        <v>287.017</v>
      </c>
      <c r="AY137" s="169"/>
      <c r="AZ137" s="169"/>
      <c r="BA137" s="280" t="str">
        <f>C132 &amp; "-I"</f>
        <v>1.0-I</v>
      </c>
      <c r="BB137" s="169"/>
      <c r="BC137" s="278"/>
      <c r="BD137" s="278"/>
      <c r="BE137" s="278"/>
      <c r="BF137" s="278"/>
      <c r="BG137" s="278"/>
      <c r="BH137" s="278"/>
      <c r="BI137" s="278"/>
      <c r="BJ137" s="278"/>
      <c r="BK137" s="278"/>
      <c r="BL137" s="278"/>
      <c r="BM137" s="278"/>
      <c r="BN137" s="278"/>
      <c r="BO137" s="278"/>
      <c r="BP137" s="278"/>
      <c r="BQ137" s="278"/>
      <c r="BR137" s="278"/>
      <c r="BS137" s="278"/>
      <c r="BT137" s="278"/>
      <c r="BU137" s="278"/>
      <c r="BV137" s="278"/>
      <c r="BW137" s="278"/>
      <c r="BX137" s="278"/>
      <c r="BY137" s="278"/>
      <c r="BZ137" s="278"/>
      <c r="CA137" s="278"/>
      <c r="CB137" s="278"/>
      <c r="CC137" s="278"/>
      <c r="CD137" s="278"/>
      <c r="CE137" s="278"/>
      <c r="CH137" s="212"/>
      <c r="CL137" s="249"/>
    </row>
    <row r="138" spans="1:90" s="114" customFormat="1" ht="11.25" customHeight="1">
      <c r="A138" s="249"/>
      <c r="B138" s="937"/>
      <c r="C138" s="937"/>
      <c r="D138" s="281"/>
      <c r="E138" s="282"/>
      <c r="F138" s="283" t="str">
        <f>F132 &amp; ".4"</f>
        <v>1.4</v>
      </c>
      <c r="G138" s="301" t="s">
        <v>140</v>
      </c>
      <c r="H138" s="274"/>
      <c r="I138" s="274"/>
      <c r="J138" s="602" t="str">
        <f ca="1">IF(OFFSET('Список территорий'!CM$15,$F132,0)="a","Y","N")</f>
        <v>Y</v>
      </c>
      <c r="K138" s="293">
        <f t="shared" si="19"/>
        <v>0</v>
      </c>
      <c r="L138" s="292"/>
      <c r="M138" s="293">
        <f t="shared" si="16"/>
        <v>0</v>
      </c>
      <c r="N138" s="275"/>
      <c r="O138" s="293">
        <f t="shared" si="22"/>
        <v>0</v>
      </c>
      <c r="P138" s="292"/>
      <c r="Q138" s="292"/>
      <c r="R138" s="292"/>
      <c r="S138" s="292"/>
      <c r="T138" s="292"/>
      <c r="U138" s="292"/>
      <c r="V138" s="292"/>
      <c r="W138" s="275"/>
      <c r="X138" s="275"/>
      <c r="Y138" s="275"/>
      <c r="Z138" s="275"/>
      <c r="AA138" s="275"/>
      <c r="AB138" s="275"/>
      <c r="AC138" s="275"/>
      <c r="AD138" s="275"/>
      <c r="AE138" s="275"/>
      <c r="AF138" s="275"/>
      <c r="AG138" s="275"/>
      <c r="AH138" s="275"/>
      <c r="AI138" s="275"/>
      <c r="AJ138" s="275"/>
      <c r="AK138" s="275"/>
      <c r="AL138" s="275"/>
      <c r="AM138" s="275"/>
      <c r="AN138" s="275"/>
      <c r="AO138" s="293">
        <f t="shared" si="20"/>
        <v>0</v>
      </c>
      <c r="AP138" s="275"/>
      <c r="AQ138" s="293">
        <f t="shared" si="23"/>
        <v>0</v>
      </c>
      <c r="AR138" s="292"/>
      <c r="AS138" s="292"/>
      <c r="AT138" s="292"/>
      <c r="AU138" s="293">
        <f t="shared" si="21"/>
        <v>0</v>
      </c>
      <c r="AV138" s="292"/>
      <c r="AW138" s="292"/>
      <c r="AX138" s="245"/>
      <c r="AY138" s="169"/>
      <c r="AZ138" s="169"/>
      <c r="BA138" s="280" t="str">
        <f>C132 &amp; "-I"</f>
        <v>1.0-I</v>
      </c>
      <c r="BB138" s="169"/>
      <c r="BC138" s="278"/>
      <c r="BD138" s="278"/>
      <c r="BE138" s="278"/>
      <c r="BF138" s="278"/>
      <c r="BG138" s="278"/>
      <c r="BH138" s="278"/>
      <c r="BI138" s="278"/>
      <c r="BJ138" s="278"/>
      <c r="BK138" s="278"/>
      <c r="BL138" s="278"/>
      <c r="BM138" s="278"/>
      <c r="BN138" s="278"/>
      <c r="BO138" s="278"/>
      <c r="BP138" s="278"/>
      <c r="BQ138" s="278"/>
      <c r="BR138" s="278"/>
      <c r="BS138" s="278"/>
      <c r="BT138" s="278"/>
      <c r="BU138" s="278"/>
      <c r="BV138" s="278"/>
      <c r="BW138" s="278"/>
      <c r="BX138" s="278"/>
      <c r="BY138" s="278"/>
      <c r="BZ138" s="278"/>
      <c r="CA138" s="278"/>
      <c r="CB138" s="278"/>
      <c r="CC138" s="278"/>
      <c r="CD138" s="278"/>
      <c r="CE138" s="278"/>
      <c r="CH138" s="212"/>
      <c r="CL138" s="249"/>
    </row>
    <row r="139" spans="1:90" s="114" customFormat="1" ht="11.25" customHeight="1">
      <c r="A139" s="249"/>
      <c r="B139" s="937"/>
      <c r="C139" s="937"/>
      <c r="D139" s="281"/>
      <c r="E139" s="282"/>
      <c r="F139" s="283" t="str">
        <f>F132 &amp; ".5"</f>
        <v>1.5</v>
      </c>
      <c r="G139" s="301" t="s">
        <v>141</v>
      </c>
      <c r="H139" s="274"/>
      <c r="I139" s="274"/>
      <c r="J139" s="602" t="str">
        <f ca="1">IF(OFFSET('Список территорий'!CN$15,$F132,0)="a","Y","N")</f>
        <v>Y</v>
      </c>
      <c r="K139" s="293">
        <f t="shared" si="19"/>
        <v>0</v>
      </c>
      <c r="L139" s="292"/>
      <c r="M139" s="293">
        <f t="shared" si="16"/>
        <v>0</v>
      </c>
      <c r="N139" s="275"/>
      <c r="O139" s="293">
        <f t="shared" si="22"/>
        <v>0</v>
      </c>
      <c r="P139" s="292"/>
      <c r="Q139" s="292"/>
      <c r="R139" s="292"/>
      <c r="S139" s="292"/>
      <c r="T139" s="292"/>
      <c r="U139" s="292"/>
      <c r="V139" s="292"/>
      <c r="W139" s="275"/>
      <c r="X139" s="275"/>
      <c r="Y139" s="275"/>
      <c r="Z139" s="275"/>
      <c r="AA139" s="275"/>
      <c r="AB139" s="275"/>
      <c r="AC139" s="275"/>
      <c r="AD139" s="275"/>
      <c r="AE139" s="275"/>
      <c r="AF139" s="275"/>
      <c r="AG139" s="275"/>
      <c r="AH139" s="275"/>
      <c r="AI139" s="275"/>
      <c r="AJ139" s="275"/>
      <c r="AK139" s="275"/>
      <c r="AL139" s="275"/>
      <c r="AM139" s="275"/>
      <c r="AN139" s="275"/>
      <c r="AO139" s="293">
        <f t="shared" si="20"/>
        <v>0</v>
      </c>
      <c r="AP139" s="275"/>
      <c r="AQ139" s="293">
        <f t="shared" si="23"/>
        <v>0</v>
      </c>
      <c r="AR139" s="292"/>
      <c r="AS139" s="292"/>
      <c r="AT139" s="292"/>
      <c r="AU139" s="293">
        <f t="shared" si="21"/>
        <v>0</v>
      </c>
      <c r="AV139" s="292"/>
      <c r="AW139" s="292"/>
      <c r="AX139" s="245"/>
      <c r="AY139" s="169"/>
      <c r="AZ139" s="169"/>
      <c r="BA139" s="280" t="str">
        <f>C132 &amp; "-I"</f>
        <v>1.0-I</v>
      </c>
      <c r="BB139" s="169"/>
      <c r="BC139" s="278"/>
      <c r="BD139" s="278"/>
      <c r="BE139" s="278"/>
      <c r="BF139" s="278"/>
      <c r="BG139" s="278"/>
      <c r="BH139" s="278"/>
      <c r="BI139" s="278"/>
      <c r="BJ139" s="278"/>
      <c r="BK139" s="278"/>
      <c r="BL139" s="278"/>
      <c r="BM139" s="278"/>
      <c r="BN139" s="278"/>
      <c r="BO139" s="278"/>
      <c r="BP139" s="278"/>
      <c r="BQ139" s="278"/>
      <c r="BR139" s="278"/>
      <c r="BS139" s="278"/>
      <c r="BT139" s="278"/>
      <c r="BU139" s="278"/>
      <c r="BV139" s="278"/>
      <c r="BW139" s="278"/>
      <c r="BX139" s="278"/>
      <c r="BY139" s="278"/>
      <c r="BZ139" s="278"/>
      <c r="CA139" s="278"/>
      <c r="CB139" s="278"/>
      <c r="CC139" s="278"/>
      <c r="CD139" s="278"/>
      <c r="CE139" s="278"/>
      <c r="CH139" s="212"/>
      <c r="CL139" s="249"/>
    </row>
    <row r="140" spans="1:90" s="114" customFormat="1" ht="11.25" customHeight="1">
      <c r="A140" s="249"/>
      <c r="B140" s="937"/>
      <c r="C140" s="937"/>
      <c r="D140" s="281"/>
      <c r="E140" s="282"/>
      <c r="F140" s="283" t="str">
        <f>F132 &amp; ".6"</f>
        <v>1.6</v>
      </c>
      <c r="G140" s="301" t="s">
        <v>142</v>
      </c>
      <c r="H140" s="274"/>
      <c r="I140" s="274"/>
      <c r="J140" s="602" t="str">
        <f ca="1">IF(OFFSET('Список территорий'!CO$15,$F132,0)="a","Y","N")</f>
        <v>Y</v>
      </c>
      <c r="K140" s="293">
        <f t="shared" si="19"/>
        <v>0</v>
      </c>
      <c r="L140" s="292"/>
      <c r="M140" s="293">
        <f t="shared" si="16"/>
        <v>0</v>
      </c>
      <c r="N140" s="275"/>
      <c r="O140" s="293">
        <f t="shared" si="22"/>
        <v>0</v>
      </c>
      <c r="P140" s="292"/>
      <c r="Q140" s="292"/>
      <c r="R140" s="292"/>
      <c r="S140" s="292"/>
      <c r="T140" s="292"/>
      <c r="U140" s="292"/>
      <c r="V140" s="292"/>
      <c r="W140" s="275"/>
      <c r="X140" s="275"/>
      <c r="Y140" s="275"/>
      <c r="Z140" s="275"/>
      <c r="AA140" s="275"/>
      <c r="AB140" s="275"/>
      <c r="AC140" s="275"/>
      <c r="AD140" s="275"/>
      <c r="AE140" s="275"/>
      <c r="AF140" s="275"/>
      <c r="AG140" s="275"/>
      <c r="AH140" s="275"/>
      <c r="AI140" s="275"/>
      <c r="AJ140" s="275"/>
      <c r="AK140" s="275"/>
      <c r="AL140" s="275"/>
      <c r="AM140" s="275"/>
      <c r="AN140" s="275"/>
      <c r="AO140" s="293">
        <f t="shared" si="20"/>
        <v>0</v>
      </c>
      <c r="AP140" s="275"/>
      <c r="AQ140" s="293">
        <f t="shared" si="23"/>
        <v>0</v>
      </c>
      <c r="AR140" s="292"/>
      <c r="AS140" s="292"/>
      <c r="AT140" s="292"/>
      <c r="AU140" s="293">
        <f t="shared" si="21"/>
        <v>0</v>
      </c>
      <c r="AV140" s="292"/>
      <c r="AW140" s="292"/>
      <c r="AX140" s="245"/>
      <c r="AY140" s="169"/>
      <c r="AZ140" s="169"/>
      <c r="BA140" s="280" t="str">
        <f>C132 &amp; "-I"</f>
        <v>1.0-I</v>
      </c>
      <c r="BB140" s="169"/>
      <c r="BC140" s="278"/>
      <c r="BD140" s="278"/>
      <c r="BE140" s="278"/>
      <c r="BF140" s="278"/>
      <c r="BG140" s="278"/>
      <c r="BH140" s="278"/>
      <c r="BI140" s="278"/>
      <c r="BJ140" s="278"/>
      <c r="BK140" s="278"/>
      <c r="BL140" s="278"/>
      <c r="BM140" s="278"/>
      <c r="BN140" s="278"/>
      <c r="BO140" s="278"/>
      <c r="BP140" s="278"/>
      <c r="BQ140" s="278"/>
      <c r="BR140" s="278"/>
      <c r="BS140" s="278"/>
      <c r="BT140" s="278"/>
      <c r="BU140" s="278"/>
      <c r="BV140" s="278"/>
      <c r="BW140" s="278"/>
      <c r="BX140" s="278"/>
      <c r="BY140" s="278"/>
      <c r="BZ140" s="278"/>
      <c r="CA140" s="278"/>
      <c r="CB140" s="278"/>
      <c r="CC140" s="278"/>
      <c r="CD140" s="278"/>
      <c r="CE140" s="278"/>
      <c r="CH140" s="212"/>
      <c r="CL140" s="249"/>
    </row>
    <row r="141" spans="1:90" s="114" customFormat="1" ht="11.25" customHeight="1">
      <c r="A141" s="249"/>
      <c r="B141" s="937"/>
      <c r="C141" s="937"/>
      <c r="D141" s="281"/>
      <c r="E141" s="282"/>
      <c r="F141" s="283" t="str">
        <f>F132 &amp; ".7"</f>
        <v>1.7</v>
      </c>
      <c r="G141" s="301" t="s">
        <v>143</v>
      </c>
      <c r="H141" s="274"/>
      <c r="I141" s="274"/>
      <c r="J141" s="602" t="str">
        <f ca="1">IF(OFFSET('Список территорий'!CP$15,$F132,0)="a","Y","N")</f>
        <v>Y</v>
      </c>
      <c r="K141" s="293">
        <f t="shared" si="19"/>
        <v>0</v>
      </c>
      <c r="L141" s="292"/>
      <c r="M141" s="293">
        <f t="shared" si="16"/>
        <v>0</v>
      </c>
      <c r="N141" s="275"/>
      <c r="O141" s="293">
        <f t="shared" si="22"/>
        <v>0</v>
      </c>
      <c r="P141" s="292"/>
      <c r="Q141" s="292"/>
      <c r="R141" s="292"/>
      <c r="S141" s="292"/>
      <c r="T141" s="292"/>
      <c r="U141" s="292"/>
      <c r="V141" s="292"/>
      <c r="W141" s="275"/>
      <c r="X141" s="275"/>
      <c r="Y141" s="275"/>
      <c r="Z141" s="275"/>
      <c r="AA141" s="275"/>
      <c r="AB141" s="275"/>
      <c r="AC141" s="275"/>
      <c r="AD141" s="275"/>
      <c r="AE141" s="275"/>
      <c r="AF141" s="275"/>
      <c r="AG141" s="275"/>
      <c r="AH141" s="275"/>
      <c r="AI141" s="275"/>
      <c r="AJ141" s="275"/>
      <c r="AK141" s="275"/>
      <c r="AL141" s="275"/>
      <c r="AM141" s="275"/>
      <c r="AN141" s="275"/>
      <c r="AO141" s="293">
        <f t="shared" si="20"/>
        <v>0</v>
      </c>
      <c r="AP141" s="275"/>
      <c r="AQ141" s="293">
        <f t="shared" si="23"/>
        <v>0</v>
      </c>
      <c r="AR141" s="292"/>
      <c r="AS141" s="292"/>
      <c r="AT141" s="292"/>
      <c r="AU141" s="293">
        <f t="shared" si="21"/>
        <v>0</v>
      </c>
      <c r="AV141" s="292"/>
      <c r="AW141" s="292"/>
      <c r="AX141" s="245"/>
      <c r="AY141" s="169"/>
      <c r="AZ141" s="169"/>
      <c r="BA141" s="280" t="str">
        <f>C132 &amp; "-II"</f>
        <v>1.0-II</v>
      </c>
      <c r="BB141" s="169"/>
      <c r="BC141" s="278"/>
      <c r="BD141" s="278"/>
      <c r="BE141" s="278"/>
      <c r="BF141" s="278"/>
      <c r="BG141" s="278"/>
      <c r="BH141" s="278"/>
      <c r="BI141" s="278"/>
      <c r="BJ141" s="278"/>
      <c r="BK141" s="278"/>
      <c r="BL141" s="278"/>
      <c r="BM141" s="278"/>
      <c r="BN141" s="278"/>
      <c r="BO141" s="278"/>
      <c r="BP141" s="295">
        <f>SUM($U141:$U146)+SUM($AT141:$AT146)</f>
        <v>0</v>
      </c>
      <c r="BQ141" s="295">
        <f>SUM($R141:$R146)+SUM($AV141:$AV146)</f>
        <v>121.607</v>
      </c>
      <c r="BR141" s="295">
        <f>SUM($S141:$S146)+SUM($AW141:$AW146)</f>
        <v>0</v>
      </c>
      <c r="BS141" s="295">
        <f>SUM($T141:$T146)+SUM($AX141:$AX146)</f>
        <v>874.46799999999996</v>
      </c>
      <c r="BT141" s="278"/>
      <c r="BU141" s="295">
        <f>SUM($U141:$U146)+SUM($AT141:$AT146)</f>
        <v>0</v>
      </c>
      <c r="BV141" s="295">
        <f>SUM($R141:$R146)+SUM($AV141:$AV146)</f>
        <v>121.607</v>
      </c>
      <c r="BW141" s="295">
        <f>SUM($S141:$S146)+SUM($AW141:$AW146)</f>
        <v>0</v>
      </c>
      <c r="BX141" s="295">
        <f>SUM($T141:$T146)+SUM($AX141:$AX146)</f>
        <v>874.46799999999996</v>
      </c>
      <c r="BY141" s="278"/>
      <c r="BZ141" s="278"/>
      <c r="CA141" s="278"/>
      <c r="CB141" s="278"/>
      <c r="CC141" s="278"/>
      <c r="CD141" s="278"/>
      <c r="CE141" s="278"/>
      <c r="CH141" s="212"/>
      <c r="CL141" s="249"/>
    </row>
    <row r="142" spans="1:90" s="114" customFormat="1" ht="11.25" customHeight="1">
      <c r="A142" s="249"/>
      <c r="B142" s="937"/>
      <c r="C142" s="937"/>
      <c r="D142" s="281"/>
      <c r="E142" s="282"/>
      <c r="F142" s="283" t="str">
        <f>F132 &amp; ".8"</f>
        <v>1.8</v>
      </c>
      <c r="G142" s="301" t="s">
        <v>144</v>
      </c>
      <c r="H142" s="274"/>
      <c r="I142" s="274"/>
      <c r="J142" s="602" t="str">
        <f ca="1">IF(OFFSET('Список территорий'!CQ$15,$F132,0)="a","Y","N")</f>
        <v>Y</v>
      </c>
      <c r="K142" s="293">
        <f t="shared" si="19"/>
        <v>0</v>
      </c>
      <c r="L142" s="292"/>
      <c r="M142" s="293">
        <f t="shared" si="16"/>
        <v>0</v>
      </c>
      <c r="N142" s="275"/>
      <c r="O142" s="293">
        <f t="shared" si="22"/>
        <v>0</v>
      </c>
      <c r="P142" s="292"/>
      <c r="Q142" s="292"/>
      <c r="R142" s="292"/>
      <c r="S142" s="292"/>
      <c r="T142" s="292"/>
      <c r="U142" s="292"/>
      <c r="V142" s="292"/>
      <c r="W142" s="275"/>
      <c r="X142" s="275"/>
      <c r="Y142" s="275"/>
      <c r="Z142" s="275"/>
      <c r="AA142" s="275"/>
      <c r="AB142" s="275"/>
      <c r="AC142" s="275"/>
      <c r="AD142" s="275"/>
      <c r="AE142" s="275"/>
      <c r="AF142" s="275"/>
      <c r="AG142" s="275"/>
      <c r="AH142" s="275"/>
      <c r="AI142" s="275"/>
      <c r="AJ142" s="275"/>
      <c r="AK142" s="275"/>
      <c r="AL142" s="275"/>
      <c r="AM142" s="275"/>
      <c r="AN142" s="275"/>
      <c r="AO142" s="293">
        <f t="shared" si="20"/>
        <v>0</v>
      </c>
      <c r="AP142" s="275"/>
      <c r="AQ142" s="293">
        <f t="shared" si="23"/>
        <v>0</v>
      </c>
      <c r="AR142" s="292"/>
      <c r="AS142" s="292"/>
      <c r="AT142" s="292"/>
      <c r="AU142" s="293">
        <f t="shared" si="21"/>
        <v>0</v>
      </c>
      <c r="AV142" s="292"/>
      <c r="AW142" s="292"/>
      <c r="AX142" s="245"/>
      <c r="AY142" s="169"/>
      <c r="AZ142" s="169"/>
      <c r="BA142" s="280" t="str">
        <f>C132 &amp; "-II"</f>
        <v>1.0-II</v>
      </c>
      <c r="BB142" s="169"/>
      <c r="BC142" s="278"/>
      <c r="BD142" s="278"/>
      <c r="BE142" s="278"/>
      <c r="BF142" s="278"/>
      <c r="BG142" s="278"/>
      <c r="BH142" s="278"/>
      <c r="BI142" s="278"/>
      <c r="BJ142" s="278"/>
      <c r="BK142" s="278"/>
      <c r="BL142" s="278"/>
      <c r="BM142" s="278"/>
      <c r="BN142" s="278"/>
      <c r="BO142" s="278"/>
      <c r="BP142" s="278"/>
      <c r="BQ142" s="278"/>
      <c r="BR142" s="278"/>
      <c r="BS142" s="278"/>
      <c r="BT142" s="278"/>
      <c r="BU142" s="278"/>
      <c r="BV142" s="278"/>
      <c r="BW142" s="278"/>
      <c r="BX142" s="278"/>
      <c r="BY142" s="278"/>
      <c r="BZ142" s="278"/>
      <c r="CA142" s="278"/>
      <c r="CB142" s="278"/>
      <c r="CC142" s="278"/>
      <c r="CD142" s="278"/>
      <c r="CE142" s="278"/>
      <c r="CH142" s="212"/>
      <c r="CL142" s="249"/>
    </row>
    <row r="143" spans="1:90" s="114" customFormat="1" ht="11.25" customHeight="1">
      <c r="A143" s="249"/>
      <c r="B143" s="937"/>
      <c r="C143" s="937"/>
      <c r="D143" s="281"/>
      <c r="E143" s="282"/>
      <c r="F143" s="283" t="str">
        <f>F132 &amp; ".9"</f>
        <v>1.9</v>
      </c>
      <c r="G143" s="301" t="s">
        <v>145</v>
      </c>
      <c r="H143" s="274"/>
      <c r="I143" s="274"/>
      <c r="J143" s="602" t="str">
        <f ca="1">IF(OFFSET('Список территорий'!CR$15,$F132,0)="a","Y","N")</f>
        <v>Y</v>
      </c>
      <c r="K143" s="293">
        <f t="shared" si="19"/>
        <v>0</v>
      </c>
      <c r="L143" s="292"/>
      <c r="M143" s="293">
        <f t="shared" si="16"/>
        <v>0</v>
      </c>
      <c r="N143" s="275"/>
      <c r="O143" s="293">
        <f t="shared" si="22"/>
        <v>0</v>
      </c>
      <c r="P143" s="292"/>
      <c r="Q143" s="292"/>
      <c r="R143" s="292"/>
      <c r="S143" s="292"/>
      <c r="T143" s="292"/>
      <c r="U143" s="292"/>
      <c r="V143" s="292"/>
      <c r="W143" s="275"/>
      <c r="X143" s="275"/>
      <c r="Y143" s="275"/>
      <c r="Z143" s="275"/>
      <c r="AA143" s="275"/>
      <c r="AB143" s="275"/>
      <c r="AC143" s="275"/>
      <c r="AD143" s="275"/>
      <c r="AE143" s="275"/>
      <c r="AF143" s="275"/>
      <c r="AG143" s="275"/>
      <c r="AH143" s="275"/>
      <c r="AI143" s="275"/>
      <c r="AJ143" s="275"/>
      <c r="AK143" s="275"/>
      <c r="AL143" s="275"/>
      <c r="AM143" s="275"/>
      <c r="AN143" s="275"/>
      <c r="AO143" s="293">
        <f t="shared" si="20"/>
        <v>0</v>
      </c>
      <c r="AP143" s="275"/>
      <c r="AQ143" s="293">
        <f t="shared" si="23"/>
        <v>0</v>
      </c>
      <c r="AR143" s="292"/>
      <c r="AS143" s="292"/>
      <c r="AT143" s="292"/>
      <c r="AU143" s="293">
        <f t="shared" si="21"/>
        <v>0</v>
      </c>
      <c r="AV143" s="292"/>
      <c r="AW143" s="292"/>
      <c r="AX143" s="245"/>
      <c r="AY143" s="169"/>
      <c r="AZ143" s="169"/>
      <c r="BA143" s="280" t="str">
        <f>C132 &amp; "-II"</f>
        <v>1.0-II</v>
      </c>
      <c r="BB143" s="169"/>
      <c r="BC143" s="278"/>
      <c r="BD143" s="278"/>
      <c r="BE143" s="278"/>
      <c r="BF143" s="278"/>
      <c r="BG143" s="278"/>
      <c r="BH143" s="278"/>
      <c r="BI143" s="278"/>
      <c r="BJ143" s="278"/>
      <c r="BK143" s="278"/>
      <c r="BL143" s="278"/>
      <c r="BM143" s="278"/>
      <c r="BN143" s="278"/>
      <c r="BO143" s="278"/>
      <c r="BP143" s="278"/>
      <c r="BQ143" s="278"/>
      <c r="BR143" s="278"/>
      <c r="BS143" s="278"/>
      <c r="BT143" s="278"/>
      <c r="BU143" s="278"/>
      <c r="BV143" s="278"/>
      <c r="BW143" s="278"/>
      <c r="BX143" s="278"/>
      <c r="BY143" s="278"/>
      <c r="BZ143" s="278"/>
      <c r="CA143" s="278"/>
      <c r="CB143" s="278"/>
      <c r="CC143" s="278"/>
      <c r="CD143" s="278"/>
      <c r="CE143" s="278"/>
      <c r="CH143" s="212"/>
      <c r="CL143" s="249"/>
    </row>
    <row r="144" spans="1:90" s="114" customFormat="1" ht="11.25" customHeight="1">
      <c r="A144" s="249"/>
      <c r="B144" s="937"/>
      <c r="C144" s="937"/>
      <c r="D144" s="281"/>
      <c r="E144" s="282"/>
      <c r="F144" s="283" t="str">
        <f>F132 &amp; ".10"</f>
        <v>1.10</v>
      </c>
      <c r="G144" s="301" t="s">
        <v>146</v>
      </c>
      <c r="H144" s="274"/>
      <c r="I144" s="274"/>
      <c r="J144" s="602" t="str">
        <f ca="1">IF(OFFSET('Список территорий'!CS$15,$F132,0)="a","Y","N")</f>
        <v>Y</v>
      </c>
      <c r="K144" s="293">
        <f t="shared" si="19"/>
        <v>32</v>
      </c>
      <c r="L144" s="292">
        <v>32</v>
      </c>
      <c r="M144" s="293">
        <f t="shared" si="16"/>
        <v>364.59999999999997</v>
      </c>
      <c r="N144" s="275"/>
      <c r="O144" s="293">
        <f t="shared" si="22"/>
        <v>0</v>
      </c>
      <c r="P144" s="292"/>
      <c r="Q144" s="292"/>
      <c r="R144" s="292"/>
      <c r="S144" s="292"/>
      <c r="T144" s="292"/>
      <c r="U144" s="292"/>
      <c r="V144" s="292">
        <v>364.59999999999997</v>
      </c>
      <c r="W144" s="275"/>
      <c r="X144" s="275"/>
      <c r="Y144" s="275"/>
      <c r="Z144" s="275"/>
      <c r="AA144" s="275"/>
      <c r="AB144" s="275"/>
      <c r="AC144" s="275"/>
      <c r="AD144" s="275"/>
      <c r="AE144" s="275"/>
      <c r="AF144" s="275"/>
      <c r="AG144" s="275"/>
      <c r="AH144" s="275"/>
      <c r="AI144" s="275"/>
      <c r="AJ144" s="275"/>
      <c r="AK144" s="275"/>
      <c r="AL144" s="275"/>
      <c r="AM144" s="275"/>
      <c r="AN144" s="275"/>
      <c r="AO144" s="293">
        <f t="shared" si="20"/>
        <v>581.4</v>
      </c>
      <c r="AP144" s="275"/>
      <c r="AQ144" s="293">
        <f t="shared" si="23"/>
        <v>420</v>
      </c>
      <c r="AR144" s="292"/>
      <c r="AS144" s="292">
        <v>420</v>
      </c>
      <c r="AT144" s="292"/>
      <c r="AU144" s="293">
        <f t="shared" si="21"/>
        <v>161.4</v>
      </c>
      <c r="AV144" s="292">
        <v>4.6980000000000004</v>
      </c>
      <c r="AW144" s="292"/>
      <c r="AX144" s="245">
        <v>156.702</v>
      </c>
      <c r="AY144" s="169"/>
      <c r="AZ144" s="169"/>
      <c r="BA144" s="280" t="str">
        <f>C132 &amp; "-II"</f>
        <v>1.0-II</v>
      </c>
      <c r="BB144" s="169"/>
      <c r="BC144" s="278"/>
      <c r="BD144" s="278"/>
      <c r="BE144" s="278"/>
      <c r="BF144" s="278"/>
      <c r="BG144" s="278"/>
      <c r="BH144" s="278"/>
      <c r="BI144" s="278"/>
      <c r="BJ144" s="278"/>
      <c r="BK144" s="278"/>
      <c r="BL144" s="278"/>
      <c r="BM144" s="278"/>
      <c r="BN144" s="278"/>
      <c r="BO144" s="278"/>
      <c r="BP144" s="278"/>
      <c r="BQ144" s="278"/>
      <c r="BR144" s="278"/>
      <c r="BS144" s="278"/>
      <c r="BT144" s="278"/>
      <c r="BU144" s="278"/>
      <c r="BV144" s="278"/>
      <c r="BW144" s="278"/>
      <c r="BX144" s="278"/>
      <c r="BY144" s="278"/>
      <c r="BZ144" s="278"/>
      <c r="CA144" s="278"/>
      <c r="CB144" s="278"/>
      <c r="CC144" s="278"/>
      <c r="CD144" s="278"/>
      <c r="CE144" s="278"/>
      <c r="CH144" s="212"/>
      <c r="CL144" s="249"/>
    </row>
    <row r="145" spans="1:90" s="114" customFormat="1" ht="11.25" customHeight="1">
      <c r="A145" s="249"/>
      <c r="B145" s="937"/>
      <c r="C145" s="937"/>
      <c r="D145" s="281"/>
      <c r="E145" s="282"/>
      <c r="F145" s="283" t="str">
        <f>F132 &amp; ".11"</f>
        <v>1.11</v>
      </c>
      <c r="G145" s="301" t="s">
        <v>147</v>
      </c>
      <c r="H145" s="274"/>
      <c r="I145" s="274"/>
      <c r="J145" s="602" t="str">
        <f ca="1">IF(OFFSET('Список территорий'!CT$15,$F132,0)="a","Y","N")</f>
        <v>Y</v>
      </c>
      <c r="K145" s="293">
        <f t="shared" si="19"/>
        <v>56</v>
      </c>
      <c r="L145" s="292">
        <v>56</v>
      </c>
      <c r="M145" s="293">
        <f t="shared" si="16"/>
        <v>678.68200000000002</v>
      </c>
      <c r="N145" s="275"/>
      <c r="O145" s="293">
        <f t="shared" si="22"/>
        <v>0</v>
      </c>
      <c r="P145" s="292"/>
      <c r="Q145" s="292"/>
      <c r="R145" s="292"/>
      <c r="S145" s="292"/>
      <c r="T145" s="292"/>
      <c r="U145" s="292"/>
      <c r="V145" s="292">
        <v>678.68200000000002</v>
      </c>
      <c r="W145" s="275"/>
      <c r="X145" s="275"/>
      <c r="Y145" s="275"/>
      <c r="Z145" s="275"/>
      <c r="AA145" s="275"/>
      <c r="AB145" s="275"/>
      <c r="AC145" s="275"/>
      <c r="AD145" s="275"/>
      <c r="AE145" s="275"/>
      <c r="AF145" s="275"/>
      <c r="AG145" s="275"/>
      <c r="AH145" s="275"/>
      <c r="AI145" s="275"/>
      <c r="AJ145" s="275"/>
      <c r="AK145" s="275"/>
      <c r="AL145" s="275"/>
      <c r="AM145" s="275"/>
      <c r="AN145" s="275"/>
      <c r="AO145" s="293">
        <f t="shared" si="20"/>
        <v>970.31799999999998</v>
      </c>
      <c r="AP145" s="275"/>
      <c r="AQ145" s="293">
        <f t="shared" si="23"/>
        <v>605</v>
      </c>
      <c r="AR145" s="292"/>
      <c r="AS145" s="292">
        <v>605</v>
      </c>
      <c r="AT145" s="292"/>
      <c r="AU145" s="293">
        <f t="shared" si="21"/>
        <v>365.31799999999998</v>
      </c>
      <c r="AV145" s="292">
        <v>23.22</v>
      </c>
      <c r="AW145" s="292"/>
      <c r="AX145" s="245">
        <v>342.09799999999996</v>
      </c>
      <c r="AY145" s="169"/>
      <c r="AZ145" s="169"/>
      <c r="BA145" s="280" t="str">
        <f>C132 &amp; "-II"</f>
        <v>1.0-II</v>
      </c>
      <c r="BB145" s="169"/>
      <c r="BC145" s="278"/>
      <c r="BD145" s="278"/>
      <c r="BE145" s="278"/>
      <c r="BF145" s="278"/>
      <c r="BG145" s="278"/>
      <c r="BH145" s="278"/>
      <c r="BI145" s="278"/>
      <c r="BJ145" s="278"/>
      <c r="BK145" s="278"/>
      <c r="BL145" s="278"/>
      <c r="BM145" s="278"/>
      <c r="BN145" s="278"/>
      <c r="BO145" s="278"/>
      <c r="BP145" s="278"/>
      <c r="BQ145" s="278"/>
      <c r="BR145" s="278"/>
      <c r="BS145" s="278"/>
      <c r="BT145" s="278"/>
      <c r="BU145" s="278"/>
      <c r="BV145" s="278"/>
      <c r="BW145" s="278"/>
      <c r="BX145" s="278"/>
      <c r="BY145" s="278"/>
      <c r="BZ145" s="278"/>
      <c r="CA145" s="278"/>
      <c r="CB145" s="278"/>
      <c r="CC145" s="278"/>
      <c r="CD145" s="278"/>
      <c r="CE145" s="278"/>
      <c r="CH145" s="212"/>
      <c r="CL145" s="249"/>
    </row>
    <row r="146" spans="1:90" s="114" customFormat="1" ht="11.25" customHeight="1">
      <c r="A146" s="249"/>
      <c r="B146" s="937"/>
      <c r="C146" s="937"/>
      <c r="D146" s="281"/>
      <c r="E146" s="282"/>
      <c r="F146" s="283" t="str">
        <f>F132 &amp; ".12"</f>
        <v>1.12</v>
      </c>
      <c r="G146" s="301" t="s">
        <v>148</v>
      </c>
      <c r="H146" s="274"/>
      <c r="I146" s="274"/>
      <c r="J146" s="602" t="str">
        <f ca="1">IF(OFFSET('Список территорий'!CU$15,$F132,0)="a","Y","N")</f>
        <v>Y</v>
      </c>
      <c r="K146" s="293">
        <f t="shared" si="19"/>
        <v>39.439999999999941</v>
      </c>
      <c r="L146" s="292">
        <v>39.44</v>
      </c>
      <c r="M146" s="293">
        <f t="shared" si="16"/>
        <v>802.20299999999986</v>
      </c>
      <c r="N146" s="275"/>
      <c r="O146" s="293">
        <f t="shared" si="22"/>
        <v>0</v>
      </c>
      <c r="P146" s="292"/>
      <c r="Q146" s="292"/>
      <c r="R146" s="292"/>
      <c r="S146" s="292"/>
      <c r="T146" s="292"/>
      <c r="U146" s="292"/>
      <c r="V146" s="292">
        <v>802.20299999999986</v>
      </c>
      <c r="W146" s="275"/>
      <c r="X146" s="275"/>
      <c r="Y146" s="275"/>
      <c r="Z146" s="275"/>
      <c r="AA146" s="275"/>
      <c r="AB146" s="275"/>
      <c r="AC146" s="275"/>
      <c r="AD146" s="275"/>
      <c r="AE146" s="275"/>
      <c r="AF146" s="275"/>
      <c r="AG146" s="275"/>
      <c r="AH146" s="275"/>
      <c r="AI146" s="275"/>
      <c r="AJ146" s="275"/>
      <c r="AK146" s="275"/>
      <c r="AL146" s="275"/>
      <c r="AM146" s="275"/>
      <c r="AN146" s="275"/>
      <c r="AO146" s="293">
        <f t="shared" si="20"/>
        <v>1309.597</v>
      </c>
      <c r="AP146" s="275"/>
      <c r="AQ146" s="293">
        <f t="shared" si="23"/>
        <v>840.24</v>
      </c>
      <c r="AR146" s="292"/>
      <c r="AS146" s="292">
        <v>840.24</v>
      </c>
      <c r="AT146" s="292"/>
      <c r="AU146" s="293">
        <f t="shared" si="21"/>
        <v>469.35699999999997</v>
      </c>
      <c r="AV146" s="292">
        <v>93.688999999999993</v>
      </c>
      <c r="AW146" s="292"/>
      <c r="AX146" s="245">
        <v>375.66800000000001</v>
      </c>
      <c r="AY146" s="169"/>
      <c r="AZ146" s="169"/>
      <c r="BA146" s="280" t="str">
        <f>C132 &amp; "-II"</f>
        <v>1.0-II</v>
      </c>
      <c r="BB146" s="169"/>
      <c r="BC146" s="278"/>
      <c r="BD146" s="278"/>
      <c r="BE146" s="278"/>
      <c r="BF146" s="278"/>
      <c r="BG146" s="278"/>
      <c r="BH146" s="278"/>
      <c r="BI146" s="278"/>
      <c r="BJ146" s="278"/>
      <c r="BK146" s="278"/>
      <c r="BL146" s="278"/>
      <c r="BM146" s="278"/>
      <c r="BN146" s="278"/>
      <c r="BO146" s="278"/>
      <c r="BP146" s="278"/>
      <c r="BQ146" s="278"/>
      <c r="BR146" s="278"/>
      <c r="BS146" s="278"/>
      <c r="BT146" s="278"/>
      <c r="BU146" s="278"/>
      <c r="BV146" s="278"/>
      <c r="BW146" s="278"/>
      <c r="BX146" s="278"/>
      <c r="BY146" s="278"/>
      <c r="BZ146" s="278"/>
      <c r="CA146" s="278"/>
      <c r="CB146" s="278"/>
      <c r="CC146" s="278"/>
      <c r="CD146" s="278"/>
      <c r="CE146" s="278"/>
      <c r="CH146" s="212"/>
      <c r="CL146" s="249"/>
    </row>
    <row r="147" spans="1:90" s="114" customFormat="1" ht="0.75" hidden="1" customHeight="1">
      <c r="A147" s="249"/>
      <c r="B147" s="937"/>
      <c r="C147" s="937"/>
      <c r="D147" s="281"/>
      <c r="E147" s="282"/>
      <c r="F147" s="274"/>
      <c r="G147" s="274"/>
      <c r="H147" s="274"/>
      <c r="I147" s="274"/>
      <c r="J147" s="274"/>
      <c r="K147" s="275"/>
      <c r="L147" s="275"/>
      <c r="M147" s="275"/>
      <c r="N147" s="275"/>
      <c r="O147" s="275"/>
      <c r="P147" s="275"/>
      <c r="Q147" s="275"/>
      <c r="R147" s="275"/>
      <c r="S147" s="275"/>
      <c r="T147" s="275"/>
      <c r="U147" s="275"/>
      <c r="V147" s="276"/>
      <c r="W147" s="276"/>
      <c r="X147" s="275"/>
      <c r="Y147" s="275"/>
      <c r="Z147" s="275"/>
      <c r="AA147" s="275"/>
      <c r="AB147" s="275"/>
      <c r="AC147" s="275"/>
      <c r="AD147" s="275"/>
      <c r="AE147" s="275"/>
      <c r="AF147" s="275"/>
      <c r="AG147" s="275"/>
      <c r="AH147" s="275"/>
      <c r="AI147" s="275"/>
      <c r="AJ147" s="275"/>
      <c r="AK147" s="275"/>
      <c r="AL147" s="275"/>
      <c r="AM147" s="275"/>
      <c r="AN147" s="275"/>
      <c r="AO147" s="275"/>
      <c r="AP147" s="275"/>
      <c r="AQ147" s="275"/>
      <c r="AR147" s="275"/>
      <c r="AS147" s="275"/>
      <c r="AT147" s="275"/>
      <c r="AU147" s="275"/>
      <c r="AV147" s="275"/>
      <c r="AW147" s="275"/>
      <c r="AX147" s="241"/>
      <c r="AY147" s="169"/>
      <c r="AZ147" s="169"/>
      <c r="BA147" s="280"/>
      <c r="BB147" s="169"/>
      <c r="BC147" s="278"/>
      <c r="BD147" s="278"/>
      <c r="BE147" s="278"/>
      <c r="BF147" s="278"/>
      <c r="BG147" s="278"/>
      <c r="BH147" s="278"/>
      <c r="BI147" s="278"/>
      <c r="BJ147" s="278"/>
      <c r="BK147" s="278"/>
      <c r="BL147" s="278"/>
      <c r="BM147" s="278"/>
      <c r="BN147" s="278"/>
      <c r="BO147" s="278"/>
      <c r="BP147" s="278"/>
      <c r="BQ147" s="278"/>
      <c r="BR147" s="278"/>
      <c r="BS147" s="278"/>
      <c r="BT147" s="278"/>
      <c r="BU147" s="278"/>
      <c r="BV147" s="278"/>
      <c r="BW147" s="278"/>
      <c r="BX147" s="278"/>
      <c r="BY147" s="278"/>
      <c r="BZ147" s="278"/>
      <c r="CA147" s="278"/>
      <c r="CB147" s="278"/>
      <c r="CC147" s="278"/>
      <c r="CD147" s="278"/>
      <c r="CE147" s="278"/>
      <c r="CH147" s="212"/>
      <c r="CL147" s="249"/>
    </row>
    <row r="148" spans="1:90" s="114" customFormat="1" ht="0.75" hidden="1" customHeight="1">
      <c r="A148" s="249"/>
      <c r="B148" s="937"/>
      <c r="C148" s="937"/>
      <c r="D148" s="281"/>
      <c r="E148" s="282"/>
      <c r="F148" s="274"/>
      <c r="G148" s="274"/>
      <c r="H148" s="274"/>
      <c r="I148" s="274"/>
      <c r="J148" s="274"/>
      <c r="K148" s="275"/>
      <c r="L148" s="275"/>
      <c r="M148" s="275"/>
      <c r="N148" s="275"/>
      <c r="O148" s="275"/>
      <c r="P148" s="275"/>
      <c r="Q148" s="275"/>
      <c r="R148" s="275"/>
      <c r="S148" s="275"/>
      <c r="T148" s="275"/>
      <c r="U148" s="275"/>
      <c r="V148" s="276"/>
      <c r="W148" s="276"/>
      <c r="X148" s="275"/>
      <c r="Y148" s="275"/>
      <c r="Z148" s="275"/>
      <c r="AA148" s="275"/>
      <c r="AB148" s="275"/>
      <c r="AC148" s="275"/>
      <c r="AD148" s="275"/>
      <c r="AE148" s="275"/>
      <c r="AF148" s="275"/>
      <c r="AG148" s="275"/>
      <c r="AH148" s="275"/>
      <c r="AI148" s="275"/>
      <c r="AJ148" s="275"/>
      <c r="AK148" s="275"/>
      <c r="AL148" s="275"/>
      <c r="AM148" s="275"/>
      <c r="AN148" s="275"/>
      <c r="AO148" s="275"/>
      <c r="AP148" s="275"/>
      <c r="AQ148" s="275"/>
      <c r="AR148" s="275"/>
      <c r="AS148" s="275"/>
      <c r="AT148" s="275"/>
      <c r="AU148" s="275"/>
      <c r="AV148" s="275"/>
      <c r="AW148" s="275"/>
      <c r="AX148" s="241"/>
      <c r="AY148" s="169"/>
      <c r="AZ148" s="169"/>
      <c r="BA148" s="280"/>
      <c r="BB148" s="169"/>
      <c r="BC148" s="278"/>
      <c r="BD148" s="278"/>
      <c r="BE148" s="278"/>
      <c r="BF148" s="278"/>
      <c r="BG148" s="278"/>
      <c r="BH148" s="278"/>
      <c r="BI148" s="278"/>
      <c r="BJ148" s="278"/>
      <c r="BK148" s="278"/>
      <c r="BL148" s="278"/>
      <c r="BM148" s="278"/>
      <c r="BN148" s="278"/>
      <c r="BO148" s="278"/>
      <c r="BP148" s="278"/>
      <c r="BQ148" s="278"/>
      <c r="BR148" s="278"/>
      <c r="BS148" s="278"/>
      <c r="BT148" s="278"/>
      <c r="BU148" s="278"/>
      <c r="BV148" s="278"/>
      <c r="BW148" s="278"/>
      <c r="BX148" s="278"/>
      <c r="BY148" s="278"/>
      <c r="BZ148" s="278"/>
      <c r="CA148" s="278"/>
      <c r="CB148" s="278"/>
      <c r="CC148" s="278"/>
      <c r="CD148" s="278"/>
      <c r="CE148" s="278"/>
      <c r="CH148" s="212"/>
      <c r="CL148" s="249"/>
    </row>
    <row r="149" spans="1:90" s="114" customFormat="1" ht="0.75" hidden="1" customHeight="1">
      <c r="A149" s="249"/>
      <c r="B149" s="937"/>
      <c r="C149" s="937"/>
      <c r="D149" s="281"/>
      <c r="E149" s="282"/>
      <c r="F149" s="274"/>
      <c r="G149" s="274"/>
      <c r="H149" s="274"/>
      <c r="I149" s="274"/>
      <c r="J149" s="274"/>
      <c r="K149" s="275"/>
      <c r="L149" s="275"/>
      <c r="M149" s="275"/>
      <c r="N149" s="275"/>
      <c r="O149" s="275"/>
      <c r="P149" s="275"/>
      <c r="Q149" s="275"/>
      <c r="R149" s="275"/>
      <c r="S149" s="275"/>
      <c r="T149" s="275"/>
      <c r="U149" s="275"/>
      <c r="V149" s="276"/>
      <c r="W149" s="276"/>
      <c r="X149" s="275"/>
      <c r="Y149" s="275"/>
      <c r="Z149" s="275"/>
      <c r="AA149" s="275"/>
      <c r="AB149" s="275"/>
      <c r="AC149" s="275"/>
      <c r="AD149" s="275"/>
      <c r="AE149" s="275"/>
      <c r="AF149" s="275"/>
      <c r="AG149" s="275"/>
      <c r="AH149" s="275"/>
      <c r="AI149" s="275"/>
      <c r="AJ149" s="275"/>
      <c r="AK149" s="275"/>
      <c r="AL149" s="275"/>
      <c r="AM149" s="275"/>
      <c r="AN149" s="275"/>
      <c r="AO149" s="275"/>
      <c r="AP149" s="275"/>
      <c r="AQ149" s="275"/>
      <c r="AR149" s="275"/>
      <c r="AS149" s="275"/>
      <c r="AT149" s="275"/>
      <c r="AU149" s="275"/>
      <c r="AV149" s="275"/>
      <c r="AW149" s="275"/>
      <c r="AX149" s="241"/>
      <c r="AY149" s="169"/>
      <c r="AZ149" s="169"/>
      <c r="BA149" s="280"/>
      <c r="BB149" s="169"/>
      <c r="BC149" s="278"/>
      <c r="BD149" s="278"/>
      <c r="BE149" s="278"/>
      <c r="BF149" s="278"/>
      <c r="BG149" s="278"/>
      <c r="BH149" s="278"/>
      <c r="BI149" s="278"/>
      <c r="BJ149" s="278"/>
      <c r="BK149" s="278"/>
      <c r="BL149" s="278"/>
      <c r="BM149" s="278"/>
      <c r="BN149" s="278"/>
      <c r="BO149" s="278"/>
      <c r="BP149" s="278"/>
      <c r="BQ149" s="278"/>
      <c r="BR149" s="278"/>
      <c r="BS149" s="278"/>
      <c r="BT149" s="278"/>
      <c r="BU149" s="278"/>
      <c r="BV149" s="278"/>
      <c r="BW149" s="278"/>
      <c r="BX149" s="278"/>
      <c r="BY149" s="278"/>
      <c r="BZ149" s="278"/>
      <c r="CA149" s="278"/>
      <c r="CB149" s="278"/>
      <c r="CC149" s="278"/>
      <c r="CD149" s="278"/>
      <c r="CE149" s="278"/>
      <c r="CH149" s="212"/>
      <c r="CL149" s="249"/>
    </row>
    <row r="150" spans="1:90" s="114" customFormat="1" ht="0.75" hidden="1" customHeight="1">
      <c r="A150" s="249"/>
      <c r="B150" s="937"/>
      <c r="C150" s="937"/>
      <c r="D150" s="281"/>
      <c r="E150" s="282"/>
      <c r="F150" s="274"/>
      <c r="G150" s="274"/>
      <c r="H150" s="274"/>
      <c r="I150" s="274"/>
      <c r="J150" s="274"/>
      <c r="K150" s="275"/>
      <c r="L150" s="275"/>
      <c r="M150" s="275"/>
      <c r="N150" s="275"/>
      <c r="O150" s="275"/>
      <c r="P150" s="275"/>
      <c r="Q150" s="275"/>
      <c r="R150" s="275"/>
      <c r="S150" s="275"/>
      <c r="T150" s="275"/>
      <c r="U150" s="275"/>
      <c r="V150" s="276"/>
      <c r="W150" s="276"/>
      <c r="X150" s="275"/>
      <c r="Y150" s="275"/>
      <c r="Z150" s="275"/>
      <c r="AA150" s="275"/>
      <c r="AB150" s="275"/>
      <c r="AC150" s="275"/>
      <c r="AD150" s="275"/>
      <c r="AE150" s="275"/>
      <c r="AF150" s="275"/>
      <c r="AG150" s="275"/>
      <c r="AH150" s="275"/>
      <c r="AI150" s="275"/>
      <c r="AJ150" s="275"/>
      <c r="AK150" s="275"/>
      <c r="AL150" s="275"/>
      <c r="AM150" s="275"/>
      <c r="AN150" s="275"/>
      <c r="AO150" s="275"/>
      <c r="AP150" s="275"/>
      <c r="AQ150" s="275"/>
      <c r="AR150" s="275"/>
      <c r="AS150" s="275"/>
      <c r="AT150" s="275"/>
      <c r="AU150" s="275"/>
      <c r="AV150" s="275"/>
      <c r="AW150" s="275"/>
      <c r="AX150" s="241"/>
      <c r="AY150" s="169"/>
      <c r="AZ150" s="169"/>
      <c r="BA150" s="280"/>
      <c r="BB150" s="169"/>
      <c r="BC150" s="278"/>
      <c r="BD150" s="278"/>
      <c r="BE150" s="278"/>
      <c r="BF150" s="278"/>
      <c r="BG150" s="278"/>
      <c r="BH150" s="278"/>
      <c r="BI150" s="278"/>
      <c r="BJ150" s="278"/>
      <c r="BK150" s="278"/>
      <c r="BL150" s="278"/>
      <c r="BM150" s="278"/>
      <c r="BN150" s="278"/>
      <c r="BO150" s="278"/>
      <c r="BP150" s="278"/>
      <c r="BQ150" s="278"/>
      <c r="BR150" s="278"/>
      <c r="BS150" s="278"/>
      <c r="BT150" s="278"/>
      <c r="BU150" s="278"/>
      <c r="BV150" s="278"/>
      <c r="BW150" s="278"/>
      <c r="BX150" s="278"/>
      <c r="BY150" s="278"/>
      <c r="BZ150" s="278"/>
      <c r="CA150" s="278"/>
      <c r="CB150" s="278"/>
      <c r="CC150" s="278"/>
      <c r="CD150" s="278"/>
      <c r="CE150" s="278"/>
      <c r="CH150" s="212"/>
      <c r="CL150" s="249"/>
    </row>
    <row r="151" spans="1:90" s="114" customFormat="1" ht="0.75" hidden="1" customHeight="1">
      <c r="A151" s="249"/>
      <c r="B151" s="937"/>
      <c r="C151" s="937"/>
      <c r="D151" s="281"/>
      <c r="E151" s="282"/>
      <c r="F151" s="274"/>
      <c r="G151" s="274"/>
      <c r="H151" s="274"/>
      <c r="I151" s="274"/>
      <c r="J151" s="274"/>
      <c r="K151" s="275"/>
      <c r="L151" s="275"/>
      <c r="M151" s="275"/>
      <c r="N151" s="275"/>
      <c r="O151" s="275"/>
      <c r="P151" s="275"/>
      <c r="Q151" s="275"/>
      <c r="R151" s="275"/>
      <c r="S151" s="275"/>
      <c r="T151" s="275"/>
      <c r="U151" s="275"/>
      <c r="V151" s="276"/>
      <c r="W151" s="276"/>
      <c r="X151" s="275"/>
      <c r="Y151" s="275"/>
      <c r="Z151" s="275"/>
      <c r="AA151" s="275"/>
      <c r="AB151" s="275"/>
      <c r="AC151" s="275"/>
      <c r="AD151" s="275"/>
      <c r="AE151" s="275"/>
      <c r="AF151" s="275"/>
      <c r="AG151" s="275"/>
      <c r="AH151" s="275"/>
      <c r="AI151" s="275"/>
      <c r="AJ151" s="275"/>
      <c r="AK151" s="275"/>
      <c r="AL151" s="275"/>
      <c r="AM151" s="275"/>
      <c r="AN151" s="275"/>
      <c r="AO151" s="275"/>
      <c r="AP151" s="275"/>
      <c r="AQ151" s="275"/>
      <c r="AR151" s="275"/>
      <c r="AS151" s="275"/>
      <c r="AT151" s="275"/>
      <c r="AU151" s="275"/>
      <c r="AV151" s="275"/>
      <c r="AW151" s="275"/>
      <c r="AX151" s="241"/>
      <c r="AY151" s="169"/>
      <c r="AZ151" s="169"/>
      <c r="BA151" s="280"/>
      <c r="BB151" s="169"/>
      <c r="BC151" s="278"/>
      <c r="BD151" s="278"/>
      <c r="BE151" s="278"/>
      <c r="BF151" s="278"/>
      <c r="BG151" s="278"/>
      <c r="BH151" s="278"/>
      <c r="BI151" s="278"/>
      <c r="BJ151" s="278"/>
      <c r="BK151" s="278"/>
      <c r="BL151" s="278"/>
      <c r="BM151" s="278"/>
      <c r="BN151" s="278"/>
      <c r="BO151" s="278"/>
      <c r="BP151" s="278"/>
      <c r="BQ151" s="278"/>
      <c r="BR151" s="278"/>
      <c r="BS151" s="278"/>
      <c r="BT151" s="278"/>
      <c r="BU151" s="278"/>
      <c r="BV151" s="278"/>
      <c r="BW151" s="278"/>
      <c r="BX151" s="278"/>
      <c r="BY151" s="278"/>
      <c r="BZ151" s="278"/>
      <c r="CA151" s="278"/>
      <c r="CB151" s="278"/>
      <c r="CC151" s="278"/>
      <c r="CD151" s="278"/>
      <c r="CE151" s="278"/>
      <c r="CH151" s="212"/>
      <c r="CL151" s="249"/>
    </row>
    <row r="152" spans="1:90" s="114" customFormat="1" ht="0.75" hidden="1" customHeight="1">
      <c r="A152" s="249"/>
      <c r="B152" s="937"/>
      <c r="C152" s="937"/>
      <c r="D152" s="281"/>
      <c r="E152" s="282"/>
      <c r="F152" s="274"/>
      <c r="G152" s="274"/>
      <c r="H152" s="274"/>
      <c r="I152" s="274"/>
      <c r="J152" s="274"/>
      <c r="K152" s="275"/>
      <c r="L152" s="275"/>
      <c r="M152" s="275"/>
      <c r="N152" s="275"/>
      <c r="O152" s="275"/>
      <c r="P152" s="275"/>
      <c r="Q152" s="275"/>
      <c r="R152" s="275"/>
      <c r="S152" s="275"/>
      <c r="T152" s="275"/>
      <c r="U152" s="275"/>
      <c r="V152" s="276"/>
      <c r="W152" s="276"/>
      <c r="X152" s="275"/>
      <c r="Y152" s="275"/>
      <c r="Z152" s="275"/>
      <c r="AA152" s="275"/>
      <c r="AB152" s="275"/>
      <c r="AC152" s="275"/>
      <c r="AD152" s="275"/>
      <c r="AE152" s="275"/>
      <c r="AF152" s="275"/>
      <c r="AG152" s="275"/>
      <c r="AH152" s="275"/>
      <c r="AI152" s="275"/>
      <c r="AJ152" s="275"/>
      <c r="AK152" s="275"/>
      <c r="AL152" s="275"/>
      <c r="AM152" s="275"/>
      <c r="AN152" s="275"/>
      <c r="AO152" s="275"/>
      <c r="AP152" s="275"/>
      <c r="AQ152" s="275"/>
      <c r="AR152" s="275"/>
      <c r="AS152" s="275"/>
      <c r="AT152" s="275"/>
      <c r="AU152" s="275"/>
      <c r="AV152" s="275"/>
      <c r="AW152" s="275"/>
      <c r="AX152" s="241"/>
      <c r="AY152" s="169"/>
      <c r="AZ152" s="169"/>
      <c r="BA152" s="280"/>
      <c r="BB152" s="169"/>
      <c r="BC152" s="278"/>
      <c r="BD152" s="278"/>
      <c r="BE152" s="278"/>
      <c r="BF152" s="278"/>
      <c r="BG152" s="278"/>
      <c r="BH152" s="278"/>
      <c r="BI152" s="278"/>
      <c r="BJ152" s="278"/>
      <c r="BK152" s="278"/>
      <c r="BL152" s="278"/>
      <c r="BM152" s="278"/>
      <c r="BN152" s="278"/>
      <c r="BO152" s="278"/>
      <c r="BP152" s="278"/>
      <c r="BQ152" s="278"/>
      <c r="BR152" s="278"/>
      <c r="BS152" s="278"/>
      <c r="BT152" s="278"/>
      <c r="BU152" s="278"/>
      <c r="BV152" s="278"/>
      <c r="BW152" s="278"/>
      <c r="BX152" s="278"/>
      <c r="BY152" s="278"/>
      <c r="BZ152" s="278"/>
      <c r="CA152" s="278"/>
      <c r="CB152" s="278"/>
      <c r="CC152" s="278"/>
      <c r="CD152" s="278"/>
      <c r="CE152" s="278"/>
      <c r="CH152" s="212"/>
      <c r="CL152" s="249"/>
    </row>
    <row r="153" spans="1:90" s="114" customFormat="1" ht="0.75" hidden="1" customHeight="1">
      <c r="A153" s="249"/>
      <c r="B153" s="937"/>
      <c r="C153" s="937"/>
      <c r="D153" s="281"/>
      <c r="E153" s="282"/>
      <c r="F153" s="274"/>
      <c r="G153" s="274"/>
      <c r="H153" s="274"/>
      <c r="I153" s="274"/>
      <c r="J153" s="274"/>
      <c r="K153" s="275"/>
      <c r="L153" s="275"/>
      <c r="M153" s="275"/>
      <c r="N153" s="275"/>
      <c r="O153" s="275"/>
      <c r="P153" s="275"/>
      <c r="Q153" s="275"/>
      <c r="R153" s="275"/>
      <c r="S153" s="275"/>
      <c r="T153" s="275"/>
      <c r="U153" s="275"/>
      <c r="V153" s="276"/>
      <c r="W153" s="276"/>
      <c r="X153" s="275"/>
      <c r="Y153" s="275"/>
      <c r="Z153" s="275"/>
      <c r="AA153" s="275"/>
      <c r="AB153" s="275"/>
      <c r="AC153" s="275"/>
      <c r="AD153" s="275"/>
      <c r="AE153" s="275"/>
      <c r="AF153" s="275"/>
      <c r="AG153" s="275"/>
      <c r="AH153" s="275"/>
      <c r="AI153" s="275"/>
      <c r="AJ153" s="275"/>
      <c r="AK153" s="275"/>
      <c r="AL153" s="275"/>
      <c r="AM153" s="275"/>
      <c r="AN153" s="275"/>
      <c r="AO153" s="275"/>
      <c r="AP153" s="275"/>
      <c r="AQ153" s="275"/>
      <c r="AR153" s="275"/>
      <c r="AS153" s="275"/>
      <c r="AT153" s="275"/>
      <c r="AU153" s="275"/>
      <c r="AV153" s="275"/>
      <c r="AW153" s="275"/>
      <c r="AX153" s="241"/>
      <c r="AY153" s="169"/>
      <c r="AZ153" s="169"/>
      <c r="BA153" s="280"/>
      <c r="BB153" s="169"/>
      <c r="BC153" s="278"/>
      <c r="BD153" s="278"/>
      <c r="BE153" s="278"/>
      <c r="BF153" s="278"/>
      <c r="BG153" s="278"/>
      <c r="BH153" s="278"/>
      <c r="BI153" s="278"/>
      <c r="BJ153" s="278"/>
      <c r="BK153" s="278"/>
      <c r="BL153" s="278"/>
      <c r="BM153" s="278"/>
      <c r="BN153" s="278"/>
      <c r="BO153" s="278"/>
      <c r="BP153" s="278"/>
      <c r="BQ153" s="278"/>
      <c r="BR153" s="278"/>
      <c r="BS153" s="278"/>
      <c r="BT153" s="278"/>
      <c r="BU153" s="278"/>
      <c r="BV153" s="278"/>
      <c r="BW153" s="278"/>
      <c r="BX153" s="278"/>
      <c r="BY153" s="278"/>
      <c r="BZ153" s="278"/>
      <c r="CA153" s="278"/>
      <c r="CB153" s="278"/>
      <c r="CC153" s="278"/>
      <c r="CD153" s="278"/>
      <c r="CE153" s="278"/>
      <c r="CH153" s="212"/>
      <c r="CL153" s="249"/>
    </row>
    <row r="154" spans="1:90" s="114" customFormat="1" ht="0.75" hidden="1" customHeight="1">
      <c r="A154" s="249"/>
      <c r="B154" s="937"/>
      <c r="C154" s="937"/>
      <c r="D154" s="281"/>
      <c r="E154" s="282"/>
      <c r="F154" s="274"/>
      <c r="G154" s="274"/>
      <c r="H154" s="274"/>
      <c r="I154" s="274"/>
      <c r="J154" s="274"/>
      <c r="K154" s="275"/>
      <c r="L154" s="275"/>
      <c r="M154" s="275"/>
      <c r="N154" s="275"/>
      <c r="O154" s="275"/>
      <c r="P154" s="275"/>
      <c r="Q154" s="275"/>
      <c r="R154" s="275"/>
      <c r="S154" s="275"/>
      <c r="T154" s="275"/>
      <c r="U154" s="275"/>
      <c r="V154" s="276"/>
      <c r="W154" s="276"/>
      <c r="X154" s="275"/>
      <c r="Y154" s="275"/>
      <c r="Z154" s="275"/>
      <c r="AA154" s="275"/>
      <c r="AB154" s="275"/>
      <c r="AC154" s="275"/>
      <c r="AD154" s="275"/>
      <c r="AE154" s="275"/>
      <c r="AF154" s="275"/>
      <c r="AG154" s="275"/>
      <c r="AH154" s="275"/>
      <c r="AI154" s="275"/>
      <c r="AJ154" s="275"/>
      <c r="AK154" s="275"/>
      <c r="AL154" s="275"/>
      <c r="AM154" s="275"/>
      <c r="AN154" s="275"/>
      <c r="AO154" s="275"/>
      <c r="AP154" s="275"/>
      <c r="AQ154" s="275"/>
      <c r="AR154" s="275"/>
      <c r="AS154" s="275"/>
      <c r="AT154" s="275"/>
      <c r="AU154" s="275"/>
      <c r="AV154" s="275"/>
      <c r="AW154" s="275"/>
      <c r="AX154" s="241"/>
      <c r="AY154" s="169"/>
      <c r="AZ154" s="169"/>
      <c r="BA154" s="280"/>
      <c r="BB154" s="169"/>
      <c r="BC154" s="278"/>
      <c r="BD154" s="278"/>
      <c r="BE154" s="278"/>
      <c r="BF154" s="278"/>
      <c r="BG154" s="278"/>
      <c r="BH154" s="278"/>
      <c r="BI154" s="278"/>
      <c r="BJ154" s="278"/>
      <c r="BK154" s="278"/>
      <c r="BL154" s="278"/>
      <c r="BM154" s="278"/>
      <c r="BN154" s="278"/>
      <c r="BO154" s="278"/>
      <c r="BP154" s="278"/>
      <c r="BQ154" s="278"/>
      <c r="BR154" s="278"/>
      <c r="BS154" s="278"/>
      <c r="BT154" s="278"/>
      <c r="BU154" s="278"/>
      <c r="BV154" s="278"/>
      <c r="BW154" s="278"/>
      <c r="BX154" s="278"/>
      <c r="BY154" s="278"/>
      <c r="BZ154" s="278"/>
      <c r="CA154" s="278"/>
      <c r="CB154" s="278"/>
      <c r="CC154" s="278"/>
      <c r="CD154" s="278"/>
      <c r="CE154" s="278"/>
      <c r="CH154" s="212"/>
      <c r="CL154" s="249"/>
    </row>
    <row r="155" spans="1:90" s="114" customFormat="1" ht="0.75" hidden="1" customHeight="1">
      <c r="A155" s="249"/>
      <c r="B155" s="937"/>
      <c r="C155" s="937"/>
      <c r="D155" s="281"/>
      <c r="E155" s="282"/>
      <c r="F155" s="274"/>
      <c r="G155" s="274"/>
      <c r="H155" s="274"/>
      <c r="I155" s="274"/>
      <c r="J155" s="274"/>
      <c r="K155" s="275"/>
      <c r="L155" s="275"/>
      <c r="M155" s="275"/>
      <c r="N155" s="275"/>
      <c r="O155" s="275"/>
      <c r="P155" s="275"/>
      <c r="Q155" s="275"/>
      <c r="R155" s="275"/>
      <c r="S155" s="275"/>
      <c r="T155" s="275"/>
      <c r="U155" s="275"/>
      <c r="V155" s="276"/>
      <c r="W155" s="276"/>
      <c r="X155" s="275"/>
      <c r="Y155" s="275"/>
      <c r="Z155" s="275"/>
      <c r="AA155" s="275"/>
      <c r="AB155" s="275"/>
      <c r="AC155" s="275"/>
      <c r="AD155" s="275"/>
      <c r="AE155" s="275"/>
      <c r="AF155" s="275"/>
      <c r="AG155" s="275"/>
      <c r="AH155" s="275"/>
      <c r="AI155" s="275"/>
      <c r="AJ155" s="275"/>
      <c r="AK155" s="275"/>
      <c r="AL155" s="275"/>
      <c r="AM155" s="275"/>
      <c r="AN155" s="275"/>
      <c r="AO155" s="275"/>
      <c r="AP155" s="275"/>
      <c r="AQ155" s="275"/>
      <c r="AR155" s="275"/>
      <c r="AS155" s="275"/>
      <c r="AT155" s="275"/>
      <c r="AU155" s="275"/>
      <c r="AV155" s="275"/>
      <c r="AW155" s="275"/>
      <c r="AX155" s="241"/>
      <c r="AY155" s="169"/>
      <c r="AZ155" s="169"/>
      <c r="BA155" s="280"/>
      <c r="BB155" s="169"/>
      <c r="BC155" s="278"/>
      <c r="BD155" s="278"/>
      <c r="BE155" s="278"/>
      <c r="BF155" s="278"/>
      <c r="BG155" s="278"/>
      <c r="BH155" s="278"/>
      <c r="BI155" s="278"/>
      <c r="BJ155" s="278"/>
      <c r="BK155" s="278"/>
      <c r="BL155" s="278"/>
      <c r="BM155" s="278"/>
      <c r="BN155" s="278"/>
      <c r="BO155" s="278"/>
      <c r="BP155" s="278"/>
      <c r="BQ155" s="278"/>
      <c r="BR155" s="278"/>
      <c r="BS155" s="278"/>
      <c r="BT155" s="278"/>
      <c r="BU155" s="278"/>
      <c r="BV155" s="278"/>
      <c r="BW155" s="278"/>
      <c r="BX155" s="278"/>
      <c r="BY155" s="278"/>
      <c r="BZ155" s="278"/>
      <c r="CA155" s="278"/>
      <c r="CB155" s="278"/>
      <c r="CC155" s="278"/>
      <c r="CD155" s="278"/>
      <c r="CE155" s="278"/>
      <c r="CH155" s="212"/>
      <c r="CL155" s="249"/>
    </row>
    <row r="156" spans="1:90" s="114" customFormat="1" ht="0.75" hidden="1" customHeight="1">
      <c r="A156" s="249"/>
      <c r="B156" s="937"/>
      <c r="C156" s="937"/>
      <c r="D156" s="281"/>
      <c r="E156" s="282"/>
      <c r="F156" s="274"/>
      <c r="G156" s="274"/>
      <c r="H156" s="274"/>
      <c r="I156" s="274"/>
      <c r="J156" s="274"/>
      <c r="K156" s="275"/>
      <c r="L156" s="275"/>
      <c r="M156" s="275"/>
      <c r="N156" s="275"/>
      <c r="O156" s="275"/>
      <c r="P156" s="275"/>
      <c r="Q156" s="275"/>
      <c r="R156" s="275"/>
      <c r="S156" s="275"/>
      <c r="T156" s="275"/>
      <c r="U156" s="275"/>
      <c r="V156" s="276"/>
      <c r="W156" s="276"/>
      <c r="X156" s="275"/>
      <c r="Y156" s="275"/>
      <c r="Z156" s="275"/>
      <c r="AA156" s="275"/>
      <c r="AB156" s="275"/>
      <c r="AC156" s="275"/>
      <c r="AD156" s="275"/>
      <c r="AE156" s="275"/>
      <c r="AF156" s="275"/>
      <c r="AG156" s="275"/>
      <c r="AH156" s="275"/>
      <c r="AI156" s="275"/>
      <c r="AJ156" s="275"/>
      <c r="AK156" s="275"/>
      <c r="AL156" s="275"/>
      <c r="AM156" s="275"/>
      <c r="AN156" s="275"/>
      <c r="AO156" s="275"/>
      <c r="AP156" s="275"/>
      <c r="AQ156" s="275"/>
      <c r="AR156" s="275"/>
      <c r="AS156" s="275"/>
      <c r="AT156" s="275"/>
      <c r="AU156" s="275"/>
      <c r="AV156" s="275"/>
      <c r="AW156" s="275"/>
      <c r="AX156" s="241"/>
      <c r="AY156" s="169"/>
      <c r="AZ156" s="169"/>
      <c r="BA156" s="280"/>
      <c r="BB156" s="169"/>
      <c r="BC156" s="278"/>
      <c r="BD156" s="278"/>
      <c r="BE156" s="278"/>
      <c r="BF156" s="278"/>
      <c r="BG156" s="278"/>
      <c r="BH156" s="278"/>
      <c r="BI156" s="278"/>
      <c r="BJ156" s="278"/>
      <c r="BK156" s="278"/>
      <c r="BL156" s="278"/>
      <c r="BM156" s="278"/>
      <c r="BN156" s="278"/>
      <c r="BO156" s="278"/>
      <c r="BP156" s="278"/>
      <c r="BQ156" s="278"/>
      <c r="BR156" s="278"/>
      <c r="BS156" s="278"/>
      <c r="BT156" s="278"/>
      <c r="BU156" s="278"/>
      <c r="BV156" s="278"/>
      <c r="BW156" s="278"/>
      <c r="BX156" s="278"/>
      <c r="BY156" s="278"/>
      <c r="BZ156" s="278"/>
      <c r="CA156" s="278"/>
      <c r="CB156" s="278"/>
      <c r="CC156" s="278"/>
      <c r="CD156" s="278"/>
      <c r="CE156" s="278"/>
      <c r="CH156" s="212"/>
      <c r="CL156" s="249"/>
    </row>
    <row r="157" spans="1:90" s="114" customFormat="1" ht="0.75" hidden="1" customHeight="1">
      <c r="A157" s="249"/>
      <c r="B157" s="937"/>
      <c r="C157" s="937"/>
      <c r="D157" s="281"/>
      <c r="E157" s="282"/>
      <c r="F157" s="274"/>
      <c r="G157" s="274"/>
      <c r="H157" s="274"/>
      <c r="I157" s="274"/>
      <c r="J157" s="274"/>
      <c r="K157" s="275"/>
      <c r="L157" s="275"/>
      <c r="M157" s="275"/>
      <c r="N157" s="275"/>
      <c r="O157" s="275"/>
      <c r="P157" s="275"/>
      <c r="Q157" s="275"/>
      <c r="R157" s="275"/>
      <c r="S157" s="275"/>
      <c r="T157" s="275"/>
      <c r="U157" s="275"/>
      <c r="V157" s="276"/>
      <c r="W157" s="276"/>
      <c r="X157" s="275"/>
      <c r="Y157" s="275"/>
      <c r="Z157" s="275"/>
      <c r="AA157" s="275"/>
      <c r="AB157" s="275"/>
      <c r="AC157" s="275"/>
      <c r="AD157" s="275"/>
      <c r="AE157" s="275"/>
      <c r="AF157" s="275"/>
      <c r="AG157" s="275"/>
      <c r="AH157" s="275"/>
      <c r="AI157" s="275"/>
      <c r="AJ157" s="275"/>
      <c r="AK157" s="275"/>
      <c r="AL157" s="275"/>
      <c r="AM157" s="275"/>
      <c r="AN157" s="275"/>
      <c r="AO157" s="275"/>
      <c r="AP157" s="275"/>
      <c r="AQ157" s="275"/>
      <c r="AR157" s="275"/>
      <c r="AS157" s="275"/>
      <c r="AT157" s="275"/>
      <c r="AU157" s="275"/>
      <c r="AV157" s="275"/>
      <c r="AW157" s="275"/>
      <c r="AX157" s="241"/>
      <c r="AY157" s="169"/>
      <c r="AZ157" s="169"/>
      <c r="BA157" s="280"/>
      <c r="BB157" s="169"/>
      <c r="BC157" s="278"/>
      <c r="BD157" s="278"/>
      <c r="BE157" s="278"/>
      <c r="BF157" s="278"/>
      <c r="BG157" s="278"/>
      <c r="BH157" s="278"/>
      <c r="BI157" s="278"/>
      <c r="BJ157" s="278"/>
      <c r="BK157" s="278"/>
      <c r="BL157" s="278"/>
      <c r="BM157" s="278"/>
      <c r="BN157" s="278"/>
      <c r="BO157" s="278"/>
      <c r="BP157" s="278"/>
      <c r="BQ157" s="278"/>
      <c r="BR157" s="278"/>
      <c r="BS157" s="278"/>
      <c r="BT157" s="278"/>
      <c r="BU157" s="278"/>
      <c r="BV157" s="278"/>
      <c r="BW157" s="278"/>
      <c r="BX157" s="278"/>
      <c r="BY157" s="278"/>
      <c r="BZ157" s="278"/>
      <c r="CA157" s="278"/>
      <c r="CB157" s="278"/>
      <c r="CC157" s="278"/>
      <c r="CD157" s="278"/>
      <c r="CE157" s="278"/>
      <c r="CH157" s="212"/>
      <c r="CL157" s="249"/>
    </row>
    <row r="158" spans="1:90" s="114" customFormat="1" ht="0.75" hidden="1" customHeight="1">
      <c r="A158" s="249"/>
      <c r="B158" s="937"/>
      <c r="C158" s="937"/>
      <c r="D158" s="281"/>
      <c r="E158" s="282"/>
      <c r="F158" s="274"/>
      <c r="G158" s="274"/>
      <c r="H158" s="274"/>
      <c r="I158" s="274"/>
      <c r="J158" s="274"/>
      <c r="K158" s="275"/>
      <c r="L158" s="275"/>
      <c r="M158" s="275"/>
      <c r="N158" s="275"/>
      <c r="O158" s="275"/>
      <c r="P158" s="275"/>
      <c r="Q158" s="275"/>
      <c r="R158" s="275"/>
      <c r="S158" s="275"/>
      <c r="T158" s="275"/>
      <c r="U158" s="275"/>
      <c r="V158" s="276"/>
      <c r="W158" s="276"/>
      <c r="X158" s="275"/>
      <c r="Y158" s="275"/>
      <c r="Z158" s="275"/>
      <c r="AA158" s="275"/>
      <c r="AB158" s="275"/>
      <c r="AC158" s="275"/>
      <c r="AD158" s="275"/>
      <c r="AE158" s="275"/>
      <c r="AF158" s="275"/>
      <c r="AG158" s="275"/>
      <c r="AH158" s="275"/>
      <c r="AI158" s="275"/>
      <c r="AJ158" s="275"/>
      <c r="AK158" s="275"/>
      <c r="AL158" s="275"/>
      <c r="AM158" s="275"/>
      <c r="AN158" s="275"/>
      <c r="AO158" s="275"/>
      <c r="AP158" s="275"/>
      <c r="AQ158" s="275"/>
      <c r="AR158" s="275"/>
      <c r="AS158" s="275"/>
      <c r="AT158" s="275"/>
      <c r="AU158" s="275"/>
      <c r="AV158" s="275"/>
      <c r="AW158" s="275"/>
      <c r="AX158" s="241"/>
      <c r="AY158" s="169"/>
      <c r="AZ158" s="169"/>
      <c r="BA158" s="284"/>
      <c r="BB158" s="169"/>
      <c r="BC158" s="278"/>
      <c r="BD158" s="278"/>
      <c r="BE158" s="278"/>
      <c r="BF158" s="278"/>
      <c r="BG158" s="278"/>
      <c r="BH158" s="278"/>
      <c r="BI158" s="278"/>
      <c r="BJ158" s="278"/>
      <c r="BK158" s="278"/>
      <c r="BL158" s="278"/>
      <c r="BM158" s="278"/>
      <c r="BN158" s="278"/>
      <c r="BO158" s="278"/>
      <c r="BP158" s="278"/>
      <c r="BQ158" s="278"/>
      <c r="BR158" s="278"/>
      <c r="BS158" s="278"/>
      <c r="BT158" s="278"/>
      <c r="BU158" s="278"/>
      <c r="BV158" s="278"/>
      <c r="BW158" s="278"/>
      <c r="BX158" s="278"/>
      <c r="BY158" s="278"/>
      <c r="BZ158" s="278"/>
      <c r="CA158" s="278"/>
      <c r="CB158" s="278"/>
      <c r="CC158" s="278"/>
      <c r="CD158" s="278"/>
      <c r="CE158" s="278"/>
      <c r="CH158" s="212"/>
      <c r="CL158" s="249"/>
    </row>
    <row r="159" spans="1:90" s="114" customFormat="1" ht="0.75" hidden="1" customHeight="1">
      <c r="A159" s="249"/>
      <c r="B159" s="937"/>
      <c r="C159" s="937"/>
      <c r="D159" s="285"/>
      <c r="E159" s="282"/>
      <c r="F159" s="274"/>
      <c r="G159" s="274"/>
      <c r="H159" s="297"/>
      <c r="I159" s="297"/>
      <c r="J159" s="297"/>
      <c r="K159" s="259"/>
      <c r="L159" s="259"/>
      <c r="M159" s="259"/>
      <c r="N159" s="259"/>
      <c r="O159" s="259"/>
      <c r="P159" s="259"/>
      <c r="Q159" s="259"/>
      <c r="R159" s="259"/>
      <c r="S159" s="259"/>
      <c r="T159" s="259"/>
      <c r="U159" s="259"/>
      <c r="V159" s="298"/>
      <c r="W159" s="298"/>
      <c r="X159" s="259"/>
      <c r="Y159" s="259"/>
      <c r="Z159" s="259"/>
      <c r="AA159" s="259"/>
      <c r="AB159" s="259"/>
      <c r="AC159" s="259"/>
      <c r="AD159" s="259"/>
      <c r="AE159" s="259"/>
      <c r="AF159" s="259"/>
      <c r="AG159" s="259"/>
      <c r="AH159" s="259"/>
      <c r="AI159" s="259"/>
      <c r="AJ159" s="259"/>
      <c r="AK159" s="259"/>
      <c r="AL159" s="259"/>
      <c r="AM159" s="259"/>
      <c r="AN159" s="259"/>
      <c r="AO159" s="259"/>
      <c r="AP159" s="259"/>
      <c r="AQ159" s="259"/>
      <c r="AR159" s="259"/>
      <c r="AS159" s="259"/>
      <c r="AT159" s="259"/>
      <c r="AU159" s="259"/>
      <c r="AV159" s="259"/>
      <c r="AW159" s="259"/>
      <c r="AX159" s="241"/>
      <c r="AY159" s="169"/>
      <c r="AZ159" s="169"/>
      <c r="BA159" s="284"/>
      <c r="BB159" s="169"/>
      <c r="BC159" s="278"/>
      <c r="BD159" s="278"/>
      <c r="BE159" s="278"/>
      <c r="BF159" s="278"/>
      <c r="BG159" s="278"/>
      <c r="BH159" s="278"/>
      <c r="BI159" s="278"/>
      <c r="BJ159" s="278"/>
      <c r="BK159" s="278"/>
      <c r="BL159" s="278"/>
      <c r="BM159" s="278"/>
      <c r="BN159" s="278"/>
      <c r="BO159" s="278"/>
      <c r="BP159" s="278"/>
      <c r="BQ159" s="278"/>
      <c r="BR159" s="278"/>
      <c r="BS159" s="278"/>
      <c r="BT159" s="278"/>
      <c r="BU159" s="278"/>
      <c r="BV159" s="278"/>
      <c r="BW159" s="278"/>
      <c r="BX159" s="278"/>
      <c r="BY159" s="278"/>
      <c r="BZ159" s="278"/>
      <c r="CA159" s="278"/>
      <c r="CB159" s="278"/>
      <c r="CC159" s="278"/>
      <c r="CD159" s="278"/>
      <c r="CE159" s="278"/>
      <c r="CH159" s="212"/>
      <c r="CL159" s="249"/>
    </row>
    <row r="160" spans="1:90" s="114" customFormat="1" ht="0.75" customHeight="1">
      <c r="A160" s="249"/>
      <c r="B160" s="299"/>
      <c r="C160" s="249"/>
      <c r="D160" s="286"/>
      <c r="E160" s="316"/>
      <c r="F160" s="198"/>
      <c r="G160" s="329" t="s">
        <v>135</v>
      </c>
      <c r="H160" s="329"/>
      <c r="I160" s="329"/>
      <c r="J160" s="329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198"/>
      <c r="AC160" s="198"/>
      <c r="AD160" s="198"/>
      <c r="AE160" s="198"/>
      <c r="AF160" s="198"/>
      <c r="AG160" s="198"/>
      <c r="AH160" s="198"/>
      <c r="AI160" s="198"/>
      <c r="AJ160" s="198"/>
      <c r="AK160" s="198"/>
      <c r="AL160" s="198"/>
      <c r="AM160" s="198"/>
      <c r="AN160" s="198"/>
      <c r="AO160" s="198"/>
      <c r="AP160" s="198"/>
      <c r="AQ160" s="198"/>
      <c r="AR160" s="198"/>
      <c r="AS160" s="198"/>
      <c r="AT160" s="198"/>
      <c r="AU160" s="198"/>
      <c r="AV160" s="198"/>
      <c r="AW160" s="198"/>
      <c r="AX160" s="198"/>
      <c r="AY160" s="169"/>
      <c r="AZ160" s="169"/>
      <c r="BA160" s="278"/>
      <c r="BB160" s="330"/>
      <c r="BC160" s="278"/>
      <c r="BD160" s="278"/>
      <c r="BE160" s="278"/>
      <c r="BF160" s="278"/>
      <c r="BG160" s="278"/>
      <c r="BH160" s="278"/>
      <c r="BI160" s="278"/>
      <c r="BJ160" s="278"/>
      <c r="BK160" s="278"/>
      <c r="BL160" s="278"/>
      <c r="BM160" s="278"/>
      <c r="BN160" s="278"/>
      <c r="BO160" s="278"/>
      <c r="BP160" s="278"/>
      <c r="BQ160" s="278"/>
      <c r="BR160" s="278"/>
      <c r="BS160" s="278"/>
      <c r="BT160" s="278"/>
      <c r="BU160" s="278"/>
      <c r="BV160" s="278"/>
      <c r="BW160" s="278"/>
      <c r="BX160" s="278"/>
      <c r="BY160" s="278"/>
      <c r="BZ160" s="278"/>
      <c r="CA160" s="278"/>
      <c r="CB160" s="278"/>
      <c r="CC160" s="278"/>
      <c r="CD160" s="278"/>
      <c r="CE160" s="278"/>
      <c r="CF160" s="170"/>
    </row>
    <row r="161" spans="1:83" s="114" customFormat="1" ht="11.25" customHeight="1">
      <c r="A161" s="249"/>
      <c r="B161" s="299"/>
      <c r="C161" s="249"/>
      <c r="D161" s="286"/>
      <c r="E161" s="316"/>
      <c r="AY161" s="169"/>
      <c r="AZ161" s="169"/>
      <c r="BA161" s="278"/>
      <c r="BB161" s="169"/>
      <c r="BC161" s="278"/>
      <c r="BD161" s="278"/>
      <c r="BE161" s="278"/>
      <c r="BF161" s="278"/>
      <c r="BG161" s="278"/>
      <c r="BH161" s="278"/>
      <c r="BI161" s="278"/>
      <c r="BJ161" s="278"/>
      <c r="BK161" s="278"/>
      <c r="BL161" s="278"/>
      <c r="BM161" s="278"/>
      <c r="BN161" s="278"/>
      <c r="BO161" s="278"/>
      <c r="BP161" s="278"/>
      <c r="BQ161" s="278"/>
      <c r="BR161" s="278"/>
      <c r="BS161" s="278"/>
      <c r="BT161" s="278"/>
      <c r="BU161" s="278"/>
      <c r="BV161" s="278"/>
      <c r="BW161" s="278"/>
      <c r="BX161" s="278"/>
      <c r="BY161" s="278"/>
      <c r="BZ161" s="278"/>
      <c r="CA161" s="278"/>
      <c r="CB161" s="278"/>
      <c r="CC161" s="278"/>
      <c r="CD161" s="278"/>
      <c r="CE161" s="278"/>
    </row>
    <row r="162" spans="1:83" s="169" customFormat="1"/>
  </sheetData>
  <sheetProtection algorithmName="SHA-512" hashValue="oIHdUT3BZZPrhPQM14lqVBDA8/Ucl0DtXLzkQTGwUFASXqc1AaU+yXjrB6e2SYULOgd5ocOqVlh5efmjR4ez4A==" saltValue="XmMKca6qC6jA/smRU2bTuQ==" spinCount="100000" sheet="1" objects="1" scenarios="1" formatColumns="0" formatRows="0"/>
  <mergeCells count="65">
    <mergeCell ref="AM121:AM123"/>
    <mergeCell ref="AP121:AP123"/>
    <mergeCell ref="R122:R123"/>
    <mergeCell ref="AO121:AO123"/>
    <mergeCell ref="AG122:AG123"/>
    <mergeCell ref="AJ122:AJ123"/>
    <mergeCell ref="AH122:AH123"/>
    <mergeCell ref="AE122:AE123"/>
    <mergeCell ref="AN121:AN123"/>
    <mergeCell ref="AI122:AI123"/>
    <mergeCell ref="M121:V121"/>
    <mergeCell ref="W121:AL121"/>
    <mergeCell ref="AL122:AL123"/>
    <mergeCell ref="AF122:AF123"/>
    <mergeCell ref="N122:N123"/>
    <mergeCell ref="W122:W123"/>
    <mergeCell ref="BP131:CD131"/>
    <mergeCell ref="AQ122:AQ123"/>
    <mergeCell ref="AS122:AS123"/>
    <mergeCell ref="AT122:AT123"/>
    <mergeCell ref="AU121:AX121"/>
    <mergeCell ref="AX122:AX123"/>
    <mergeCell ref="AW122:AW123"/>
    <mergeCell ref="AU122:AU123"/>
    <mergeCell ref="AV122:AV123"/>
    <mergeCell ref="AR122:AR123"/>
    <mergeCell ref="AQ121:AS121"/>
    <mergeCell ref="F121:F123"/>
    <mergeCell ref="H121:H123"/>
    <mergeCell ref="AK122:AK123"/>
    <mergeCell ref="U122:U123"/>
    <mergeCell ref="AD122:AD123"/>
    <mergeCell ref="T122:T123"/>
    <mergeCell ref="J121:J123"/>
    <mergeCell ref="K121:K123"/>
    <mergeCell ref="O122:Q122"/>
    <mergeCell ref="G128:G129"/>
    <mergeCell ref="G126:G127"/>
    <mergeCell ref="S122:S123"/>
    <mergeCell ref="AC122:AC123"/>
    <mergeCell ref="Y122:Y123"/>
    <mergeCell ref="Z122:Z123"/>
    <mergeCell ref="AA122:AA123"/>
    <mergeCell ref="AB122:AB123"/>
    <mergeCell ref="X122:X123"/>
    <mergeCell ref="V122:V123"/>
    <mergeCell ref="G121:G123"/>
    <mergeCell ref="L121:L123"/>
    <mergeCell ref="I121:I123"/>
    <mergeCell ref="M122:M123"/>
    <mergeCell ref="B57:B84"/>
    <mergeCell ref="F57:F58"/>
    <mergeCell ref="B1:B28"/>
    <mergeCell ref="F1:F2"/>
    <mergeCell ref="G1:G2"/>
    <mergeCell ref="C3:C15"/>
    <mergeCell ref="C16:C28"/>
    <mergeCell ref="G57:G58"/>
    <mergeCell ref="C59:C71"/>
    <mergeCell ref="C72:C84"/>
    <mergeCell ref="B132:B159"/>
    <mergeCell ref="F132:F133"/>
    <mergeCell ref="G132:G133"/>
    <mergeCell ref="C134:C146"/>
    <mergeCell ref="C147:C159"/>
  </mergeCells>
  <phoneticPr fontId="3" type="noConversion"/>
  <dataValidations count="1">
    <dataValidation allowBlank="1" showInputMessage="1" showErrorMessage="1" sqref="AQ122:AS122 O122:T123"/>
  </dataValidations>
  <pageMargins left="0.7" right="0.7" top="0.75" bottom="0.75" header="0.3" footer="0.3"/>
  <drawing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EAT_BAL_TR">
    <tabColor indexed="31"/>
    <pageSetUpPr fitToPage="1"/>
  </sheetPr>
  <dimension ref="A1:DN164"/>
  <sheetViews>
    <sheetView showGridLines="0" topLeftCell="D1" zoomScale="90" zoomScaleNormal="90" workbookViewId="0">
      <pane xSplit="4" ySplit="131" topLeftCell="H132" activePane="bottomRight" state="frozen"/>
      <selection activeCell="D117" sqref="D117"/>
      <selection pane="topRight" activeCell="H117" sqref="H117"/>
      <selection pane="bottomLeft" activeCell="D132" sqref="D132"/>
      <selection pane="bottomRight" activeCell="R172" sqref="R172"/>
    </sheetView>
  </sheetViews>
  <sheetFormatPr defaultColWidth="9.125" defaultRowHeight="17.399999999999999"/>
  <cols>
    <col min="1" max="1" width="5.75" style="2" hidden="1" customWidth="1"/>
    <col min="2" max="2" width="5.75" style="24" hidden="1" customWidth="1"/>
    <col min="3" max="3" width="5.75" style="2" hidden="1" customWidth="1"/>
    <col min="4" max="4" width="5.75" style="86" customWidth="1"/>
    <col min="5" max="5" width="0.125" style="25" customWidth="1"/>
    <col min="6" max="6" width="6.75" style="2" customWidth="1"/>
    <col min="7" max="7" width="20.75" style="2" customWidth="1"/>
    <col min="8" max="9" width="12.75" style="2" customWidth="1"/>
    <col min="10" max="11" width="18.75" style="2" customWidth="1"/>
    <col min="12" max="12" width="13.625" style="2" customWidth="1"/>
    <col min="13" max="16" width="13.75" style="2" customWidth="1"/>
    <col min="17" max="17" width="14" style="2" customWidth="1"/>
    <col min="18" max="20" width="13.75" style="2" customWidth="1"/>
    <col min="21" max="21" width="2.625" style="22" customWidth="1"/>
    <col min="22" max="52" width="2.625" style="20" customWidth="1"/>
    <col min="53" max="53" width="17.75" style="22" hidden="1" customWidth="1"/>
    <col min="54" max="54" width="11.75" style="20" hidden="1" customWidth="1"/>
    <col min="55" max="67" width="2.625" style="20" customWidth="1"/>
    <col min="68" max="77" width="12.75" style="130" hidden="1" customWidth="1"/>
    <col min="78" max="82" width="3.75" hidden="1" customWidth="1"/>
    <col min="83" max="92" width="9.125" style="2" hidden="1" customWidth="1"/>
    <col min="93" max="97" width="1.25" hidden="1" customWidth="1"/>
    <col min="98" max="103" width="9.125" style="2" hidden="1" customWidth="1"/>
    <col min="104" max="16384" width="9.125" style="2"/>
  </cols>
  <sheetData>
    <row r="1" spans="1:103" s="114" customFormat="1" ht="24" hidden="1" customHeight="1">
      <c r="A1" s="287"/>
      <c r="B1" s="980"/>
      <c r="C1" s="239" t="str">
        <f>F3</f>
        <v>0.0</v>
      </c>
      <c r="D1" s="272" t="s">
        <v>112</v>
      </c>
      <c r="E1" s="289"/>
      <c r="F1" s="938">
        <f>B1</f>
        <v>0</v>
      </c>
      <c r="G1" s="945"/>
      <c r="H1" s="274"/>
      <c r="I1" s="274"/>
      <c r="J1" s="274"/>
      <c r="K1" s="275"/>
      <c r="L1" s="275"/>
      <c r="M1" s="275"/>
      <c r="N1" s="275"/>
      <c r="O1" s="275"/>
      <c r="P1" s="275"/>
      <c r="Q1" s="275"/>
      <c r="R1" s="275"/>
      <c r="S1" s="275"/>
      <c r="T1" s="270"/>
      <c r="U1" s="53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277" t="s">
        <v>765</v>
      </c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331"/>
      <c r="BQ1" s="331"/>
      <c r="BR1" s="331"/>
      <c r="BS1" s="331"/>
      <c r="BT1" s="331"/>
      <c r="BU1" s="331"/>
      <c r="BV1" s="331"/>
      <c r="BW1" s="331"/>
      <c r="BX1" s="331"/>
      <c r="BY1" s="331"/>
      <c r="BZ1" s="169"/>
      <c r="CA1" s="169"/>
      <c r="CB1" s="169"/>
      <c r="CC1" s="169"/>
      <c r="CD1" s="169"/>
      <c r="CO1" s="169"/>
      <c r="CP1" s="169"/>
      <c r="CQ1" s="169"/>
      <c r="CR1" s="169"/>
      <c r="CS1" s="169"/>
    </row>
    <row r="2" spans="1:103" s="114" customFormat="1" ht="0.75" hidden="1" customHeight="1">
      <c r="A2" s="287"/>
      <c r="B2" s="981"/>
      <c r="C2" s="239"/>
      <c r="D2" s="279"/>
      <c r="E2" s="289"/>
      <c r="F2" s="939"/>
      <c r="G2" s="941"/>
      <c r="H2" s="274"/>
      <c r="I2" s="274"/>
      <c r="J2" s="274"/>
      <c r="K2" s="275"/>
      <c r="L2" s="275"/>
      <c r="M2" s="275"/>
      <c r="N2" s="275"/>
      <c r="O2" s="275"/>
      <c r="P2" s="275"/>
      <c r="Q2" s="275"/>
      <c r="R2" s="275"/>
      <c r="S2" s="275"/>
      <c r="T2" s="270"/>
      <c r="U2" s="53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28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331"/>
      <c r="BQ2" s="331"/>
      <c r="BR2" s="331"/>
      <c r="BS2" s="331"/>
      <c r="BT2" s="331"/>
      <c r="BU2" s="331"/>
      <c r="BV2" s="331"/>
      <c r="BW2" s="331"/>
      <c r="BX2" s="331"/>
      <c r="BY2" s="331"/>
      <c r="BZ2" s="169"/>
      <c r="CA2" s="169"/>
      <c r="CB2" s="169"/>
      <c r="CC2" s="169"/>
      <c r="CD2" s="169"/>
      <c r="CO2" s="169"/>
      <c r="CP2" s="169"/>
      <c r="CQ2" s="169"/>
      <c r="CR2" s="169"/>
      <c r="CS2" s="169"/>
    </row>
    <row r="3" spans="1:103" s="114" customFormat="1" ht="11.25" hidden="1" customHeight="1">
      <c r="A3" s="287"/>
      <c r="B3" s="981"/>
      <c r="C3" s="946"/>
      <c r="D3" s="281"/>
      <c r="E3" s="282"/>
      <c r="F3" s="283" t="str">
        <f>F1 &amp; ".0"</f>
        <v>0.0</v>
      </c>
      <c r="G3" s="301" t="s">
        <v>136</v>
      </c>
      <c r="H3" s="274"/>
      <c r="I3" s="274"/>
      <c r="J3" s="274"/>
      <c r="K3" s="275"/>
      <c r="L3" s="275"/>
      <c r="M3" s="275"/>
      <c r="N3" s="275"/>
      <c r="O3" s="275"/>
      <c r="P3" s="275"/>
      <c r="Q3" s="275"/>
      <c r="R3" s="275"/>
      <c r="S3" s="275"/>
      <c r="T3" s="270"/>
      <c r="U3" s="53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277" t="s">
        <v>21</v>
      </c>
      <c r="BB3" s="634" t="str">
        <f>C1 &amp; ".YEAR"</f>
        <v>0.0.YEAR</v>
      </c>
      <c r="BC3" s="170"/>
      <c r="BD3" s="170"/>
      <c r="BE3" s="170"/>
      <c r="BF3" s="170"/>
      <c r="BG3" s="170"/>
      <c r="BH3" s="170"/>
      <c r="BI3" s="170"/>
      <c r="BJ3" s="170"/>
      <c r="BK3" s="170"/>
      <c r="BL3" s="170"/>
      <c r="BM3" s="170"/>
      <c r="BN3" s="170"/>
      <c r="BO3" s="170"/>
      <c r="BP3" s="332">
        <f>SUM($Q4:$Q15)</f>
        <v>0</v>
      </c>
      <c r="BQ3" s="332">
        <f>SUM($R4:$R15)</f>
        <v>0</v>
      </c>
      <c r="BR3" s="332">
        <f>SUM($S4:$S15)</f>
        <v>0</v>
      </c>
      <c r="BS3" s="332">
        <f>SUM($T4:$T15)</f>
        <v>0</v>
      </c>
      <c r="BT3" s="332">
        <f>SUM($N4:$N15)</f>
        <v>0</v>
      </c>
      <c r="BU3" s="332">
        <f>SUM($Q4:$Q15)</f>
        <v>0</v>
      </c>
      <c r="BV3" s="332">
        <f>SUM($R4:$R15)</f>
        <v>0</v>
      </c>
      <c r="BW3" s="332">
        <f>SUM($S4:$S15)</f>
        <v>0</v>
      </c>
      <c r="BX3" s="332">
        <f>SUM($T4:$T15)</f>
        <v>0</v>
      </c>
      <c r="BY3" s="332">
        <f>SUM($N4:$N15)</f>
        <v>0</v>
      </c>
      <c r="BZ3" s="169"/>
      <c r="CA3" s="169"/>
      <c r="CB3" s="169"/>
      <c r="CC3" s="169"/>
      <c r="CD3" s="169"/>
      <c r="CE3" s="333">
        <f>SUM($Q4:$Q9)</f>
        <v>0</v>
      </c>
      <c r="CF3" s="333">
        <f>SUM($R4:$R9)</f>
        <v>0</v>
      </c>
      <c r="CG3" s="333">
        <f>SUM($S4:$S9)</f>
        <v>0</v>
      </c>
      <c r="CH3" s="333">
        <f>SUM($T4:$T9)</f>
        <v>0</v>
      </c>
      <c r="CI3" s="333">
        <f>SUM($N4:$N9)</f>
        <v>0</v>
      </c>
      <c r="CJ3" s="333">
        <f>SUM($Q10:$Q15)</f>
        <v>0</v>
      </c>
      <c r="CK3" s="333">
        <f>SUM($R10:$R15)</f>
        <v>0</v>
      </c>
      <c r="CL3" s="333">
        <f>SUM($S10:$S15)</f>
        <v>0</v>
      </c>
      <c r="CM3" s="333">
        <f>SUM($T10:$T15)</f>
        <v>0</v>
      </c>
      <c r="CN3" s="333">
        <f>SUM($N10:$N15)</f>
        <v>0</v>
      </c>
      <c r="CO3" s="169"/>
      <c r="CP3" s="169"/>
      <c r="CQ3" s="169"/>
      <c r="CR3" s="169"/>
      <c r="CS3" s="169"/>
    </row>
    <row r="4" spans="1:103" s="114" customFormat="1" ht="11.25" hidden="1" customHeight="1">
      <c r="A4" s="287"/>
      <c r="B4" s="981"/>
      <c r="C4" s="947"/>
      <c r="D4" s="281"/>
      <c r="E4" s="282"/>
      <c r="F4" s="283" t="str">
        <f>F1 &amp; ".1"</f>
        <v>0.1</v>
      </c>
      <c r="G4" s="301" t="s">
        <v>137</v>
      </c>
      <c r="H4" s="274"/>
      <c r="I4" s="274"/>
      <c r="J4" s="274"/>
      <c r="K4" s="275"/>
      <c r="L4" s="275"/>
      <c r="M4" s="275"/>
      <c r="N4" s="275"/>
      <c r="O4" s="275"/>
      <c r="P4" s="275"/>
      <c r="Q4" s="275"/>
      <c r="R4" s="275"/>
      <c r="S4" s="275"/>
      <c r="T4" s="270"/>
      <c r="U4" s="324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280" t="str">
        <f>C1 &amp; "-I"</f>
        <v>0.0-I</v>
      </c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31"/>
      <c r="BQ4" s="331"/>
      <c r="BR4" s="331"/>
      <c r="BS4" s="331"/>
      <c r="BT4" s="331"/>
      <c r="BU4" s="331"/>
      <c r="BV4" s="331"/>
      <c r="BW4" s="331"/>
      <c r="BX4" s="331"/>
      <c r="BY4" s="331"/>
      <c r="BZ4" s="169"/>
      <c r="CA4" s="169"/>
      <c r="CB4" s="169"/>
      <c r="CC4" s="169"/>
      <c r="CD4" s="169"/>
      <c r="CO4" s="169"/>
      <c r="CP4" s="169"/>
      <c r="CQ4" s="169"/>
      <c r="CR4" s="169"/>
      <c r="CS4" s="169"/>
      <c r="CT4" s="334">
        <f>IF(OR(BP3=0,CE3=0,BP3=""),0,CE3/BP3)</f>
        <v>0</v>
      </c>
      <c r="CU4" s="334">
        <f>IF(OR(BQ3=0,CF3=0,BQ3=""),0,CF3/BQ3)</f>
        <v>0</v>
      </c>
      <c r="CV4" s="334">
        <f>IF(OR(BR3=0,CG3=0,BR3=""),0,CG3/BR3)</f>
        <v>0</v>
      </c>
      <c r="CW4" s="334">
        <f>IF(OR(BS3=0,CH3=0,BS3=""),0,CH3/BS3)</f>
        <v>0</v>
      </c>
      <c r="CX4" s="334">
        <f>IF(OR(BT3=0,CI3=0,BT3=""),0,CI3/BT3)</f>
        <v>0</v>
      </c>
      <c r="CY4" s="334">
        <f>IF(OR(SUM(BP3:BT3)=0,SUM(CE3:CI3)=0),0,SUM(CE3:CI3)/SUM(BP3:BT3))</f>
        <v>0</v>
      </c>
    </row>
    <row r="5" spans="1:103" s="114" customFormat="1" ht="11.25" hidden="1" customHeight="1">
      <c r="A5" s="287"/>
      <c r="B5" s="981"/>
      <c r="C5" s="947"/>
      <c r="D5" s="281"/>
      <c r="E5" s="282"/>
      <c r="F5" s="283" t="str">
        <f>F1 &amp; ".2"</f>
        <v>0.2</v>
      </c>
      <c r="G5" s="301" t="s">
        <v>138</v>
      </c>
      <c r="H5" s="274"/>
      <c r="I5" s="274"/>
      <c r="J5" s="274"/>
      <c r="K5" s="275"/>
      <c r="L5" s="275"/>
      <c r="M5" s="275"/>
      <c r="N5" s="275"/>
      <c r="O5" s="275"/>
      <c r="P5" s="275"/>
      <c r="Q5" s="275"/>
      <c r="R5" s="275"/>
      <c r="S5" s="275"/>
      <c r="T5" s="270"/>
      <c r="U5" s="324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170"/>
      <c r="AQ5" s="170"/>
      <c r="AR5" s="170"/>
      <c r="AS5" s="170"/>
      <c r="AT5" s="170"/>
      <c r="AU5" s="170"/>
      <c r="AV5" s="170"/>
      <c r="AW5" s="170"/>
      <c r="AX5" s="170"/>
      <c r="AY5" s="170"/>
      <c r="AZ5" s="170"/>
      <c r="BA5" s="280" t="str">
        <f>C1 &amp; "-I"</f>
        <v>0.0-I</v>
      </c>
      <c r="BB5" s="170"/>
      <c r="BC5" s="170"/>
      <c r="BD5" s="170"/>
      <c r="BE5" s="170"/>
      <c r="BF5" s="170"/>
      <c r="BG5" s="170"/>
      <c r="BH5" s="170"/>
      <c r="BI5" s="170"/>
      <c r="BJ5" s="170"/>
      <c r="BK5" s="170"/>
      <c r="BL5" s="170"/>
      <c r="BM5" s="170"/>
      <c r="BN5" s="170"/>
      <c r="BO5" s="170"/>
      <c r="BP5" s="331"/>
      <c r="BQ5" s="331"/>
      <c r="BR5" s="331"/>
      <c r="BS5" s="331"/>
      <c r="BT5" s="331"/>
      <c r="BU5" s="331"/>
      <c r="BV5" s="331"/>
      <c r="BW5" s="331"/>
      <c r="BX5" s="331"/>
      <c r="BY5" s="331"/>
      <c r="BZ5" s="169"/>
      <c r="CA5" s="169"/>
      <c r="CB5" s="169"/>
      <c r="CC5" s="169"/>
      <c r="CD5" s="169"/>
      <c r="CO5" s="169"/>
      <c r="CP5" s="169"/>
      <c r="CQ5" s="169"/>
      <c r="CR5" s="169"/>
      <c r="CS5" s="169"/>
    </row>
    <row r="6" spans="1:103" s="114" customFormat="1" ht="11.25" hidden="1" customHeight="1">
      <c r="A6" s="287"/>
      <c r="B6" s="981"/>
      <c r="C6" s="947"/>
      <c r="D6" s="281"/>
      <c r="E6" s="282"/>
      <c r="F6" s="283" t="str">
        <f>F1 &amp; ".3"</f>
        <v>0.3</v>
      </c>
      <c r="G6" s="301" t="s">
        <v>139</v>
      </c>
      <c r="H6" s="274"/>
      <c r="I6" s="274"/>
      <c r="J6" s="274"/>
      <c r="K6" s="275"/>
      <c r="L6" s="275"/>
      <c r="M6" s="275"/>
      <c r="N6" s="275"/>
      <c r="O6" s="275"/>
      <c r="P6" s="275"/>
      <c r="Q6" s="275"/>
      <c r="R6" s="275"/>
      <c r="S6" s="275"/>
      <c r="T6" s="270"/>
      <c r="U6" s="324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U6" s="170"/>
      <c r="AV6" s="170"/>
      <c r="AW6" s="170"/>
      <c r="AX6" s="170"/>
      <c r="AY6" s="170"/>
      <c r="AZ6" s="170"/>
      <c r="BA6" s="280" t="str">
        <f>C1 &amp; "-I"</f>
        <v>0.0-I</v>
      </c>
      <c r="BB6" s="170"/>
      <c r="BC6" s="170"/>
      <c r="BD6" s="170"/>
      <c r="BE6" s="170"/>
      <c r="BF6" s="170"/>
      <c r="BG6" s="170"/>
      <c r="BH6" s="170"/>
      <c r="BI6" s="170"/>
      <c r="BJ6" s="170"/>
      <c r="BK6" s="170"/>
      <c r="BL6" s="170"/>
      <c r="BM6" s="170"/>
      <c r="BN6" s="170"/>
      <c r="BO6" s="170"/>
      <c r="BP6" s="331"/>
      <c r="BQ6" s="331"/>
      <c r="BR6" s="331"/>
      <c r="BS6" s="331"/>
      <c r="BT6" s="331"/>
      <c r="BU6" s="331"/>
      <c r="BV6" s="331"/>
      <c r="BW6" s="331"/>
      <c r="BX6" s="331"/>
      <c r="BY6" s="331"/>
      <c r="BZ6" s="169"/>
      <c r="CA6" s="169"/>
      <c r="CB6" s="169"/>
      <c r="CC6" s="169"/>
      <c r="CD6" s="169"/>
      <c r="CO6" s="169"/>
      <c r="CP6" s="169"/>
      <c r="CQ6" s="169"/>
      <c r="CR6" s="169"/>
      <c r="CS6" s="169"/>
    </row>
    <row r="7" spans="1:103" s="114" customFormat="1" ht="11.25" hidden="1" customHeight="1">
      <c r="A7" s="287"/>
      <c r="B7" s="981"/>
      <c r="C7" s="947"/>
      <c r="D7" s="281"/>
      <c r="E7" s="282"/>
      <c r="F7" s="283" t="str">
        <f>F1 &amp; ".4"</f>
        <v>0.4</v>
      </c>
      <c r="G7" s="301" t="s">
        <v>140</v>
      </c>
      <c r="H7" s="274"/>
      <c r="I7" s="274"/>
      <c r="J7" s="274"/>
      <c r="K7" s="275"/>
      <c r="L7" s="275"/>
      <c r="M7" s="275"/>
      <c r="N7" s="275"/>
      <c r="O7" s="275"/>
      <c r="P7" s="275"/>
      <c r="Q7" s="275"/>
      <c r="R7" s="275"/>
      <c r="S7" s="275"/>
      <c r="T7" s="270"/>
      <c r="U7" s="324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280" t="str">
        <f>C1 &amp; "-I"</f>
        <v>0.0-I</v>
      </c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331"/>
      <c r="BQ7" s="331"/>
      <c r="BR7" s="331"/>
      <c r="BS7" s="331"/>
      <c r="BT7" s="331"/>
      <c r="BU7" s="331"/>
      <c r="BV7" s="331"/>
      <c r="BW7" s="331"/>
      <c r="BX7" s="331"/>
      <c r="BY7" s="331"/>
      <c r="BZ7" s="169"/>
      <c r="CA7" s="169"/>
      <c r="CB7" s="169"/>
      <c r="CC7" s="169"/>
      <c r="CD7" s="169"/>
      <c r="CO7" s="169"/>
      <c r="CP7" s="169"/>
      <c r="CQ7" s="169"/>
      <c r="CR7" s="169"/>
      <c r="CS7" s="169"/>
    </row>
    <row r="8" spans="1:103" s="114" customFormat="1" ht="11.25" hidden="1" customHeight="1">
      <c r="A8" s="287"/>
      <c r="B8" s="981"/>
      <c r="C8" s="947"/>
      <c r="D8" s="281"/>
      <c r="E8" s="282"/>
      <c r="F8" s="283" t="str">
        <f>F1 &amp; ".5"</f>
        <v>0.5</v>
      </c>
      <c r="G8" s="301" t="s">
        <v>141</v>
      </c>
      <c r="H8" s="274"/>
      <c r="I8" s="274"/>
      <c r="J8" s="274"/>
      <c r="K8" s="275"/>
      <c r="L8" s="275"/>
      <c r="M8" s="275"/>
      <c r="N8" s="275"/>
      <c r="O8" s="275"/>
      <c r="P8" s="275"/>
      <c r="Q8" s="275"/>
      <c r="R8" s="275"/>
      <c r="S8" s="275"/>
      <c r="T8" s="270"/>
      <c r="U8" s="324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280" t="str">
        <f>C1 &amp; "-I"</f>
        <v>0.0-I</v>
      </c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331"/>
      <c r="BQ8" s="331"/>
      <c r="BR8" s="331"/>
      <c r="BS8" s="331"/>
      <c r="BT8" s="331"/>
      <c r="BU8" s="331"/>
      <c r="BV8" s="331"/>
      <c r="BW8" s="331"/>
      <c r="BX8" s="331"/>
      <c r="BY8" s="331"/>
      <c r="BZ8" s="169"/>
      <c r="CA8" s="169"/>
      <c r="CB8" s="169"/>
      <c r="CC8" s="169"/>
      <c r="CD8" s="169"/>
      <c r="CO8" s="169"/>
      <c r="CP8" s="169"/>
      <c r="CQ8" s="169"/>
      <c r="CR8" s="169"/>
      <c r="CS8" s="169"/>
    </row>
    <row r="9" spans="1:103" s="114" customFormat="1" ht="11.25" hidden="1" customHeight="1">
      <c r="A9" s="287"/>
      <c r="B9" s="981"/>
      <c r="C9" s="947"/>
      <c r="D9" s="281"/>
      <c r="E9" s="282"/>
      <c r="F9" s="283" t="str">
        <f>F1 &amp; ".6"</f>
        <v>0.6</v>
      </c>
      <c r="G9" s="301" t="s">
        <v>142</v>
      </c>
      <c r="H9" s="274"/>
      <c r="I9" s="274"/>
      <c r="J9" s="274"/>
      <c r="K9" s="275"/>
      <c r="L9" s="275"/>
      <c r="M9" s="275"/>
      <c r="N9" s="275"/>
      <c r="O9" s="275"/>
      <c r="P9" s="275"/>
      <c r="Q9" s="275"/>
      <c r="R9" s="275"/>
      <c r="S9" s="275"/>
      <c r="T9" s="270"/>
      <c r="U9" s="324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280" t="str">
        <f>C1 &amp; "-I"</f>
        <v>0.0-I</v>
      </c>
      <c r="BB9" s="170"/>
      <c r="BC9" s="170"/>
      <c r="BD9" s="170"/>
      <c r="BE9" s="170"/>
      <c r="BF9" s="170"/>
      <c r="BG9" s="170"/>
      <c r="BH9" s="170"/>
      <c r="BI9" s="170"/>
      <c r="BJ9" s="170"/>
      <c r="BK9" s="170"/>
      <c r="BL9" s="170"/>
      <c r="BM9" s="170"/>
      <c r="BN9" s="170"/>
      <c r="BO9" s="170"/>
      <c r="BP9" s="331"/>
      <c r="BQ9" s="331"/>
      <c r="BR9" s="331"/>
      <c r="BS9" s="331"/>
      <c r="BT9" s="331"/>
      <c r="BU9" s="331"/>
      <c r="BV9" s="331"/>
      <c r="BW9" s="331"/>
      <c r="BX9" s="331"/>
      <c r="BY9" s="331"/>
      <c r="BZ9" s="169"/>
      <c r="CA9" s="169"/>
      <c r="CB9" s="169"/>
      <c r="CC9" s="169"/>
      <c r="CD9" s="169"/>
      <c r="CO9" s="169"/>
      <c r="CP9" s="169"/>
      <c r="CQ9" s="169"/>
      <c r="CR9" s="169"/>
      <c r="CS9" s="169"/>
    </row>
    <row r="10" spans="1:103" s="114" customFormat="1" ht="11.25" hidden="1" customHeight="1">
      <c r="A10" s="287"/>
      <c r="B10" s="981"/>
      <c r="C10" s="947"/>
      <c r="D10" s="281"/>
      <c r="E10" s="282"/>
      <c r="F10" s="283" t="str">
        <f>F1 &amp; ".7"</f>
        <v>0.7</v>
      </c>
      <c r="G10" s="301" t="s">
        <v>143</v>
      </c>
      <c r="H10" s="274"/>
      <c r="I10" s="274"/>
      <c r="J10" s="274"/>
      <c r="K10" s="275"/>
      <c r="L10" s="275"/>
      <c r="M10" s="275"/>
      <c r="N10" s="275"/>
      <c r="O10" s="275"/>
      <c r="P10" s="275"/>
      <c r="Q10" s="275"/>
      <c r="R10" s="275"/>
      <c r="S10" s="275"/>
      <c r="T10" s="270"/>
      <c r="U10" s="324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  <c r="AO10" s="170"/>
      <c r="AP10" s="170"/>
      <c r="AQ10" s="170"/>
      <c r="AR10" s="170"/>
      <c r="AS10" s="170"/>
      <c r="AT10" s="170"/>
      <c r="AU10" s="170"/>
      <c r="AV10" s="170"/>
      <c r="AW10" s="170"/>
      <c r="AX10" s="170"/>
      <c r="AY10" s="170"/>
      <c r="AZ10" s="170"/>
      <c r="BA10" s="280" t="str">
        <f>C1 &amp; "-II"</f>
        <v>0.0-II</v>
      </c>
      <c r="BB10" s="170"/>
      <c r="BC10" s="170"/>
      <c r="BD10" s="170"/>
      <c r="BE10" s="170"/>
      <c r="BF10" s="170"/>
      <c r="BG10" s="170"/>
      <c r="BH10" s="170"/>
      <c r="BI10" s="170"/>
      <c r="BJ10" s="170"/>
      <c r="BK10" s="170"/>
      <c r="BL10" s="170"/>
      <c r="BM10" s="170"/>
      <c r="BN10" s="170"/>
      <c r="BO10" s="170"/>
      <c r="BP10" s="331"/>
      <c r="BQ10" s="331"/>
      <c r="BR10" s="331"/>
      <c r="BS10" s="331"/>
      <c r="BT10" s="331"/>
      <c r="BU10" s="331"/>
      <c r="BV10" s="331"/>
      <c r="BW10" s="331"/>
      <c r="BX10" s="331"/>
      <c r="BY10" s="331"/>
      <c r="BZ10" s="169"/>
      <c r="CA10" s="169"/>
      <c r="CB10" s="169"/>
      <c r="CC10" s="169"/>
      <c r="CD10" s="169"/>
      <c r="CO10" s="169"/>
      <c r="CP10" s="169"/>
      <c r="CQ10" s="169"/>
      <c r="CR10" s="169"/>
      <c r="CS10" s="169"/>
      <c r="CT10" s="334">
        <f>IF(OR(BU3=0,CJ3=0,BU3=""),0,CJ3/BU3)</f>
        <v>0</v>
      </c>
      <c r="CU10" s="334">
        <f>IF(OR(BV3=0,CK3=0,BV3=""),0,CK3/BV3)</f>
        <v>0</v>
      </c>
      <c r="CV10" s="334">
        <f>IF(OR(BW3=0,CL3=0,BW3=""),0,CL3/BW3)</f>
        <v>0</v>
      </c>
      <c r="CW10" s="334">
        <f>IF(OR(BX3=0,CM3=0,BX3=""),0,CM3/BX3)</f>
        <v>0</v>
      </c>
      <c r="CX10" s="334">
        <f>IF(OR(BY3=0,CN3=0,BY3=""),0,CN3/BY3)</f>
        <v>0</v>
      </c>
      <c r="CY10" s="334">
        <f>IF(OR(SUM(BU3:BY3)=0,SUM(CJ3:CN3)=0),0,SUM(CJ3:CN3)/SUM(BU3:BY3))</f>
        <v>0</v>
      </c>
    </row>
    <row r="11" spans="1:103" s="114" customFormat="1" ht="11.25" hidden="1" customHeight="1">
      <c r="A11" s="287"/>
      <c r="B11" s="981"/>
      <c r="C11" s="947"/>
      <c r="D11" s="281"/>
      <c r="E11" s="282"/>
      <c r="F11" s="283" t="str">
        <f>F1 &amp; ".8"</f>
        <v>0.8</v>
      </c>
      <c r="G11" s="301" t="s">
        <v>144</v>
      </c>
      <c r="H11" s="274"/>
      <c r="I11" s="274"/>
      <c r="J11" s="274"/>
      <c r="K11" s="275"/>
      <c r="L11" s="275"/>
      <c r="M11" s="275"/>
      <c r="N11" s="275"/>
      <c r="O11" s="275"/>
      <c r="P11" s="275"/>
      <c r="Q11" s="275"/>
      <c r="R11" s="275"/>
      <c r="S11" s="275"/>
      <c r="T11" s="270"/>
      <c r="U11" s="324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280" t="str">
        <f>C1 &amp; "-II"</f>
        <v>0.0-II</v>
      </c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331"/>
      <c r="BQ11" s="331"/>
      <c r="BR11" s="331"/>
      <c r="BS11" s="331"/>
      <c r="BT11" s="331"/>
      <c r="BU11" s="331"/>
      <c r="BV11" s="331"/>
      <c r="BW11" s="331"/>
      <c r="BX11" s="331"/>
      <c r="BY11" s="331"/>
      <c r="BZ11" s="169"/>
      <c r="CA11" s="169"/>
      <c r="CB11" s="169"/>
      <c r="CC11" s="169"/>
      <c r="CD11" s="169"/>
      <c r="CO11" s="169"/>
      <c r="CP11" s="169"/>
      <c r="CQ11" s="169"/>
      <c r="CR11" s="169"/>
      <c r="CS11" s="169"/>
    </row>
    <row r="12" spans="1:103" s="114" customFormat="1" ht="11.25" hidden="1" customHeight="1">
      <c r="A12" s="287"/>
      <c r="B12" s="981"/>
      <c r="C12" s="947"/>
      <c r="D12" s="281"/>
      <c r="E12" s="282"/>
      <c r="F12" s="283" t="str">
        <f>F1 &amp; ".9"</f>
        <v>0.9</v>
      </c>
      <c r="G12" s="301" t="s">
        <v>145</v>
      </c>
      <c r="H12" s="274"/>
      <c r="I12" s="274"/>
      <c r="J12" s="274"/>
      <c r="K12" s="275"/>
      <c r="L12" s="275"/>
      <c r="M12" s="275"/>
      <c r="N12" s="275"/>
      <c r="O12" s="275"/>
      <c r="P12" s="275"/>
      <c r="Q12" s="275"/>
      <c r="R12" s="275"/>
      <c r="S12" s="275"/>
      <c r="T12" s="270"/>
      <c r="U12" s="324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280" t="str">
        <f>C1 &amp; "-II"</f>
        <v>0.0-II</v>
      </c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331"/>
      <c r="BQ12" s="331"/>
      <c r="BR12" s="331"/>
      <c r="BS12" s="331"/>
      <c r="BT12" s="331"/>
      <c r="BU12" s="331"/>
      <c r="BV12" s="331"/>
      <c r="BW12" s="331"/>
      <c r="BX12" s="331"/>
      <c r="BY12" s="331"/>
      <c r="BZ12" s="169"/>
      <c r="CA12" s="169"/>
      <c r="CB12" s="169"/>
      <c r="CC12" s="169"/>
      <c r="CD12" s="169"/>
      <c r="CO12" s="169"/>
      <c r="CP12" s="169"/>
      <c r="CQ12" s="169"/>
      <c r="CR12" s="169"/>
      <c r="CS12" s="169"/>
    </row>
    <row r="13" spans="1:103" s="114" customFormat="1" ht="11.25" hidden="1" customHeight="1">
      <c r="A13" s="287"/>
      <c r="B13" s="981"/>
      <c r="C13" s="947"/>
      <c r="D13" s="281"/>
      <c r="E13" s="282"/>
      <c r="F13" s="283" t="str">
        <f>F1 &amp; ".10"</f>
        <v>0.10</v>
      </c>
      <c r="G13" s="301" t="s">
        <v>146</v>
      </c>
      <c r="H13" s="274"/>
      <c r="I13" s="274"/>
      <c r="J13" s="274"/>
      <c r="K13" s="275"/>
      <c r="L13" s="275"/>
      <c r="M13" s="275"/>
      <c r="N13" s="275"/>
      <c r="O13" s="275"/>
      <c r="P13" s="275"/>
      <c r="Q13" s="275"/>
      <c r="R13" s="275"/>
      <c r="S13" s="275"/>
      <c r="T13" s="270"/>
      <c r="U13" s="324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280" t="str">
        <f>C1 &amp; "-II"</f>
        <v>0.0-II</v>
      </c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331"/>
      <c r="BQ13" s="331"/>
      <c r="BR13" s="331"/>
      <c r="BS13" s="331"/>
      <c r="BT13" s="331"/>
      <c r="BU13" s="331"/>
      <c r="BV13" s="331"/>
      <c r="BW13" s="331"/>
      <c r="BX13" s="331"/>
      <c r="BY13" s="331"/>
      <c r="BZ13" s="169"/>
      <c r="CA13" s="169"/>
      <c r="CB13" s="169"/>
      <c r="CC13" s="169"/>
      <c r="CD13" s="169"/>
      <c r="CO13" s="169"/>
      <c r="CP13" s="169"/>
      <c r="CQ13" s="169"/>
      <c r="CR13" s="169"/>
      <c r="CS13" s="169"/>
    </row>
    <row r="14" spans="1:103" s="114" customFormat="1" ht="11.25" hidden="1" customHeight="1">
      <c r="A14" s="287"/>
      <c r="B14" s="981"/>
      <c r="C14" s="947"/>
      <c r="D14" s="281"/>
      <c r="E14" s="282"/>
      <c r="F14" s="283" t="str">
        <f>F1 &amp; ".11"</f>
        <v>0.11</v>
      </c>
      <c r="G14" s="301" t="s">
        <v>147</v>
      </c>
      <c r="H14" s="274"/>
      <c r="I14" s="274"/>
      <c r="J14" s="274"/>
      <c r="K14" s="275"/>
      <c r="L14" s="275"/>
      <c r="M14" s="275"/>
      <c r="N14" s="275"/>
      <c r="O14" s="275"/>
      <c r="P14" s="275"/>
      <c r="Q14" s="275"/>
      <c r="R14" s="275"/>
      <c r="S14" s="275"/>
      <c r="T14" s="270"/>
      <c r="U14" s="324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0"/>
      <c r="AX14" s="170"/>
      <c r="AY14" s="170"/>
      <c r="AZ14" s="170"/>
      <c r="BA14" s="280" t="str">
        <f>C1 &amp; "-II"</f>
        <v>0.0-II</v>
      </c>
      <c r="BB14" s="170"/>
      <c r="BC14" s="170"/>
      <c r="BD14" s="170"/>
      <c r="BE14" s="170"/>
      <c r="BF14" s="170"/>
      <c r="BG14" s="170"/>
      <c r="BH14" s="170"/>
      <c r="BI14" s="170"/>
      <c r="BJ14" s="170"/>
      <c r="BK14" s="170"/>
      <c r="BL14" s="170"/>
      <c r="BM14" s="170"/>
      <c r="BN14" s="170"/>
      <c r="BO14" s="170"/>
      <c r="BP14" s="331"/>
      <c r="BQ14" s="331"/>
      <c r="BR14" s="331"/>
      <c r="BS14" s="331"/>
      <c r="BT14" s="331"/>
      <c r="BU14" s="331"/>
      <c r="BV14" s="331"/>
      <c r="BW14" s="331"/>
      <c r="BX14" s="331"/>
      <c r="BY14" s="331"/>
      <c r="BZ14" s="169"/>
      <c r="CA14" s="169"/>
      <c r="CB14" s="169"/>
      <c r="CC14" s="169"/>
      <c r="CD14" s="169"/>
      <c r="CO14" s="169"/>
      <c r="CP14" s="169"/>
      <c r="CQ14" s="169"/>
      <c r="CR14" s="169"/>
      <c r="CS14" s="169"/>
    </row>
    <row r="15" spans="1:103" s="114" customFormat="1" ht="11.25" hidden="1" customHeight="1">
      <c r="A15" s="287"/>
      <c r="B15" s="981"/>
      <c r="C15" s="948"/>
      <c r="D15" s="281"/>
      <c r="E15" s="282"/>
      <c r="F15" s="283" t="str">
        <f>F1 &amp; ".12"</f>
        <v>0.12</v>
      </c>
      <c r="G15" s="301" t="s">
        <v>148</v>
      </c>
      <c r="H15" s="274"/>
      <c r="I15" s="274"/>
      <c r="J15" s="274"/>
      <c r="K15" s="275"/>
      <c r="L15" s="275"/>
      <c r="M15" s="275"/>
      <c r="N15" s="275"/>
      <c r="O15" s="275"/>
      <c r="P15" s="275"/>
      <c r="Q15" s="275"/>
      <c r="R15" s="275"/>
      <c r="S15" s="275"/>
      <c r="T15" s="270"/>
      <c r="U15" s="324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280" t="str">
        <f>C1 &amp; "-II"</f>
        <v>0.0-II</v>
      </c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331"/>
      <c r="BQ15" s="331"/>
      <c r="BR15" s="331"/>
      <c r="BS15" s="331"/>
      <c r="BT15" s="331"/>
      <c r="BU15" s="331"/>
      <c r="BV15" s="331"/>
      <c r="BW15" s="331"/>
      <c r="BX15" s="331"/>
      <c r="BY15" s="331"/>
      <c r="BZ15" s="169"/>
      <c r="CA15" s="169"/>
      <c r="CB15" s="169"/>
      <c r="CC15" s="169"/>
      <c r="CD15" s="169"/>
      <c r="CO15" s="169"/>
      <c r="CP15" s="169"/>
      <c r="CQ15" s="169"/>
      <c r="CR15" s="169"/>
      <c r="CS15" s="169"/>
    </row>
    <row r="16" spans="1:103" s="114" customFormat="1" ht="0.75" hidden="1" customHeight="1">
      <c r="A16" s="287"/>
      <c r="B16" s="981"/>
      <c r="C16" s="946"/>
      <c r="D16" s="281"/>
      <c r="E16" s="316"/>
      <c r="F16" s="274"/>
      <c r="G16" s="274"/>
      <c r="H16" s="274"/>
      <c r="I16" s="274"/>
      <c r="J16" s="274"/>
      <c r="K16" s="275"/>
      <c r="L16" s="275"/>
      <c r="M16" s="275"/>
      <c r="N16" s="275"/>
      <c r="O16" s="275"/>
      <c r="P16" s="275"/>
      <c r="Q16" s="275"/>
      <c r="R16" s="275"/>
      <c r="S16" s="275"/>
      <c r="T16" s="270"/>
      <c r="U16" s="278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280"/>
      <c r="BB16" s="170"/>
      <c r="BC16" s="170"/>
      <c r="BD16" s="170"/>
      <c r="BE16" s="170"/>
      <c r="BF16" s="170"/>
      <c r="BG16" s="170"/>
      <c r="BH16" s="170"/>
      <c r="BI16" s="170"/>
      <c r="BJ16" s="170"/>
      <c r="BK16" s="170"/>
      <c r="BL16" s="170"/>
      <c r="BM16" s="170"/>
      <c r="BN16" s="170"/>
      <c r="BO16" s="170"/>
      <c r="BP16" s="331"/>
      <c r="BQ16" s="331"/>
      <c r="BR16" s="331"/>
      <c r="BS16" s="331"/>
      <c r="BT16" s="331"/>
      <c r="BU16" s="331"/>
      <c r="BV16" s="331"/>
      <c r="BW16" s="331"/>
      <c r="BX16" s="331"/>
      <c r="BY16" s="331"/>
      <c r="BZ16" s="169"/>
      <c r="CA16" s="169"/>
      <c r="CB16" s="169"/>
      <c r="CC16" s="169"/>
      <c r="CD16" s="169"/>
      <c r="CO16" s="169"/>
      <c r="CP16" s="169"/>
      <c r="CQ16" s="169"/>
      <c r="CR16" s="169"/>
      <c r="CS16" s="169"/>
    </row>
    <row r="17" spans="1:97" s="114" customFormat="1" ht="0.75" hidden="1" customHeight="1">
      <c r="A17" s="287"/>
      <c r="B17" s="981"/>
      <c r="C17" s="947"/>
      <c r="D17" s="281"/>
      <c r="E17" s="316"/>
      <c r="F17" s="274"/>
      <c r="G17" s="274"/>
      <c r="H17" s="274"/>
      <c r="I17" s="274"/>
      <c r="J17" s="274"/>
      <c r="K17" s="275"/>
      <c r="L17" s="275"/>
      <c r="M17" s="275"/>
      <c r="N17" s="275"/>
      <c r="O17" s="275"/>
      <c r="P17" s="275"/>
      <c r="Q17" s="275"/>
      <c r="R17" s="275"/>
      <c r="S17" s="275"/>
      <c r="T17" s="270"/>
      <c r="U17" s="278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280"/>
      <c r="BB17" s="170"/>
      <c r="BC17" s="170"/>
      <c r="BD17" s="170"/>
      <c r="BE17" s="170"/>
      <c r="BF17" s="170"/>
      <c r="BG17" s="170"/>
      <c r="BH17" s="170"/>
      <c r="BI17" s="170"/>
      <c r="BJ17" s="170"/>
      <c r="BK17" s="170"/>
      <c r="BL17" s="170"/>
      <c r="BM17" s="170"/>
      <c r="BN17" s="170"/>
      <c r="BO17" s="170"/>
      <c r="BP17" s="331"/>
      <c r="BQ17" s="331"/>
      <c r="BR17" s="331"/>
      <c r="BS17" s="331"/>
      <c r="BT17" s="331"/>
      <c r="BU17" s="331"/>
      <c r="BV17" s="331"/>
      <c r="BW17" s="331"/>
      <c r="BX17" s="331"/>
      <c r="BY17" s="331"/>
      <c r="BZ17" s="169"/>
      <c r="CA17" s="169"/>
      <c r="CB17" s="169"/>
      <c r="CC17" s="169"/>
      <c r="CD17" s="169"/>
      <c r="CO17" s="169"/>
      <c r="CP17" s="169"/>
      <c r="CQ17" s="169"/>
      <c r="CR17" s="169"/>
      <c r="CS17" s="169"/>
    </row>
    <row r="18" spans="1:97" s="114" customFormat="1" ht="0.75" hidden="1" customHeight="1">
      <c r="A18" s="287"/>
      <c r="B18" s="981"/>
      <c r="C18" s="947"/>
      <c r="D18" s="281"/>
      <c r="E18" s="316"/>
      <c r="F18" s="274"/>
      <c r="G18" s="274"/>
      <c r="H18" s="274"/>
      <c r="I18" s="274"/>
      <c r="J18" s="274"/>
      <c r="K18" s="275"/>
      <c r="L18" s="275"/>
      <c r="M18" s="275"/>
      <c r="N18" s="275"/>
      <c r="O18" s="275"/>
      <c r="P18" s="275"/>
      <c r="Q18" s="275"/>
      <c r="R18" s="275"/>
      <c r="S18" s="275"/>
      <c r="T18" s="270"/>
      <c r="U18" s="278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280"/>
      <c r="BB18" s="170"/>
      <c r="BC18" s="170"/>
      <c r="BD18" s="170"/>
      <c r="BE18" s="170"/>
      <c r="BF18" s="170"/>
      <c r="BG18" s="170"/>
      <c r="BH18" s="170"/>
      <c r="BI18" s="170"/>
      <c r="BJ18" s="170"/>
      <c r="BK18" s="170"/>
      <c r="BL18" s="170"/>
      <c r="BM18" s="170"/>
      <c r="BN18" s="170"/>
      <c r="BO18" s="170"/>
      <c r="BP18" s="331"/>
      <c r="BQ18" s="331"/>
      <c r="BR18" s="331"/>
      <c r="BS18" s="331"/>
      <c r="BT18" s="331"/>
      <c r="BU18" s="331"/>
      <c r="BV18" s="331"/>
      <c r="BW18" s="331"/>
      <c r="BX18" s="331"/>
      <c r="BY18" s="331"/>
      <c r="BZ18" s="169"/>
      <c r="CA18" s="169"/>
      <c r="CB18" s="169"/>
      <c r="CC18" s="169"/>
      <c r="CD18" s="169"/>
      <c r="CO18" s="169"/>
      <c r="CP18" s="169"/>
      <c r="CQ18" s="169"/>
      <c r="CR18" s="169"/>
      <c r="CS18" s="169"/>
    </row>
    <row r="19" spans="1:97" s="114" customFormat="1" ht="0.75" hidden="1" customHeight="1">
      <c r="A19" s="287"/>
      <c r="B19" s="981"/>
      <c r="C19" s="947"/>
      <c r="D19" s="281"/>
      <c r="E19" s="316"/>
      <c r="F19" s="274"/>
      <c r="G19" s="274"/>
      <c r="H19" s="274"/>
      <c r="I19" s="274"/>
      <c r="J19" s="274"/>
      <c r="K19" s="275"/>
      <c r="L19" s="275"/>
      <c r="M19" s="275"/>
      <c r="N19" s="275"/>
      <c r="O19" s="275"/>
      <c r="P19" s="275"/>
      <c r="Q19" s="275"/>
      <c r="R19" s="275"/>
      <c r="S19" s="275"/>
      <c r="T19" s="270"/>
      <c r="U19" s="278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28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70"/>
      <c r="BO19" s="170"/>
      <c r="BP19" s="331"/>
      <c r="BQ19" s="331"/>
      <c r="BR19" s="331"/>
      <c r="BS19" s="331"/>
      <c r="BT19" s="331"/>
      <c r="BU19" s="331"/>
      <c r="BV19" s="331"/>
      <c r="BW19" s="331"/>
      <c r="BX19" s="331"/>
      <c r="BY19" s="331"/>
      <c r="BZ19" s="169"/>
      <c r="CA19" s="169"/>
      <c r="CB19" s="169"/>
      <c r="CC19" s="169"/>
      <c r="CD19" s="169"/>
      <c r="CO19" s="169"/>
      <c r="CP19" s="169"/>
      <c r="CQ19" s="169"/>
      <c r="CR19" s="169"/>
      <c r="CS19" s="169"/>
    </row>
    <row r="20" spans="1:97" s="114" customFormat="1" ht="0.75" hidden="1" customHeight="1">
      <c r="A20" s="287"/>
      <c r="B20" s="981"/>
      <c r="C20" s="947"/>
      <c r="D20" s="281"/>
      <c r="E20" s="316"/>
      <c r="F20" s="274"/>
      <c r="G20" s="274"/>
      <c r="H20" s="274"/>
      <c r="I20" s="274"/>
      <c r="J20" s="274"/>
      <c r="K20" s="275"/>
      <c r="L20" s="275"/>
      <c r="M20" s="275"/>
      <c r="N20" s="275"/>
      <c r="O20" s="275"/>
      <c r="P20" s="275"/>
      <c r="Q20" s="275"/>
      <c r="R20" s="275"/>
      <c r="S20" s="275"/>
      <c r="T20" s="270"/>
      <c r="U20" s="278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28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0"/>
      <c r="BN20" s="170"/>
      <c r="BO20" s="170"/>
      <c r="BP20" s="331"/>
      <c r="BQ20" s="331"/>
      <c r="BR20" s="331"/>
      <c r="BS20" s="331"/>
      <c r="BT20" s="331"/>
      <c r="BU20" s="331"/>
      <c r="BV20" s="331"/>
      <c r="BW20" s="331"/>
      <c r="BX20" s="331"/>
      <c r="BY20" s="331"/>
      <c r="BZ20" s="169"/>
      <c r="CA20" s="169"/>
      <c r="CB20" s="169"/>
      <c r="CC20" s="169"/>
      <c r="CD20" s="169"/>
      <c r="CO20" s="169"/>
      <c r="CP20" s="169"/>
      <c r="CQ20" s="169"/>
      <c r="CR20" s="169"/>
      <c r="CS20" s="169"/>
    </row>
    <row r="21" spans="1:97" s="114" customFormat="1" ht="0.75" hidden="1" customHeight="1">
      <c r="A21" s="287"/>
      <c r="B21" s="981"/>
      <c r="C21" s="947"/>
      <c r="D21" s="281"/>
      <c r="E21" s="316"/>
      <c r="F21" s="274"/>
      <c r="G21" s="274"/>
      <c r="H21" s="274"/>
      <c r="I21" s="274"/>
      <c r="J21" s="274"/>
      <c r="K21" s="275"/>
      <c r="L21" s="275"/>
      <c r="M21" s="275"/>
      <c r="N21" s="275"/>
      <c r="O21" s="275"/>
      <c r="P21" s="275"/>
      <c r="Q21" s="275"/>
      <c r="R21" s="275"/>
      <c r="S21" s="275"/>
      <c r="T21" s="270"/>
      <c r="U21" s="278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28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0"/>
      <c r="BP21" s="331"/>
      <c r="BQ21" s="331"/>
      <c r="BR21" s="331"/>
      <c r="BS21" s="331"/>
      <c r="BT21" s="331"/>
      <c r="BU21" s="331"/>
      <c r="BV21" s="331"/>
      <c r="BW21" s="331"/>
      <c r="BX21" s="331"/>
      <c r="BY21" s="331"/>
      <c r="BZ21" s="169"/>
      <c r="CA21" s="169"/>
      <c r="CB21" s="169"/>
      <c r="CC21" s="169"/>
      <c r="CD21" s="169"/>
      <c r="CO21" s="169"/>
      <c r="CP21" s="169"/>
      <c r="CQ21" s="169"/>
      <c r="CR21" s="169"/>
      <c r="CS21" s="169"/>
    </row>
    <row r="22" spans="1:97" s="114" customFormat="1" ht="0.75" hidden="1" customHeight="1">
      <c r="A22" s="287"/>
      <c r="B22" s="981"/>
      <c r="C22" s="947"/>
      <c r="D22" s="281"/>
      <c r="E22" s="316"/>
      <c r="F22" s="274"/>
      <c r="G22" s="274"/>
      <c r="H22" s="274"/>
      <c r="I22" s="274"/>
      <c r="J22" s="274"/>
      <c r="K22" s="275"/>
      <c r="L22" s="275"/>
      <c r="M22" s="275"/>
      <c r="N22" s="275"/>
      <c r="O22" s="275"/>
      <c r="P22" s="275"/>
      <c r="Q22" s="275"/>
      <c r="R22" s="275"/>
      <c r="S22" s="275"/>
      <c r="T22" s="270"/>
      <c r="U22" s="278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170"/>
      <c r="AS22" s="170"/>
      <c r="AT22" s="170"/>
      <c r="AU22" s="170"/>
      <c r="AV22" s="170"/>
      <c r="AW22" s="170"/>
      <c r="AX22" s="170"/>
      <c r="AY22" s="170"/>
      <c r="AZ22" s="170"/>
      <c r="BA22" s="280"/>
      <c r="BB22" s="170"/>
      <c r="BC22" s="170"/>
      <c r="BD22" s="170"/>
      <c r="BE22" s="170"/>
      <c r="BF22" s="170"/>
      <c r="BG22" s="170"/>
      <c r="BH22" s="170"/>
      <c r="BI22" s="170"/>
      <c r="BJ22" s="170"/>
      <c r="BK22" s="170"/>
      <c r="BL22" s="170"/>
      <c r="BM22" s="170"/>
      <c r="BN22" s="170"/>
      <c r="BO22" s="170"/>
      <c r="BP22" s="331"/>
      <c r="BQ22" s="331"/>
      <c r="BR22" s="331"/>
      <c r="BS22" s="331"/>
      <c r="BT22" s="331"/>
      <c r="BU22" s="331"/>
      <c r="BV22" s="331"/>
      <c r="BW22" s="331"/>
      <c r="BX22" s="331"/>
      <c r="BY22" s="331"/>
      <c r="BZ22" s="169"/>
      <c r="CA22" s="169"/>
      <c r="CB22" s="169"/>
      <c r="CC22" s="169"/>
      <c r="CD22" s="169"/>
      <c r="CO22" s="169"/>
      <c r="CP22" s="169"/>
      <c r="CQ22" s="169"/>
      <c r="CR22" s="169"/>
      <c r="CS22" s="169"/>
    </row>
    <row r="23" spans="1:97" s="114" customFormat="1" ht="0.75" hidden="1" customHeight="1">
      <c r="A23" s="287"/>
      <c r="B23" s="981"/>
      <c r="C23" s="947"/>
      <c r="D23" s="281"/>
      <c r="E23" s="316"/>
      <c r="F23" s="274"/>
      <c r="G23" s="274"/>
      <c r="H23" s="274"/>
      <c r="I23" s="274"/>
      <c r="J23" s="274"/>
      <c r="K23" s="275"/>
      <c r="L23" s="275"/>
      <c r="M23" s="275"/>
      <c r="N23" s="275"/>
      <c r="O23" s="275"/>
      <c r="P23" s="275"/>
      <c r="Q23" s="275"/>
      <c r="R23" s="275"/>
      <c r="S23" s="275"/>
      <c r="T23" s="270"/>
      <c r="U23" s="278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28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0"/>
      <c r="BN23" s="170"/>
      <c r="BO23" s="170"/>
      <c r="BP23" s="331"/>
      <c r="BQ23" s="331"/>
      <c r="BR23" s="331"/>
      <c r="BS23" s="331"/>
      <c r="BT23" s="331"/>
      <c r="BU23" s="331"/>
      <c r="BV23" s="331"/>
      <c r="BW23" s="331"/>
      <c r="BX23" s="331"/>
      <c r="BY23" s="331"/>
      <c r="BZ23" s="169"/>
      <c r="CA23" s="169"/>
      <c r="CB23" s="169"/>
      <c r="CC23" s="169"/>
      <c r="CD23" s="169"/>
      <c r="CO23" s="169"/>
      <c r="CP23" s="169"/>
      <c r="CQ23" s="169"/>
      <c r="CR23" s="169"/>
      <c r="CS23" s="169"/>
    </row>
    <row r="24" spans="1:97" s="114" customFormat="1" ht="0.75" hidden="1" customHeight="1">
      <c r="A24" s="287"/>
      <c r="B24" s="981"/>
      <c r="C24" s="947"/>
      <c r="D24" s="281"/>
      <c r="E24" s="316"/>
      <c r="F24" s="274"/>
      <c r="G24" s="274"/>
      <c r="H24" s="274"/>
      <c r="I24" s="274"/>
      <c r="J24" s="274"/>
      <c r="K24" s="275"/>
      <c r="L24" s="275"/>
      <c r="M24" s="275"/>
      <c r="N24" s="275"/>
      <c r="O24" s="275"/>
      <c r="P24" s="275"/>
      <c r="Q24" s="275"/>
      <c r="R24" s="275"/>
      <c r="S24" s="275"/>
      <c r="T24" s="270"/>
      <c r="U24" s="278"/>
      <c r="V24" s="170"/>
      <c r="W24" s="170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  <c r="AK24" s="170"/>
      <c r="AL24" s="170"/>
      <c r="AM24" s="170"/>
      <c r="AN24" s="170"/>
      <c r="AO24" s="170"/>
      <c r="AP24" s="170"/>
      <c r="AQ24" s="170"/>
      <c r="AR24" s="170"/>
      <c r="AS24" s="170"/>
      <c r="AT24" s="170"/>
      <c r="AU24" s="170"/>
      <c r="AV24" s="170"/>
      <c r="AW24" s="170"/>
      <c r="AX24" s="170"/>
      <c r="AY24" s="170"/>
      <c r="AZ24" s="170"/>
      <c r="BA24" s="280"/>
      <c r="BB24" s="170"/>
      <c r="BC24" s="170"/>
      <c r="BD24" s="170"/>
      <c r="BE24" s="170"/>
      <c r="BF24" s="170"/>
      <c r="BG24" s="170"/>
      <c r="BH24" s="170"/>
      <c r="BI24" s="170"/>
      <c r="BJ24" s="170"/>
      <c r="BK24" s="170"/>
      <c r="BL24" s="170"/>
      <c r="BM24" s="170"/>
      <c r="BN24" s="170"/>
      <c r="BO24" s="170"/>
      <c r="BP24" s="331"/>
      <c r="BQ24" s="331"/>
      <c r="BR24" s="331"/>
      <c r="BS24" s="331"/>
      <c r="BT24" s="331"/>
      <c r="BU24" s="331"/>
      <c r="BV24" s="331"/>
      <c r="BW24" s="331"/>
      <c r="BX24" s="331"/>
      <c r="BY24" s="331"/>
      <c r="BZ24" s="169"/>
      <c r="CA24" s="169"/>
      <c r="CB24" s="169"/>
      <c r="CC24" s="169"/>
      <c r="CD24" s="169"/>
      <c r="CO24" s="169"/>
      <c r="CP24" s="169"/>
      <c r="CQ24" s="169"/>
      <c r="CR24" s="169"/>
      <c r="CS24" s="169"/>
    </row>
    <row r="25" spans="1:97" s="114" customFormat="1" ht="0.75" hidden="1" customHeight="1">
      <c r="A25" s="287"/>
      <c r="B25" s="981"/>
      <c r="C25" s="947"/>
      <c r="D25" s="281"/>
      <c r="E25" s="316"/>
      <c r="F25" s="274"/>
      <c r="G25" s="274"/>
      <c r="H25" s="274"/>
      <c r="I25" s="274"/>
      <c r="J25" s="274"/>
      <c r="K25" s="275"/>
      <c r="L25" s="275"/>
      <c r="M25" s="275"/>
      <c r="N25" s="275"/>
      <c r="O25" s="275"/>
      <c r="P25" s="275"/>
      <c r="Q25" s="275"/>
      <c r="R25" s="275"/>
      <c r="S25" s="275"/>
      <c r="T25" s="270"/>
      <c r="U25" s="278"/>
      <c r="V25" s="170"/>
      <c r="W25" s="170"/>
      <c r="X25" s="170"/>
      <c r="Y25" s="170"/>
      <c r="Z25" s="170"/>
      <c r="AA25" s="170"/>
      <c r="AB25" s="170"/>
      <c r="AC25" s="170"/>
      <c r="AD25" s="170"/>
      <c r="AE25" s="170"/>
      <c r="AF25" s="170"/>
      <c r="AG25" s="170"/>
      <c r="AH25" s="170"/>
      <c r="AI25" s="170"/>
      <c r="AJ25" s="170"/>
      <c r="AK25" s="170"/>
      <c r="AL25" s="170"/>
      <c r="AM25" s="170"/>
      <c r="AN25" s="170"/>
      <c r="AO25" s="170"/>
      <c r="AP25" s="170"/>
      <c r="AQ25" s="170"/>
      <c r="AR25" s="170"/>
      <c r="AS25" s="170"/>
      <c r="AT25" s="170"/>
      <c r="AU25" s="170"/>
      <c r="AV25" s="170"/>
      <c r="AW25" s="170"/>
      <c r="AX25" s="170"/>
      <c r="AY25" s="170"/>
      <c r="AZ25" s="170"/>
      <c r="BA25" s="280"/>
      <c r="BB25" s="170"/>
      <c r="BC25" s="170"/>
      <c r="BD25" s="170"/>
      <c r="BE25" s="170"/>
      <c r="BF25" s="170"/>
      <c r="BG25" s="170"/>
      <c r="BH25" s="170"/>
      <c r="BI25" s="170"/>
      <c r="BJ25" s="170"/>
      <c r="BK25" s="170"/>
      <c r="BL25" s="170"/>
      <c r="BM25" s="170"/>
      <c r="BN25" s="170"/>
      <c r="BO25" s="170"/>
      <c r="BP25" s="331"/>
      <c r="BQ25" s="331"/>
      <c r="BR25" s="331"/>
      <c r="BS25" s="331"/>
      <c r="BT25" s="331"/>
      <c r="BU25" s="331"/>
      <c r="BV25" s="331"/>
      <c r="BW25" s="331"/>
      <c r="BX25" s="331"/>
      <c r="BY25" s="331"/>
      <c r="BZ25" s="169"/>
      <c r="CA25" s="169"/>
      <c r="CB25" s="169"/>
      <c r="CC25" s="169"/>
      <c r="CD25" s="169"/>
      <c r="CO25" s="169"/>
      <c r="CP25" s="169"/>
      <c r="CQ25" s="169"/>
      <c r="CR25" s="169"/>
      <c r="CS25" s="169"/>
    </row>
    <row r="26" spans="1:97" s="114" customFormat="1" ht="0.75" hidden="1" customHeight="1">
      <c r="A26" s="287"/>
      <c r="B26" s="981"/>
      <c r="C26" s="947"/>
      <c r="D26" s="281"/>
      <c r="E26" s="316"/>
      <c r="F26" s="274"/>
      <c r="G26" s="274"/>
      <c r="H26" s="274"/>
      <c r="I26" s="274"/>
      <c r="J26" s="274"/>
      <c r="K26" s="275"/>
      <c r="L26" s="275"/>
      <c r="M26" s="275"/>
      <c r="N26" s="275"/>
      <c r="O26" s="275"/>
      <c r="P26" s="275"/>
      <c r="Q26" s="275"/>
      <c r="R26" s="275"/>
      <c r="S26" s="275"/>
      <c r="T26" s="270"/>
      <c r="U26" s="278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28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331"/>
      <c r="BQ26" s="331"/>
      <c r="BR26" s="331"/>
      <c r="BS26" s="331"/>
      <c r="BT26" s="331"/>
      <c r="BU26" s="331"/>
      <c r="BV26" s="331"/>
      <c r="BW26" s="331"/>
      <c r="BX26" s="331"/>
      <c r="BY26" s="331"/>
      <c r="BZ26" s="169"/>
      <c r="CA26" s="169"/>
      <c r="CB26" s="169"/>
      <c r="CC26" s="169"/>
      <c r="CD26" s="169"/>
      <c r="CO26" s="169"/>
      <c r="CP26" s="169"/>
      <c r="CQ26" s="169"/>
      <c r="CR26" s="169"/>
      <c r="CS26" s="169"/>
    </row>
    <row r="27" spans="1:97" s="114" customFormat="1" ht="0.75" hidden="1" customHeight="1">
      <c r="A27" s="287"/>
      <c r="B27" s="981"/>
      <c r="C27" s="947"/>
      <c r="D27" s="281"/>
      <c r="E27" s="316"/>
      <c r="F27" s="274"/>
      <c r="G27" s="274"/>
      <c r="H27" s="274"/>
      <c r="I27" s="274"/>
      <c r="J27" s="274"/>
      <c r="K27" s="275"/>
      <c r="L27" s="275"/>
      <c r="M27" s="275"/>
      <c r="N27" s="275"/>
      <c r="O27" s="275"/>
      <c r="P27" s="275"/>
      <c r="Q27" s="275"/>
      <c r="R27" s="275"/>
      <c r="S27" s="275"/>
      <c r="T27" s="270"/>
      <c r="U27" s="278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  <c r="AL27" s="170"/>
      <c r="AM27" s="170"/>
      <c r="AN27" s="170"/>
      <c r="AO27" s="170"/>
      <c r="AP27" s="170"/>
      <c r="AQ27" s="170"/>
      <c r="AR27" s="170"/>
      <c r="AS27" s="170"/>
      <c r="AT27" s="170"/>
      <c r="AU27" s="170"/>
      <c r="AV27" s="170"/>
      <c r="AW27" s="170"/>
      <c r="AX27" s="170"/>
      <c r="AY27" s="170"/>
      <c r="AZ27" s="170"/>
      <c r="BA27" s="284"/>
      <c r="BB27" s="170"/>
      <c r="BC27" s="170"/>
      <c r="BD27" s="170"/>
      <c r="BE27" s="170"/>
      <c r="BF27" s="170"/>
      <c r="BG27" s="170"/>
      <c r="BH27" s="170"/>
      <c r="BI27" s="170"/>
      <c r="BJ27" s="170"/>
      <c r="BK27" s="170"/>
      <c r="BL27" s="170"/>
      <c r="BM27" s="170"/>
      <c r="BN27" s="170"/>
      <c r="BO27" s="170"/>
      <c r="BP27" s="331"/>
      <c r="BQ27" s="331"/>
      <c r="BR27" s="331"/>
      <c r="BS27" s="331"/>
      <c r="BT27" s="331"/>
      <c r="BU27" s="331"/>
      <c r="BV27" s="331"/>
      <c r="BW27" s="331"/>
      <c r="BX27" s="331"/>
      <c r="BY27" s="331"/>
      <c r="BZ27" s="169"/>
      <c r="CA27" s="169"/>
      <c r="CB27" s="169"/>
      <c r="CC27" s="169"/>
      <c r="CD27" s="169"/>
      <c r="CO27" s="169"/>
      <c r="CP27" s="169"/>
      <c r="CQ27" s="169"/>
      <c r="CR27" s="169"/>
      <c r="CS27" s="169"/>
    </row>
    <row r="28" spans="1:97" s="114" customFormat="1" ht="0.75" hidden="1" customHeight="1">
      <c r="A28" s="287"/>
      <c r="B28" s="982"/>
      <c r="C28" s="949"/>
      <c r="D28" s="285"/>
      <c r="E28" s="316"/>
      <c r="F28" s="274"/>
      <c r="G28" s="274"/>
      <c r="H28" s="274"/>
      <c r="I28" s="274"/>
      <c r="J28" s="274"/>
      <c r="K28" s="275"/>
      <c r="L28" s="275"/>
      <c r="M28" s="275"/>
      <c r="N28" s="275"/>
      <c r="O28" s="275"/>
      <c r="P28" s="275"/>
      <c r="Q28" s="275"/>
      <c r="R28" s="275"/>
      <c r="S28" s="275"/>
      <c r="T28" s="270"/>
      <c r="U28" s="278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284"/>
      <c r="BB28" s="170"/>
      <c r="BC28" s="170"/>
      <c r="BD28" s="170"/>
      <c r="BE28" s="170"/>
      <c r="BF28" s="170"/>
      <c r="BG28" s="170"/>
      <c r="BH28" s="170"/>
      <c r="BI28" s="170"/>
      <c r="BJ28" s="170"/>
      <c r="BK28" s="170"/>
      <c r="BL28" s="170"/>
      <c r="BM28" s="170"/>
      <c r="BN28" s="170"/>
      <c r="BO28" s="170"/>
      <c r="BP28" s="331"/>
      <c r="BQ28" s="331"/>
      <c r="BR28" s="331"/>
      <c r="BS28" s="331"/>
      <c r="BT28" s="331"/>
      <c r="BU28" s="331"/>
      <c r="BV28" s="331"/>
      <c r="BW28" s="331"/>
      <c r="BX28" s="331"/>
      <c r="BY28" s="331"/>
      <c r="BZ28" s="169"/>
      <c r="CA28" s="169"/>
      <c r="CB28" s="169"/>
      <c r="CC28" s="169"/>
      <c r="CD28" s="169"/>
      <c r="CO28" s="169"/>
      <c r="CP28" s="169"/>
      <c r="CQ28" s="169"/>
      <c r="CR28" s="169"/>
      <c r="CS28" s="169"/>
    </row>
    <row r="29" spans="1:97" s="114" customFormat="1" ht="0.75" hidden="1" customHeight="1">
      <c r="A29" s="169"/>
      <c r="B29" s="169"/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278"/>
      <c r="BB29" s="169"/>
      <c r="BC29" s="169"/>
      <c r="BD29" s="169"/>
      <c r="BE29" s="169"/>
      <c r="BF29" s="169"/>
      <c r="BG29" s="169"/>
      <c r="BH29" s="169"/>
      <c r="BI29" s="169"/>
      <c r="BJ29" s="169"/>
      <c r="BK29" s="169"/>
      <c r="BL29" s="169"/>
      <c r="BM29" s="169"/>
      <c r="BN29" s="169"/>
      <c r="BO29" s="169"/>
      <c r="BP29" s="335"/>
      <c r="BQ29" s="335"/>
      <c r="BR29" s="335"/>
      <c r="BS29" s="335"/>
      <c r="BT29" s="335"/>
      <c r="BU29" s="335"/>
      <c r="BV29" s="335"/>
      <c r="BW29" s="335"/>
      <c r="BX29" s="335"/>
      <c r="BY29" s="335"/>
      <c r="BZ29" s="169"/>
      <c r="CA29" s="169"/>
      <c r="CB29" s="169"/>
      <c r="CC29" s="169"/>
      <c r="CD29" s="169"/>
      <c r="CO29" s="169"/>
      <c r="CP29" s="169"/>
      <c r="CQ29" s="169"/>
      <c r="CR29" s="169"/>
      <c r="CS29" s="169"/>
    </row>
    <row r="30" spans="1:97" s="114" customFormat="1" ht="0.75" hidden="1" customHeight="1">
      <c r="A30" s="169"/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278"/>
      <c r="BB30" s="169"/>
      <c r="BC30" s="169"/>
      <c r="BD30" s="169"/>
      <c r="BE30" s="169"/>
      <c r="BF30" s="169"/>
      <c r="BG30" s="169"/>
      <c r="BH30" s="169"/>
      <c r="BI30" s="169"/>
      <c r="BJ30" s="169"/>
      <c r="BK30" s="169"/>
      <c r="BL30" s="169"/>
      <c r="BM30" s="169"/>
      <c r="BN30" s="169"/>
      <c r="BO30" s="169"/>
      <c r="BP30" s="335"/>
      <c r="BQ30" s="335"/>
      <c r="BR30" s="335"/>
      <c r="BS30" s="335"/>
      <c r="BT30" s="335"/>
      <c r="BU30" s="335"/>
      <c r="BV30" s="335"/>
      <c r="BW30" s="335"/>
      <c r="BX30" s="335"/>
      <c r="BY30" s="335"/>
      <c r="BZ30" s="169"/>
      <c r="CA30" s="169"/>
      <c r="CB30" s="169"/>
      <c r="CC30" s="169"/>
      <c r="CD30" s="169"/>
      <c r="CO30" s="169"/>
      <c r="CP30" s="169"/>
      <c r="CQ30" s="169"/>
      <c r="CR30" s="169"/>
      <c r="CS30" s="169"/>
    </row>
    <row r="31" spans="1:97" s="114" customFormat="1" ht="0.75" hidden="1" customHeight="1">
      <c r="A31" s="169"/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278"/>
      <c r="BB31" s="169"/>
      <c r="BC31" s="169"/>
      <c r="BD31" s="169"/>
      <c r="BE31" s="169"/>
      <c r="BF31" s="169"/>
      <c r="BG31" s="169"/>
      <c r="BH31" s="169"/>
      <c r="BI31" s="169"/>
      <c r="BJ31" s="169"/>
      <c r="BK31" s="169"/>
      <c r="BL31" s="169"/>
      <c r="BM31" s="169"/>
      <c r="BN31" s="169"/>
      <c r="BO31" s="169"/>
      <c r="BP31" s="335"/>
      <c r="BQ31" s="335"/>
      <c r="BR31" s="335"/>
      <c r="BS31" s="335"/>
      <c r="BT31" s="335"/>
      <c r="BU31" s="335"/>
      <c r="BV31" s="335"/>
      <c r="BW31" s="335"/>
      <c r="BX31" s="335"/>
      <c r="BY31" s="335"/>
      <c r="BZ31" s="169"/>
      <c r="CA31" s="169"/>
      <c r="CB31" s="169"/>
      <c r="CC31" s="169"/>
      <c r="CD31" s="169"/>
      <c r="CO31" s="169"/>
      <c r="CP31" s="169"/>
      <c r="CQ31" s="169"/>
      <c r="CR31" s="169"/>
      <c r="CS31" s="169"/>
    </row>
    <row r="32" spans="1:97" s="114" customFormat="1" ht="0.75" hidden="1" customHeight="1">
      <c r="A32" s="169"/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278"/>
      <c r="BB32" s="169"/>
      <c r="BC32" s="169"/>
      <c r="BD32" s="169"/>
      <c r="BE32" s="169"/>
      <c r="BF32" s="169"/>
      <c r="BG32" s="169"/>
      <c r="BH32" s="169"/>
      <c r="BI32" s="169"/>
      <c r="BJ32" s="169"/>
      <c r="BK32" s="169"/>
      <c r="BL32" s="169"/>
      <c r="BM32" s="169"/>
      <c r="BN32" s="169"/>
      <c r="BO32" s="169"/>
      <c r="BP32" s="335"/>
      <c r="BQ32" s="335"/>
      <c r="BR32" s="335"/>
      <c r="BS32" s="335"/>
      <c r="BT32" s="335"/>
      <c r="BU32" s="335"/>
      <c r="BV32" s="335"/>
      <c r="BW32" s="335"/>
      <c r="BX32" s="335"/>
      <c r="BY32" s="335"/>
      <c r="BZ32" s="169"/>
      <c r="CA32" s="169"/>
      <c r="CB32" s="169"/>
      <c r="CC32" s="169"/>
      <c r="CD32" s="169"/>
      <c r="CO32" s="169"/>
      <c r="CP32" s="169"/>
      <c r="CQ32" s="169"/>
      <c r="CR32" s="169"/>
      <c r="CS32" s="169"/>
    </row>
    <row r="33" spans="68:77" s="169" customFormat="1" ht="0.75" hidden="1" customHeight="1">
      <c r="BP33" s="335"/>
      <c r="BQ33" s="335"/>
      <c r="BR33" s="335"/>
      <c r="BS33" s="335"/>
      <c r="BT33" s="335"/>
      <c r="BU33" s="335"/>
      <c r="BV33" s="335"/>
      <c r="BW33" s="335"/>
      <c r="BX33" s="335"/>
      <c r="BY33" s="335"/>
    </row>
    <row r="34" spans="68:77" s="169" customFormat="1" ht="0.75" hidden="1" customHeight="1">
      <c r="BP34" s="335"/>
      <c r="BQ34" s="335"/>
      <c r="BR34" s="335"/>
      <c r="BS34" s="335"/>
      <c r="BT34" s="335"/>
      <c r="BU34" s="335"/>
      <c r="BV34" s="335"/>
      <c r="BW34" s="335"/>
      <c r="BX34" s="335"/>
      <c r="BY34" s="335"/>
    </row>
    <row r="35" spans="68:77" s="169" customFormat="1" ht="0.75" hidden="1" customHeight="1">
      <c r="BP35" s="335"/>
      <c r="BQ35" s="335"/>
      <c r="BR35" s="335"/>
      <c r="BS35" s="335"/>
      <c r="BT35" s="335"/>
      <c r="BU35" s="335"/>
      <c r="BV35" s="335"/>
      <c r="BW35" s="335"/>
      <c r="BX35" s="335"/>
      <c r="BY35" s="335"/>
    </row>
    <row r="36" spans="68:77" s="169" customFormat="1" ht="0.75" hidden="1" customHeight="1">
      <c r="BP36" s="335"/>
      <c r="BQ36" s="335"/>
      <c r="BR36" s="335"/>
      <c r="BS36" s="335"/>
      <c r="BT36" s="335"/>
      <c r="BU36" s="335"/>
      <c r="BV36" s="335"/>
      <c r="BW36" s="335"/>
      <c r="BX36" s="335"/>
      <c r="BY36" s="335"/>
    </row>
    <row r="37" spans="68:77" s="169" customFormat="1" ht="0.75" hidden="1" customHeight="1">
      <c r="BP37" s="335"/>
      <c r="BQ37" s="335"/>
      <c r="BR37" s="335"/>
      <c r="BS37" s="335"/>
      <c r="BT37" s="335"/>
      <c r="BU37" s="335"/>
      <c r="BV37" s="335"/>
      <c r="BW37" s="335"/>
      <c r="BX37" s="335"/>
      <c r="BY37" s="335"/>
    </row>
    <row r="38" spans="68:77" s="169" customFormat="1" ht="0.75" hidden="1" customHeight="1">
      <c r="BP38" s="335"/>
      <c r="BQ38" s="335"/>
      <c r="BR38" s="335"/>
      <c r="BS38" s="335"/>
      <c r="BT38" s="335"/>
      <c r="BU38" s="335"/>
      <c r="BV38" s="335"/>
      <c r="BW38" s="335"/>
      <c r="BX38" s="335"/>
      <c r="BY38" s="335"/>
    </row>
    <row r="39" spans="68:77" s="169" customFormat="1" ht="0.75" hidden="1" customHeight="1">
      <c r="BP39" s="335"/>
      <c r="BQ39" s="335"/>
      <c r="BR39" s="335"/>
      <c r="BS39" s="335"/>
      <c r="BT39" s="335"/>
      <c r="BU39" s="335"/>
      <c r="BV39" s="335"/>
      <c r="BW39" s="335"/>
      <c r="BX39" s="335"/>
      <c r="BY39" s="335"/>
    </row>
    <row r="40" spans="68:77" s="169" customFormat="1" ht="0.75" hidden="1" customHeight="1">
      <c r="BP40" s="335"/>
      <c r="BQ40" s="335"/>
      <c r="BR40" s="335"/>
      <c r="BS40" s="335"/>
      <c r="BT40" s="335"/>
      <c r="BU40" s="335"/>
      <c r="BV40" s="335"/>
      <c r="BW40" s="335"/>
      <c r="BX40" s="335"/>
      <c r="BY40" s="335"/>
    </row>
    <row r="41" spans="68:77" s="169" customFormat="1" ht="0.75" hidden="1" customHeight="1">
      <c r="BP41" s="335"/>
      <c r="BQ41" s="335"/>
      <c r="BR41" s="335"/>
      <c r="BS41" s="335"/>
      <c r="BT41" s="335"/>
      <c r="BU41" s="335"/>
      <c r="BV41" s="335"/>
      <c r="BW41" s="335"/>
      <c r="BX41" s="335"/>
      <c r="BY41" s="335"/>
    </row>
    <row r="42" spans="68:77" s="169" customFormat="1" ht="0.75" hidden="1" customHeight="1">
      <c r="BP42" s="335"/>
      <c r="BQ42" s="335"/>
      <c r="BR42" s="335"/>
      <c r="BS42" s="335"/>
      <c r="BT42" s="335"/>
      <c r="BU42" s="335"/>
      <c r="BV42" s="335"/>
      <c r="BW42" s="335"/>
      <c r="BX42" s="335"/>
      <c r="BY42" s="335"/>
    </row>
    <row r="43" spans="68:77" s="169" customFormat="1" ht="0.75" hidden="1" customHeight="1">
      <c r="BP43" s="335"/>
      <c r="BQ43" s="335"/>
      <c r="BR43" s="335"/>
      <c r="BS43" s="335"/>
      <c r="BT43" s="335"/>
      <c r="BU43" s="335"/>
      <c r="BV43" s="335"/>
      <c r="BW43" s="335"/>
      <c r="BX43" s="335"/>
      <c r="BY43" s="335"/>
    </row>
    <row r="44" spans="68:77" s="169" customFormat="1" ht="0.75" hidden="1" customHeight="1">
      <c r="BP44" s="335"/>
      <c r="BQ44" s="335"/>
      <c r="BR44" s="335"/>
      <c r="BS44" s="335"/>
      <c r="BT44" s="335"/>
      <c r="BU44" s="335"/>
      <c r="BV44" s="335"/>
      <c r="BW44" s="335"/>
      <c r="BX44" s="335"/>
      <c r="BY44" s="335"/>
    </row>
    <row r="45" spans="68:77" s="169" customFormat="1" ht="0.75" hidden="1" customHeight="1">
      <c r="BP45" s="335"/>
      <c r="BQ45" s="335"/>
      <c r="BR45" s="335"/>
      <c r="BS45" s="335"/>
      <c r="BT45" s="335"/>
      <c r="BU45" s="335"/>
      <c r="BV45" s="335"/>
      <c r="BW45" s="335"/>
      <c r="BX45" s="335"/>
      <c r="BY45" s="335"/>
    </row>
    <row r="46" spans="68:77" s="169" customFormat="1" ht="0.75" hidden="1" customHeight="1">
      <c r="BP46" s="335"/>
      <c r="BQ46" s="335"/>
      <c r="BR46" s="335"/>
      <c r="BS46" s="335"/>
      <c r="BT46" s="335"/>
      <c r="BU46" s="335"/>
      <c r="BV46" s="335"/>
      <c r="BW46" s="335"/>
      <c r="BX46" s="335"/>
      <c r="BY46" s="335"/>
    </row>
    <row r="47" spans="68:77" s="169" customFormat="1" ht="0.75" hidden="1" customHeight="1">
      <c r="BP47" s="335"/>
      <c r="BQ47" s="335"/>
      <c r="BR47" s="335"/>
      <c r="BS47" s="335"/>
      <c r="BT47" s="335"/>
      <c r="BU47" s="335"/>
      <c r="BV47" s="335"/>
      <c r="BW47" s="335"/>
      <c r="BX47" s="335"/>
      <c r="BY47" s="335"/>
    </row>
    <row r="48" spans="68:77" s="169" customFormat="1" ht="0.75" hidden="1" customHeight="1">
      <c r="BP48" s="335"/>
      <c r="BQ48" s="335"/>
      <c r="BR48" s="335"/>
      <c r="BS48" s="335"/>
      <c r="BT48" s="335"/>
      <c r="BU48" s="335"/>
      <c r="BV48" s="335"/>
      <c r="BW48" s="335"/>
      <c r="BX48" s="335"/>
      <c r="BY48" s="335"/>
    </row>
    <row r="49" spans="1:103" s="169" customFormat="1" ht="0.75" hidden="1" customHeight="1">
      <c r="BP49" s="335"/>
      <c r="BQ49" s="335"/>
      <c r="BR49" s="335"/>
      <c r="BS49" s="335"/>
      <c r="BT49" s="335"/>
      <c r="BU49" s="335"/>
      <c r="BV49" s="335"/>
      <c r="BW49" s="335"/>
      <c r="BX49" s="335"/>
      <c r="BY49" s="335"/>
    </row>
    <row r="50" spans="1:103" s="169" customFormat="1" ht="0.75" hidden="1" customHeight="1">
      <c r="BP50" s="335"/>
      <c r="BQ50" s="335"/>
      <c r="BR50" s="335"/>
      <c r="BS50" s="335"/>
      <c r="BT50" s="335"/>
      <c r="BU50" s="335"/>
      <c r="BV50" s="335"/>
      <c r="BW50" s="335"/>
      <c r="BX50" s="335"/>
      <c r="BY50" s="335"/>
    </row>
    <row r="51" spans="1:103" s="169" customFormat="1" ht="0.75" hidden="1" customHeight="1">
      <c r="BP51" s="335"/>
      <c r="BQ51" s="335"/>
      <c r="BR51" s="335"/>
      <c r="BS51" s="335"/>
      <c r="BT51" s="335"/>
      <c r="BU51" s="335"/>
      <c r="BV51" s="335"/>
      <c r="BW51" s="335"/>
      <c r="BX51" s="335"/>
      <c r="BY51" s="335"/>
    </row>
    <row r="52" spans="1:103" s="169" customFormat="1" ht="0.75" hidden="1" customHeight="1">
      <c r="BP52" s="335"/>
      <c r="BQ52" s="335"/>
      <c r="BR52" s="335"/>
      <c r="BS52" s="335"/>
      <c r="BT52" s="335"/>
      <c r="BU52" s="335"/>
      <c r="BV52" s="335"/>
      <c r="BW52" s="335"/>
      <c r="BX52" s="335"/>
      <c r="BY52" s="335"/>
    </row>
    <row r="53" spans="1:103" s="169" customFormat="1" ht="0.75" hidden="1" customHeight="1">
      <c r="BP53" s="335"/>
      <c r="BQ53" s="335"/>
      <c r="BR53" s="335"/>
      <c r="BS53" s="335"/>
      <c r="BT53" s="335"/>
      <c r="BU53" s="335"/>
      <c r="BV53" s="335"/>
      <c r="BW53" s="335"/>
      <c r="BX53" s="335"/>
      <c r="BY53" s="335"/>
    </row>
    <row r="54" spans="1:103" s="169" customFormat="1" ht="0.75" hidden="1" customHeight="1">
      <c r="BP54" s="335"/>
      <c r="BQ54" s="335"/>
      <c r="BR54" s="335"/>
      <c r="BS54" s="335"/>
      <c r="BT54" s="335"/>
      <c r="BU54" s="335"/>
      <c r="BV54" s="335"/>
      <c r="BW54" s="335"/>
      <c r="BX54" s="335"/>
      <c r="BY54" s="335"/>
    </row>
    <row r="55" spans="1:103" s="169" customFormat="1" ht="0.75" hidden="1" customHeight="1">
      <c r="BP55" s="335"/>
      <c r="BQ55" s="335"/>
      <c r="BR55" s="335"/>
      <c r="BS55" s="335"/>
      <c r="BT55" s="335"/>
      <c r="BU55" s="335"/>
      <c r="BV55" s="335"/>
      <c r="BW55" s="335"/>
      <c r="BX55" s="335"/>
      <c r="BY55" s="335"/>
    </row>
    <row r="56" spans="1:103" s="169" customFormat="1" ht="0.75" hidden="1" customHeight="1">
      <c r="BP56" s="335"/>
      <c r="BQ56" s="335"/>
      <c r="BR56" s="335"/>
      <c r="BS56" s="335"/>
      <c r="BT56" s="335"/>
      <c r="BU56" s="335"/>
      <c r="BV56" s="335"/>
      <c r="BW56" s="335"/>
      <c r="BX56" s="335"/>
      <c r="BY56" s="335"/>
    </row>
    <row r="57" spans="1:103" s="114" customFormat="1" ht="24" hidden="1" customHeight="1">
      <c r="A57" s="391" t="s">
        <v>403</v>
      </c>
      <c r="B57" s="942"/>
      <c r="C57" s="288" t="str">
        <f>F59</f>
        <v>0.0</v>
      </c>
      <c r="D57" s="272" t="s">
        <v>112</v>
      </c>
      <c r="E57" s="289"/>
      <c r="F57" s="938">
        <f>B57</f>
        <v>0</v>
      </c>
      <c r="G57" s="945"/>
      <c r="H57" s="290">
        <f>H59</f>
        <v>0</v>
      </c>
      <c r="I57" s="290">
        <f>I59</f>
        <v>0</v>
      </c>
      <c r="J57" s="599" t="str">
        <f>A57</f>
        <v>TBD</v>
      </c>
      <c r="K57" s="290">
        <f t="shared" ref="K57:T57" si="0">K59</f>
        <v>0</v>
      </c>
      <c r="L57" s="290">
        <f t="shared" si="0"/>
        <v>0</v>
      </c>
      <c r="M57" s="290">
        <f t="shared" si="0"/>
        <v>0</v>
      </c>
      <c r="N57" s="290">
        <f t="shared" si="0"/>
        <v>0</v>
      </c>
      <c r="O57" s="290">
        <f t="shared" si="0"/>
        <v>0</v>
      </c>
      <c r="P57" s="290">
        <f t="shared" si="0"/>
        <v>0</v>
      </c>
      <c r="Q57" s="290">
        <f t="shared" si="0"/>
        <v>0</v>
      </c>
      <c r="R57" s="290">
        <f t="shared" si="0"/>
        <v>0</v>
      </c>
      <c r="S57" s="290">
        <f t="shared" si="0"/>
        <v>0</v>
      </c>
      <c r="T57" s="240">
        <f t="shared" si="0"/>
        <v>0</v>
      </c>
      <c r="U57" s="53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277" t="s">
        <v>765</v>
      </c>
      <c r="BB57" s="170"/>
      <c r="BC57" s="170"/>
      <c r="BD57" s="170"/>
      <c r="BE57" s="170"/>
      <c r="BF57" s="170"/>
      <c r="BG57" s="170"/>
      <c r="BH57" s="170"/>
      <c r="BI57" s="170"/>
      <c r="BJ57" s="170"/>
      <c r="BK57" s="170"/>
      <c r="BL57" s="170"/>
      <c r="BM57" s="170"/>
      <c r="BN57" s="170"/>
      <c r="BO57" s="170"/>
      <c r="BP57" s="331"/>
      <c r="BQ57" s="331"/>
      <c r="BR57" s="331"/>
      <c r="BS57" s="331"/>
      <c r="BT57" s="331"/>
      <c r="BU57" s="331"/>
      <c r="BV57" s="331"/>
      <c r="BW57" s="331"/>
      <c r="BX57" s="331"/>
      <c r="BY57" s="331"/>
      <c r="BZ57" s="169"/>
      <c r="CA57" s="169"/>
      <c r="CB57" s="169"/>
      <c r="CC57" s="169"/>
      <c r="CD57" s="169"/>
      <c r="CO57" s="169"/>
      <c r="CP57" s="169"/>
      <c r="CQ57" s="169"/>
      <c r="CR57" s="169"/>
      <c r="CS57" s="169"/>
    </row>
    <row r="58" spans="1:103" s="114" customFormat="1" ht="0.75" hidden="1" customHeight="1">
      <c r="A58" s="287"/>
      <c r="B58" s="943"/>
      <c r="C58" s="288"/>
      <c r="D58" s="279"/>
      <c r="E58" s="289"/>
      <c r="F58" s="939"/>
      <c r="G58" s="941"/>
      <c r="H58" s="274"/>
      <c r="I58" s="274"/>
      <c r="J58" s="275"/>
      <c r="K58" s="275"/>
      <c r="L58" s="275"/>
      <c r="M58" s="275"/>
      <c r="N58" s="275"/>
      <c r="O58" s="275"/>
      <c r="P58" s="275"/>
      <c r="Q58" s="275"/>
      <c r="R58" s="275"/>
      <c r="S58" s="275"/>
      <c r="T58" s="336"/>
      <c r="U58" s="53"/>
      <c r="V58" s="170"/>
      <c r="W58" s="170"/>
      <c r="X58" s="170"/>
      <c r="Y58" s="170"/>
      <c r="Z58" s="170"/>
      <c r="AA58" s="170"/>
      <c r="AB58" s="170"/>
      <c r="AC58" s="170"/>
      <c r="AD58" s="170"/>
      <c r="AE58" s="170"/>
      <c r="AF58" s="170"/>
      <c r="AG58" s="170"/>
      <c r="AH58" s="170"/>
      <c r="AI58" s="170"/>
      <c r="AJ58" s="170"/>
      <c r="AK58" s="170"/>
      <c r="AL58" s="170"/>
      <c r="AM58" s="170"/>
      <c r="AN58" s="170"/>
      <c r="AO58" s="170"/>
      <c r="AP58" s="170"/>
      <c r="AQ58" s="170"/>
      <c r="AR58" s="170"/>
      <c r="AS58" s="170"/>
      <c r="AT58" s="170"/>
      <c r="AU58" s="170"/>
      <c r="AV58" s="170"/>
      <c r="AW58" s="170"/>
      <c r="AX58" s="170"/>
      <c r="AY58" s="170"/>
      <c r="AZ58" s="170"/>
      <c r="BA58" s="280"/>
      <c r="BB58" s="170"/>
      <c r="BC58" s="170"/>
      <c r="BD58" s="170"/>
      <c r="BE58" s="170"/>
      <c r="BF58" s="170"/>
      <c r="BG58" s="170"/>
      <c r="BH58" s="170"/>
      <c r="BI58" s="170"/>
      <c r="BJ58" s="170"/>
      <c r="BK58" s="170"/>
      <c r="BL58" s="170"/>
      <c r="BM58" s="170"/>
      <c r="BN58" s="170"/>
      <c r="BO58" s="170"/>
      <c r="BP58" s="331"/>
      <c r="BQ58" s="331"/>
      <c r="BR58" s="331"/>
      <c r="BS58" s="331"/>
      <c r="BT58" s="331"/>
      <c r="BU58" s="331"/>
      <c r="BV58" s="331"/>
      <c r="BW58" s="331"/>
      <c r="BX58" s="331"/>
      <c r="BY58" s="331"/>
      <c r="BZ58" s="169"/>
      <c r="CA58" s="169"/>
      <c r="CB58" s="169"/>
      <c r="CC58" s="169"/>
      <c r="CD58" s="169"/>
      <c r="CO58" s="169"/>
      <c r="CP58" s="169"/>
      <c r="CQ58" s="169"/>
      <c r="CR58" s="169"/>
      <c r="CS58" s="169"/>
    </row>
    <row r="59" spans="1:103" s="114" customFormat="1" ht="11.25" hidden="1" customHeight="1">
      <c r="A59" s="287"/>
      <c r="B59" s="943"/>
      <c r="C59" s="946"/>
      <c r="D59" s="281"/>
      <c r="E59" s="282"/>
      <c r="F59" s="283" t="str">
        <f>F57 &amp; ".0"</f>
        <v>0.0</v>
      </c>
      <c r="G59" s="301" t="s">
        <v>136</v>
      </c>
      <c r="H59" s="749">
        <f>SUMIF('Список объектов'!$R$15:$R$19,$F59,'Список объектов'!$W$15:$W$19)</f>
        <v>0</v>
      </c>
      <c r="I59" s="292">
        <f>SUMIF('Список объектов'!$R$15:$R$19,$F59,'Список объектов'!$X$15:$X$19)</f>
        <v>0</v>
      </c>
      <c r="J59" s="392" t="str">
        <f>J57</f>
        <v>TBD</v>
      </c>
      <c r="K59" s="292"/>
      <c r="L59" s="292"/>
      <c r="M59" s="293">
        <f t="shared" ref="M59:M71" si="1">SUM(N59,Q59,R59:T59)</f>
        <v>0</v>
      </c>
      <c r="N59" s="293">
        <f t="shared" ref="N59:T59" si="2">SUM(N60:N71)</f>
        <v>0</v>
      </c>
      <c r="O59" s="293">
        <f t="shared" si="2"/>
        <v>0</v>
      </c>
      <c r="P59" s="293">
        <f t="shared" si="2"/>
        <v>0</v>
      </c>
      <c r="Q59" s="293">
        <f t="shared" si="2"/>
        <v>0</v>
      </c>
      <c r="R59" s="293">
        <f t="shared" si="2"/>
        <v>0</v>
      </c>
      <c r="S59" s="293">
        <f t="shared" si="2"/>
        <v>0</v>
      </c>
      <c r="T59" s="253">
        <f t="shared" si="2"/>
        <v>0</v>
      </c>
      <c r="U59" s="53"/>
      <c r="V59" s="170"/>
      <c r="W59" s="170"/>
      <c r="X59" s="170"/>
      <c r="Y59" s="170"/>
      <c r="Z59" s="170"/>
      <c r="AA59" s="170"/>
      <c r="AB59" s="170"/>
      <c r="AC59" s="170"/>
      <c r="AD59" s="170"/>
      <c r="AE59" s="170"/>
      <c r="AF59" s="170"/>
      <c r="AG59" s="170"/>
      <c r="AH59" s="170"/>
      <c r="AI59" s="170"/>
      <c r="AJ59" s="170"/>
      <c r="AK59" s="170"/>
      <c r="AL59" s="170"/>
      <c r="AM59" s="170"/>
      <c r="AN59" s="170"/>
      <c r="AO59" s="170"/>
      <c r="AP59" s="170"/>
      <c r="AQ59" s="170"/>
      <c r="AR59" s="170"/>
      <c r="AS59" s="170"/>
      <c r="AT59" s="170"/>
      <c r="AU59" s="170"/>
      <c r="AV59" s="170"/>
      <c r="AW59" s="170"/>
      <c r="AX59" s="170"/>
      <c r="AY59" s="170"/>
      <c r="AZ59" s="170"/>
      <c r="BA59" s="277" t="s">
        <v>21</v>
      </c>
      <c r="BB59" s="634" t="str">
        <f>C57 &amp; ".YEAR"</f>
        <v>0.0.YEAR</v>
      </c>
      <c r="BC59" s="170"/>
      <c r="BD59" s="170"/>
      <c r="BE59" s="170"/>
      <c r="BF59" s="170"/>
      <c r="BG59" s="170"/>
      <c r="BH59" s="170"/>
      <c r="BI59" s="170"/>
      <c r="BJ59" s="170"/>
      <c r="BK59" s="170"/>
      <c r="BL59" s="170"/>
      <c r="BM59" s="170"/>
      <c r="BN59" s="170"/>
      <c r="BO59" s="170"/>
      <c r="BP59" s="332">
        <f>SUM($Q60:$Q71)</f>
        <v>0</v>
      </c>
      <c r="BQ59" s="332">
        <f>SUM($R60:$R71)</f>
        <v>0</v>
      </c>
      <c r="BR59" s="332">
        <f>SUM($S60:$S71)</f>
        <v>0</v>
      </c>
      <c r="BS59" s="332">
        <f>SUM($T60:$T71)</f>
        <v>0</v>
      </c>
      <c r="BT59" s="332">
        <f>SUM($N60:$N71)</f>
        <v>0</v>
      </c>
      <c r="BU59" s="332">
        <f>SUM($Q60:$Q71)</f>
        <v>0</v>
      </c>
      <c r="BV59" s="332">
        <f>SUM($R60:$R71)</f>
        <v>0</v>
      </c>
      <c r="BW59" s="332">
        <f>SUM($S60:$S71)</f>
        <v>0</v>
      </c>
      <c r="BX59" s="332">
        <f>SUM($T60:$T71)</f>
        <v>0</v>
      </c>
      <c r="BY59" s="332">
        <f>SUM($N60:$N71)</f>
        <v>0</v>
      </c>
      <c r="BZ59" s="169"/>
      <c r="CA59" s="169"/>
      <c r="CB59" s="169"/>
      <c r="CC59" s="169"/>
      <c r="CD59" s="169"/>
      <c r="CE59" s="333">
        <f>SUM($Q60:$Q65)</f>
        <v>0</v>
      </c>
      <c r="CF59" s="333">
        <f>SUM($R60:$R65)</f>
        <v>0</v>
      </c>
      <c r="CG59" s="333">
        <f>SUM($S60:$S65)</f>
        <v>0</v>
      </c>
      <c r="CH59" s="333">
        <f>SUM($T60:$T65)</f>
        <v>0</v>
      </c>
      <c r="CI59" s="333">
        <f>SUM($N60:$N65)</f>
        <v>0</v>
      </c>
      <c r="CJ59" s="333">
        <f>SUM($Q66:$Q71)</f>
        <v>0</v>
      </c>
      <c r="CK59" s="333">
        <f>SUM($R66:$R71)</f>
        <v>0</v>
      </c>
      <c r="CL59" s="333">
        <f>SUM($S66:$S71)</f>
        <v>0</v>
      </c>
      <c r="CM59" s="333">
        <f>SUM($T66:$T71)</f>
        <v>0</v>
      </c>
      <c r="CN59" s="333">
        <f>SUM($N66:$N71)</f>
        <v>0</v>
      </c>
      <c r="CO59" s="169"/>
      <c r="CP59" s="169"/>
      <c r="CQ59" s="169"/>
      <c r="CR59" s="169"/>
      <c r="CS59" s="169"/>
    </row>
    <row r="60" spans="1:103" s="114" customFormat="1" ht="11.25" hidden="1" customHeight="1">
      <c r="A60" s="287"/>
      <c r="B60" s="943"/>
      <c r="C60" s="947"/>
      <c r="D60" s="281"/>
      <c r="E60" s="282"/>
      <c r="F60" s="283" t="str">
        <f>F57 &amp; ".1"</f>
        <v>0.1</v>
      </c>
      <c r="G60" s="301" t="s">
        <v>137</v>
      </c>
      <c r="H60" s="274"/>
      <c r="I60" s="274"/>
      <c r="J60" s="602" t="str">
        <f ca="1">IF(OFFSET('Список территорий'!CJ$15,$F57,0)="a","Y","N")</f>
        <v>N</v>
      </c>
      <c r="K60" s="275"/>
      <c r="L60" s="275"/>
      <c r="M60" s="293">
        <f t="shared" si="1"/>
        <v>0</v>
      </c>
      <c r="N60" s="293">
        <f>SUM(O60:P60)</f>
        <v>0</v>
      </c>
      <c r="O60" s="292"/>
      <c r="P60" s="292"/>
      <c r="Q60" s="292"/>
      <c r="R60" s="292"/>
      <c r="S60" s="292"/>
      <c r="T60" s="269"/>
      <c r="U60" s="53"/>
      <c r="V60" s="170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280" t="str">
        <f>C57 &amp; "-I"</f>
        <v>0.0-I</v>
      </c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332">
        <f>SUM($Q60:$Q65)</f>
        <v>0</v>
      </c>
      <c r="BQ60" s="332">
        <f>SUM($R60:$R65)</f>
        <v>0</v>
      </c>
      <c r="BR60" s="332">
        <f>SUM($S60:$S65)</f>
        <v>0</v>
      </c>
      <c r="BS60" s="332">
        <f>SUM($T60:$T65)</f>
        <v>0</v>
      </c>
      <c r="BT60" s="332">
        <f>SUM($N60:$N65)</f>
        <v>0</v>
      </c>
      <c r="BU60" s="332">
        <f>SUM($Q60:$Q65)</f>
        <v>0</v>
      </c>
      <c r="BV60" s="332">
        <f>SUM($R60:$R65)</f>
        <v>0</v>
      </c>
      <c r="BW60" s="332">
        <f>SUM($S60:$S65)</f>
        <v>0</v>
      </c>
      <c r="BX60" s="332">
        <f>SUM($T60:$T65)</f>
        <v>0</v>
      </c>
      <c r="BY60" s="332">
        <f>SUM($N60:$N65)</f>
        <v>0</v>
      </c>
      <c r="BZ60" s="169"/>
      <c r="CA60" s="169"/>
      <c r="CB60" s="169"/>
      <c r="CC60" s="169"/>
      <c r="CD60" s="169"/>
      <c r="CO60" s="169"/>
      <c r="CP60" s="169"/>
      <c r="CQ60" s="169"/>
      <c r="CR60" s="169"/>
      <c r="CS60" s="169"/>
      <c r="CT60" s="334">
        <f>IF(OR(BP59=0,CE59=0,BP59=""),0,CE59/BP59)</f>
        <v>0</v>
      </c>
      <c r="CU60" s="334">
        <f>IF(OR(BQ59=0,CF59=0,BQ59=""),0,CF59/BQ59)</f>
        <v>0</v>
      </c>
      <c r="CV60" s="334">
        <f>IF(OR(BR59=0,CG59=0,BR59=""),0,CG59/BR59)</f>
        <v>0</v>
      </c>
      <c r="CW60" s="334">
        <f>IF(OR(BS59=0,CH59=0,BS59=""),0,CH59/BS59)</f>
        <v>0</v>
      </c>
      <c r="CX60" s="334">
        <f>IF(OR(BT59=0,CI59=0,BT59=""),0,CI59/BT59)</f>
        <v>0</v>
      </c>
      <c r="CY60" s="334">
        <f>IF(OR(SUM(BP59:BT59)=0,SUM(CE59:CI59)=0),0,SUM(CE59:CI59)/SUM(BP59:BT59))</f>
        <v>0</v>
      </c>
    </row>
    <row r="61" spans="1:103" s="114" customFormat="1" ht="11.25" hidden="1" customHeight="1">
      <c r="A61" s="287"/>
      <c r="B61" s="943"/>
      <c r="C61" s="947"/>
      <c r="D61" s="281"/>
      <c r="E61" s="282"/>
      <c r="F61" s="283" t="str">
        <f>F57 &amp; ".2"</f>
        <v>0.2</v>
      </c>
      <c r="G61" s="301" t="s">
        <v>138</v>
      </c>
      <c r="H61" s="274"/>
      <c r="I61" s="274"/>
      <c r="J61" s="602" t="str">
        <f ca="1">IF(OFFSET('Список территорий'!CK$15,$F57,0)="a","Y","N")</f>
        <v>N</v>
      </c>
      <c r="K61" s="275"/>
      <c r="L61" s="275"/>
      <c r="M61" s="293">
        <f t="shared" si="1"/>
        <v>0</v>
      </c>
      <c r="N61" s="293">
        <f t="shared" ref="N61:N71" si="3">SUM(O61:P61)</f>
        <v>0</v>
      </c>
      <c r="O61" s="292"/>
      <c r="P61" s="292"/>
      <c r="Q61" s="292"/>
      <c r="R61" s="292"/>
      <c r="S61" s="292"/>
      <c r="T61" s="269"/>
      <c r="U61" s="324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  <c r="AK61" s="170"/>
      <c r="AL61" s="170"/>
      <c r="AM61" s="170"/>
      <c r="AN61" s="170"/>
      <c r="AO61" s="170"/>
      <c r="AP61" s="170"/>
      <c r="AQ61" s="170"/>
      <c r="AR61" s="170"/>
      <c r="AS61" s="170"/>
      <c r="AT61" s="170"/>
      <c r="AU61" s="170"/>
      <c r="AV61" s="170"/>
      <c r="AW61" s="170"/>
      <c r="AX61" s="170"/>
      <c r="AY61" s="170"/>
      <c r="AZ61" s="170"/>
      <c r="BA61" s="280" t="str">
        <f>C57 &amp; "-I"</f>
        <v>0.0-I</v>
      </c>
      <c r="BB61" s="170"/>
      <c r="BC61" s="170"/>
      <c r="BD61" s="170"/>
      <c r="BE61" s="170"/>
      <c r="BF61" s="170"/>
      <c r="BG61" s="170"/>
      <c r="BH61" s="170"/>
      <c r="BI61" s="170"/>
      <c r="BJ61" s="170"/>
      <c r="BK61" s="170"/>
      <c r="BL61" s="170"/>
      <c r="BM61" s="170"/>
      <c r="BN61" s="170"/>
      <c r="BO61" s="170"/>
      <c r="BP61" s="331"/>
      <c r="BQ61" s="331"/>
      <c r="BR61" s="331"/>
      <c r="BS61" s="331"/>
      <c r="BT61" s="331"/>
      <c r="BU61" s="331"/>
      <c r="BV61" s="331"/>
      <c r="BW61" s="331"/>
      <c r="BX61" s="331"/>
      <c r="BY61" s="331"/>
      <c r="BZ61" s="169"/>
      <c r="CA61" s="169"/>
      <c r="CB61" s="169"/>
      <c r="CC61" s="169"/>
      <c r="CD61" s="169"/>
      <c r="CO61" s="169"/>
      <c r="CP61" s="169"/>
      <c r="CQ61" s="169"/>
      <c r="CR61" s="169"/>
      <c r="CS61" s="169"/>
    </row>
    <row r="62" spans="1:103" s="114" customFormat="1" ht="11.25" hidden="1" customHeight="1">
      <c r="A62" s="287"/>
      <c r="B62" s="943"/>
      <c r="C62" s="947"/>
      <c r="D62" s="281"/>
      <c r="E62" s="282"/>
      <c r="F62" s="283" t="str">
        <f>F57 &amp; ".3"</f>
        <v>0.3</v>
      </c>
      <c r="G62" s="301" t="s">
        <v>139</v>
      </c>
      <c r="H62" s="274"/>
      <c r="I62" s="274"/>
      <c r="J62" s="602" t="str">
        <f ca="1">IF(OFFSET('Список территорий'!CL$15,$F57,0)="a","Y","N")</f>
        <v>N</v>
      </c>
      <c r="K62" s="275"/>
      <c r="L62" s="275"/>
      <c r="M62" s="293">
        <f t="shared" si="1"/>
        <v>0</v>
      </c>
      <c r="N62" s="293">
        <f t="shared" si="3"/>
        <v>0</v>
      </c>
      <c r="O62" s="292"/>
      <c r="P62" s="292"/>
      <c r="Q62" s="292"/>
      <c r="R62" s="292"/>
      <c r="S62" s="292"/>
      <c r="T62" s="269"/>
      <c r="U62" s="324"/>
      <c r="V62" s="170"/>
      <c r="W62" s="170"/>
      <c r="X62" s="170"/>
      <c r="Y62" s="170"/>
      <c r="Z62" s="170"/>
      <c r="AA62" s="170"/>
      <c r="AB62" s="170"/>
      <c r="AC62" s="170"/>
      <c r="AD62" s="170"/>
      <c r="AE62" s="170"/>
      <c r="AF62" s="170"/>
      <c r="AG62" s="170"/>
      <c r="AH62" s="170"/>
      <c r="AI62" s="170"/>
      <c r="AJ62" s="170"/>
      <c r="AK62" s="170"/>
      <c r="AL62" s="170"/>
      <c r="AM62" s="170"/>
      <c r="AN62" s="170"/>
      <c r="AO62" s="170"/>
      <c r="AP62" s="170"/>
      <c r="AQ62" s="170"/>
      <c r="AR62" s="170"/>
      <c r="AS62" s="170"/>
      <c r="AT62" s="170"/>
      <c r="AU62" s="170"/>
      <c r="AV62" s="170"/>
      <c r="AW62" s="170"/>
      <c r="AX62" s="170"/>
      <c r="AY62" s="170"/>
      <c r="AZ62" s="170"/>
      <c r="BA62" s="280" t="str">
        <f>C57 &amp; "-I"</f>
        <v>0.0-I</v>
      </c>
      <c r="BB62" s="170"/>
      <c r="BC62" s="170"/>
      <c r="BD62" s="170"/>
      <c r="BE62" s="170"/>
      <c r="BF62" s="170"/>
      <c r="BG62" s="170"/>
      <c r="BH62" s="170"/>
      <c r="BI62" s="170"/>
      <c r="BJ62" s="170"/>
      <c r="BK62" s="170"/>
      <c r="BL62" s="170"/>
      <c r="BM62" s="170"/>
      <c r="BN62" s="170"/>
      <c r="BO62" s="170"/>
      <c r="BP62" s="331"/>
      <c r="BQ62" s="331"/>
      <c r="BR62" s="331"/>
      <c r="BS62" s="331"/>
      <c r="BT62" s="331"/>
      <c r="BU62" s="331"/>
      <c r="BV62" s="331"/>
      <c r="BW62" s="331"/>
      <c r="BX62" s="331"/>
      <c r="BY62" s="331"/>
      <c r="BZ62" s="169"/>
      <c r="CA62" s="169"/>
      <c r="CB62" s="169"/>
      <c r="CC62" s="169"/>
      <c r="CD62" s="169"/>
      <c r="CO62" s="169"/>
      <c r="CP62" s="169"/>
      <c r="CQ62" s="169"/>
      <c r="CR62" s="169"/>
      <c r="CS62" s="169"/>
    </row>
    <row r="63" spans="1:103" s="114" customFormat="1" ht="11.25" hidden="1" customHeight="1">
      <c r="A63" s="287"/>
      <c r="B63" s="943"/>
      <c r="C63" s="947"/>
      <c r="D63" s="281"/>
      <c r="E63" s="282"/>
      <c r="F63" s="283" t="str">
        <f>F57 &amp; ".4"</f>
        <v>0.4</v>
      </c>
      <c r="G63" s="301" t="s">
        <v>140</v>
      </c>
      <c r="H63" s="274"/>
      <c r="I63" s="274"/>
      <c r="J63" s="602" t="str">
        <f ca="1">IF(OFFSET('Список территорий'!CM$15,$F57,0)="a","Y","N")</f>
        <v>N</v>
      </c>
      <c r="K63" s="275"/>
      <c r="L63" s="275"/>
      <c r="M63" s="293">
        <f t="shared" si="1"/>
        <v>0</v>
      </c>
      <c r="N63" s="293">
        <f t="shared" si="3"/>
        <v>0</v>
      </c>
      <c r="O63" s="292"/>
      <c r="P63" s="292"/>
      <c r="Q63" s="292"/>
      <c r="R63" s="292"/>
      <c r="S63" s="292"/>
      <c r="T63" s="269"/>
      <c r="U63" s="324"/>
      <c r="V63" s="170"/>
      <c r="W63" s="170"/>
      <c r="X63" s="170"/>
      <c r="Y63" s="170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70"/>
      <c r="AL63" s="170"/>
      <c r="AM63" s="170"/>
      <c r="AN63" s="170"/>
      <c r="AO63" s="170"/>
      <c r="AP63" s="170"/>
      <c r="AQ63" s="170"/>
      <c r="AR63" s="170"/>
      <c r="AS63" s="170"/>
      <c r="AT63" s="170"/>
      <c r="AU63" s="170"/>
      <c r="AV63" s="170"/>
      <c r="AW63" s="170"/>
      <c r="AX63" s="170"/>
      <c r="AY63" s="170"/>
      <c r="AZ63" s="170"/>
      <c r="BA63" s="280" t="str">
        <f>C57 &amp; "-I"</f>
        <v>0.0-I</v>
      </c>
      <c r="BB63" s="170"/>
      <c r="BC63" s="170"/>
      <c r="BD63" s="170"/>
      <c r="BE63" s="170"/>
      <c r="BF63" s="170"/>
      <c r="BG63" s="170"/>
      <c r="BH63" s="170"/>
      <c r="BI63" s="170"/>
      <c r="BJ63" s="170"/>
      <c r="BK63" s="170"/>
      <c r="BL63" s="170"/>
      <c r="BM63" s="170"/>
      <c r="BN63" s="170"/>
      <c r="BO63" s="170"/>
      <c r="BP63" s="331"/>
      <c r="BQ63" s="331"/>
      <c r="BR63" s="331"/>
      <c r="BS63" s="331"/>
      <c r="BT63" s="331"/>
      <c r="BU63" s="331"/>
      <c r="BV63" s="331"/>
      <c r="BW63" s="331"/>
      <c r="BX63" s="331"/>
      <c r="BY63" s="331"/>
      <c r="BZ63" s="169"/>
      <c r="CA63" s="169"/>
      <c r="CB63" s="169"/>
      <c r="CC63" s="169"/>
      <c r="CD63" s="169"/>
      <c r="CO63" s="169"/>
      <c r="CP63" s="169"/>
      <c r="CQ63" s="169"/>
      <c r="CR63" s="169"/>
      <c r="CS63" s="169"/>
    </row>
    <row r="64" spans="1:103" s="114" customFormat="1" ht="11.25" hidden="1" customHeight="1">
      <c r="A64" s="287"/>
      <c r="B64" s="943"/>
      <c r="C64" s="947"/>
      <c r="D64" s="281"/>
      <c r="E64" s="282"/>
      <c r="F64" s="283" t="str">
        <f>F57 &amp; ".5"</f>
        <v>0.5</v>
      </c>
      <c r="G64" s="301" t="s">
        <v>141</v>
      </c>
      <c r="H64" s="274"/>
      <c r="I64" s="274"/>
      <c r="J64" s="602" t="str">
        <f ca="1">IF(OFFSET('Список территорий'!CN$15,$F57,0)="a","Y","N")</f>
        <v>N</v>
      </c>
      <c r="K64" s="275"/>
      <c r="L64" s="275"/>
      <c r="M64" s="293">
        <f t="shared" si="1"/>
        <v>0</v>
      </c>
      <c r="N64" s="293">
        <f t="shared" si="3"/>
        <v>0</v>
      </c>
      <c r="O64" s="292"/>
      <c r="P64" s="292"/>
      <c r="Q64" s="292"/>
      <c r="R64" s="292"/>
      <c r="S64" s="292"/>
      <c r="T64" s="269"/>
      <c r="U64" s="324"/>
      <c r="V64" s="170"/>
      <c r="W64" s="170"/>
      <c r="X64" s="170"/>
      <c r="Y64" s="170"/>
      <c r="Z64" s="170"/>
      <c r="AA64" s="170"/>
      <c r="AB64" s="170"/>
      <c r="AC64" s="170"/>
      <c r="AD64" s="170"/>
      <c r="AE64" s="170"/>
      <c r="AF64" s="170"/>
      <c r="AG64" s="170"/>
      <c r="AH64" s="170"/>
      <c r="AI64" s="170"/>
      <c r="AJ64" s="170"/>
      <c r="AK64" s="170"/>
      <c r="AL64" s="170"/>
      <c r="AM64" s="170"/>
      <c r="AN64" s="170"/>
      <c r="AO64" s="170"/>
      <c r="AP64" s="170"/>
      <c r="AQ64" s="170"/>
      <c r="AR64" s="170"/>
      <c r="AS64" s="170"/>
      <c r="AT64" s="170"/>
      <c r="AU64" s="170"/>
      <c r="AV64" s="170"/>
      <c r="AW64" s="170"/>
      <c r="AX64" s="170"/>
      <c r="AY64" s="170"/>
      <c r="AZ64" s="170"/>
      <c r="BA64" s="280" t="str">
        <f>C57 &amp; "-I"</f>
        <v>0.0-I</v>
      </c>
      <c r="BB64" s="170"/>
      <c r="BC64" s="170"/>
      <c r="BD64" s="170"/>
      <c r="BE64" s="170"/>
      <c r="BF64" s="170"/>
      <c r="BG64" s="170"/>
      <c r="BH64" s="170"/>
      <c r="BI64" s="170"/>
      <c r="BJ64" s="170"/>
      <c r="BK64" s="170"/>
      <c r="BL64" s="170"/>
      <c r="BM64" s="170"/>
      <c r="BN64" s="170"/>
      <c r="BO64" s="170"/>
      <c r="BP64" s="331"/>
      <c r="BQ64" s="331"/>
      <c r="BR64" s="331"/>
      <c r="BS64" s="331"/>
      <c r="BT64" s="331"/>
      <c r="BU64" s="331"/>
      <c r="BV64" s="331"/>
      <c r="BW64" s="331"/>
      <c r="BX64" s="331"/>
      <c r="BY64" s="331"/>
      <c r="BZ64" s="169"/>
      <c r="CA64" s="169"/>
      <c r="CB64" s="169"/>
      <c r="CC64" s="169"/>
      <c r="CD64" s="169"/>
      <c r="CO64" s="169"/>
      <c r="CP64" s="169"/>
      <c r="CQ64" s="169"/>
      <c r="CR64" s="169"/>
      <c r="CS64" s="169"/>
    </row>
    <row r="65" spans="1:103" s="114" customFormat="1" ht="11.25" hidden="1" customHeight="1">
      <c r="A65" s="287"/>
      <c r="B65" s="943"/>
      <c r="C65" s="947"/>
      <c r="D65" s="281"/>
      <c r="E65" s="282"/>
      <c r="F65" s="283" t="str">
        <f>F57 &amp; ".6"</f>
        <v>0.6</v>
      </c>
      <c r="G65" s="301" t="s">
        <v>142</v>
      </c>
      <c r="H65" s="274"/>
      <c r="I65" s="274"/>
      <c r="J65" s="602" t="str">
        <f ca="1">IF(OFFSET('Список территорий'!CO$15,$F57,0)="a","Y","N")</f>
        <v>N</v>
      </c>
      <c r="K65" s="275"/>
      <c r="L65" s="275"/>
      <c r="M65" s="293">
        <f t="shared" si="1"/>
        <v>0</v>
      </c>
      <c r="N65" s="293">
        <f t="shared" si="3"/>
        <v>0</v>
      </c>
      <c r="O65" s="292"/>
      <c r="P65" s="292"/>
      <c r="Q65" s="292"/>
      <c r="R65" s="292"/>
      <c r="S65" s="292"/>
      <c r="T65" s="269"/>
      <c r="U65" s="324"/>
      <c r="V65" s="170"/>
      <c r="W65" s="170"/>
      <c r="X65" s="170"/>
      <c r="Y65" s="170"/>
      <c r="Z65" s="170"/>
      <c r="AA65" s="170"/>
      <c r="AB65" s="170"/>
      <c r="AC65" s="170"/>
      <c r="AD65" s="170"/>
      <c r="AE65" s="170"/>
      <c r="AF65" s="170"/>
      <c r="AG65" s="170"/>
      <c r="AH65" s="170"/>
      <c r="AI65" s="170"/>
      <c r="AJ65" s="170"/>
      <c r="AK65" s="170"/>
      <c r="AL65" s="170"/>
      <c r="AM65" s="170"/>
      <c r="AN65" s="170"/>
      <c r="AO65" s="170"/>
      <c r="AP65" s="170"/>
      <c r="AQ65" s="170"/>
      <c r="AR65" s="170"/>
      <c r="AS65" s="170"/>
      <c r="AT65" s="170"/>
      <c r="AU65" s="170"/>
      <c r="AV65" s="170"/>
      <c r="AW65" s="170"/>
      <c r="AX65" s="170"/>
      <c r="AY65" s="170"/>
      <c r="AZ65" s="170"/>
      <c r="BA65" s="280" t="str">
        <f>C57 &amp; "-I"</f>
        <v>0.0-I</v>
      </c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331"/>
      <c r="BQ65" s="331"/>
      <c r="BR65" s="331"/>
      <c r="BS65" s="331"/>
      <c r="BT65" s="331"/>
      <c r="BU65" s="331"/>
      <c r="BV65" s="331"/>
      <c r="BW65" s="331"/>
      <c r="BX65" s="331"/>
      <c r="BY65" s="331"/>
      <c r="BZ65" s="169"/>
      <c r="CA65" s="169"/>
      <c r="CB65" s="169"/>
      <c r="CC65" s="169"/>
      <c r="CD65" s="169"/>
      <c r="CO65" s="169"/>
      <c r="CP65" s="169"/>
      <c r="CQ65" s="169"/>
      <c r="CR65" s="169"/>
      <c r="CS65" s="169"/>
    </row>
    <row r="66" spans="1:103" s="114" customFormat="1" ht="11.25" hidden="1" customHeight="1">
      <c r="A66" s="287"/>
      <c r="B66" s="943"/>
      <c r="C66" s="947"/>
      <c r="D66" s="281"/>
      <c r="E66" s="282"/>
      <c r="F66" s="283" t="str">
        <f>F57 &amp; ".7"</f>
        <v>0.7</v>
      </c>
      <c r="G66" s="301" t="s">
        <v>143</v>
      </c>
      <c r="H66" s="274"/>
      <c r="I66" s="274"/>
      <c r="J66" s="602" t="str">
        <f ca="1">IF(OFFSET('Список территорий'!CP$15,$F57,0)="a","Y","N")</f>
        <v>N</v>
      </c>
      <c r="K66" s="275"/>
      <c r="L66" s="275"/>
      <c r="M66" s="293">
        <f t="shared" si="1"/>
        <v>0</v>
      </c>
      <c r="N66" s="293">
        <f t="shared" si="3"/>
        <v>0</v>
      </c>
      <c r="O66" s="292"/>
      <c r="P66" s="292"/>
      <c r="Q66" s="292"/>
      <c r="R66" s="292"/>
      <c r="S66" s="292"/>
      <c r="T66" s="269"/>
      <c r="U66" s="324"/>
      <c r="V66" s="170"/>
      <c r="W66" s="170"/>
      <c r="X66" s="170"/>
      <c r="Y66" s="170"/>
      <c r="Z66" s="170"/>
      <c r="AA66" s="170"/>
      <c r="AB66" s="170"/>
      <c r="AC66" s="170"/>
      <c r="AD66" s="170"/>
      <c r="AE66" s="170"/>
      <c r="AF66" s="170"/>
      <c r="AG66" s="170"/>
      <c r="AH66" s="170"/>
      <c r="AI66" s="170"/>
      <c r="AJ66" s="170"/>
      <c r="AK66" s="170"/>
      <c r="AL66" s="170"/>
      <c r="AM66" s="170"/>
      <c r="AN66" s="170"/>
      <c r="AO66" s="170"/>
      <c r="AP66" s="170"/>
      <c r="AQ66" s="170"/>
      <c r="AR66" s="170"/>
      <c r="AS66" s="170"/>
      <c r="AT66" s="170"/>
      <c r="AU66" s="170"/>
      <c r="AV66" s="170"/>
      <c r="AW66" s="170"/>
      <c r="AX66" s="170"/>
      <c r="AY66" s="170"/>
      <c r="AZ66" s="170"/>
      <c r="BA66" s="280" t="str">
        <f>C57 &amp; "-II"</f>
        <v>0.0-II</v>
      </c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/>
      <c r="BO66" s="170"/>
      <c r="BP66" s="332">
        <f>SUM($Q66:$Q71)</f>
        <v>0</v>
      </c>
      <c r="BQ66" s="332">
        <f>SUM($R66:$R71)</f>
        <v>0</v>
      </c>
      <c r="BR66" s="332">
        <f>SUM($S66:$S71)</f>
        <v>0</v>
      </c>
      <c r="BS66" s="332">
        <f>SUM($T66:$T71)</f>
        <v>0</v>
      </c>
      <c r="BT66" s="332">
        <f>SUM($N66:$N71)</f>
        <v>0</v>
      </c>
      <c r="BU66" s="332">
        <f>SUM($Q66:$Q71)</f>
        <v>0</v>
      </c>
      <c r="BV66" s="332">
        <f>SUM($R66:$R71)</f>
        <v>0</v>
      </c>
      <c r="BW66" s="332">
        <f>SUM($S66:$S71)</f>
        <v>0</v>
      </c>
      <c r="BX66" s="332">
        <f>SUM($T66:$T71)</f>
        <v>0</v>
      </c>
      <c r="BY66" s="332">
        <f>SUM($N66:$N71)</f>
        <v>0</v>
      </c>
      <c r="BZ66" s="169"/>
      <c r="CA66" s="169"/>
      <c r="CB66" s="169"/>
      <c r="CC66" s="169"/>
      <c r="CD66" s="169"/>
      <c r="CO66" s="169"/>
      <c r="CP66" s="169"/>
      <c r="CQ66" s="169"/>
      <c r="CR66" s="169"/>
      <c r="CS66" s="169"/>
      <c r="CT66" s="334">
        <f>IF(OR(BU59=0,CJ59=0,BU59=""),0,CJ59/BU59)</f>
        <v>0</v>
      </c>
      <c r="CU66" s="334">
        <f>IF(OR(BV59=0,CK59=0,BV59=""),0,CK59/BV59)</f>
        <v>0</v>
      </c>
      <c r="CV66" s="334">
        <f>IF(OR(BW59=0,CL59=0,BW59=""),0,CL59/BW59)</f>
        <v>0</v>
      </c>
      <c r="CW66" s="334">
        <f>IF(OR(BX59=0,CM59=0,BX59=""),0,CM59/BX59)</f>
        <v>0</v>
      </c>
      <c r="CX66" s="334">
        <f>IF(OR(BY59=0,CN59=0,BY59=""),0,CN59/BY59)</f>
        <v>0</v>
      </c>
      <c r="CY66" s="334">
        <f>IF(OR(SUM(BU59:BY59)=0,SUM(CJ59:CN59)=0),0,SUM(CJ59:CN59)/SUM(BU59:BY59))</f>
        <v>0</v>
      </c>
    </row>
    <row r="67" spans="1:103" s="114" customFormat="1" ht="11.25" hidden="1" customHeight="1">
      <c r="A67" s="287"/>
      <c r="B67" s="943"/>
      <c r="C67" s="947"/>
      <c r="D67" s="281"/>
      <c r="E67" s="282"/>
      <c r="F67" s="283" t="str">
        <f>F57 &amp; ".8"</f>
        <v>0.8</v>
      </c>
      <c r="G67" s="301" t="s">
        <v>144</v>
      </c>
      <c r="H67" s="274"/>
      <c r="I67" s="274"/>
      <c r="J67" s="602" t="str">
        <f ca="1">IF(OFFSET('Список территорий'!CQ$15,$F57,0)="a","Y","N")</f>
        <v>N</v>
      </c>
      <c r="K67" s="275"/>
      <c r="L67" s="275"/>
      <c r="M67" s="293">
        <f t="shared" si="1"/>
        <v>0</v>
      </c>
      <c r="N67" s="293">
        <f t="shared" si="3"/>
        <v>0</v>
      </c>
      <c r="O67" s="292"/>
      <c r="P67" s="292"/>
      <c r="Q67" s="292"/>
      <c r="R67" s="292"/>
      <c r="S67" s="292"/>
      <c r="T67" s="269"/>
      <c r="U67" s="324"/>
      <c r="V67" s="170"/>
      <c r="W67" s="170"/>
      <c r="X67" s="170"/>
      <c r="Y67" s="170"/>
      <c r="Z67" s="170"/>
      <c r="AA67" s="170"/>
      <c r="AB67" s="170"/>
      <c r="AC67" s="170"/>
      <c r="AD67" s="170"/>
      <c r="AE67" s="170"/>
      <c r="AF67" s="170"/>
      <c r="AG67" s="170"/>
      <c r="AH67" s="170"/>
      <c r="AI67" s="170"/>
      <c r="AJ67" s="170"/>
      <c r="AK67" s="170"/>
      <c r="AL67" s="170"/>
      <c r="AM67" s="170"/>
      <c r="AN67" s="170"/>
      <c r="AO67" s="170"/>
      <c r="AP67" s="170"/>
      <c r="AQ67" s="170"/>
      <c r="AR67" s="170"/>
      <c r="AS67" s="170"/>
      <c r="AT67" s="170"/>
      <c r="AU67" s="170"/>
      <c r="AV67" s="170"/>
      <c r="AW67" s="170"/>
      <c r="AX67" s="170"/>
      <c r="AY67" s="170"/>
      <c r="AZ67" s="170"/>
      <c r="BA67" s="280" t="str">
        <f>C57 &amp; "-II"</f>
        <v>0.0-II</v>
      </c>
      <c r="BB67" s="170"/>
      <c r="BC67" s="170"/>
      <c r="BD67" s="170"/>
      <c r="BE67" s="170"/>
      <c r="BF67" s="170"/>
      <c r="BG67" s="170"/>
      <c r="BH67" s="170"/>
      <c r="BI67" s="170"/>
      <c r="BJ67" s="170"/>
      <c r="BK67" s="170"/>
      <c r="BL67" s="170"/>
      <c r="BM67" s="170"/>
      <c r="BN67" s="170"/>
      <c r="BO67" s="170"/>
      <c r="BP67" s="331"/>
      <c r="BQ67" s="331"/>
      <c r="BR67" s="331"/>
      <c r="BS67" s="331"/>
      <c r="BT67" s="331"/>
      <c r="BU67" s="331"/>
      <c r="BV67" s="331"/>
      <c r="BW67" s="331"/>
      <c r="BX67" s="331"/>
      <c r="BY67" s="331"/>
      <c r="BZ67" s="169"/>
      <c r="CA67" s="169"/>
      <c r="CB67" s="169"/>
      <c r="CC67" s="169"/>
      <c r="CD67" s="169"/>
      <c r="CO67" s="169"/>
      <c r="CP67" s="169"/>
      <c r="CQ67" s="169"/>
      <c r="CR67" s="169"/>
      <c r="CS67" s="169"/>
    </row>
    <row r="68" spans="1:103" s="114" customFormat="1" ht="11.25" hidden="1" customHeight="1">
      <c r="A68" s="287"/>
      <c r="B68" s="943"/>
      <c r="C68" s="947"/>
      <c r="D68" s="281"/>
      <c r="E68" s="282"/>
      <c r="F68" s="283" t="str">
        <f>F57 &amp; ".9"</f>
        <v>0.9</v>
      </c>
      <c r="G68" s="301" t="s">
        <v>145</v>
      </c>
      <c r="H68" s="274"/>
      <c r="I68" s="274"/>
      <c r="J68" s="602" t="str">
        <f ca="1">IF(OFFSET('Список территорий'!CR$15,$F57,0)="a","Y","N")</f>
        <v>N</v>
      </c>
      <c r="K68" s="275"/>
      <c r="L68" s="275"/>
      <c r="M68" s="293">
        <f t="shared" si="1"/>
        <v>0</v>
      </c>
      <c r="N68" s="293">
        <f t="shared" si="3"/>
        <v>0</v>
      </c>
      <c r="O68" s="292"/>
      <c r="P68" s="292"/>
      <c r="Q68" s="292"/>
      <c r="R68" s="292"/>
      <c r="S68" s="292"/>
      <c r="T68" s="269"/>
      <c r="U68" s="324"/>
      <c r="V68" s="170"/>
      <c r="W68" s="170"/>
      <c r="X68" s="170"/>
      <c r="Y68" s="170"/>
      <c r="Z68" s="170"/>
      <c r="AA68" s="170"/>
      <c r="AB68" s="170"/>
      <c r="AC68" s="170"/>
      <c r="AD68" s="170"/>
      <c r="AE68" s="170"/>
      <c r="AF68" s="170"/>
      <c r="AG68" s="170"/>
      <c r="AH68" s="170"/>
      <c r="AI68" s="170"/>
      <c r="AJ68" s="170"/>
      <c r="AK68" s="170"/>
      <c r="AL68" s="170"/>
      <c r="AM68" s="170"/>
      <c r="AN68" s="170"/>
      <c r="AO68" s="170"/>
      <c r="AP68" s="170"/>
      <c r="AQ68" s="170"/>
      <c r="AR68" s="170"/>
      <c r="AS68" s="170"/>
      <c r="AT68" s="170"/>
      <c r="AU68" s="170"/>
      <c r="AV68" s="170"/>
      <c r="AW68" s="170"/>
      <c r="AX68" s="170"/>
      <c r="AY68" s="170"/>
      <c r="AZ68" s="170"/>
      <c r="BA68" s="280" t="str">
        <f>C57 &amp; "-II"</f>
        <v>0.0-II</v>
      </c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0"/>
      <c r="BN68" s="170"/>
      <c r="BO68" s="170"/>
      <c r="BP68" s="331"/>
      <c r="BQ68" s="331"/>
      <c r="BR68" s="331"/>
      <c r="BS68" s="331"/>
      <c r="BT68" s="331"/>
      <c r="BU68" s="331"/>
      <c r="BV68" s="331"/>
      <c r="BW68" s="331"/>
      <c r="BX68" s="331"/>
      <c r="BY68" s="331"/>
      <c r="BZ68" s="169"/>
      <c r="CA68" s="169"/>
      <c r="CB68" s="169"/>
      <c r="CC68" s="169"/>
      <c r="CD68" s="169"/>
      <c r="CO68" s="169"/>
      <c r="CP68" s="169"/>
      <c r="CQ68" s="169"/>
      <c r="CR68" s="169"/>
      <c r="CS68" s="169"/>
    </row>
    <row r="69" spans="1:103" s="114" customFormat="1" ht="11.25" hidden="1" customHeight="1">
      <c r="A69" s="287"/>
      <c r="B69" s="943"/>
      <c r="C69" s="947"/>
      <c r="D69" s="281"/>
      <c r="E69" s="282"/>
      <c r="F69" s="283" t="str">
        <f>F57 &amp; ".10"</f>
        <v>0.10</v>
      </c>
      <c r="G69" s="301" t="s">
        <v>146</v>
      </c>
      <c r="H69" s="274"/>
      <c r="I69" s="274"/>
      <c r="J69" s="602" t="str">
        <f ca="1">IF(OFFSET('Список территорий'!CS$15,$F57,0)="a","Y","N")</f>
        <v>N</v>
      </c>
      <c r="K69" s="275"/>
      <c r="L69" s="275"/>
      <c r="M69" s="293">
        <f t="shared" si="1"/>
        <v>0</v>
      </c>
      <c r="N69" s="293">
        <f t="shared" si="3"/>
        <v>0</v>
      </c>
      <c r="O69" s="292"/>
      <c r="P69" s="292"/>
      <c r="Q69" s="292"/>
      <c r="R69" s="292"/>
      <c r="S69" s="292"/>
      <c r="T69" s="269"/>
      <c r="U69" s="324"/>
      <c r="V69" s="170"/>
      <c r="W69" s="170"/>
      <c r="X69" s="170"/>
      <c r="Y69" s="170"/>
      <c r="Z69" s="170"/>
      <c r="AA69" s="170"/>
      <c r="AB69" s="170"/>
      <c r="AC69" s="170"/>
      <c r="AD69" s="170"/>
      <c r="AE69" s="170"/>
      <c r="AF69" s="170"/>
      <c r="AG69" s="170"/>
      <c r="AH69" s="170"/>
      <c r="AI69" s="170"/>
      <c r="AJ69" s="170"/>
      <c r="AK69" s="170"/>
      <c r="AL69" s="170"/>
      <c r="AM69" s="170"/>
      <c r="AN69" s="170"/>
      <c r="AO69" s="170"/>
      <c r="AP69" s="170"/>
      <c r="AQ69" s="170"/>
      <c r="AR69" s="170"/>
      <c r="AS69" s="170"/>
      <c r="AT69" s="170"/>
      <c r="AU69" s="170"/>
      <c r="AV69" s="170"/>
      <c r="AW69" s="170"/>
      <c r="AX69" s="170"/>
      <c r="AY69" s="170"/>
      <c r="AZ69" s="170"/>
      <c r="BA69" s="280" t="str">
        <f>C57 &amp; "-II"</f>
        <v>0.0-II</v>
      </c>
      <c r="BB69" s="170"/>
      <c r="BC69" s="170"/>
      <c r="BD69" s="170"/>
      <c r="BE69" s="170"/>
      <c r="BF69" s="170"/>
      <c r="BG69" s="170"/>
      <c r="BH69" s="170"/>
      <c r="BI69" s="170"/>
      <c r="BJ69" s="170"/>
      <c r="BK69" s="170"/>
      <c r="BL69" s="170"/>
      <c r="BM69" s="170"/>
      <c r="BN69" s="170"/>
      <c r="BO69" s="170"/>
      <c r="BP69" s="331"/>
      <c r="BQ69" s="331"/>
      <c r="BR69" s="331"/>
      <c r="BS69" s="331"/>
      <c r="BT69" s="331"/>
      <c r="BU69" s="331"/>
      <c r="BV69" s="331"/>
      <c r="BW69" s="331"/>
      <c r="BX69" s="331"/>
      <c r="BY69" s="331"/>
      <c r="BZ69" s="169"/>
      <c r="CA69" s="169"/>
      <c r="CB69" s="169"/>
      <c r="CC69" s="169"/>
      <c r="CD69" s="169"/>
      <c r="CO69" s="169"/>
      <c r="CP69" s="169"/>
      <c r="CQ69" s="169"/>
      <c r="CR69" s="169"/>
      <c r="CS69" s="169"/>
    </row>
    <row r="70" spans="1:103" s="114" customFormat="1" ht="11.25" hidden="1" customHeight="1">
      <c r="A70" s="287"/>
      <c r="B70" s="943"/>
      <c r="C70" s="947"/>
      <c r="D70" s="281"/>
      <c r="E70" s="282"/>
      <c r="F70" s="283" t="str">
        <f>F57 &amp; ".11"</f>
        <v>0.11</v>
      </c>
      <c r="G70" s="301" t="s">
        <v>147</v>
      </c>
      <c r="H70" s="274"/>
      <c r="I70" s="274"/>
      <c r="J70" s="602" t="str">
        <f ca="1">IF(OFFSET('Список территорий'!CT$15,$F57,0)="a","Y","N")</f>
        <v>N</v>
      </c>
      <c r="K70" s="275"/>
      <c r="L70" s="275"/>
      <c r="M70" s="293">
        <f t="shared" si="1"/>
        <v>0</v>
      </c>
      <c r="N70" s="293">
        <f t="shared" si="3"/>
        <v>0</v>
      </c>
      <c r="O70" s="292"/>
      <c r="P70" s="292"/>
      <c r="Q70" s="292"/>
      <c r="R70" s="292"/>
      <c r="S70" s="292"/>
      <c r="T70" s="269"/>
      <c r="U70" s="324"/>
      <c r="V70" s="170"/>
      <c r="W70" s="170"/>
      <c r="X70" s="170"/>
      <c r="Y70" s="170"/>
      <c r="Z70" s="170"/>
      <c r="AA70" s="170"/>
      <c r="AB70" s="170"/>
      <c r="AC70" s="170"/>
      <c r="AD70" s="170"/>
      <c r="AE70" s="170"/>
      <c r="AF70" s="170"/>
      <c r="AG70" s="170"/>
      <c r="AH70" s="170"/>
      <c r="AI70" s="170"/>
      <c r="AJ70" s="170"/>
      <c r="AK70" s="170"/>
      <c r="AL70" s="170"/>
      <c r="AM70" s="170"/>
      <c r="AN70" s="170"/>
      <c r="AO70" s="170"/>
      <c r="AP70" s="170"/>
      <c r="AQ70" s="170"/>
      <c r="AR70" s="170"/>
      <c r="AS70" s="170"/>
      <c r="AT70" s="170"/>
      <c r="AU70" s="170"/>
      <c r="AV70" s="170"/>
      <c r="AW70" s="170"/>
      <c r="AX70" s="170"/>
      <c r="AY70" s="170"/>
      <c r="AZ70" s="170"/>
      <c r="BA70" s="280" t="str">
        <f>C57 &amp; "-II"</f>
        <v>0.0-II</v>
      </c>
      <c r="BB70" s="170"/>
      <c r="BC70" s="170"/>
      <c r="BD70" s="170"/>
      <c r="BE70" s="170"/>
      <c r="BF70" s="170"/>
      <c r="BG70" s="170"/>
      <c r="BH70" s="170"/>
      <c r="BI70" s="170"/>
      <c r="BJ70" s="170"/>
      <c r="BK70" s="170"/>
      <c r="BL70" s="170"/>
      <c r="BM70" s="170"/>
      <c r="BN70" s="170"/>
      <c r="BO70" s="170"/>
      <c r="BP70" s="331"/>
      <c r="BQ70" s="331"/>
      <c r="BR70" s="331"/>
      <c r="BS70" s="331"/>
      <c r="BT70" s="331"/>
      <c r="BU70" s="331"/>
      <c r="BV70" s="331"/>
      <c r="BW70" s="331"/>
      <c r="BX70" s="331"/>
      <c r="BY70" s="331"/>
      <c r="BZ70" s="169"/>
      <c r="CA70" s="169"/>
      <c r="CB70" s="169"/>
      <c r="CC70" s="169"/>
      <c r="CD70" s="169"/>
      <c r="CO70" s="169"/>
      <c r="CP70" s="169"/>
      <c r="CQ70" s="169"/>
      <c r="CR70" s="169"/>
      <c r="CS70" s="169"/>
    </row>
    <row r="71" spans="1:103" s="114" customFormat="1" ht="11.25" hidden="1" customHeight="1">
      <c r="A71" s="287"/>
      <c r="B71" s="943"/>
      <c r="C71" s="948"/>
      <c r="D71" s="281"/>
      <c r="E71" s="282"/>
      <c r="F71" s="283" t="str">
        <f>F57 &amp; ".12"</f>
        <v>0.12</v>
      </c>
      <c r="G71" s="301" t="s">
        <v>148</v>
      </c>
      <c r="H71" s="274"/>
      <c r="I71" s="274"/>
      <c r="J71" s="602" t="str">
        <f ca="1">IF(OFFSET('Список территорий'!CU$15,$F57,0)="a","Y","N")</f>
        <v>N</v>
      </c>
      <c r="K71" s="275"/>
      <c r="L71" s="275"/>
      <c r="M71" s="293">
        <f t="shared" si="1"/>
        <v>0</v>
      </c>
      <c r="N71" s="293">
        <f t="shared" si="3"/>
        <v>0</v>
      </c>
      <c r="O71" s="292"/>
      <c r="P71" s="292"/>
      <c r="Q71" s="292"/>
      <c r="R71" s="292"/>
      <c r="S71" s="292"/>
      <c r="T71" s="269"/>
      <c r="U71" s="324"/>
      <c r="V71" s="170"/>
      <c r="W71" s="170"/>
      <c r="X71" s="170"/>
      <c r="Y71" s="170"/>
      <c r="Z71" s="170"/>
      <c r="AA71" s="170"/>
      <c r="AB71" s="170"/>
      <c r="AC71" s="170"/>
      <c r="AD71" s="170"/>
      <c r="AE71" s="170"/>
      <c r="AF71" s="170"/>
      <c r="AG71" s="170"/>
      <c r="AH71" s="170"/>
      <c r="AI71" s="170"/>
      <c r="AJ71" s="170"/>
      <c r="AK71" s="170"/>
      <c r="AL71" s="170"/>
      <c r="AM71" s="170"/>
      <c r="AN71" s="170"/>
      <c r="AO71" s="170"/>
      <c r="AP71" s="170"/>
      <c r="AQ71" s="170"/>
      <c r="AR71" s="170"/>
      <c r="AS71" s="170"/>
      <c r="AT71" s="170"/>
      <c r="AU71" s="170"/>
      <c r="AV71" s="170"/>
      <c r="AW71" s="170"/>
      <c r="AX71" s="170"/>
      <c r="AY71" s="170"/>
      <c r="AZ71" s="170"/>
      <c r="BA71" s="280" t="str">
        <f>C57 &amp; "-II"</f>
        <v>0.0-II</v>
      </c>
      <c r="BB71" s="170"/>
      <c r="BC71" s="170"/>
      <c r="BD71" s="170"/>
      <c r="BE71" s="170"/>
      <c r="BF71" s="170"/>
      <c r="BG71" s="170"/>
      <c r="BH71" s="170"/>
      <c r="BI71" s="170"/>
      <c r="BJ71" s="170"/>
      <c r="BK71" s="170"/>
      <c r="BL71" s="170"/>
      <c r="BM71" s="170"/>
      <c r="BN71" s="170"/>
      <c r="BO71" s="170"/>
      <c r="BP71" s="331"/>
      <c r="BQ71" s="331"/>
      <c r="BR71" s="331"/>
      <c r="BS71" s="331"/>
      <c r="BT71" s="331"/>
      <c r="BU71" s="331"/>
      <c r="BV71" s="331"/>
      <c r="BW71" s="331"/>
      <c r="BX71" s="331"/>
      <c r="BY71" s="331"/>
      <c r="BZ71" s="169"/>
      <c r="CA71" s="169"/>
      <c r="CB71" s="169"/>
      <c r="CC71" s="169"/>
      <c r="CD71" s="169"/>
      <c r="CO71" s="169"/>
      <c r="CP71" s="169"/>
      <c r="CQ71" s="169"/>
      <c r="CR71" s="169"/>
      <c r="CS71" s="169"/>
    </row>
    <row r="72" spans="1:103" s="114" customFormat="1" ht="0.75" hidden="1" customHeight="1">
      <c r="A72" s="287"/>
      <c r="B72" s="943"/>
      <c r="C72" s="946"/>
      <c r="D72" s="281"/>
      <c r="E72" s="316"/>
      <c r="F72" s="274"/>
      <c r="G72" s="274"/>
      <c r="H72" s="274"/>
      <c r="I72" s="274"/>
      <c r="J72" s="274"/>
      <c r="K72" s="275"/>
      <c r="L72" s="275"/>
      <c r="M72" s="275"/>
      <c r="N72" s="275"/>
      <c r="O72" s="275"/>
      <c r="P72" s="275"/>
      <c r="Q72" s="275"/>
      <c r="R72" s="275"/>
      <c r="S72" s="275"/>
      <c r="T72" s="270"/>
      <c r="U72" s="278"/>
      <c r="V72" s="170"/>
      <c r="W72" s="170"/>
      <c r="X72" s="170"/>
      <c r="Y72" s="170"/>
      <c r="Z72" s="170"/>
      <c r="AA72" s="170"/>
      <c r="AB72" s="170"/>
      <c r="AC72" s="170"/>
      <c r="AD72" s="170"/>
      <c r="AE72" s="170"/>
      <c r="AF72" s="170"/>
      <c r="AG72" s="170"/>
      <c r="AH72" s="170"/>
      <c r="AI72" s="170"/>
      <c r="AJ72" s="170"/>
      <c r="AK72" s="170"/>
      <c r="AL72" s="170"/>
      <c r="AM72" s="170"/>
      <c r="AN72" s="170"/>
      <c r="AO72" s="170"/>
      <c r="AP72" s="170"/>
      <c r="AQ72" s="170"/>
      <c r="AR72" s="170"/>
      <c r="AS72" s="170"/>
      <c r="AT72" s="170"/>
      <c r="AU72" s="170"/>
      <c r="AV72" s="170"/>
      <c r="AW72" s="170"/>
      <c r="AX72" s="170"/>
      <c r="AY72" s="170"/>
      <c r="AZ72" s="170"/>
      <c r="BA72" s="280"/>
      <c r="BB72" s="170"/>
      <c r="BC72" s="170"/>
      <c r="BD72" s="170"/>
      <c r="BE72" s="170"/>
      <c r="BF72" s="170"/>
      <c r="BG72" s="170"/>
      <c r="BH72" s="170"/>
      <c r="BI72" s="170"/>
      <c r="BJ72" s="170"/>
      <c r="BK72" s="170"/>
      <c r="BL72" s="170"/>
      <c r="BM72" s="170"/>
      <c r="BN72" s="170"/>
      <c r="BO72" s="170"/>
      <c r="BP72" s="331"/>
      <c r="BQ72" s="331"/>
      <c r="BR72" s="331"/>
      <c r="BS72" s="331"/>
      <c r="BT72" s="331"/>
      <c r="BU72" s="331"/>
      <c r="BV72" s="331"/>
      <c r="BW72" s="331"/>
      <c r="BX72" s="331"/>
      <c r="BY72" s="331"/>
      <c r="BZ72" s="169"/>
      <c r="CA72" s="169"/>
      <c r="CB72" s="169"/>
      <c r="CC72" s="169"/>
      <c r="CD72" s="169"/>
      <c r="CO72" s="169"/>
      <c r="CP72" s="169"/>
      <c r="CQ72" s="169"/>
      <c r="CR72" s="169"/>
      <c r="CS72" s="169"/>
    </row>
    <row r="73" spans="1:103" s="114" customFormat="1" ht="0.75" hidden="1" customHeight="1">
      <c r="A73" s="287"/>
      <c r="B73" s="943"/>
      <c r="C73" s="947"/>
      <c r="D73" s="281"/>
      <c r="E73" s="316"/>
      <c r="F73" s="274"/>
      <c r="G73" s="274"/>
      <c r="H73" s="274"/>
      <c r="I73" s="274"/>
      <c r="J73" s="274"/>
      <c r="K73" s="275"/>
      <c r="L73" s="275"/>
      <c r="M73" s="275"/>
      <c r="N73" s="275"/>
      <c r="O73" s="275"/>
      <c r="P73" s="275"/>
      <c r="Q73" s="275"/>
      <c r="R73" s="275"/>
      <c r="S73" s="275"/>
      <c r="T73" s="270"/>
      <c r="U73" s="278"/>
      <c r="V73" s="170"/>
      <c r="W73" s="170"/>
      <c r="X73" s="170"/>
      <c r="Y73" s="170"/>
      <c r="Z73" s="170"/>
      <c r="AA73" s="170"/>
      <c r="AB73" s="170"/>
      <c r="AC73" s="170"/>
      <c r="AD73" s="170"/>
      <c r="AE73" s="170"/>
      <c r="AF73" s="170"/>
      <c r="AG73" s="170"/>
      <c r="AH73" s="170"/>
      <c r="AI73" s="170"/>
      <c r="AJ73" s="170"/>
      <c r="AK73" s="170"/>
      <c r="AL73" s="170"/>
      <c r="AM73" s="170"/>
      <c r="AN73" s="170"/>
      <c r="AO73" s="170"/>
      <c r="AP73" s="170"/>
      <c r="AQ73" s="170"/>
      <c r="AR73" s="170"/>
      <c r="AS73" s="170"/>
      <c r="AT73" s="170"/>
      <c r="AU73" s="170"/>
      <c r="AV73" s="170"/>
      <c r="AW73" s="170"/>
      <c r="AX73" s="170"/>
      <c r="AY73" s="170"/>
      <c r="AZ73" s="170"/>
      <c r="BA73" s="280"/>
      <c r="BB73" s="170"/>
      <c r="BC73" s="170"/>
      <c r="BD73" s="170"/>
      <c r="BE73" s="170"/>
      <c r="BF73" s="170"/>
      <c r="BG73" s="170"/>
      <c r="BH73" s="170"/>
      <c r="BI73" s="170"/>
      <c r="BJ73" s="170"/>
      <c r="BK73" s="170"/>
      <c r="BL73" s="170"/>
      <c r="BM73" s="170"/>
      <c r="BN73" s="170"/>
      <c r="BO73" s="170"/>
      <c r="BP73" s="331"/>
      <c r="BQ73" s="331"/>
      <c r="BR73" s="331"/>
      <c r="BS73" s="331"/>
      <c r="BT73" s="331"/>
      <c r="BU73" s="331"/>
      <c r="BV73" s="331"/>
      <c r="BW73" s="331"/>
      <c r="BX73" s="331"/>
      <c r="BY73" s="331"/>
      <c r="BZ73" s="169"/>
      <c r="CA73" s="169"/>
      <c r="CB73" s="169"/>
      <c r="CC73" s="169"/>
      <c r="CD73" s="169"/>
      <c r="CO73" s="169"/>
      <c r="CP73" s="169"/>
      <c r="CQ73" s="169"/>
      <c r="CR73" s="169"/>
      <c r="CS73" s="169"/>
    </row>
    <row r="74" spans="1:103" s="114" customFormat="1" ht="0.75" hidden="1" customHeight="1">
      <c r="A74" s="287"/>
      <c r="B74" s="943"/>
      <c r="C74" s="947"/>
      <c r="D74" s="281"/>
      <c r="E74" s="316"/>
      <c r="F74" s="274"/>
      <c r="G74" s="274"/>
      <c r="H74" s="274"/>
      <c r="I74" s="274"/>
      <c r="J74" s="274"/>
      <c r="K74" s="275"/>
      <c r="L74" s="275"/>
      <c r="M74" s="275"/>
      <c r="N74" s="275"/>
      <c r="O74" s="275"/>
      <c r="P74" s="275"/>
      <c r="Q74" s="275"/>
      <c r="R74" s="275"/>
      <c r="S74" s="275"/>
      <c r="T74" s="270"/>
      <c r="U74" s="278"/>
      <c r="V74" s="170"/>
      <c r="W74" s="170"/>
      <c r="X74" s="170"/>
      <c r="Y74" s="170"/>
      <c r="Z74" s="170"/>
      <c r="AA74" s="170"/>
      <c r="AB74" s="170"/>
      <c r="AC74" s="170"/>
      <c r="AD74" s="170"/>
      <c r="AE74" s="170"/>
      <c r="AF74" s="170"/>
      <c r="AG74" s="170"/>
      <c r="AH74" s="170"/>
      <c r="AI74" s="170"/>
      <c r="AJ74" s="170"/>
      <c r="AK74" s="170"/>
      <c r="AL74" s="170"/>
      <c r="AM74" s="170"/>
      <c r="AN74" s="170"/>
      <c r="AO74" s="170"/>
      <c r="AP74" s="170"/>
      <c r="AQ74" s="170"/>
      <c r="AR74" s="170"/>
      <c r="AS74" s="170"/>
      <c r="AT74" s="170"/>
      <c r="AU74" s="170"/>
      <c r="AV74" s="170"/>
      <c r="AW74" s="170"/>
      <c r="AX74" s="170"/>
      <c r="AY74" s="170"/>
      <c r="AZ74" s="170"/>
      <c r="BA74" s="280"/>
      <c r="BB74" s="170"/>
      <c r="BC74" s="170"/>
      <c r="BD74" s="170"/>
      <c r="BE74" s="170"/>
      <c r="BF74" s="170"/>
      <c r="BG74" s="170"/>
      <c r="BH74" s="170"/>
      <c r="BI74" s="170"/>
      <c r="BJ74" s="170"/>
      <c r="BK74" s="170"/>
      <c r="BL74" s="170"/>
      <c r="BM74" s="170"/>
      <c r="BN74" s="170"/>
      <c r="BO74" s="170"/>
      <c r="BP74" s="331"/>
      <c r="BQ74" s="331"/>
      <c r="BR74" s="331"/>
      <c r="BS74" s="331"/>
      <c r="BT74" s="331"/>
      <c r="BU74" s="331"/>
      <c r="BV74" s="331"/>
      <c r="BW74" s="331"/>
      <c r="BX74" s="331"/>
      <c r="BY74" s="331"/>
      <c r="BZ74" s="169"/>
      <c r="CA74" s="169"/>
      <c r="CB74" s="169"/>
      <c r="CC74" s="169"/>
      <c r="CD74" s="169"/>
      <c r="CO74" s="169"/>
      <c r="CP74" s="169"/>
      <c r="CQ74" s="169"/>
      <c r="CR74" s="169"/>
      <c r="CS74" s="169"/>
    </row>
    <row r="75" spans="1:103" s="114" customFormat="1" ht="0.75" hidden="1" customHeight="1">
      <c r="A75" s="287"/>
      <c r="B75" s="943"/>
      <c r="C75" s="947"/>
      <c r="D75" s="281"/>
      <c r="E75" s="316"/>
      <c r="F75" s="274"/>
      <c r="G75" s="274"/>
      <c r="H75" s="274"/>
      <c r="I75" s="274"/>
      <c r="J75" s="274"/>
      <c r="K75" s="275"/>
      <c r="L75" s="275"/>
      <c r="M75" s="275"/>
      <c r="N75" s="275"/>
      <c r="O75" s="275"/>
      <c r="P75" s="275"/>
      <c r="Q75" s="275"/>
      <c r="R75" s="275"/>
      <c r="S75" s="275"/>
      <c r="T75" s="270"/>
      <c r="U75" s="278"/>
      <c r="V75" s="170"/>
      <c r="W75" s="170"/>
      <c r="X75" s="170"/>
      <c r="Y75" s="170"/>
      <c r="Z75" s="170"/>
      <c r="AA75" s="170"/>
      <c r="AB75" s="170"/>
      <c r="AC75" s="170"/>
      <c r="AD75" s="170"/>
      <c r="AE75" s="170"/>
      <c r="AF75" s="170"/>
      <c r="AG75" s="170"/>
      <c r="AH75" s="170"/>
      <c r="AI75" s="170"/>
      <c r="AJ75" s="170"/>
      <c r="AK75" s="170"/>
      <c r="AL75" s="170"/>
      <c r="AM75" s="170"/>
      <c r="AN75" s="170"/>
      <c r="AO75" s="170"/>
      <c r="AP75" s="170"/>
      <c r="AQ75" s="170"/>
      <c r="AR75" s="170"/>
      <c r="AS75" s="170"/>
      <c r="AT75" s="170"/>
      <c r="AU75" s="170"/>
      <c r="AV75" s="170"/>
      <c r="AW75" s="170"/>
      <c r="AX75" s="170"/>
      <c r="AY75" s="170"/>
      <c r="AZ75" s="170"/>
      <c r="BA75" s="280"/>
      <c r="BB75" s="170"/>
      <c r="BC75" s="170"/>
      <c r="BD75" s="170"/>
      <c r="BE75" s="170"/>
      <c r="BF75" s="170"/>
      <c r="BG75" s="170"/>
      <c r="BH75" s="170"/>
      <c r="BI75" s="170"/>
      <c r="BJ75" s="170"/>
      <c r="BK75" s="170"/>
      <c r="BL75" s="170"/>
      <c r="BM75" s="170"/>
      <c r="BN75" s="170"/>
      <c r="BO75" s="170"/>
      <c r="BP75" s="331"/>
      <c r="BQ75" s="331"/>
      <c r="BR75" s="331"/>
      <c r="BS75" s="331"/>
      <c r="BT75" s="331"/>
      <c r="BU75" s="331"/>
      <c r="BV75" s="331"/>
      <c r="BW75" s="331"/>
      <c r="BX75" s="331"/>
      <c r="BY75" s="331"/>
      <c r="BZ75" s="169"/>
      <c r="CA75" s="169"/>
      <c r="CB75" s="169"/>
      <c r="CC75" s="169"/>
      <c r="CD75" s="169"/>
      <c r="CO75" s="169"/>
      <c r="CP75" s="169"/>
      <c r="CQ75" s="169"/>
      <c r="CR75" s="169"/>
      <c r="CS75" s="169"/>
    </row>
    <row r="76" spans="1:103" s="114" customFormat="1" ht="0.75" hidden="1" customHeight="1">
      <c r="A76" s="287"/>
      <c r="B76" s="943"/>
      <c r="C76" s="947"/>
      <c r="D76" s="281"/>
      <c r="E76" s="316"/>
      <c r="F76" s="274"/>
      <c r="G76" s="274"/>
      <c r="H76" s="274"/>
      <c r="I76" s="274"/>
      <c r="J76" s="274"/>
      <c r="K76" s="275"/>
      <c r="L76" s="275"/>
      <c r="M76" s="275"/>
      <c r="N76" s="275"/>
      <c r="O76" s="275"/>
      <c r="P76" s="275"/>
      <c r="Q76" s="275"/>
      <c r="R76" s="275"/>
      <c r="S76" s="275"/>
      <c r="T76" s="270"/>
      <c r="U76" s="278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  <c r="AJ76" s="170"/>
      <c r="AK76" s="170"/>
      <c r="AL76" s="170"/>
      <c r="AM76" s="170"/>
      <c r="AN76" s="170"/>
      <c r="AO76" s="170"/>
      <c r="AP76" s="170"/>
      <c r="AQ76" s="170"/>
      <c r="AR76" s="170"/>
      <c r="AS76" s="170"/>
      <c r="AT76" s="170"/>
      <c r="AU76" s="170"/>
      <c r="AV76" s="170"/>
      <c r="AW76" s="170"/>
      <c r="AX76" s="170"/>
      <c r="AY76" s="170"/>
      <c r="AZ76" s="170"/>
      <c r="BA76" s="280"/>
      <c r="BB76" s="170"/>
      <c r="BC76" s="170"/>
      <c r="BD76" s="170"/>
      <c r="BE76" s="170"/>
      <c r="BF76" s="170"/>
      <c r="BG76" s="170"/>
      <c r="BH76" s="170"/>
      <c r="BI76" s="170"/>
      <c r="BJ76" s="170"/>
      <c r="BK76" s="170"/>
      <c r="BL76" s="170"/>
      <c r="BM76" s="170"/>
      <c r="BN76" s="170"/>
      <c r="BO76" s="170"/>
      <c r="BP76" s="331"/>
      <c r="BQ76" s="331"/>
      <c r="BR76" s="331"/>
      <c r="BS76" s="331"/>
      <c r="BT76" s="331"/>
      <c r="BU76" s="331"/>
      <c r="BV76" s="331"/>
      <c r="BW76" s="331"/>
      <c r="BX76" s="331"/>
      <c r="BY76" s="331"/>
      <c r="BZ76" s="169"/>
      <c r="CA76" s="169"/>
      <c r="CB76" s="169"/>
      <c r="CC76" s="169"/>
      <c r="CD76" s="169"/>
      <c r="CO76" s="169"/>
      <c r="CP76" s="169"/>
      <c r="CQ76" s="169"/>
      <c r="CR76" s="169"/>
      <c r="CS76" s="169"/>
    </row>
    <row r="77" spans="1:103" s="114" customFormat="1" ht="0.75" hidden="1" customHeight="1">
      <c r="A77" s="287"/>
      <c r="B77" s="943"/>
      <c r="C77" s="947"/>
      <c r="D77" s="281"/>
      <c r="E77" s="316"/>
      <c r="F77" s="274"/>
      <c r="G77" s="274"/>
      <c r="H77" s="274"/>
      <c r="I77" s="274"/>
      <c r="J77" s="274"/>
      <c r="K77" s="275"/>
      <c r="L77" s="275"/>
      <c r="M77" s="275"/>
      <c r="N77" s="275"/>
      <c r="O77" s="275"/>
      <c r="P77" s="275"/>
      <c r="Q77" s="275"/>
      <c r="R77" s="275"/>
      <c r="S77" s="275"/>
      <c r="T77" s="270"/>
      <c r="U77" s="278"/>
      <c r="V77" s="170"/>
      <c r="W77" s="170"/>
      <c r="X77" s="170"/>
      <c r="Y77" s="170"/>
      <c r="Z77" s="170"/>
      <c r="AA77" s="170"/>
      <c r="AB77" s="170"/>
      <c r="AC77" s="170"/>
      <c r="AD77" s="170"/>
      <c r="AE77" s="170"/>
      <c r="AF77" s="170"/>
      <c r="AG77" s="170"/>
      <c r="AH77" s="170"/>
      <c r="AI77" s="170"/>
      <c r="AJ77" s="170"/>
      <c r="AK77" s="170"/>
      <c r="AL77" s="170"/>
      <c r="AM77" s="170"/>
      <c r="AN77" s="170"/>
      <c r="AO77" s="170"/>
      <c r="AP77" s="170"/>
      <c r="AQ77" s="170"/>
      <c r="AR77" s="170"/>
      <c r="AS77" s="170"/>
      <c r="AT77" s="170"/>
      <c r="AU77" s="170"/>
      <c r="AV77" s="170"/>
      <c r="AW77" s="170"/>
      <c r="AX77" s="170"/>
      <c r="AY77" s="170"/>
      <c r="AZ77" s="170"/>
      <c r="BA77" s="280"/>
      <c r="BB77" s="170"/>
      <c r="BC77" s="170"/>
      <c r="BD77" s="170"/>
      <c r="BE77" s="170"/>
      <c r="BF77" s="170"/>
      <c r="BG77" s="170"/>
      <c r="BH77" s="170"/>
      <c r="BI77" s="170"/>
      <c r="BJ77" s="170"/>
      <c r="BK77" s="170"/>
      <c r="BL77" s="170"/>
      <c r="BM77" s="170"/>
      <c r="BN77" s="170"/>
      <c r="BO77" s="170"/>
      <c r="BP77" s="331"/>
      <c r="BQ77" s="331"/>
      <c r="BR77" s="331"/>
      <c r="BS77" s="331"/>
      <c r="BT77" s="331"/>
      <c r="BU77" s="331"/>
      <c r="BV77" s="331"/>
      <c r="BW77" s="331"/>
      <c r="BX77" s="331"/>
      <c r="BY77" s="331"/>
      <c r="BZ77" s="169"/>
      <c r="CA77" s="169"/>
      <c r="CB77" s="169"/>
      <c r="CC77" s="169"/>
      <c r="CD77" s="169"/>
      <c r="CO77" s="169"/>
      <c r="CP77" s="169"/>
      <c r="CQ77" s="169"/>
      <c r="CR77" s="169"/>
      <c r="CS77" s="169"/>
    </row>
    <row r="78" spans="1:103" s="114" customFormat="1" ht="0.75" hidden="1" customHeight="1">
      <c r="A78" s="287"/>
      <c r="B78" s="943"/>
      <c r="C78" s="947"/>
      <c r="D78" s="281"/>
      <c r="E78" s="316"/>
      <c r="F78" s="274"/>
      <c r="G78" s="274"/>
      <c r="H78" s="274"/>
      <c r="I78" s="274"/>
      <c r="J78" s="274"/>
      <c r="K78" s="275"/>
      <c r="L78" s="275"/>
      <c r="M78" s="275"/>
      <c r="N78" s="275"/>
      <c r="O78" s="275"/>
      <c r="P78" s="275"/>
      <c r="Q78" s="275"/>
      <c r="R78" s="275"/>
      <c r="S78" s="275"/>
      <c r="T78" s="270"/>
      <c r="U78" s="278"/>
      <c r="V78" s="170"/>
      <c r="W78" s="170"/>
      <c r="X78" s="170"/>
      <c r="Y78" s="170"/>
      <c r="Z78" s="170"/>
      <c r="AA78" s="170"/>
      <c r="AB78" s="170"/>
      <c r="AC78" s="170"/>
      <c r="AD78" s="170"/>
      <c r="AE78" s="170"/>
      <c r="AF78" s="170"/>
      <c r="AG78" s="170"/>
      <c r="AH78" s="170"/>
      <c r="AI78" s="170"/>
      <c r="AJ78" s="170"/>
      <c r="AK78" s="170"/>
      <c r="AL78" s="170"/>
      <c r="AM78" s="170"/>
      <c r="AN78" s="170"/>
      <c r="AO78" s="170"/>
      <c r="AP78" s="170"/>
      <c r="AQ78" s="170"/>
      <c r="AR78" s="170"/>
      <c r="AS78" s="170"/>
      <c r="AT78" s="170"/>
      <c r="AU78" s="170"/>
      <c r="AV78" s="170"/>
      <c r="AW78" s="170"/>
      <c r="AX78" s="170"/>
      <c r="AY78" s="170"/>
      <c r="AZ78" s="170"/>
      <c r="BA78" s="280"/>
      <c r="BB78" s="170"/>
      <c r="BC78" s="170"/>
      <c r="BD78" s="170"/>
      <c r="BE78" s="170"/>
      <c r="BF78" s="170"/>
      <c r="BG78" s="170"/>
      <c r="BH78" s="170"/>
      <c r="BI78" s="170"/>
      <c r="BJ78" s="170"/>
      <c r="BK78" s="170"/>
      <c r="BL78" s="170"/>
      <c r="BM78" s="170"/>
      <c r="BN78" s="170"/>
      <c r="BO78" s="170"/>
      <c r="BP78" s="331"/>
      <c r="BQ78" s="331"/>
      <c r="BR78" s="331"/>
      <c r="BS78" s="331"/>
      <c r="BT78" s="331"/>
      <c r="BU78" s="331"/>
      <c r="BV78" s="331"/>
      <c r="BW78" s="331"/>
      <c r="BX78" s="331"/>
      <c r="BY78" s="331"/>
      <c r="BZ78" s="169"/>
      <c r="CA78" s="169"/>
      <c r="CB78" s="169"/>
      <c r="CC78" s="169"/>
      <c r="CD78" s="169"/>
      <c r="CO78" s="169"/>
      <c r="CP78" s="169"/>
      <c r="CQ78" s="169"/>
      <c r="CR78" s="169"/>
      <c r="CS78" s="169"/>
    </row>
    <row r="79" spans="1:103" s="114" customFormat="1" ht="0.75" hidden="1" customHeight="1">
      <c r="A79" s="287"/>
      <c r="B79" s="943"/>
      <c r="C79" s="947"/>
      <c r="D79" s="281"/>
      <c r="E79" s="316"/>
      <c r="F79" s="274"/>
      <c r="G79" s="274"/>
      <c r="H79" s="274"/>
      <c r="I79" s="274"/>
      <c r="J79" s="274"/>
      <c r="K79" s="275"/>
      <c r="L79" s="275"/>
      <c r="M79" s="275"/>
      <c r="N79" s="275"/>
      <c r="O79" s="275"/>
      <c r="P79" s="275"/>
      <c r="Q79" s="275"/>
      <c r="R79" s="275"/>
      <c r="S79" s="275"/>
      <c r="T79" s="270"/>
      <c r="U79" s="278"/>
      <c r="V79" s="170"/>
      <c r="W79" s="170"/>
      <c r="X79" s="170"/>
      <c r="Y79" s="170"/>
      <c r="Z79" s="170"/>
      <c r="AA79" s="170"/>
      <c r="AB79" s="170"/>
      <c r="AC79" s="170"/>
      <c r="AD79" s="170"/>
      <c r="AE79" s="170"/>
      <c r="AF79" s="170"/>
      <c r="AG79" s="170"/>
      <c r="AH79" s="170"/>
      <c r="AI79" s="170"/>
      <c r="AJ79" s="170"/>
      <c r="AK79" s="170"/>
      <c r="AL79" s="170"/>
      <c r="AM79" s="170"/>
      <c r="AN79" s="170"/>
      <c r="AO79" s="170"/>
      <c r="AP79" s="170"/>
      <c r="AQ79" s="170"/>
      <c r="AR79" s="170"/>
      <c r="AS79" s="170"/>
      <c r="AT79" s="170"/>
      <c r="AU79" s="170"/>
      <c r="AV79" s="170"/>
      <c r="AW79" s="170"/>
      <c r="AX79" s="170"/>
      <c r="AY79" s="170"/>
      <c r="AZ79" s="170"/>
      <c r="BA79" s="280"/>
      <c r="BB79" s="170"/>
      <c r="BC79" s="170"/>
      <c r="BD79" s="170"/>
      <c r="BE79" s="170"/>
      <c r="BF79" s="170"/>
      <c r="BG79" s="170"/>
      <c r="BH79" s="170"/>
      <c r="BI79" s="170"/>
      <c r="BJ79" s="170"/>
      <c r="BK79" s="170"/>
      <c r="BL79" s="170"/>
      <c r="BM79" s="170"/>
      <c r="BN79" s="170"/>
      <c r="BO79" s="170"/>
      <c r="BP79" s="331"/>
      <c r="BQ79" s="331"/>
      <c r="BR79" s="331"/>
      <c r="BS79" s="331"/>
      <c r="BT79" s="331"/>
      <c r="BU79" s="331"/>
      <c r="BV79" s="331"/>
      <c r="BW79" s="331"/>
      <c r="BX79" s="331"/>
      <c r="BY79" s="331"/>
      <c r="BZ79" s="169"/>
      <c r="CA79" s="169"/>
      <c r="CB79" s="169"/>
      <c r="CC79" s="169"/>
      <c r="CD79" s="169"/>
      <c r="CO79" s="169"/>
      <c r="CP79" s="169"/>
      <c r="CQ79" s="169"/>
      <c r="CR79" s="169"/>
      <c r="CS79" s="169"/>
    </row>
    <row r="80" spans="1:103" s="114" customFormat="1" ht="0.75" hidden="1" customHeight="1">
      <c r="A80" s="287"/>
      <c r="B80" s="943"/>
      <c r="C80" s="947"/>
      <c r="D80" s="281"/>
      <c r="E80" s="316"/>
      <c r="F80" s="274"/>
      <c r="G80" s="274"/>
      <c r="H80" s="274"/>
      <c r="I80" s="274"/>
      <c r="J80" s="274"/>
      <c r="K80" s="275"/>
      <c r="L80" s="275"/>
      <c r="M80" s="275"/>
      <c r="N80" s="275"/>
      <c r="O80" s="275"/>
      <c r="P80" s="275"/>
      <c r="Q80" s="275"/>
      <c r="R80" s="275"/>
      <c r="S80" s="275"/>
      <c r="T80" s="270"/>
      <c r="U80" s="278"/>
      <c r="V80" s="170"/>
      <c r="W80" s="170"/>
      <c r="X80" s="170"/>
      <c r="Y80" s="170"/>
      <c r="Z80" s="170"/>
      <c r="AA80" s="170"/>
      <c r="AB80" s="170"/>
      <c r="AC80" s="170"/>
      <c r="AD80" s="170"/>
      <c r="AE80" s="170"/>
      <c r="AF80" s="170"/>
      <c r="AG80" s="170"/>
      <c r="AH80" s="170"/>
      <c r="AI80" s="170"/>
      <c r="AJ80" s="170"/>
      <c r="AK80" s="170"/>
      <c r="AL80" s="170"/>
      <c r="AM80" s="170"/>
      <c r="AN80" s="170"/>
      <c r="AO80" s="170"/>
      <c r="AP80" s="170"/>
      <c r="AQ80" s="170"/>
      <c r="AR80" s="170"/>
      <c r="AS80" s="170"/>
      <c r="AT80" s="170"/>
      <c r="AU80" s="170"/>
      <c r="AV80" s="170"/>
      <c r="AW80" s="170"/>
      <c r="AX80" s="170"/>
      <c r="AY80" s="170"/>
      <c r="AZ80" s="170"/>
      <c r="BA80" s="280"/>
      <c r="BB80" s="170"/>
      <c r="BC80" s="170"/>
      <c r="BD80" s="170"/>
      <c r="BE80" s="170"/>
      <c r="BF80" s="170"/>
      <c r="BG80" s="170"/>
      <c r="BH80" s="170"/>
      <c r="BI80" s="170"/>
      <c r="BJ80" s="170"/>
      <c r="BK80" s="170"/>
      <c r="BL80" s="170"/>
      <c r="BM80" s="170"/>
      <c r="BN80" s="170"/>
      <c r="BO80" s="170"/>
      <c r="BP80" s="331"/>
      <c r="BQ80" s="331"/>
      <c r="BR80" s="331"/>
      <c r="BS80" s="331"/>
      <c r="BT80" s="331"/>
      <c r="BU80" s="331"/>
      <c r="BV80" s="331"/>
      <c r="BW80" s="331"/>
      <c r="BX80" s="331"/>
      <c r="BY80" s="331"/>
      <c r="BZ80" s="169"/>
      <c r="CA80" s="169"/>
      <c r="CB80" s="169"/>
      <c r="CC80" s="169"/>
      <c r="CD80" s="169"/>
      <c r="CO80" s="169"/>
      <c r="CP80" s="169"/>
      <c r="CQ80" s="169"/>
      <c r="CR80" s="169"/>
      <c r="CS80" s="169"/>
    </row>
    <row r="81" spans="1:97" s="114" customFormat="1" ht="0.75" hidden="1" customHeight="1">
      <c r="A81" s="287"/>
      <c r="B81" s="943"/>
      <c r="C81" s="947"/>
      <c r="D81" s="281"/>
      <c r="E81" s="316"/>
      <c r="F81" s="274"/>
      <c r="G81" s="274"/>
      <c r="H81" s="274"/>
      <c r="I81" s="274"/>
      <c r="J81" s="274"/>
      <c r="K81" s="275"/>
      <c r="L81" s="275"/>
      <c r="M81" s="275"/>
      <c r="N81" s="275"/>
      <c r="O81" s="275"/>
      <c r="P81" s="275"/>
      <c r="Q81" s="275"/>
      <c r="R81" s="275"/>
      <c r="S81" s="275"/>
      <c r="T81" s="270"/>
      <c r="U81" s="278"/>
      <c r="V81" s="170"/>
      <c r="W81" s="170"/>
      <c r="X81" s="170"/>
      <c r="Y81" s="170"/>
      <c r="Z81" s="170"/>
      <c r="AA81" s="170"/>
      <c r="AB81" s="170"/>
      <c r="AC81" s="170"/>
      <c r="AD81" s="170"/>
      <c r="AE81" s="170"/>
      <c r="AF81" s="170"/>
      <c r="AG81" s="170"/>
      <c r="AH81" s="170"/>
      <c r="AI81" s="170"/>
      <c r="AJ81" s="170"/>
      <c r="AK81" s="170"/>
      <c r="AL81" s="170"/>
      <c r="AM81" s="170"/>
      <c r="AN81" s="170"/>
      <c r="AO81" s="170"/>
      <c r="AP81" s="170"/>
      <c r="AQ81" s="170"/>
      <c r="AR81" s="170"/>
      <c r="AS81" s="170"/>
      <c r="AT81" s="170"/>
      <c r="AU81" s="170"/>
      <c r="AV81" s="170"/>
      <c r="AW81" s="170"/>
      <c r="AX81" s="170"/>
      <c r="AY81" s="170"/>
      <c r="AZ81" s="170"/>
      <c r="BA81" s="280"/>
      <c r="BB81" s="170"/>
      <c r="BC81" s="170"/>
      <c r="BD81" s="170"/>
      <c r="BE81" s="170"/>
      <c r="BF81" s="170"/>
      <c r="BG81" s="170"/>
      <c r="BH81" s="170"/>
      <c r="BI81" s="170"/>
      <c r="BJ81" s="170"/>
      <c r="BK81" s="170"/>
      <c r="BL81" s="170"/>
      <c r="BM81" s="170"/>
      <c r="BN81" s="170"/>
      <c r="BO81" s="170"/>
      <c r="BP81" s="331"/>
      <c r="BQ81" s="331"/>
      <c r="BR81" s="331"/>
      <c r="BS81" s="331"/>
      <c r="BT81" s="331"/>
      <c r="BU81" s="331"/>
      <c r="BV81" s="331"/>
      <c r="BW81" s="331"/>
      <c r="BX81" s="331"/>
      <c r="BY81" s="331"/>
      <c r="BZ81" s="169"/>
      <c r="CA81" s="169"/>
      <c r="CB81" s="169"/>
      <c r="CC81" s="169"/>
      <c r="CD81" s="169"/>
      <c r="CO81" s="169"/>
      <c r="CP81" s="169"/>
      <c r="CQ81" s="169"/>
      <c r="CR81" s="169"/>
      <c r="CS81" s="169"/>
    </row>
    <row r="82" spans="1:97" s="114" customFormat="1" ht="0.75" hidden="1" customHeight="1">
      <c r="A82" s="287"/>
      <c r="B82" s="943"/>
      <c r="C82" s="947"/>
      <c r="D82" s="281"/>
      <c r="E82" s="316"/>
      <c r="F82" s="274"/>
      <c r="G82" s="274"/>
      <c r="H82" s="274"/>
      <c r="I82" s="274"/>
      <c r="J82" s="274"/>
      <c r="K82" s="275"/>
      <c r="L82" s="275"/>
      <c r="M82" s="275"/>
      <c r="N82" s="275"/>
      <c r="O82" s="275"/>
      <c r="P82" s="275"/>
      <c r="Q82" s="275"/>
      <c r="R82" s="275"/>
      <c r="S82" s="275"/>
      <c r="T82" s="270"/>
      <c r="U82" s="278"/>
      <c r="V82" s="170"/>
      <c r="W82" s="170"/>
      <c r="X82" s="170"/>
      <c r="Y82" s="170"/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170"/>
      <c r="AU82" s="170"/>
      <c r="AV82" s="170"/>
      <c r="AW82" s="170"/>
      <c r="AX82" s="170"/>
      <c r="AY82" s="170"/>
      <c r="AZ82" s="170"/>
      <c r="BA82" s="280"/>
      <c r="BB82" s="170"/>
      <c r="BC82" s="170"/>
      <c r="BD82" s="170"/>
      <c r="BE82" s="170"/>
      <c r="BF82" s="170"/>
      <c r="BG82" s="170"/>
      <c r="BH82" s="170"/>
      <c r="BI82" s="170"/>
      <c r="BJ82" s="170"/>
      <c r="BK82" s="170"/>
      <c r="BL82" s="170"/>
      <c r="BM82" s="170"/>
      <c r="BN82" s="170"/>
      <c r="BO82" s="170"/>
      <c r="BP82" s="331"/>
      <c r="BQ82" s="331"/>
      <c r="BR82" s="331"/>
      <c r="BS82" s="331"/>
      <c r="BT82" s="331"/>
      <c r="BU82" s="331"/>
      <c r="BV82" s="331"/>
      <c r="BW82" s="331"/>
      <c r="BX82" s="331"/>
      <c r="BY82" s="331"/>
      <c r="BZ82" s="169"/>
      <c r="CA82" s="169"/>
      <c r="CB82" s="169"/>
      <c r="CC82" s="169"/>
      <c r="CD82" s="169"/>
      <c r="CO82" s="169"/>
      <c r="CP82" s="169"/>
      <c r="CQ82" s="169"/>
      <c r="CR82" s="169"/>
      <c r="CS82" s="169"/>
    </row>
    <row r="83" spans="1:97" s="114" customFormat="1" ht="0.75" hidden="1" customHeight="1">
      <c r="A83" s="287"/>
      <c r="B83" s="943"/>
      <c r="C83" s="947"/>
      <c r="D83" s="281"/>
      <c r="E83" s="316"/>
      <c r="F83" s="274"/>
      <c r="G83" s="274"/>
      <c r="H83" s="274"/>
      <c r="I83" s="274"/>
      <c r="J83" s="274"/>
      <c r="K83" s="275"/>
      <c r="L83" s="275"/>
      <c r="M83" s="275"/>
      <c r="N83" s="275"/>
      <c r="O83" s="275"/>
      <c r="P83" s="275"/>
      <c r="Q83" s="275"/>
      <c r="R83" s="275"/>
      <c r="S83" s="275"/>
      <c r="T83" s="270"/>
      <c r="U83" s="278"/>
      <c r="V83" s="170"/>
      <c r="W83" s="170"/>
      <c r="X83" s="170"/>
      <c r="Y83" s="170"/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170"/>
      <c r="AU83" s="170"/>
      <c r="AV83" s="170"/>
      <c r="AW83" s="170"/>
      <c r="AX83" s="170"/>
      <c r="AY83" s="170"/>
      <c r="AZ83" s="170"/>
      <c r="BA83" s="284"/>
      <c r="BB83" s="170"/>
      <c r="BC83" s="170"/>
      <c r="BD83" s="170"/>
      <c r="BE83" s="170"/>
      <c r="BF83" s="170"/>
      <c r="BG83" s="170"/>
      <c r="BH83" s="170"/>
      <c r="BI83" s="170"/>
      <c r="BJ83" s="170"/>
      <c r="BK83" s="170"/>
      <c r="BL83" s="170"/>
      <c r="BM83" s="170"/>
      <c r="BN83" s="170"/>
      <c r="BO83" s="170"/>
      <c r="BP83" s="331"/>
      <c r="BQ83" s="331"/>
      <c r="BR83" s="331"/>
      <c r="BS83" s="331"/>
      <c r="BT83" s="331"/>
      <c r="BU83" s="331"/>
      <c r="BV83" s="331"/>
      <c r="BW83" s="331"/>
      <c r="BX83" s="331"/>
      <c r="BY83" s="331"/>
      <c r="BZ83" s="169"/>
      <c r="CA83" s="169"/>
      <c r="CB83" s="169"/>
      <c r="CC83" s="169"/>
      <c r="CD83" s="169"/>
      <c r="CO83" s="169"/>
      <c r="CP83" s="169"/>
      <c r="CQ83" s="169"/>
      <c r="CR83" s="169"/>
      <c r="CS83" s="169"/>
    </row>
    <row r="84" spans="1:97" s="114" customFormat="1" ht="0.75" hidden="1" customHeight="1">
      <c r="A84" s="287"/>
      <c r="B84" s="944"/>
      <c r="C84" s="949"/>
      <c r="D84" s="285"/>
      <c r="E84" s="316"/>
      <c r="F84" s="297"/>
      <c r="G84" s="297"/>
      <c r="H84" s="297"/>
      <c r="I84" s="297"/>
      <c r="J84" s="297"/>
      <c r="K84" s="259"/>
      <c r="L84" s="259"/>
      <c r="M84" s="259"/>
      <c r="N84" s="259"/>
      <c r="O84" s="259"/>
      <c r="P84" s="259"/>
      <c r="Q84" s="259"/>
      <c r="R84" s="259"/>
      <c r="S84" s="259"/>
      <c r="T84" s="241"/>
      <c r="U84" s="278"/>
      <c r="V84" s="170"/>
      <c r="W84" s="170"/>
      <c r="X84" s="170"/>
      <c r="Y84" s="170"/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170"/>
      <c r="AU84" s="170"/>
      <c r="AV84" s="170"/>
      <c r="AW84" s="170"/>
      <c r="AX84" s="170"/>
      <c r="AY84" s="170"/>
      <c r="AZ84" s="170"/>
      <c r="BA84" s="284"/>
      <c r="BB84" s="170"/>
      <c r="BC84" s="170"/>
      <c r="BD84" s="170"/>
      <c r="BE84" s="170"/>
      <c r="BF84" s="170"/>
      <c r="BG84" s="170"/>
      <c r="BH84" s="170"/>
      <c r="BI84" s="170"/>
      <c r="BJ84" s="170"/>
      <c r="BK84" s="170"/>
      <c r="BL84" s="170"/>
      <c r="BM84" s="170"/>
      <c r="BN84" s="170"/>
      <c r="BO84" s="170"/>
      <c r="BP84" s="331"/>
      <c r="BQ84" s="331"/>
      <c r="BR84" s="331"/>
      <c r="BS84" s="331"/>
      <c r="BT84" s="331"/>
      <c r="BU84" s="331"/>
      <c r="BV84" s="331"/>
      <c r="BW84" s="331"/>
      <c r="BX84" s="331"/>
      <c r="BY84" s="331"/>
      <c r="BZ84" s="169"/>
      <c r="CA84" s="169"/>
      <c r="CB84" s="169"/>
      <c r="CC84" s="169"/>
      <c r="CD84" s="169"/>
      <c r="CO84" s="169"/>
      <c r="CP84" s="169"/>
      <c r="CQ84" s="169"/>
      <c r="CR84" s="169"/>
      <c r="CS84" s="169"/>
    </row>
    <row r="85" spans="1:97" s="114" customFormat="1" ht="0.75" hidden="1" customHeight="1">
      <c r="B85" s="299"/>
      <c r="C85" s="249"/>
      <c r="D85" s="286"/>
      <c r="E85" s="337"/>
      <c r="U85" s="278"/>
      <c r="V85" s="170"/>
      <c r="W85" s="17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278"/>
      <c r="BB85" s="170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331"/>
      <c r="BQ85" s="331"/>
      <c r="BR85" s="331"/>
      <c r="BS85" s="331"/>
      <c r="BT85" s="331"/>
      <c r="BU85" s="331"/>
      <c r="BV85" s="331"/>
      <c r="BW85" s="331"/>
      <c r="BX85" s="331"/>
      <c r="BY85" s="331"/>
      <c r="BZ85" s="169"/>
      <c r="CA85" s="169"/>
      <c r="CB85" s="169"/>
      <c r="CC85" s="169"/>
      <c r="CD85" s="169"/>
      <c r="CO85" s="169"/>
      <c r="CP85" s="169"/>
      <c r="CQ85" s="169"/>
      <c r="CR85" s="169"/>
      <c r="CS85" s="169"/>
    </row>
    <row r="86" spans="1:97" s="114" customFormat="1" ht="0.75" hidden="1" customHeight="1">
      <c r="B86" s="299"/>
      <c r="C86" s="249"/>
      <c r="D86" s="286"/>
      <c r="E86" s="337"/>
      <c r="U86" s="278"/>
      <c r="V86" s="170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0"/>
      <c r="AS86" s="170"/>
      <c r="AT86" s="170"/>
      <c r="AU86" s="170"/>
      <c r="AV86" s="170"/>
      <c r="AW86" s="170"/>
      <c r="AX86" s="170"/>
      <c r="AY86" s="170"/>
      <c r="AZ86" s="170"/>
      <c r="BA86" s="278"/>
      <c r="BB86" s="170"/>
      <c r="BC86" s="170"/>
      <c r="BD86" s="170"/>
      <c r="BE86" s="170"/>
      <c r="BF86" s="170"/>
      <c r="BG86" s="170"/>
      <c r="BH86" s="170"/>
      <c r="BI86" s="170"/>
      <c r="BJ86" s="170"/>
      <c r="BK86" s="170"/>
      <c r="BL86" s="170"/>
      <c r="BM86" s="170"/>
      <c r="BN86" s="170"/>
      <c r="BO86" s="170"/>
      <c r="BP86" s="331"/>
      <c r="BQ86" s="331"/>
      <c r="BR86" s="331"/>
      <c r="BS86" s="331"/>
      <c r="BT86" s="331"/>
      <c r="BU86" s="331"/>
      <c r="BV86" s="331"/>
      <c r="BW86" s="331"/>
      <c r="BX86" s="331"/>
      <c r="BY86" s="331"/>
      <c r="BZ86" s="169"/>
      <c r="CA86" s="169"/>
      <c r="CB86" s="169"/>
      <c r="CC86" s="169"/>
      <c r="CD86" s="169"/>
      <c r="CO86" s="169"/>
      <c r="CP86" s="169"/>
      <c r="CQ86" s="169"/>
      <c r="CR86" s="169"/>
      <c r="CS86" s="169"/>
    </row>
    <row r="87" spans="1:97" s="114" customFormat="1" ht="0.75" hidden="1" customHeight="1">
      <c r="B87" s="299"/>
      <c r="C87" s="249"/>
      <c r="D87" s="286"/>
      <c r="E87" s="337"/>
      <c r="U87" s="278"/>
      <c r="V87" s="170"/>
      <c r="W87" s="170"/>
      <c r="X87" s="170"/>
      <c r="Y87" s="170"/>
      <c r="Z87" s="170"/>
      <c r="AA87" s="170"/>
      <c r="AB87" s="170"/>
      <c r="AC87" s="170"/>
      <c r="AD87" s="170"/>
      <c r="AE87" s="170"/>
      <c r="AF87" s="170"/>
      <c r="AG87" s="170"/>
      <c r="AH87" s="170"/>
      <c r="AI87" s="170"/>
      <c r="AJ87" s="170"/>
      <c r="AK87" s="170"/>
      <c r="AL87" s="170"/>
      <c r="AM87" s="170"/>
      <c r="AN87" s="170"/>
      <c r="AO87" s="170"/>
      <c r="AP87" s="170"/>
      <c r="AQ87" s="170"/>
      <c r="AR87" s="170"/>
      <c r="AS87" s="170"/>
      <c r="AT87" s="170"/>
      <c r="AU87" s="170"/>
      <c r="AV87" s="170"/>
      <c r="AW87" s="170"/>
      <c r="AX87" s="170"/>
      <c r="AY87" s="170"/>
      <c r="AZ87" s="170"/>
      <c r="BA87" s="278"/>
      <c r="BB87" s="170"/>
      <c r="BC87" s="170"/>
      <c r="BD87" s="170"/>
      <c r="BE87" s="170"/>
      <c r="BF87" s="170"/>
      <c r="BG87" s="170"/>
      <c r="BH87" s="170"/>
      <c r="BI87" s="170"/>
      <c r="BJ87" s="170"/>
      <c r="BK87" s="170"/>
      <c r="BL87" s="170"/>
      <c r="BM87" s="170"/>
      <c r="BN87" s="170"/>
      <c r="BO87" s="170"/>
      <c r="BP87" s="331"/>
      <c r="BQ87" s="331"/>
      <c r="BR87" s="331"/>
      <c r="BS87" s="331"/>
      <c r="BT87" s="331"/>
      <c r="BU87" s="331"/>
      <c r="BV87" s="331"/>
      <c r="BW87" s="331"/>
      <c r="BX87" s="331"/>
      <c r="BY87" s="331"/>
      <c r="BZ87" s="169"/>
      <c r="CA87" s="169"/>
      <c r="CB87" s="169"/>
      <c r="CC87" s="169"/>
      <c r="CD87" s="169"/>
      <c r="CO87" s="169"/>
      <c r="CP87" s="169"/>
      <c r="CQ87" s="169"/>
      <c r="CR87" s="169"/>
      <c r="CS87" s="169"/>
    </row>
    <row r="88" spans="1:97" s="114" customFormat="1" ht="0.75" hidden="1" customHeight="1">
      <c r="B88" s="299"/>
      <c r="C88" s="249"/>
      <c r="D88" s="286"/>
      <c r="E88" s="337"/>
      <c r="U88" s="278"/>
      <c r="V88" s="170"/>
      <c r="W88" s="170"/>
      <c r="X88" s="170"/>
      <c r="Y88" s="170"/>
      <c r="Z88" s="170"/>
      <c r="AA88" s="170"/>
      <c r="AB88" s="170"/>
      <c r="AC88" s="170"/>
      <c r="AD88" s="170"/>
      <c r="AE88" s="170"/>
      <c r="AF88" s="170"/>
      <c r="AG88" s="170"/>
      <c r="AH88" s="170"/>
      <c r="AI88" s="170"/>
      <c r="AJ88" s="170"/>
      <c r="AK88" s="170"/>
      <c r="AL88" s="170"/>
      <c r="AM88" s="170"/>
      <c r="AN88" s="170"/>
      <c r="AO88" s="170"/>
      <c r="AP88" s="170"/>
      <c r="AQ88" s="170"/>
      <c r="AR88" s="170"/>
      <c r="AS88" s="170"/>
      <c r="AT88" s="170"/>
      <c r="AU88" s="170"/>
      <c r="AV88" s="170"/>
      <c r="AW88" s="170"/>
      <c r="AX88" s="170"/>
      <c r="AY88" s="170"/>
      <c r="AZ88" s="170"/>
      <c r="BA88" s="278"/>
      <c r="BB88" s="170"/>
      <c r="BC88" s="170"/>
      <c r="BD88" s="170"/>
      <c r="BE88" s="170"/>
      <c r="BF88" s="170"/>
      <c r="BG88" s="170"/>
      <c r="BH88" s="170"/>
      <c r="BI88" s="170"/>
      <c r="BJ88" s="170"/>
      <c r="BK88" s="170"/>
      <c r="BL88" s="170"/>
      <c r="BM88" s="170"/>
      <c r="BN88" s="170"/>
      <c r="BO88" s="170"/>
      <c r="BP88" s="331"/>
      <c r="BQ88" s="331"/>
      <c r="BR88" s="331"/>
      <c r="BS88" s="331"/>
      <c r="BT88" s="331"/>
      <c r="BU88" s="331"/>
      <c r="BV88" s="331"/>
      <c r="BW88" s="331"/>
      <c r="BX88" s="331"/>
      <c r="BY88" s="331"/>
      <c r="BZ88" s="169"/>
      <c r="CA88" s="169"/>
      <c r="CB88" s="169"/>
      <c r="CC88" s="169"/>
      <c r="CD88" s="169"/>
      <c r="CO88" s="169"/>
      <c r="CP88" s="169"/>
      <c r="CQ88" s="169"/>
      <c r="CR88" s="169"/>
      <c r="CS88" s="169"/>
    </row>
    <row r="89" spans="1:97" s="114" customFormat="1" ht="0.75" hidden="1" customHeight="1">
      <c r="B89" s="299"/>
      <c r="C89" s="249"/>
      <c r="D89" s="286"/>
      <c r="E89" s="337"/>
      <c r="U89" s="278"/>
      <c r="V89" s="170"/>
      <c r="W89" s="170"/>
      <c r="X89" s="170"/>
      <c r="Y89" s="170"/>
      <c r="Z89" s="170"/>
      <c r="AA89" s="170"/>
      <c r="AB89" s="170"/>
      <c r="AC89" s="170"/>
      <c r="AD89" s="170"/>
      <c r="AE89" s="170"/>
      <c r="AF89" s="170"/>
      <c r="AG89" s="170"/>
      <c r="AH89" s="170"/>
      <c r="AI89" s="170"/>
      <c r="AJ89" s="170"/>
      <c r="AK89" s="170"/>
      <c r="AL89" s="170"/>
      <c r="AM89" s="170"/>
      <c r="AN89" s="170"/>
      <c r="AO89" s="170"/>
      <c r="AP89" s="170"/>
      <c r="AQ89" s="170"/>
      <c r="AR89" s="170"/>
      <c r="AS89" s="170"/>
      <c r="AT89" s="170"/>
      <c r="AU89" s="170"/>
      <c r="AV89" s="170"/>
      <c r="AW89" s="170"/>
      <c r="AX89" s="170"/>
      <c r="AY89" s="170"/>
      <c r="AZ89" s="170"/>
      <c r="BA89" s="278"/>
      <c r="BB89" s="170"/>
      <c r="BC89" s="170"/>
      <c r="BD89" s="170"/>
      <c r="BE89" s="170"/>
      <c r="BF89" s="170"/>
      <c r="BG89" s="170"/>
      <c r="BH89" s="170"/>
      <c r="BI89" s="170"/>
      <c r="BJ89" s="170"/>
      <c r="BK89" s="170"/>
      <c r="BL89" s="170"/>
      <c r="BM89" s="170"/>
      <c r="BN89" s="170"/>
      <c r="BO89" s="170"/>
      <c r="BP89" s="331"/>
      <c r="BQ89" s="331"/>
      <c r="BR89" s="331"/>
      <c r="BS89" s="331"/>
      <c r="BT89" s="331"/>
      <c r="BU89" s="331"/>
      <c r="BV89" s="331"/>
      <c r="BW89" s="331"/>
      <c r="BX89" s="331"/>
      <c r="BY89" s="331"/>
      <c r="BZ89" s="169"/>
      <c r="CA89" s="169"/>
      <c r="CB89" s="169"/>
      <c r="CC89" s="169"/>
      <c r="CD89" s="169"/>
      <c r="CO89" s="169"/>
      <c r="CP89" s="169"/>
      <c r="CQ89" s="169"/>
      <c r="CR89" s="169"/>
      <c r="CS89" s="169"/>
    </row>
    <row r="90" spans="1:97" s="114" customFormat="1" ht="0.75" hidden="1" customHeight="1">
      <c r="B90" s="299"/>
      <c r="C90" s="249"/>
      <c r="D90" s="286"/>
      <c r="E90" s="337"/>
      <c r="U90" s="278"/>
      <c r="V90" s="170"/>
      <c r="W90" s="170"/>
      <c r="X90" s="170"/>
      <c r="Y90" s="170"/>
      <c r="Z90" s="170"/>
      <c r="AA90" s="170"/>
      <c r="AB90" s="170"/>
      <c r="AC90" s="170"/>
      <c r="AD90" s="170"/>
      <c r="AE90" s="170"/>
      <c r="AF90" s="170"/>
      <c r="AG90" s="170"/>
      <c r="AH90" s="170"/>
      <c r="AI90" s="170"/>
      <c r="AJ90" s="170"/>
      <c r="AK90" s="170"/>
      <c r="AL90" s="170"/>
      <c r="AM90" s="170"/>
      <c r="AN90" s="170"/>
      <c r="AO90" s="170"/>
      <c r="AP90" s="170"/>
      <c r="AQ90" s="170"/>
      <c r="AR90" s="170"/>
      <c r="AS90" s="170"/>
      <c r="AT90" s="170"/>
      <c r="AU90" s="170"/>
      <c r="AV90" s="170"/>
      <c r="AW90" s="170"/>
      <c r="AX90" s="170"/>
      <c r="AY90" s="170"/>
      <c r="AZ90" s="170"/>
      <c r="BA90" s="278"/>
      <c r="BB90" s="170"/>
      <c r="BC90" s="170"/>
      <c r="BD90" s="170"/>
      <c r="BE90" s="170"/>
      <c r="BF90" s="170"/>
      <c r="BG90" s="170"/>
      <c r="BH90" s="170"/>
      <c r="BI90" s="170"/>
      <c r="BJ90" s="170"/>
      <c r="BK90" s="170"/>
      <c r="BL90" s="170"/>
      <c r="BM90" s="170"/>
      <c r="BN90" s="170"/>
      <c r="BO90" s="170"/>
      <c r="BP90" s="331"/>
      <c r="BQ90" s="331"/>
      <c r="BR90" s="331"/>
      <c r="BS90" s="331"/>
      <c r="BT90" s="331"/>
      <c r="BU90" s="331"/>
      <c r="BV90" s="331"/>
      <c r="BW90" s="331"/>
      <c r="BX90" s="331"/>
      <c r="BY90" s="331"/>
      <c r="BZ90" s="169"/>
      <c r="CA90" s="169"/>
      <c r="CB90" s="169"/>
      <c r="CC90" s="169"/>
      <c r="CD90" s="169"/>
      <c r="CO90" s="169"/>
      <c r="CP90" s="169"/>
      <c r="CQ90" s="169"/>
      <c r="CR90" s="169"/>
      <c r="CS90" s="169"/>
    </row>
    <row r="91" spans="1:97" s="114" customFormat="1" ht="0.75" hidden="1" customHeight="1">
      <c r="B91" s="299"/>
      <c r="C91" s="249"/>
      <c r="D91" s="286"/>
      <c r="E91" s="337"/>
      <c r="U91" s="278"/>
      <c r="V91" s="170"/>
      <c r="W91" s="170"/>
      <c r="X91" s="170"/>
      <c r="Y91" s="170"/>
      <c r="Z91" s="170"/>
      <c r="AA91" s="170"/>
      <c r="AB91" s="170"/>
      <c r="AC91" s="170"/>
      <c r="AD91" s="170"/>
      <c r="AE91" s="170"/>
      <c r="AF91" s="170"/>
      <c r="AG91" s="170"/>
      <c r="AH91" s="170"/>
      <c r="AI91" s="170"/>
      <c r="AJ91" s="170"/>
      <c r="AK91" s="170"/>
      <c r="AL91" s="170"/>
      <c r="AM91" s="170"/>
      <c r="AN91" s="170"/>
      <c r="AO91" s="170"/>
      <c r="AP91" s="170"/>
      <c r="AQ91" s="170"/>
      <c r="AR91" s="170"/>
      <c r="AS91" s="170"/>
      <c r="AT91" s="170"/>
      <c r="AU91" s="170"/>
      <c r="AV91" s="170"/>
      <c r="AW91" s="170"/>
      <c r="AX91" s="170"/>
      <c r="AY91" s="170"/>
      <c r="AZ91" s="170"/>
      <c r="BA91" s="278"/>
      <c r="BB91" s="170"/>
      <c r="BC91" s="170"/>
      <c r="BD91" s="170"/>
      <c r="BE91" s="170"/>
      <c r="BF91" s="170"/>
      <c r="BG91" s="170"/>
      <c r="BH91" s="170"/>
      <c r="BI91" s="170"/>
      <c r="BJ91" s="170"/>
      <c r="BK91" s="170"/>
      <c r="BL91" s="170"/>
      <c r="BM91" s="170"/>
      <c r="BN91" s="170"/>
      <c r="BO91" s="170"/>
      <c r="BP91" s="331"/>
      <c r="BQ91" s="331"/>
      <c r="BR91" s="331"/>
      <c r="BS91" s="331"/>
      <c r="BT91" s="331"/>
      <c r="BU91" s="331"/>
      <c r="BV91" s="331"/>
      <c r="BW91" s="331"/>
      <c r="BX91" s="331"/>
      <c r="BY91" s="331"/>
      <c r="BZ91" s="169"/>
      <c r="CA91" s="169"/>
      <c r="CB91" s="169"/>
      <c r="CC91" s="169"/>
      <c r="CD91" s="169"/>
      <c r="CO91" s="169"/>
      <c r="CP91" s="169"/>
      <c r="CQ91" s="169"/>
      <c r="CR91" s="169"/>
      <c r="CS91" s="169"/>
    </row>
    <row r="92" spans="1:97" s="114" customFormat="1" ht="0.75" hidden="1" customHeight="1">
      <c r="B92" s="299"/>
      <c r="C92" s="249"/>
      <c r="D92" s="286"/>
      <c r="E92" s="337"/>
      <c r="U92" s="278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0"/>
      <c r="AZ92" s="170"/>
      <c r="BA92" s="278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331"/>
      <c r="BQ92" s="331"/>
      <c r="BR92" s="331"/>
      <c r="BS92" s="331"/>
      <c r="BT92" s="331"/>
      <c r="BU92" s="331"/>
      <c r="BV92" s="331"/>
      <c r="BW92" s="331"/>
      <c r="BX92" s="331"/>
      <c r="BY92" s="331"/>
      <c r="BZ92" s="169"/>
      <c r="CA92" s="169"/>
      <c r="CB92" s="169"/>
      <c r="CC92" s="169"/>
      <c r="CD92" s="169"/>
      <c r="CO92" s="169"/>
      <c r="CP92" s="169"/>
      <c r="CQ92" s="169"/>
      <c r="CR92" s="169"/>
      <c r="CS92" s="169"/>
    </row>
    <row r="93" spans="1:97" s="114" customFormat="1" ht="0.75" hidden="1" customHeight="1">
      <c r="B93" s="299"/>
      <c r="C93" s="249"/>
      <c r="D93" s="286"/>
      <c r="E93" s="337"/>
      <c r="U93" s="278"/>
      <c r="V93" s="170"/>
      <c r="W93" s="170"/>
      <c r="X93" s="170"/>
      <c r="Y93" s="170"/>
      <c r="Z93" s="170"/>
      <c r="AA93" s="170"/>
      <c r="AB93" s="170"/>
      <c r="AC93" s="170"/>
      <c r="AD93" s="170"/>
      <c r="AE93" s="170"/>
      <c r="AF93" s="170"/>
      <c r="AG93" s="170"/>
      <c r="AH93" s="170"/>
      <c r="AI93" s="170"/>
      <c r="AJ93" s="170"/>
      <c r="AK93" s="170"/>
      <c r="AL93" s="170"/>
      <c r="AM93" s="170"/>
      <c r="AN93" s="170"/>
      <c r="AO93" s="170"/>
      <c r="AP93" s="170"/>
      <c r="AQ93" s="170"/>
      <c r="AR93" s="170"/>
      <c r="AS93" s="170"/>
      <c r="AT93" s="170"/>
      <c r="AU93" s="170"/>
      <c r="AV93" s="170"/>
      <c r="AW93" s="170"/>
      <c r="AX93" s="170"/>
      <c r="AY93" s="170"/>
      <c r="AZ93" s="170"/>
      <c r="BA93" s="278"/>
      <c r="BB93" s="170"/>
      <c r="BC93" s="170"/>
      <c r="BD93" s="170"/>
      <c r="BE93" s="170"/>
      <c r="BF93" s="170"/>
      <c r="BG93" s="170"/>
      <c r="BH93" s="170"/>
      <c r="BI93" s="170"/>
      <c r="BJ93" s="170"/>
      <c r="BK93" s="170"/>
      <c r="BL93" s="170"/>
      <c r="BM93" s="170"/>
      <c r="BN93" s="170"/>
      <c r="BO93" s="170"/>
      <c r="BP93" s="331"/>
      <c r="BQ93" s="331"/>
      <c r="BR93" s="331"/>
      <c r="BS93" s="331"/>
      <c r="BT93" s="331"/>
      <c r="BU93" s="331"/>
      <c r="BV93" s="331"/>
      <c r="BW93" s="331"/>
      <c r="BX93" s="331"/>
      <c r="BY93" s="331"/>
      <c r="BZ93" s="169"/>
      <c r="CA93" s="169"/>
      <c r="CB93" s="169"/>
      <c r="CC93" s="169"/>
      <c r="CD93" s="169"/>
      <c r="CO93" s="169"/>
      <c r="CP93" s="169"/>
      <c r="CQ93" s="169"/>
      <c r="CR93" s="169"/>
      <c r="CS93" s="169"/>
    </row>
    <row r="94" spans="1:97" s="114" customFormat="1" ht="0.75" hidden="1" customHeight="1">
      <c r="B94" s="299"/>
      <c r="C94" s="249"/>
      <c r="D94" s="286"/>
      <c r="E94" s="337"/>
      <c r="U94" s="278"/>
      <c r="V94" s="170"/>
      <c r="W94" s="170"/>
      <c r="X94" s="170"/>
      <c r="Y94" s="170"/>
      <c r="Z94" s="170"/>
      <c r="AA94" s="170"/>
      <c r="AB94" s="170"/>
      <c r="AC94" s="170"/>
      <c r="AD94" s="170"/>
      <c r="AE94" s="170"/>
      <c r="AF94" s="170"/>
      <c r="AG94" s="170"/>
      <c r="AH94" s="170"/>
      <c r="AI94" s="170"/>
      <c r="AJ94" s="170"/>
      <c r="AK94" s="170"/>
      <c r="AL94" s="170"/>
      <c r="AM94" s="170"/>
      <c r="AN94" s="170"/>
      <c r="AO94" s="170"/>
      <c r="AP94" s="170"/>
      <c r="AQ94" s="170"/>
      <c r="AR94" s="170"/>
      <c r="AS94" s="170"/>
      <c r="AT94" s="170"/>
      <c r="AU94" s="170"/>
      <c r="AV94" s="170"/>
      <c r="AW94" s="170"/>
      <c r="AX94" s="170"/>
      <c r="AY94" s="170"/>
      <c r="AZ94" s="170"/>
      <c r="BA94" s="278"/>
      <c r="BB94" s="170"/>
      <c r="BC94" s="170"/>
      <c r="BD94" s="170"/>
      <c r="BE94" s="170"/>
      <c r="BF94" s="170"/>
      <c r="BG94" s="170"/>
      <c r="BH94" s="170"/>
      <c r="BI94" s="170"/>
      <c r="BJ94" s="170"/>
      <c r="BK94" s="170"/>
      <c r="BL94" s="170"/>
      <c r="BM94" s="170"/>
      <c r="BN94" s="170"/>
      <c r="BO94" s="170"/>
      <c r="BP94" s="331"/>
      <c r="BQ94" s="331"/>
      <c r="BR94" s="331"/>
      <c r="BS94" s="331"/>
      <c r="BT94" s="331"/>
      <c r="BU94" s="331"/>
      <c r="BV94" s="331"/>
      <c r="BW94" s="331"/>
      <c r="BX94" s="331"/>
      <c r="BY94" s="331"/>
      <c r="BZ94" s="169"/>
      <c r="CA94" s="169"/>
      <c r="CB94" s="169"/>
      <c r="CC94" s="169"/>
      <c r="CD94" s="169"/>
      <c r="CO94" s="169"/>
      <c r="CP94" s="169"/>
      <c r="CQ94" s="169"/>
      <c r="CR94" s="169"/>
      <c r="CS94" s="169"/>
    </row>
    <row r="95" spans="1:97" s="114" customFormat="1" ht="0.75" hidden="1" customHeight="1">
      <c r="B95" s="299"/>
      <c r="C95" s="249"/>
      <c r="D95" s="286"/>
      <c r="E95" s="337"/>
      <c r="U95" s="278"/>
      <c r="V95" s="170"/>
      <c r="W95" s="170"/>
      <c r="X95" s="170"/>
      <c r="Y95" s="170"/>
      <c r="Z95" s="170"/>
      <c r="AA95" s="170"/>
      <c r="AB95" s="170"/>
      <c r="AC95" s="170"/>
      <c r="AD95" s="170"/>
      <c r="AE95" s="170"/>
      <c r="AF95" s="170"/>
      <c r="AG95" s="170"/>
      <c r="AH95" s="170"/>
      <c r="AI95" s="170"/>
      <c r="AJ95" s="170"/>
      <c r="AK95" s="170"/>
      <c r="AL95" s="170"/>
      <c r="AM95" s="170"/>
      <c r="AN95" s="170"/>
      <c r="AO95" s="170"/>
      <c r="AP95" s="170"/>
      <c r="AQ95" s="170"/>
      <c r="AR95" s="170"/>
      <c r="AS95" s="170"/>
      <c r="AT95" s="170"/>
      <c r="AU95" s="170"/>
      <c r="AV95" s="170"/>
      <c r="AW95" s="170"/>
      <c r="AX95" s="170"/>
      <c r="AY95" s="170"/>
      <c r="AZ95" s="170"/>
      <c r="BA95" s="278"/>
      <c r="BB95" s="170"/>
      <c r="BC95" s="170"/>
      <c r="BD95" s="170"/>
      <c r="BE95" s="170"/>
      <c r="BF95" s="170"/>
      <c r="BG95" s="170"/>
      <c r="BH95" s="170"/>
      <c r="BI95" s="170"/>
      <c r="BJ95" s="170"/>
      <c r="BK95" s="170"/>
      <c r="BL95" s="170"/>
      <c r="BM95" s="170"/>
      <c r="BN95" s="170"/>
      <c r="BO95" s="170"/>
      <c r="BP95" s="331"/>
      <c r="BQ95" s="331"/>
      <c r="BR95" s="331"/>
      <c r="BS95" s="331"/>
      <c r="BT95" s="331"/>
      <c r="BU95" s="331"/>
      <c r="BV95" s="331"/>
      <c r="BW95" s="331"/>
      <c r="BX95" s="331"/>
      <c r="BY95" s="331"/>
      <c r="BZ95" s="169"/>
      <c r="CA95" s="169"/>
      <c r="CB95" s="169"/>
      <c r="CC95" s="169"/>
      <c r="CD95" s="169"/>
      <c r="CO95" s="169"/>
      <c r="CP95" s="169"/>
      <c r="CQ95" s="169"/>
      <c r="CR95" s="169"/>
      <c r="CS95" s="169"/>
    </row>
    <row r="96" spans="1:97" s="114" customFormat="1" ht="0.75" hidden="1" customHeight="1">
      <c r="B96" s="299"/>
      <c r="C96" s="249"/>
      <c r="D96" s="286"/>
      <c r="E96" s="337"/>
      <c r="U96" s="278"/>
      <c r="V96" s="170"/>
      <c r="W96" s="170"/>
      <c r="X96" s="170"/>
      <c r="Y96" s="170"/>
      <c r="Z96" s="170"/>
      <c r="AA96" s="170"/>
      <c r="AB96" s="170"/>
      <c r="AC96" s="170"/>
      <c r="AD96" s="170"/>
      <c r="AE96" s="170"/>
      <c r="AF96" s="170"/>
      <c r="AG96" s="170"/>
      <c r="AH96" s="170"/>
      <c r="AI96" s="170"/>
      <c r="AJ96" s="170"/>
      <c r="AK96" s="170"/>
      <c r="AL96" s="170"/>
      <c r="AM96" s="170"/>
      <c r="AN96" s="170"/>
      <c r="AO96" s="170"/>
      <c r="AP96" s="170"/>
      <c r="AQ96" s="170"/>
      <c r="AR96" s="170"/>
      <c r="AS96" s="170"/>
      <c r="AT96" s="170"/>
      <c r="AU96" s="170"/>
      <c r="AV96" s="170"/>
      <c r="AW96" s="170"/>
      <c r="AX96" s="170"/>
      <c r="AY96" s="170"/>
      <c r="AZ96" s="170"/>
      <c r="BA96" s="278"/>
      <c r="BB96" s="170"/>
      <c r="BC96" s="170"/>
      <c r="BD96" s="170"/>
      <c r="BE96" s="170"/>
      <c r="BF96" s="170"/>
      <c r="BG96" s="170"/>
      <c r="BH96" s="170"/>
      <c r="BI96" s="170"/>
      <c r="BJ96" s="170"/>
      <c r="BK96" s="170"/>
      <c r="BL96" s="170"/>
      <c r="BM96" s="170"/>
      <c r="BN96" s="170"/>
      <c r="BO96" s="170"/>
      <c r="BP96" s="331"/>
      <c r="BQ96" s="331"/>
      <c r="BR96" s="331"/>
      <c r="BS96" s="331"/>
      <c r="BT96" s="331"/>
      <c r="BU96" s="331"/>
      <c r="BV96" s="331"/>
      <c r="BW96" s="331"/>
      <c r="BX96" s="331"/>
      <c r="BY96" s="331"/>
      <c r="BZ96" s="169"/>
      <c r="CA96" s="169"/>
      <c r="CB96" s="169"/>
      <c r="CC96" s="169"/>
      <c r="CD96" s="169"/>
      <c r="CO96" s="169"/>
      <c r="CP96" s="169"/>
      <c r="CQ96" s="169"/>
      <c r="CR96" s="169"/>
      <c r="CS96" s="169"/>
    </row>
    <row r="97" spans="2:97" s="114" customFormat="1" ht="0.75" hidden="1" customHeight="1">
      <c r="B97" s="299"/>
      <c r="C97" s="249"/>
      <c r="D97" s="286"/>
      <c r="E97" s="337"/>
      <c r="U97" s="278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  <c r="AL97" s="170"/>
      <c r="AM97" s="170"/>
      <c r="AN97" s="170"/>
      <c r="AO97" s="170"/>
      <c r="AP97" s="170"/>
      <c r="AQ97" s="170"/>
      <c r="AR97" s="170"/>
      <c r="AS97" s="170"/>
      <c r="AT97" s="170"/>
      <c r="AU97" s="170"/>
      <c r="AV97" s="170"/>
      <c r="AW97" s="170"/>
      <c r="AX97" s="170"/>
      <c r="AY97" s="170"/>
      <c r="AZ97" s="170"/>
      <c r="BA97" s="278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/>
      <c r="BO97" s="170"/>
      <c r="BP97" s="331"/>
      <c r="BQ97" s="331"/>
      <c r="BR97" s="331"/>
      <c r="BS97" s="331"/>
      <c r="BT97" s="331"/>
      <c r="BU97" s="331"/>
      <c r="BV97" s="331"/>
      <c r="BW97" s="331"/>
      <c r="BX97" s="331"/>
      <c r="BY97" s="331"/>
      <c r="BZ97" s="169"/>
      <c r="CA97" s="169"/>
      <c r="CB97" s="169"/>
      <c r="CC97" s="169"/>
      <c r="CD97" s="169"/>
      <c r="CO97" s="169"/>
      <c r="CP97" s="169"/>
      <c r="CQ97" s="169"/>
      <c r="CR97" s="169"/>
      <c r="CS97" s="169"/>
    </row>
    <row r="98" spans="2:97" s="114" customFormat="1" ht="0.75" hidden="1" customHeight="1">
      <c r="B98" s="299"/>
      <c r="C98" s="249"/>
      <c r="D98" s="286"/>
      <c r="E98" s="337"/>
      <c r="U98" s="278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  <c r="AL98" s="170"/>
      <c r="AM98" s="170"/>
      <c r="AN98" s="170"/>
      <c r="AO98" s="170"/>
      <c r="AP98" s="170"/>
      <c r="AQ98" s="170"/>
      <c r="AR98" s="170"/>
      <c r="AS98" s="170"/>
      <c r="AT98" s="170"/>
      <c r="AU98" s="170"/>
      <c r="AV98" s="170"/>
      <c r="AW98" s="170"/>
      <c r="AX98" s="170"/>
      <c r="AY98" s="170"/>
      <c r="AZ98" s="170"/>
      <c r="BA98" s="278"/>
      <c r="BB98" s="170"/>
      <c r="BC98" s="170"/>
      <c r="BD98" s="170"/>
      <c r="BE98" s="170"/>
      <c r="BF98" s="170"/>
      <c r="BG98" s="170"/>
      <c r="BH98" s="170"/>
      <c r="BI98" s="170"/>
      <c r="BJ98" s="170"/>
      <c r="BK98" s="170"/>
      <c r="BL98" s="170"/>
      <c r="BM98" s="170"/>
      <c r="BN98" s="170"/>
      <c r="BO98" s="170"/>
      <c r="BP98" s="331"/>
      <c r="BQ98" s="331"/>
      <c r="BR98" s="331"/>
      <c r="BS98" s="331"/>
      <c r="BT98" s="331"/>
      <c r="BU98" s="331"/>
      <c r="BV98" s="331"/>
      <c r="BW98" s="331"/>
      <c r="BX98" s="331"/>
      <c r="BY98" s="331"/>
      <c r="BZ98" s="169"/>
      <c r="CA98" s="169"/>
      <c r="CB98" s="169"/>
      <c r="CC98" s="169"/>
      <c r="CD98" s="169"/>
      <c r="CO98" s="169"/>
      <c r="CP98" s="169"/>
      <c r="CQ98" s="169"/>
      <c r="CR98" s="169"/>
      <c r="CS98" s="169"/>
    </row>
    <row r="99" spans="2:97" s="114" customFormat="1" ht="0.75" hidden="1" customHeight="1">
      <c r="B99" s="299"/>
      <c r="C99" s="249"/>
      <c r="D99" s="286"/>
      <c r="E99" s="337"/>
      <c r="U99" s="278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  <c r="AX99" s="170"/>
      <c r="AY99" s="170"/>
      <c r="AZ99" s="170"/>
      <c r="BA99" s="278"/>
      <c r="BB99" s="170"/>
      <c r="BC99" s="170"/>
      <c r="BD99" s="170"/>
      <c r="BE99" s="170"/>
      <c r="BF99" s="170"/>
      <c r="BG99" s="170"/>
      <c r="BH99" s="170"/>
      <c r="BI99" s="170"/>
      <c r="BJ99" s="170"/>
      <c r="BK99" s="170"/>
      <c r="BL99" s="170"/>
      <c r="BM99" s="170"/>
      <c r="BN99" s="170"/>
      <c r="BO99" s="170"/>
      <c r="BP99" s="331"/>
      <c r="BQ99" s="331"/>
      <c r="BR99" s="331"/>
      <c r="BS99" s="331"/>
      <c r="BT99" s="331"/>
      <c r="BU99" s="331"/>
      <c r="BV99" s="331"/>
      <c r="BW99" s="331"/>
      <c r="BX99" s="331"/>
      <c r="BY99" s="331"/>
      <c r="BZ99" s="169"/>
      <c r="CA99" s="169"/>
      <c r="CB99" s="169"/>
      <c r="CC99" s="169"/>
      <c r="CD99" s="169"/>
      <c r="CO99" s="169"/>
      <c r="CP99" s="169"/>
      <c r="CQ99" s="169"/>
      <c r="CR99" s="169"/>
      <c r="CS99" s="169"/>
    </row>
    <row r="100" spans="2:97" s="114" customFormat="1" ht="0.75" hidden="1" customHeight="1">
      <c r="B100" s="299"/>
      <c r="C100" s="249"/>
      <c r="D100" s="286"/>
      <c r="E100" s="337"/>
      <c r="U100" s="278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0"/>
      <c r="AV100" s="170"/>
      <c r="AW100" s="170"/>
      <c r="AX100" s="170"/>
      <c r="AY100" s="170"/>
      <c r="AZ100" s="170"/>
      <c r="BA100" s="278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  <c r="BP100" s="331"/>
      <c r="BQ100" s="331"/>
      <c r="BR100" s="331"/>
      <c r="BS100" s="331"/>
      <c r="BT100" s="331"/>
      <c r="BU100" s="331"/>
      <c r="BV100" s="331"/>
      <c r="BW100" s="331"/>
      <c r="BX100" s="331"/>
      <c r="BY100" s="331"/>
      <c r="BZ100" s="169"/>
      <c r="CA100" s="169"/>
      <c r="CB100" s="169"/>
      <c r="CC100" s="169"/>
      <c r="CD100" s="169"/>
      <c r="CO100" s="169"/>
      <c r="CP100" s="169"/>
      <c r="CQ100" s="169"/>
      <c r="CR100" s="169"/>
      <c r="CS100" s="169"/>
    </row>
    <row r="101" spans="2:97" s="114" customFormat="1" ht="0.75" hidden="1" customHeight="1">
      <c r="B101" s="299"/>
      <c r="C101" s="249"/>
      <c r="D101" s="286"/>
      <c r="E101" s="337"/>
      <c r="U101" s="278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  <c r="AQ101" s="170"/>
      <c r="AR101" s="170"/>
      <c r="AS101" s="170"/>
      <c r="AT101" s="170"/>
      <c r="AU101" s="170"/>
      <c r="AV101" s="170"/>
      <c r="AW101" s="170"/>
      <c r="AX101" s="170"/>
      <c r="AY101" s="170"/>
      <c r="AZ101" s="170"/>
      <c r="BA101" s="278"/>
      <c r="BB101" s="170"/>
      <c r="BC101" s="170"/>
      <c r="BD101" s="170"/>
      <c r="BE101" s="170"/>
      <c r="BF101" s="170"/>
      <c r="BG101" s="170"/>
      <c r="BH101" s="170"/>
      <c r="BI101" s="170"/>
      <c r="BJ101" s="170"/>
      <c r="BK101" s="170"/>
      <c r="BL101" s="170"/>
      <c r="BM101" s="170"/>
      <c r="BN101" s="170"/>
      <c r="BO101" s="170"/>
      <c r="BP101" s="331"/>
      <c r="BQ101" s="331"/>
      <c r="BR101" s="331"/>
      <c r="BS101" s="331"/>
      <c r="BT101" s="331"/>
      <c r="BU101" s="331"/>
      <c r="BV101" s="331"/>
      <c r="BW101" s="331"/>
      <c r="BX101" s="331"/>
      <c r="BY101" s="331"/>
      <c r="BZ101" s="169"/>
      <c r="CA101" s="169"/>
      <c r="CB101" s="169"/>
      <c r="CC101" s="169"/>
      <c r="CD101" s="169"/>
      <c r="CO101" s="169"/>
      <c r="CP101" s="169"/>
      <c r="CQ101" s="169"/>
      <c r="CR101" s="169"/>
      <c r="CS101" s="169"/>
    </row>
    <row r="102" spans="2:97" s="114" customFormat="1" ht="0.75" hidden="1" customHeight="1">
      <c r="B102" s="299"/>
      <c r="C102" s="249"/>
      <c r="D102" s="286"/>
      <c r="E102" s="337"/>
      <c r="U102" s="278"/>
      <c r="V102" s="170"/>
      <c r="W102" s="170"/>
      <c r="X102" s="170"/>
      <c r="Y102" s="170"/>
      <c r="Z102" s="170"/>
      <c r="AA102" s="170"/>
      <c r="AB102" s="170"/>
      <c r="AC102" s="170"/>
      <c r="AD102" s="170"/>
      <c r="AE102" s="170"/>
      <c r="AF102" s="170"/>
      <c r="AG102" s="170"/>
      <c r="AH102" s="170"/>
      <c r="AI102" s="170"/>
      <c r="AJ102" s="170"/>
      <c r="AK102" s="170"/>
      <c r="AL102" s="170"/>
      <c r="AM102" s="170"/>
      <c r="AN102" s="170"/>
      <c r="AO102" s="170"/>
      <c r="AP102" s="170"/>
      <c r="AQ102" s="170"/>
      <c r="AR102" s="170"/>
      <c r="AS102" s="170"/>
      <c r="AT102" s="170"/>
      <c r="AU102" s="170"/>
      <c r="AV102" s="170"/>
      <c r="AW102" s="170"/>
      <c r="AX102" s="170"/>
      <c r="AY102" s="170"/>
      <c r="AZ102" s="170"/>
      <c r="BA102" s="278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  <c r="BP102" s="331"/>
      <c r="BQ102" s="331"/>
      <c r="BR102" s="331"/>
      <c r="BS102" s="331"/>
      <c r="BT102" s="331"/>
      <c r="BU102" s="331"/>
      <c r="BV102" s="331"/>
      <c r="BW102" s="331"/>
      <c r="BX102" s="331"/>
      <c r="BY102" s="331"/>
      <c r="BZ102" s="169"/>
      <c r="CA102" s="169"/>
      <c r="CB102" s="169"/>
      <c r="CC102" s="169"/>
      <c r="CD102" s="169"/>
      <c r="CO102" s="169"/>
      <c r="CP102" s="169"/>
      <c r="CQ102" s="169"/>
      <c r="CR102" s="169"/>
      <c r="CS102" s="169"/>
    </row>
    <row r="103" spans="2:97" s="114" customFormat="1" ht="0.75" hidden="1" customHeight="1">
      <c r="B103" s="299"/>
      <c r="C103" s="249"/>
      <c r="D103" s="286"/>
      <c r="E103" s="337"/>
      <c r="U103" s="278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  <c r="AX103" s="170"/>
      <c r="AY103" s="170"/>
      <c r="AZ103" s="170"/>
      <c r="BA103" s="278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  <c r="BP103" s="331"/>
      <c r="BQ103" s="331"/>
      <c r="BR103" s="331"/>
      <c r="BS103" s="331"/>
      <c r="BT103" s="331"/>
      <c r="BU103" s="331"/>
      <c r="BV103" s="331"/>
      <c r="BW103" s="331"/>
      <c r="BX103" s="331"/>
      <c r="BY103" s="331"/>
      <c r="BZ103" s="169"/>
      <c r="CA103" s="169"/>
      <c r="CB103" s="169"/>
      <c r="CC103" s="169"/>
      <c r="CD103" s="169"/>
      <c r="CO103" s="169"/>
      <c r="CP103" s="169"/>
      <c r="CQ103" s="169"/>
      <c r="CR103" s="169"/>
      <c r="CS103" s="169"/>
    </row>
    <row r="104" spans="2:97" s="114" customFormat="1" ht="0.75" hidden="1" customHeight="1">
      <c r="B104" s="299"/>
      <c r="C104" s="249"/>
      <c r="D104" s="286"/>
      <c r="E104" s="337"/>
      <c r="U104" s="278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0"/>
      <c r="AZ104" s="170"/>
      <c r="BA104" s="278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  <c r="BP104" s="331"/>
      <c r="BQ104" s="331"/>
      <c r="BR104" s="331"/>
      <c r="BS104" s="331"/>
      <c r="BT104" s="331"/>
      <c r="BU104" s="331"/>
      <c r="BV104" s="331"/>
      <c r="BW104" s="331"/>
      <c r="BX104" s="331"/>
      <c r="BY104" s="331"/>
      <c r="BZ104" s="169"/>
      <c r="CA104" s="169"/>
      <c r="CB104" s="169"/>
      <c r="CC104" s="169"/>
      <c r="CD104" s="169"/>
      <c r="CO104" s="169"/>
      <c r="CP104" s="169"/>
      <c r="CQ104" s="169"/>
      <c r="CR104" s="169"/>
      <c r="CS104" s="169"/>
    </row>
    <row r="105" spans="2:97" s="114" customFormat="1" ht="0.75" hidden="1" customHeight="1">
      <c r="B105" s="299"/>
      <c r="C105" s="249"/>
      <c r="D105" s="286"/>
      <c r="E105" s="337"/>
      <c r="U105" s="278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  <c r="AO105" s="170"/>
      <c r="AP105" s="170"/>
      <c r="AQ105" s="170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278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  <c r="BP105" s="331"/>
      <c r="BQ105" s="331"/>
      <c r="BR105" s="331"/>
      <c r="BS105" s="331"/>
      <c r="BT105" s="331"/>
      <c r="BU105" s="331"/>
      <c r="BV105" s="331"/>
      <c r="BW105" s="331"/>
      <c r="BX105" s="331"/>
      <c r="BY105" s="331"/>
      <c r="BZ105" s="169"/>
      <c r="CA105" s="169"/>
      <c r="CB105" s="169"/>
      <c r="CC105" s="169"/>
      <c r="CD105" s="169"/>
      <c r="CO105" s="169"/>
      <c r="CP105" s="169"/>
      <c r="CQ105" s="169"/>
      <c r="CR105" s="169"/>
      <c r="CS105" s="169"/>
    </row>
    <row r="106" spans="2:97" s="114" customFormat="1" ht="0.75" hidden="1" customHeight="1">
      <c r="B106" s="299"/>
      <c r="C106" s="249"/>
      <c r="D106" s="286"/>
      <c r="E106" s="337"/>
      <c r="U106" s="278"/>
      <c r="V106" s="170"/>
      <c r="W106" s="170"/>
      <c r="X106" s="170"/>
      <c r="Y106" s="170"/>
      <c r="Z106" s="170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  <c r="AK106" s="170"/>
      <c r="AL106" s="170"/>
      <c r="AM106" s="170"/>
      <c r="AN106" s="170"/>
      <c r="AO106" s="170"/>
      <c r="AP106" s="170"/>
      <c r="AQ106" s="170"/>
      <c r="AR106" s="170"/>
      <c r="AS106" s="170"/>
      <c r="AT106" s="170"/>
      <c r="AU106" s="170"/>
      <c r="AV106" s="170"/>
      <c r="AW106" s="170"/>
      <c r="AX106" s="170"/>
      <c r="AY106" s="170"/>
      <c r="AZ106" s="170"/>
      <c r="BA106" s="278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  <c r="BP106" s="331"/>
      <c r="BQ106" s="331"/>
      <c r="BR106" s="331"/>
      <c r="BS106" s="331"/>
      <c r="BT106" s="331"/>
      <c r="BU106" s="331"/>
      <c r="BV106" s="331"/>
      <c r="BW106" s="331"/>
      <c r="BX106" s="331"/>
      <c r="BY106" s="331"/>
      <c r="BZ106" s="169"/>
      <c r="CA106" s="169"/>
      <c r="CB106" s="169"/>
      <c r="CC106" s="169"/>
      <c r="CD106" s="169"/>
      <c r="CO106" s="169"/>
      <c r="CP106" s="169"/>
      <c r="CQ106" s="169"/>
      <c r="CR106" s="169"/>
      <c r="CS106" s="169"/>
    </row>
    <row r="107" spans="2:97" s="114" customFormat="1" ht="0.75" hidden="1" customHeight="1">
      <c r="B107" s="299"/>
      <c r="C107" s="249"/>
      <c r="D107" s="286"/>
      <c r="E107" s="337"/>
      <c r="U107" s="278"/>
      <c r="V107" s="170"/>
      <c r="W107" s="170"/>
      <c r="X107" s="170"/>
      <c r="Y107" s="170"/>
      <c r="Z107" s="170"/>
      <c r="AA107" s="170"/>
      <c r="AB107" s="170"/>
      <c r="AC107" s="170"/>
      <c r="AD107" s="170"/>
      <c r="AE107" s="170"/>
      <c r="AF107" s="170"/>
      <c r="AG107" s="170"/>
      <c r="AH107" s="170"/>
      <c r="AI107" s="170"/>
      <c r="AJ107" s="170"/>
      <c r="AK107" s="170"/>
      <c r="AL107" s="170"/>
      <c r="AM107" s="170"/>
      <c r="AN107" s="170"/>
      <c r="AO107" s="170"/>
      <c r="AP107" s="170"/>
      <c r="AQ107" s="170"/>
      <c r="AR107" s="170"/>
      <c r="AS107" s="170"/>
      <c r="AT107" s="170"/>
      <c r="AU107" s="170"/>
      <c r="AV107" s="170"/>
      <c r="AW107" s="170"/>
      <c r="AX107" s="170"/>
      <c r="AY107" s="170"/>
      <c r="AZ107" s="170"/>
      <c r="BA107" s="278"/>
      <c r="BB107" s="170"/>
      <c r="BC107" s="170"/>
      <c r="BD107" s="170"/>
      <c r="BE107" s="170"/>
      <c r="BF107" s="170"/>
      <c r="BG107" s="170"/>
      <c r="BH107" s="170"/>
      <c r="BI107" s="170"/>
      <c r="BJ107" s="170"/>
      <c r="BK107" s="170"/>
      <c r="BL107" s="170"/>
      <c r="BM107" s="170"/>
      <c r="BN107" s="170"/>
      <c r="BO107" s="170"/>
      <c r="BP107" s="331"/>
      <c r="BQ107" s="331"/>
      <c r="BR107" s="331"/>
      <c r="BS107" s="331"/>
      <c r="BT107" s="331"/>
      <c r="BU107" s="331"/>
      <c r="BV107" s="331"/>
      <c r="BW107" s="331"/>
      <c r="BX107" s="331"/>
      <c r="BY107" s="331"/>
      <c r="BZ107" s="169"/>
      <c r="CA107" s="169"/>
      <c r="CB107" s="169"/>
      <c r="CC107" s="169"/>
      <c r="CD107" s="169"/>
      <c r="CO107" s="169"/>
      <c r="CP107" s="169"/>
      <c r="CQ107" s="169"/>
      <c r="CR107" s="169"/>
      <c r="CS107" s="169"/>
    </row>
    <row r="108" spans="2:97" s="114" customFormat="1" ht="0.75" hidden="1" customHeight="1">
      <c r="B108" s="299"/>
      <c r="C108" s="249"/>
      <c r="D108" s="286"/>
      <c r="E108" s="337"/>
      <c r="U108" s="278"/>
      <c r="V108" s="170"/>
      <c r="W108" s="170"/>
      <c r="X108" s="170"/>
      <c r="Y108" s="170"/>
      <c r="Z108" s="170"/>
      <c r="AA108" s="170"/>
      <c r="AB108" s="170"/>
      <c r="AC108" s="170"/>
      <c r="AD108" s="170"/>
      <c r="AE108" s="170"/>
      <c r="AF108" s="170"/>
      <c r="AG108" s="170"/>
      <c r="AH108" s="170"/>
      <c r="AI108" s="170"/>
      <c r="AJ108" s="170"/>
      <c r="AK108" s="170"/>
      <c r="AL108" s="170"/>
      <c r="AM108" s="170"/>
      <c r="AN108" s="170"/>
      <c r="AO108" s="170"/>
      <c r="AP108" s="170"/>
      <c r="AQ108" s="170"/>
      <c r="AR108" s="170"/>
      <c r="AS108" s="170"/>
      <c r="AT108" s="170"/>
      <c r="AU108" s="170"/>
      <c r="AV108" s="170"/>
      <c r="AW108" s="170"/>
      <c r="AX108" s="170"/>
      <c r="AY108" s="170"/>
      <c r="AZ108" s="170"/>
      <c r="BA108" s="278"/>
      <c r="BB108" s="170"/>
      <c r="BC108" s="170"/>
      <c r="BD108" s="170"/>
      <c r="BE108" s="170"/>
      <c r="BF108" s="170"/>
      <c r="BG108" s="170"/>
      <c r="BH108" s="170"/>
      <c r="BI108" s="170"/>
      <c r="BJ108" s="170"/>
      <c r="BK108" s="170"/>
      <c r="BL108" s="170"/>
      <c r="BM108" s="170"/>
      <c r="BN108" s="170"/>
      <c r="BO108" s="170"/>
      <c r="BP108" s="331"/>
      <c r="BQ108" s="331"/>
      <c r="BR108" s="331"/>
      <c r="BS108" s="331"/>
      <c r="BT108" s="331"/>
      <c r="BU108" s="331"/>
      <c r="BV108" s="331"/>
      <c r="BW108" s="331"/>
      <c r="BX108" s="331"/>
      <c r="BY108" s="331"/>
      <c r="BZ108" s="169"/>
      <c r="CA108" s="169"/>
      <c r="CB108" s="169"/>
      <c r="CC108" s="169"/>
      <c r="CD108" s="169"/>
      <c r="CO108" s="169"/>
      <c r="CP108" s="169"/>
      <c r="CQ108" s="169"/>
      <c r="CR108" s="169"/>
      <c r="CS108" s="169"/>
    </row>
    <row r="109" spans="2:97" s="114" customFormat="1" ht="0.75" hidden="1" customHeight="1">
      <c r="B109" s="299"/>
      <c r="C109" s="249"/>
      <c r="D109" s="286"/>
      <c r="E109" s="337"/>
      <c r="U109" s="278"/>
      <c r="V109" s="170"/>
      <c r="W109" s="170"/>
      <c r="X109" s="170"/>
      <c r="Y109" s="170"/>
      <c r="Z109" s="170"/>
      <c r="AA109" s="170"/>
      <c r="AB109" s="170"/>
      <c r="AC109" s="170"/>
      <c r="AD109" s="170"/>
      <c r="AE109" s="170"/>
      <c r="AF109" s="170"/>
      <c r="AG109" s="170"/>
      <c r="AH109" s="170"/>
      <c r="AI109" s="170"/>
      <c r="AJ109" s="170"/>
      <c r="AK109" s="170"/>
      <c r="AL109" s="170"/>
      <c r="AM109" s="170"/>
      <c r="AN109" s="170"/>
      <c r="AO109" s="170"/>
      <c r="AP109" s="170"/>
      <c r="AQ109" s="170"/>
      <c r="AR109" s="170"/>
      <c r="AS109" s="170"/>
      <c r="AT109" s="170"/>
      <c r="AU109" s="170"/>
      <c r="AV109" s="170"/>
      <c r="AW109" s="170"/>
      <c r="AX109" s="170"/>
      <c r="AY109" s="170"/>
      <c r="AZ109" s="170"/>
      <c r="BA109" s="278"/>
      <c r="BB109" s="170"/>
      <c r="BC109" s="170"/>
      <c r="BD109" s="170"/>
      <c r="BE109" s="170"/>
      <c r="BF109" s="170"/>
      <c r="BG109" s="170"/>
      <c r="BH109" s="170"/>
      <c r="BI109" s="170"/>
      <c r="BJ109" s="170"/>
      <c r="BK109" s="170"/>
      <c r="BL109" s="170"/>
      <c r="BM109" s="170"/>
      <c r="BN109" s="170"/>
      <c r="BO109" s="170"/>
      <c r="BP109" s="331"/>
      <c r="BQ109" s="331"/>
      <c r="BR109" s="331"/>
      <c r="BS109" s="331"/>
      <c r="BT109" s="331"/>
      <c r="BU109" s="331"/>
      <c r="BV109" s="331"/>
      <c r="BW109" s="331"/>
      <c r="BX109" s="331"/>
      <c r="BY109" s="331"/>
      <c r="BZ109" s="169"/>
      <c r="CA109" s="169"/>
      <c r="CB109" s="169"/>
      <c r="CC109" s="169"/>
      <c r="CD109" s="169"/>
      <c r="CO109" s="169"/>
      <c r="CP109" s="169"/>
      <c r="CQ109" s="169"/>
      <c r="CR109" s="169"/>
      <c r="CS109" s="169"/>
    </row>
    <row r="110" spans="2:97" s="114" customFormat="1" ht="0.75" hidden="1" customHeight="1">
      <c r="B110" s="299"/>
      <c r="C110" s="249"/>
      <c r="D110" s="286"/>
      <c r="E110" s="337"/>
      <c r="U110" s="278"/>
      <c r="V110" s="170"/>
      <c r="W110" s="170"/>
      <c r="X110" s="170"/>
      <c r="Y110" s="170"/>
      <c r="Z110" s="170"/>
      <c r="AA110" s="170"/>
      <c r="AB110" s="170"/>
      <c r="AC110" s="170"/>
      <c r="AD110" s="170"/>
      <c r="AE110" s="170"/>
      <c r="AF110" s="170"/>
      <c r="AG110" s="170"/>
      <c r="AH110" s="170"/>
      <c r="AI110" s="170"/>
      <c r="AJ110" s="170"/>
      <c r="AK110" s="170"/>
      <c r="AL110" s="170"/>
      <c r="AM110" s="170"/>
      <c r="AN110" s="170"/>
      <c r="AO110" s="170"/>
      <c r="AP110" s="170"/>
      <c r="AQ110" s="170"/>
      <c r="AR110" s="170"/>
      <c r="AS110" s="170"/>
      <c r="AT110" s="170"/>
      <c r="AU110" s="170"/>
      <c r="AV110" s="170"/>
      <c r="AW110" s="170"/>
      <c r="AX110" s="170"/>
      <c r="AY110" s="170"/>
      <c r="AZ110" s="170"/>
      <c r="BA110" s="278"/>
      <c r="BB110" s="170"/>
      <c r="BC110" s="170"/>
      <c r="BD110" s="170"/>
      <c r="BE110" s="170"/>
      <c r="BF110" s="170"/>
      <c r="BG110" s="170"/>
      <c r="BH110" s="170"/>
      <c r="BI110" s="170"/>
      <c r="BJ110" s="170"/>
      <c r="BK110" s="170"/>
      <c r="BL110" s="170"/>
      <c r="BM110" s="170"/>
      <c r="BN110" s="170"/>
      <c r="BO110" s="170"/>
      <c r="BP110" s="331"/>
      <c r="BQ110" s="331"/>
      <c r="BR110" s="331"/>
      <c r="BS110" s="331"/>
      <c r="BT110" s="331"/>
      <c r="BU110" s="331"/>
      <c r="BV110" s="331"/>
      <c r="BW110" s="331"/>
      <c r="BX110" s="331"/>
      <c r="BY110" s="331"/>
      <c r="BZ110" s="169"/>
      <c r="CA110" s="169"/>
      <c r="CB110" s="169"/>
      <c r="CC110" s="169"/>
      <c r="CD110" s="169"/>
      <c r="CO110" s="169"/>
      <c r="CP110" s="169"/>
      <c r="CQ110" s="169"/>
      <c r="CR110" s="169"/>
      <c r="CS110" s="169"/>
    </row>
    <row r="111" spans="2:97" s="114" customFormat="1" ht="0.75" hidden="1" customHeight="1">
      <c r="B111" s="299"/>
      <c r="C111" s="249"/>
      <c r="D111" s="286"/>
      <c r="E111" s="337"/>
      <c r="U111" s="278"/>
      <c r="V111" s="170"/>
      <c r="W111" s="170"/>
      <c r="X111" s="170"/>
      <c r="Y111" s="170"/>
      <c r="Z111" s="170"/>
      <c r="AA111" s="170"/>
      <c r="AB111" s="170"/>
      <c r="AC111" s="170"/>
      <c r="AD111" s="170"/>
      <c r="AE111" s="170"/>
      <c r="AF111" s="170"/>
      <c r="AG111" s="170"/>
      <c r="AH111" s="170"/>
      <c r="AI111" s="170"/>
      <c r="AJ111" s="170"/>
      <c r="AK111" s="170"/>
      <c r="AL111" s="170"/>
      <c r="AM111" s="170"/>
      <c r="AN111" s="170"/>
      <c r="AO111" s="170"/>
      <c r="AP111" s="170"/>
      <c r="AQ111" s="170"/>
      <c r="AR111" s="170"/>
      <c r="AS111" s="170"/>
      <c r="AT111" s="170"/>
      <c r="AU111" s="170"/>
      <c r="AV111" s="170"/>
      <c r="AW111" s="170"/>
      <c r="AX111" s="170"/>
      <c r="AY111" s="170"/>
      <c r="AZ111" s="170"/>
      <c r="BA111" s="278"/>
      <c r="BB111" s="170"/>
      <c r="BC111" s="170"/>
      <c r="BD111" s="170"/>
      <c r="BE111" s="170"/>
      <c r="BF111" s="170"/>
      <c r="BG111" s="170"/>
      <c r="BH111" s="170"/>
      <c r="BI111" s="170"/>
      <c r="BJ111" s="170"/>
      <c r="BK111" s="170"/>
      <c r="BL111" s="170"/>
      <c r="BM111" s="170"/>
      <c r="BN111" s="170"/>
      <c r="BO111" s="170"/>
      <c r="BP111" s="331"/>
      <c r="BQ111" s="331"/>
      <c r="BR111" s="331"/>
      <c r="BS111" s="331"/>
      <c r="BT111" s="331"/>
      <c r="BU111" s="331"/>
      <c r="BV111" s="331"/>
      <c r="BW111" s="331"/>
      <c r="BX111" s="331"/>
      <c r="BY111" s="331"/>
      <c r="BZ111" s="169"/>
      <c r="CA111" s="169"/>
      <c r="CB111" s="169"/>
      <c r="CC111" s="169"/>
      <c r="CD111" s="169"/>
      <c r="CO111" s="169"/>
      <c r="CP111" s="169"/>
      <c r="CQ111" s="169"/>
      <c r="CR111" s="169"/>
      <c r="CS111" s="169"/>
    </row>
    <row r="112" spans="2:97" s="114" customFormat="1" ht="0.75" hidden="1" customHeight="1">
      <c r="B112" s="299"/>
      <c r="C112" s="249"/>
      <c r="D112" s="286"/>
      <c r="E112" s="337"/>
      <c r="U112" s="278"/>
      <c r="V112" s="170"/>
      <c r="W112" s="170"/>
      <c r="X112" s="170"/>
      <c r="Y112" s="170"/>
      <c r="Z112" s="170"/>
      <c r="AA112" s="170"/>
      <c r="AB112" s="170"/>
      <c r="AC112" s="170"/>
      <c r="AD112" s="170"/>
      <c r="AE112" s="170"/>
      <c r="AF112" s="170"/>
      <c r="AG112" s="170"/>
      <c r="AH112" s="170"/>
      <c r="AI112" s="170"/>
      <c r="AJ112" s="170"/>
      <c r="AK112" s="170"/>
      <c r="AL112" s="170"/>
      <c r="AM112" s="170"/>
      <c r="AN112" s="170"/>
      <c r="AO112" s="170"/>
      <c r="AP112" s="170"/>
      <c r="AQ112" s="170"/>
      <c r="AR112" s="170"/>
      <c r="AS112" s="170"/>
      <c r="AT112" s="170"/>
      <c r="AU112" s="170"/>
      <c r="AV112" s="170"/>
      <c r="AW112" s="170"/>
      <c r="AX112" s="170"/>
      <c r="AY112" s="170"/>
      <c r="AZ112" s="170"/>
      <c r="BA112" s="278"/>
      <c r="BB112" s="170"/>
      <c r="BC112" s="170"/>
      <c r="BD112" s="170"/>
      <c r="BE112" s="170"/>
      <c r="BF112" s="170"/>
      <c r="BG112" s="170"/>
      <c r="BH112" s="170"/>
      <c r="BI112" s="170"/>
      <c r="BJ112" s="170"/>
      <c r="BK112" s="170"/>
      <c r="BL112" s="170"/>
      <c r="BM112" s="170"/>
      <c r="BN112" s="170"/>
      <c r="BO112" s="170"/>
      <c r="BP112" s="331"/>
      <c r="BQ112" s="331"/>
      <c r="BR112" s="331"/>
      <c r="BS112" s="331"/>
      <c r="BT112" s="331"/>
      <c r="BU112" s="331"/>
      <c r="BV112" s="331"/>
      <c r="BW112" s="331"/>
      <c r="BX112" s="331"/>
      <c r="BY112" s="331"/>
      <c r="BZ112" s="169"/>
      <c r="CA112" s="169"/>
      <c r="CB112" s="169"/>
      <c r="CC112" s="169"/>
      <c r="CD112" s="169"/>
      <c r="CO112" s="169"/>
      <c r="CP112" s="169"/>
      <c r="CQ112" s="169"/>
      <c r="CR112" s="169"/>
      <c r="CS112" s="169"/>
    </row>
    <row r="113" spans="2:118" s="114" customFormat="1" ht="0.75" hidden="1" customHeight="1">
      <c r="B113" s="299"/>
      <c r="C113" s="249"/>
      <c r="D113" s="286"/>
      <c r="E113" s="337"/>
      <c r="U113" s="278"/>
      <c r="V113" s="170"/>
      <c r="W113" s="170"/>
      <c r="X113" s="170"/>
      <c r="Y113" s="170"/>
      <c r="Z113" s="170"/>
      <c r="AA113" s="170"/>
      <c r="AB113" s="170"/>
      <c r="AC113" s="170"/>
      <c r="AD113" s="170"/>
      <c r="AE113" s="170"/>
      <c r="AF113" s="170"/>
      <c r="AG113" s="170"/>
      <c r="AH113" s="170"/>
      <c r="AI113" s="170"/>
      <c r="AJ113" s="170"/>
      <c r="AK113" s="170"/>
      <c r="AL113" s="170"/>
      <c r="AM113" s="170"/>
      <c r="AN113" s="170"/>
      <c r="AO113" s="170"/>
      <c r="AP113" s="170"/>
      <c r="AQ113" s="170"/>
      <c r="AR113" s="170"/>
      <c r="AS113" s="170"/>
      <c r="AT113" s="170"/>
      <c r="AU113" s="170"/>
      <c r="AV113" s="170"/>
      <c r="AW113" s="170"/>
      <c r="AX113" s="170"/>
      <c r="AY113" s="170"/>
      <c r="AZ113" s="170"/>
      <c r="BA113" s="278"/>
      <c r="BB113" s="170"/>
      <c r="BC113" s="170"/>
      <c r="BD113" s="170"/>
      <c r="BE113" s="170"/>
      <c r="BF113" s="170"/>
      <c r="BG113" s="170"/>
      <c r="BH113" s="170"/>
      <c r="BI113" s="170"/>
      <c r="BJ113" s="170"/>
      <c r="BK113" s="170"/>
      <c r="BL113" s="170"/>
      <c r="BM113" s="170"/>
      <c r="BN113" s="170"/>
      <c r="BO113" s="170"/>
      <c r="BP113" s="331"/>
      <c r="BQ113" s="331"/>
      <c r="BR113" s="331"/>
      <c r="BS113" s="331"/>
      <c r="BT113" s="331"/>
      <c r="BU113" s="331"/>
      <c r="BV113" s="331"/>
      <c r="BW113" s="331"/>
      <c r="BX113" s="331"/>
      <c r="BY113" s="331"/>
      <c r="BZ113" s="169"/>
      <c r="CA113" s="169"/>
      <c r="CB113" s="169"/>
      <c r="CC113" s="169"/>
      <c r="CD113" s="169"/>
      <c r="CO113" s="169"/>
      <c r="CP113" s="169"/>
      <c r="CQ113" s="169"/>
      <c r="CR113" s="169"/>
      <c r="CS113" s="169"/>
    </row>
    <row r="114" spans="2:118" s="114" customFormat="1" ht="0.75" hidden="1" customHeight="1">
      <c r="B114" s="299"/>
      <c r="C114" s="249"/>
      <c r="D114" s="286"/>
      <c r="E114" s="337"/>
      <c r="U114" s="278"/>
      <c r="V114" s="170"/>
      <c r="W114" s="170"/>
      <c r="X114" s="170"/>
      <c r="Y114" s="170"/>
      <c r="Z114" s="170"/>
      <c r="AA114" s="170"/>
      <c r="AB114" s="170"/>
      <c r="AC114" s="170"/>
      <c r="AD114" s="170"/>
      <c r="AE114" s="170"/>
      <c r="AF114" s="170"/>
      <c r="AG114" s="170"/>
      <c r="AH114" s="170"/>
      <c r="AI114" s="170"/>
      <c r="AJ114" s="170"/>
      <c r="AK114" s="170"/>
      <c r="AL114" s="170"/>
      <c r="AM114" s="170"/>
      <c r="AN114" s="170"/>
      <c r="AO114" s="170"/>
      <c r="AP114" s="170"/>
      <c r="AQ114" s="170"/>
      <c r="AR114" s="170"/>
      <c r="AS114" s="170"/>
      <c r="AT114" s="170"/>
      <c r="AU114" s="170"/>
      <c r="AV114" s="170"/>
      <c r="AW114" s="170"/>
      <c r="AX114" s="170"/>
      <c r="AY114" s="170"/>
      <c r="AZ114" s="170"/>
      <c r="BA114" s="278"/>
      <c r="BB114" s="170"/>
      <c r="BC114" s="170"/>
      <c r="BD114" s="170"/>
      <c r="BE114" s="170"/>
      <c r="BF114" s="170"/>
      <c r="BG114" s="170"/>
      <c r="BH114" s="170"/>
      <c r="BI114" s="170"/>
      <c r="BJ114" s="170"/>
      <c r="BK114" s="170"/>
      <c r="BL114" s="170"/>
      <c r="BM114" s="170"/>
      <c r="BN114" s="170"/>
      <c r="BO114" s="170"/>
      <c r="BP114" s="331"/>
      <c r="BQ114" s="331"/>
      <c r="BR114" s="331"/>
      <c r="BS114" s="331"/>
      <c r="BT114" s="331"/>
      <c r="BU114" s="331"/>
      <c r="BV114" s="331"/>
      <c r="BW114" s="331"/>
      <c r="BX114" s="331"/>
      <c r="BY114" s="331"/>
      <c r="BZ114" s="169"/>
      <c r="CA114" s="169"/>
      <c r="CB114" s="169"/>
      <c r="CC114" s="169"/>
      <c r="CD114" s="169"/>
      <c r="CO114" s="169"/>
      <c r="CP114" s="169"/>
      <c r="CQ114" s="169"/>
      <c r="CR114" s="169"/>
      <c r="CS114" s="169"/>
    </row>
    <row r="115" spans="2:118" s="114" customFormat="1" ht="0.75" hidden="1" customHeight="1">
      <c r="B115" s="299"/>
      <c r="C115" s="249"/>
      <c r="D115" s="286"/>
      <c r="E115" s="337"/>
      <c r="U115" s="278"/>
      <c r="V115" s="170"/>
      <c r="W115" s="170"/>
      <c r="X115" s="170"/>
      <c r="Y115" s="170"/>
      <c r="Z115" s="170"/>
      <c r="AA115" s="170"/>
      <c r="AB115" s="170"/>
      <c r="AC115" s="170"/>
      <c r="AD115" s="170"/>
      <c r="AE115" s="170"/>
      <c r="AF115" s="170"/>
      <c r="AG115" s="170"/>
      <c r="AH115" s="170"/>
      <c r="AI115" s="170"/>
      <c r="AJ115" s="170"/>
      <c r="AK115" s="170"/>
      <c r="AL115" s="170"/>
      <c r="AM115" s="170"/>
      <c r="AN115" s="170"/>
      <c r="AO115" s="170"/>
      <c r="AP115" s="170"/>
      <c r="AQ115" s="170"/>
      <c r="AR115" s="170"/>
      <c r="AS115" s="170"/>
      <c r="AT115" s="170"/>
      <c r="AU115" s="170"/>
      <c r="AV115" s="170"/>
      <c r="AW115" s="170"/>
      <c r="AX115" s="170"/>
      <c r="AY115" s="170"/>
      <c r="AZ115" s="170"/>
      <c r="BA115" s="278"/>
      <c r="BB115" s="170"/>
      <c r="BC115" s="170"/>
      <c r="BD115" s="170"/>
      <c r="BE115" s="170"/>
      <c r="BF115" s="170"/>
      <c r="BG115" s="170"/>
      <c r="BH115" s="170"/>
      <c r="BI115" s="170"/>
      <c r="BJ115" s="170"/>
      <c r="BK115" s="170"/>
      <c r="BL115" s="170"/>
      <c r="BM115" s="170"/>
      <c r="BN115" s="170"/>
      <c r="BO115" s="170"/>
      <c r="BP115" s="331"/>
      <c r="BQ115" s="331"/>
      <c r="BR115" s="331"/>
      <c r="BS115" s="331"/>
      <c r="BT115" s="331"/>
      <c r="BU115" s="331"/>
      <c r="BV115" s="331"/>
      <c r="BW115" s="331"/>
      <c r="BX115" s="331"/>
      <c r="BY115" s="331"/>
      <c r="BZ115" s="169"/>
      <c r="CA115" s="169"/>
      <c r="CB115" s="169"/>
      <c r="CC115" s="169"/>
      <c r="CD115" s="169"/>
      <c r="CO115" s="169"/>
      <c r="CP115" s="169"/>
      <c r="CQ115" s="169"/>
      <c r="CR115" s="169"/>
      <c r="CS115" s="169"/>
    </row>
    <row r="116" spans="2:118" s="114" customFormat="1" ht="12" hidden="1" customHeight="1">
      <c r="B116" s="299"/>
      <c r="C116" s="249"/>
      <c r="D116" s="286"/>
      <c r="E116" s="316"/>
      <c r="F116" s="249"/>
      <c r="G116" s="249"/>
      <c r="H116" s="249"/>
      <c r="I116" s="249"/>
      <c r="J116" s="249"/>
      <c r="K116" s="249"/>
      <c r="L116" s="249"/>
      <c r="M116" s="249"/>
      <c r="N116" s="249"/>
      <c r="O116" s="249"/>
      <c r="P116" s="249"/>
      <c r="Q116" s="300"/>
      <c r="R116" s="300"/>
      <c r="S116" s="300"/>
      <c r="T116" s="300"/>
      <c r="U116" s="53"/>
      <c r="V116" s="170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0"/>
      <c r="AV116" s="170"/>
      <c r="AW116" s="170"/>
      <c r="AX116" s="170"/>
      <c r="AY116" s="170"/>
      <c r="AZ116" s="170"/>
      <c r="BA116" s="278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331"/>
      <c r="BQ116" s="331"/>
      <c r="BR116" s="331"/>
      <c r="BS116" s="331"/>
      <c r="BT116" s="331"/>
      <c r="BU116" s="331"/>
      <c r="BV116" s="331"/>
      <c r="BW116" s="331"/>
      <c r="BX116" s="331"/>
      <c r="BY116" s="331"/>
      <c r="BZ116" s="169"/>
      <c r="CA116" s="169"/>
      <c r="CB116" s="169"/>
      <c r="CC116" s="169"/>
      <c r="CD116" s="169"/>
      <c r="CO116" s="169"/>
      <c r="CP116" s="169"/>
      <c r="CQ116" s="169"/>
      <c r="CR116" s="169"/>
      <c r="CS116" s="169"/>
    </row>
    <row r="117" spans="2:118" ht="12" customHeight="1">
      <c r="B117" s="35"/>
      <c r="C117" s="9"/>
      <c r="D117" s="83"/>
      <c r="E117" s="37"/>
      <c r="F117" s="9"/>
      <c r="G117" s="9"/>
      <c r="H117" s="9"/>
      <c r="I117" s="9"/>
      <c r="J117" s="9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27"/>
    </row>
    <row r="118" spans="2:118" s="10" customFormat="1" ht="18" customHeight="1">
      <c r="B118" s="4"/>
      <c r="D118" s="88"/>
      <c r="E118" s="38"/>
      <c r="F118" s="119" t="str">
        <f>"Баланс " &amp; TEMPLATE_SPHERE &amp; " (транспортировка)"</f>
        <v>Баланс теплоснабжения (транспортировка)</v>
      </c>
      <c r="G118" s="120"/>
      <c r="H118" s="120"/>
      <c r="I118" s="120"/>
      <c r="J118" s="70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55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22"/>
      <c r="BB118" s="56"/>
      <c r="BC118" s="56"/>
      <c r="BD118" s="56"/>
      <c r="BE118" s="56"/>
      <c r="BF118" s="56"/>
      <c r="BG118" s="56"/>
      <c r="BH118" s="56"/>
      <c r="BI118" s="56"/>
      <c r="BJ118" s="56"/>
      <c r="BK118" s="56"/>
      <c r="BL118" s="56"/>
      <c r="BM118" s="56"/>
      <c r="BN118" s="56"/>
      <c r="BO118" s="56"/>
      <c r="BP118" s="131"/>
      <c r="BQ118" s="131"/>
      <c r="BR118" s="131"/>
      <c r="BS118" s="131"/>
      <c r="BT118" s="131"/>
      <c r="BU118" s="131"/>
      <c r="BV118" s="131"/>
      <c r="BW118" s="131"/>
      <c r="BX118" s="131"/>
      <c r="BY118" s="131"/>
      <c r="BZ118"/>
      <c r="CA118"/>
      <c r="CB118"/>
      <c r="CC118"/>
      <c r="CD118"/>
      <c r="CO118"/>
      <c r="CP118"/>
      <c r="CQ118"/>
      <c r="CR118"/>
      <c r="CS118"/>
    </row>
    <row r="119" spans="2:118" s="56" customFormat="1" ht="12" customHeight="1">
      <c r="B119" s="57"/>
      <c r="D119" s="87"/>
      <c r="E119" s="58"/>
      <c r="F119" s="122" t="s">
        <v>149</v>
      </c>
      <c r="G119" s="123"/>
      <c r="H119" s="123"/>
      <c r="I119" s="123"/>
      <c r="J119" s="59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55"/>
      <c r="BA119" s="22"/>
      <c r="BP119" s="131"/>
      <c r="BQ119" s="131"/>
      <c r="BR119" s="131"/>
      <c r="BS119" s="131"/>
      <c r="BT119" s="131"/>
      <c r="BU119" s="131"/>
      <c r="BV119" s="131"/>
      <c r="BW119" s="131"/>
      <c r="BX119" s="131"/>
      <c r="BY119" s="131"/>
      <c r="BZ119"/>
      <c r="CA119"/>
      <c r="CB119"/>
      <c r="CC119"/>
      <c r="CD119"/>
      <c r="CO119"/>
      <c r="CP119"/>
      <c r="CQ119"/>
      <c r="CR119"/>
      <c r="CS119"/>
    </row>
    <row r="120" spans="2:118" ht="12" customHeight="1">
      <c r="E120" s="39"/>
      <c r="F120" s="925" t="s">
        <v>104</v>
      </c>
      <c r="G120" s="925" t="s">
        <v>150</v>
      </c>
      <c r="H120" s="984" t="s">
        <v>560</v>
      </c>
      <c r="I120" s="984" t="s">
        <v>561</v>
      </c>
      <c r="J120" s="984" t="s">
        <v>827</v>
      </c>
      <c r="K120" s="984" t="s">
        <v>189</v>
      </c>
      <c r="L120" s="984" t="s">
        <v>190</v>
      </c>
      <c r="M120" s="995" t="s">
        <v>191</v>
      </c>
      <c r="N120" s="996"/>
      <c r="O120" s="996"/>
      <c r="P120" s="996"/>
      <c r="Q120" s="996"/>
      <c r="R120" s="996"/>
      <c r="S120" s="996"/>
      <c r="T120" s="997"/>
      <c r="U120" s="27"/>
      <c r="BA120" s="34"/>
    </row>
    <row r="121" spans="2:118" ht="12" customHeight="1">
      <c r="D121" s="84"/>
      <c r="E121" s="39"/>
      <c r="F121" s="925"/>
      <c r="G121" s="925"/>
      <c r="H121" s="984"/>
      <c r="I121" s="984"/>
      <c r="J121" s="984"/>
      <c r="K121" s="984"/>
      <c r="L121" s="984"/>
      <c r="M121" s="989" t="s">
        <v>160</v>
      </c>
      <c r="N121" s="962" t="s">
        <v>192</v>
      </c>
      <c r="O121" s="963"/>
      <c r="P121" s="974"/>
      <c r="Q121" s="984" t="s">
        <v>193</v>
      </c>
      <c r="R121" s="984" t="s">
        <v>161</v>
      </c>
      <c r="S121" s="989" t="s">
        <v>162</v>
      </c>
      <c r="T121" s="992" t="s">
        <v>163</v>
      </c>
      <c r="U121" s="27"/>
    </row>
    <row r="122" spans="2:118" ht="15" customHeight="1">
      <c r="D122" s="84"/>
      <c r="E122" s="39"/>
      <c r="F122" s="925"/>
      <c r="G122" s="925"/>
      <c r="H122" s="984"/>
      <c r="I122" s="984"/>
      <c r="J122" s="984"/>
      <c r="K122" s="984"/>
      <c r="L122" s="984"/>
      <c r="M122" s="990"/>
      <c r="N122" s="987" t="s">
        <v>160</v>
      </c>
      <c r="O122" s="987" t="s">
        <v>564</v>
      </c>
      <c r="P122" s="987" t="s">
        <v>565</v>
      </c>
      <c r="Q122" s="984"/>
      <c r="R122" s="984"/>
      <c r="S122" s="990"/>
      <c r="T122" s="993"/>
      <c r="U122" s="27"/>
    </row>
    <row r="123" spans="2:118" ht="42" customHeight="1">
      <c r="E123" s="39"/>
      <c r="F123" s="925"/>
      <c r="G123" s="925"/>
      <c r="H123" s="984"/>
      <c r="I123" s="984"/>
      <c r="J123" s="984"/>
      <c r="K123" s="984"/>
      <c r="L123" s="984"/>
      <c r="M123" s="991"/>
      <c r="N123" s="988"/>
      <c r="O123" s="988"/>
      <c r="P123" s="988"/>
      <c r="Q123" s="984"/>
      <c r="R123" s="984"/>
      <c r="S123" s="991"/>
      <c r="T123" s="994"/>
      <c r="U123" s="27"/>
      <c r="BP123" s="132"/>
      <c r="BQ123" s="132"/>
      <c r="BR123" s="132"/>
      <c r="BS123" s="132"/>
      <c r="BT123" s="132"/>
      <c r="BU123" s="132"/>
      <c r="BV123" s="132"/>
      <c r="BW123" s="132"/>
      <c r="BX123" s="132"/>
      <c r="BY123" s="132"/>
    </row>
    <row r="124" spans="2:118" s="249" customFormat="1" ht="12" customHeight="1">
      <c r="B124" s="299"/>
      <c r="D124" s="286"/>
      <c r="E124" s="338"/>
      <c r="F124" s="305"/>
      <c r="G124" s="305" t="s">
        <v>170</v>
      </c>
      <c r="H124" s="354" t="s">
        <v>637</v>
      </c>
      <c r="I124" s="354" t="s">
        <v>1068</v>
      </c>
      <c r="J124" s="354" t="s">
        <v>101</v>
      </c>
      <c r="K124" s="305">
        <v>1</v>
      </c>
      <c r="L124" s="305">
        <v>2</v>
      </c>
      <c r="M124" s="306" t="s">
        <v>165</v>
      </c>
      <c r="N124" s="308" t="s">
        <v>171</v>
      </c>
      <c r="O124" s="308" t="s">
        <v>556</v>
      </c>
      <c r="P124" s="308" t="s">
        <v>566</v>
      </c>
      <c r="Q124" s="305" t="s">
        <v>172</v>
      </c>
      <c r="R124" s="305" t="s">
        <v>173</v>
      </c>
      <c r="S124" s="306" t="s">
        <v>174</v>
      </c>
      <c r="T124" s="306" t="s">
        <v>175</v>
      </c>
      <c r="U124" s="53"/>
      <c r="V124" s="325"/>
      <c r="W124" s="325"/>
      <c r="X124" s="325"/>
      <c r="Y124" s="325"/>
      <c r="Z124" s="325"/>
      <c r="AA124" s="325"/>
      <c r="AB124" s="325"/>
      <c r="AC124" s="325"/>
      <c r="AD124" s="325"/>
      <c r="AE124" s="325"/>
      <c r="AF124" s="325"/>
      <c r="AG124" s="325"/>
      <c r="AH124" s="325"/>
      <c r="AI124" s="325"/>
      <c r="AJ124" s="325"/>
      <c r="AK124" s="325"/>
      <c r="AL124" s="325"/>
      <c r="AM124" s="325"/>
      <c r="AN124" s="325"/>
      <c r="AO124" s="325"/>
      <c r="AP124" s="325"/>
      <c r="AQ124" s="325"/>
      <c r="AR124" s="325"/>
      <c r="AS124" s="325"/>
      <c r="AT124" s="325"/>
      <c r="AU124" s="325"/>
      <c r="AV124" s="325"/>
      <c r="AW124" s="325"/>
      <c r="AX124" s="325"/>
      <c r="AY124" s="325"/>
      <c r="AZ124" s="325"/>
      <c r="BA124" s="53"/>
      <c r="BB124" s="325"/>
      <c r="BC124" s="325"/>
      <c r="BD124" s="325"/>
      <c r="BE124" s="325"/>
      <c r="BF124" s="325"/>
      <c r="BG124" s="325"/>
      <c r="BH124" s="325"/>
      <c r="BI124" s="325"/>
      <c r="BJ124" s="325"/>
      <c r="BK124" s="325"/>
      <c r="BL124" s="325"/>
      <c r="BM124" s="325"/>
      <c r="BN124" s="325"/>
      <c r="BO124" s="325"/>
      <c r="BP124" s="339" t="s">
        <v>728</v>
      </c>
      <c r="BQ124" s="339" t="s">
        <v>725</v>
      </c>
      <c r="BR124" s="339" t="s">
        <v>726</v>
      </c>
      <c r="BS124" s="339" t="s">
        <v>727</v>
      </c>
      <c r="BT124" s="339" t="s">
        <v>735</v>
      </c>
      <c r="BU124" s="339" t="s">
        <v>729</v>
      </c>
      <c r="BV124" s="339" t="s">
        <v>730</v>
      </c>
      <c r="BW124" s="339" t="s">
        <v>731</v>
      </c>
      <c r="BX124" s="339" t="s">
        <v>732</v>
      </c>
      <c r="BY124" s="339" t="s">
        <v>736</v>
      </c>
      <c r="BZ124" s="310"/>
      <c r="CA124" s="310"/>
      <c r="CB124" s="310"/>
      <c r="CC124" s="310"/>
      <c r="CD124" s="310"/>
      <c r="CO124" s="310"/>
      <c r="CP124" s="310"/>
      <c r="CQ124" s="310"/>
      <c r="CR124" s="310"/>
      <c r="CS124" s="310"/>
    </row>
    <row r="125" spans="2:118" s="114" customFormat="1" ht="0.15" customHeight="1">
      <c r="B125" s="8"/>
      <c r="D125" s="286"/>
      <c r="E125" s="338"/>
      <c r="F125" s="313"/>
      <c r="G125" s="340"/>
      <c r="H125" s="315"/>
      <c r="I125" s="315"/>
      <c r="J125" s="315"/>
      <c r="K125" s="340"/>
      <c r="L125" s="340"/>
      <c r="M125" s="340"/>
      <c r="N125" s="341"/>
      <c r="O125" s="341"/>
      <c r="P125" s="341"/>
      <c r="Q125" s="340"/>
      <c r="R125" s="340"/>
      <c r="S125" s="340"/>
      <c r="T125" s="340"/>
      <c r="U125" s="53"/>
      <c r="V125" s="170"/>
      <c r="W125" s="170"/>
      <c r="X125" s="170"/>
      <c r="Y125" s="170"/>
      <c r="Z125" s="170"/>
      <c r="AA125" s="170"/>
      <c r="AB125" s="170"/>
      <c r="AC125" s="170"/>
      <c r="AD125" s="170"/>
      <c r="AE125" s="170"/>
      <c r="AF125" s="170"/>
      <c r="AG125" s="170"/>
      <c r="AH125" s="170"/>
      <c r="AI125" s="170"/>
      <c r="AJ125" s="170"/>
      <c r="AK125" s="170"/>
      <c r="AL125" s="170"/>
      <c r="AM125" s="170"/>
      <c r="AN125" s="170"/>
      <c r="AO125" s="170"/>
      <c r="AP125" s="170"/>
      <c r="AQ125" s="170"/>
      <c r="AR125" s="170"/>
      <c r="AS125" s="170"/>
      <c r="AT125" s="170"/>
      <c r="AU125" s="170"/>
      <c r="AV125" s="170"/>
      <c r="AW125" s="170"/>
      <c r="AX125" s="170"/>
      <c r="AY125" s="170"/>
      <c r="AZ125" s="170"/>
      <c r="BA125" s="278"/>
      <c r="BB125" s="170"/>
      <c r="BC125" s="170"/>
      <c r="BD125" s="170"/>
      <c r="BE125" s="170"/>
      <c r="BF125" s="170"/>
      <c r="BG125" s="170"/>
      <c r="BH125" s="170"/>
      <c r="BI125" s="170"/>
      <c r="BJ125" s="170"/>
      <c r="BK125" s="170"/>
      <c r="BL125" s="170"/>
      <c r="BM125" s="170"/>
      <c r="BN125" s="170"/>
      <c r="BO125" s="325"/>
      <c r="BP125" s="342"/>
      <c r="BQ125" s="342"/>
      <c r="BR125" s="342"/>
      <c r="BS125" s="342"/>
      <c r="BT125" s="342"/>
      <c r="BU125" s="342"/>
      <c r="BV125" s="342"/>
      <c r="BW125" s="342"/>
      <c r="BX125" s="342"/>
      <c r="BY125" s="342"/>
      <c r="BZ125" s="169"/>
      <c r="CA125" s="169"/>
      <c r="CB125" s="169"/>
      <c r="CC125" s="169"/>
      <c r="CD125" s="169"/>
      <c r="CO125" s="169"/>
      <c r="CP125" s="169"/>
      <c r="CQ125" s="169"/>
      <c r="CR125" s="169"/>
      <c r="CS125" s="169"/>
    </row>
    <row r="126" spans="2:118" s="114" customFormat="1" ht="24" customHeight="1">
      <c r="B126" s="299"/>
      <c r="C126" s="249"/>
      <c r="D126" s="343" t="s">
        <v>112</v>
      </c>
      <c r="E126" s="344"/>
      <c r="F126" s="317" t="str">
        <f>IF(TEMPLATE_SPHERE_CODE="COLDVSNA","0.1.P","0.1")</f>
        <v>0.1</v>
      </c>
      <c r="G126" s="952" t="s">
        <v>2118</v>
      </c>
      <c r="H126" s="315"/>
      <c r="I126" s="315"/>
      <c r="J126" s="315"/>
      <c r="K126" s="247">
        <f t="shared" ref="K126:T126" si="4">SUMIF($BA131:$BA160,$BA126,K131:K160)</f>
        <v>0</v>
      </c>
      <c r="L126" s="247">
        <f t="shared" si="4"/>
        <v>0</v>
      </c>
      <c r="M126" s="247">
        <f t="shared" si="4"/>
        <v>0</v>
      </c>
      <c r="N126" s="247">
        <f t="shared" si="4"/>
        <v>0</v>
      </c>
      <c r="O126" s="247">
        <f t="shared" si="4"/>
        <v>0</v>
      </c>
      <c r="P126" s="247">
        <f t="shared" si="4"/>
        <v>0</v>
      </c>
      <c r="Q126" s="247">
        <f t="shared" si="4"/>
        <v>0</v>
      </c>
      <c r="R126" s="247">
        <f t="shared" si="4"/>
        <v>0</v>
      </c>
      <c r="S126" s="247">
        <f t="shared" si="4"/>
        <v>0</v>
      </c>
      <c r="T126" s="247">
        <f t="shared" si="4"/>
        <v>0</v>
      </c>
      <c r="U126" s="53"/>
      <c r="V126" s="170"/>
      <c r="W126" s="170"/>
      <c r="X126" s="170"/>
      <c r="Y126" s="170"/>
      <c r="Z126" s="170"/>
      <c r="AA126" s="170"/>
      <c r="AB126" s="170"/>
      <c r="AC126" s="170"/>
      <c r="AD126" s="170"/>
      <c r="AE126" s="170"/>
      <c r="AF126" s="170"/>
      <c r="AG126" s="170"/>
      <c r="AH126" s="170"/>
      <c r="AI126" s="170"/>
      <c r="AJ126" s="170"/>
      <c r="AK126" s="170"/>
      <c r="AL126" s="170"/>
      <c r="AM126" s="170"/>
      <c r="AN126" s="170"/>
      <c r="AO126" s="170"/>
      <c r="AP126" s="170"/>
      <c r="AQ126" s="170"/>
      <c r="AR126" s="170"/>
      <c r="AS126" s="170"/>
      <c r="AT126" s="170"/>
      <c r="AU126" s="170"/>
      <c r="AV126" s="170"/>
      <c r="AW126" s="170"/>
      <c r="AX126" s="170"/>
      <c r="AY126" s="170"/>
      <c r="AZ126" s="170"/>
      <c r="BA126" s="277" t="s">
        <v>21</v>
      </c>
      <c r="BB126" s="170"/>
      <c r="BC126" s="170"/>
      <c r="BD126" s="170"/>
      <c r="BE126" s="170"/>
      <c r="BF126" s="170"/>
      <c r="BG126" s="170"/>
      <c r="BH126" s="170"/>
      <c r="BI126" s="170"/>
      <c r="BJ126" s="170"/>
      <c r="BK126" s="170"/>
      <c r="BL126" s="170"/>
      <c r="BM126" s="170"/>
      <c r="BN126" s="170"/>
      <c r="BO126" s="170"/>
      <c r="BP126" s="331"/>
      <c r="BQ126" s="331"/>
      <c r="BR126" s="331"/>
      <c r="BS126" s="331"/>
      <c r="BT126" s="331"/>
      <c r="BU126" s="331"/>
      <c r="BV126" s="331"/>
      <c r="BW126" s="331"/>
      <c r="BX126" s="331"/>
      <c r="BY126" s="331"/>
      <c r="BZ126" s="169"/>
      <c r="CA126" s="169"/>
      <c r="CB126" s="169"/>
      <c r="CC126" s="169"/>
      <c r="CD126" s="169"/>
      <c r="CO126" s="169"/>
      <c r="CP126" s="169"/>
      <c r="CQ126" s="169"/>
      <c r="CR126" s="169"/>
      <c r="CS126" s="169"/>
    </row>
    <row r="127" spans="2:118" s="114" customFormat="1" ht="0.75" customHeight="1">
      <c r="B127" s="299"/>
      <c r="D127" s="345"/>
      <c r="E127" s="316"/>
      <c r="F127" s="318" t="str">
        <f>IF(TEMPLATE_SPHERE_CODE="COLDVSNA","0.1.T","")</f>
        <v/>
      </c>
      <c r="G127" s="953"/>
      <c r="H127" s="315"/>
      <c r="I127" s="315"/>
      <c r="J127" s="315"/>
      <c r="K127" s="241"/>
      <c r="L127" s="241"/>
      <c r="M127" s="241"/>
      <c r="N127" s="241"/>
      <c r="O127" s="241"/>
      <c r="P127" s="241"/>
      <c r="Q127" s="241"/>
      <c r="R127" s="241"/>
      <c r="S127" s="241"/>
      <c r="T127" s="241"/>
      <c r="U127" s="53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170"/>
      <c r="AH127" s="170"/>
      <c r="AI127" s="170"/>
      <c r="AJ127" s="170"/>
      <c r="AK127" s="170"/>
      <c r="AL127" s="170"/>
      <c r="AM127" s="170"/>
      <c r="AN127" s="170"/>
      <c r="AO127" s="170"/>
      <c r="AP127" s="170"/>
      <c r="AQ127" s="170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280"/>
      <c r="BB127" s="170"/>
      <c r="BC127" s="170"/>
      <c r="BD127" s="170"/>
      <c r="BE127" s="170"/>
      <c r="BF127" s="170"/>
      <c r="BG127" s="170"/>
      <c r="BH127" s="170"/>
      <c r="BI127" s="170"/>
      <c r="BJ127" s="170"/>
      <c r="BK127" s="170"/>
      <c r="BL127" s="170"/>
      <c r="BM127" s="170"/>
      <c r="BN127" s="170"/>
      <c r="BO127" s="170"/>
      <c r="BP127" s="331"/>
      <c r="BQ127" s="331"/>
      <c r="BR127" s="331"/>
      <c r="BS127" s="331"/>
      <c r="BT127" s="331"/>
      <c r="BU127" s="331"/>
      <c r="BV127" s="331"/>
      <c r="BW127" s="331"/>
      <c r="BX127" s="331"/>
      <c r="BY127" s="331"/>
      <c r="BZ127" s="169"/>
      <c r="CA127" s="169"/>
      <c r="CB127" s="169"/>
      <c r="CC127" s="169"/>
      <c r="CD127" s="169"/>
      <c r="CO127" s="169"/>
      <c r="CP127" s="169"/>
      <c r="CQ127" s="169"/>
      <c r="CR127" s="169"/>
      <c r="CS127" s="169"/>
    </row>
    <row r="128" spans="2:118" s="114" customFormat="1" ht="0.75" customHeight="1">
      <c r="B128" s="299"/>
      <c r="D128" s="345"/>
      <c r="E128" s="316"/>
      <c r="F128" s="319"/>
      <c r="G128" s="983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53"/>
      <c r="V128" s="170"/>
      <c r="W128" s="170"/>
      <c r="X128" s="170"/>
      <c r="Y128" s="170"/>
      <c r="Z128" s="170"/>
      <c r="AA128" s="170"/>
      <c r="AB128" s="170"/>
      <c r="AC128" s="170"/>
      <c r="AD128" s="170"/>
      <c r="AE128" s="170"/>
      <c r="AF128" s="170"/>
      <c r="AG128" s="170"/>
      <c r="AH128" s="170"/>
      <c r="AI128" s="170"/>
      <c r="AJ128" s="170"/>
      <c r="AK128" s="170"/>
      <c r="AL128" s="170"/>
      <c r="AM128" s="170"/>
      <c r="AN128" s="170"/>
      <c r="AO128" s="170"/>
      <c r="AP128" s="170"/>
      <c r="AQ128" s="170"/>
      <c r="AR128" s="170"/>
      <c r="AS128" s="170"/>
      <c r="AT128" s="170"/>
      <c r="AU128" s="170"/>
      <c r="AV128" s="170"/>
      <c r="AW128" s="170"/>
      <c r="AX128" s="170"/>
      <c r="AY128" s="170"/>
      <c r="AZ128" s="170"/>
      <c r="BA128" s="320"/>
      <c r="BB128" s="170"/>
      <c r="BC128" s="170"/>
      <c r="BD128" s="170"/>
      <c r="BE128" s="170"/>
      <c r="BF128" s="170"/>
      <c r="BG128" s="170"/>
      <c r="BH128" s="170"/>
      <c r="BI128" s="170"/>
      <c r="BJ128" s="170"/>
      <c r="BK128" s="170"/>
      <c r="BL128" s="170"/>
      <c r="BM128" s="170"/>
      <c r="BN128" s="170"/>
      <c r="BO128" s="170"/>
      <c r="BP128" s="331"/>
      <c r="BQ128" s="331"/>
      <c r="BR128" s="331"/>
      <c r="BS128" s="331"/>
      <c r="BT128" s="331"/>
      <c r="BU128" s="331"/>
      <c r="BV128" s="331"/>
      <c r="BW128" s="331"/>
      <c r="BX128" s="331"/>
      <c r="BY128" s="331"/>
      <c r="BZ128" s="169"/>
      <c r="CA128" s="169"/>
      <c r="CB128" s="169"/>
      <c r="CC128" s="169"/>
      <c r="CD128" s="169"/>
      <c r="CO128" s="169"/>
      <c r="CP128" s="169"/>
      <c r="CQ128" s="169"/>
      <c r="CR128" s="169"/>
      <c r="CS128" s="169"/>
      <c r="DG128" s="169"/>
      <c r="DH128" s="169"/>
      <c r="DI128" s="169"/>
      <c r="DJ128" s="169"/>
      <c r="DK128" s="169"/>
      <c r="DL128" s="169"/>
      <c r="DM128" s="169"/>
      <c r="DN128" s="169"/>
    </row>
    <row r="129" spans="1:118" s="114" customFormat="1" ht="0.75" customHeight="1">
      <c r="B129" s="299"/>
      <c r="D129" s="345"/>
      <c r="E129" s="316"/>
      <c r="F129" s="321"/>
      <c r="G129" s="983"/>
      <c r="H129" s="315"/>
      <c r="I129" s="315"/>
      <c r="J129" s="315"/>
      <c r="K129" s="241"/>
      <c r="L129" s="241"/>
      <c r="M129" s="241"/>
      <c r="N129" s="241"/>
      <c r="O129" s="241"/>
      <c r="P129" s="241"/>
      <c r="Q129" s="241"/>
      <c r="R129" s="241"/>
      <c r="S129" s="241"/>
      <c r="T129" s="241"/>
      <c r="U129" s="53"/>
      <c r="V129" s="170"/>
      <c r="W129" s="170"/>
      <c r="X129" s="170"/>
      <c r="Y129" s="170"/>
      <c r="Z129" s="170"/>
      <c r="AA129" s="170"/>
      <c r="AB129" s="170"/>
      <c r="AC129" s="170"/>
      <c r="AD129" s="170"/>
      <c r="AE129" s="170"/>
      <c r="AF129" s="170"/>
      <c r="AG129" s="170"/>
      <c r="AH129" s="170"/>
      <c r="AI129" s="170"/>
      <c r="AJ129" s="170"/>
      <c r="AK129" s="170"/>
      <c r="AL129" s="170"/>
      <c r="AM129" s="170"/>
      <c r="AN129" s="170"/>
      <c r="AO129" s="170"/>
      <c r="AP129" s="170"/>
      <c r="AQ129" s="170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280"/>
      <c r="BB129" s="170"/>
      <c r="BC129" s="170"/>
      <c r="BD129" s="170"/>
      <c r="BE129" s="170"/>
      <c r="BF129" s="170"/>
      <c r="BG129" s="170"/>
      <c r="BH129" s="170"/>
      <c r="BI129" s="170"/>
      <c r="BJ129" s="170"/>
      <c r="BK129" s="170"/>
      <c r="BL129" s="170"/>
      <c r="BM129" s="170"/>
      <c r="BN129" s="170"/>
      <c r="BO129" s="170"/>
      <c r="BP129" s="346"/>
      <c r="BQ129" s="346"/>
      <c r="BR129" s="346"/>
      <c r="BS129" s="346"/>
      <c r="BT129" s="346"/>
      <c r="BU129" s="346"/>
      <c r="BV129" s="346"/>
      <c r="BW129" s="346"/>
      <c r="BX129" s="346"/>
      <c r="BY129" s="346"/>
      <c r="BZ129" s="169"/>
      <c r="CA129" s="169"/>
      <c r="CB129" s="169"/>
      <c r="CC129" s="169"/>
      <c r="CD129" s="169"/>
      <c r="CO129" s="169"/>
      <c r="CP129" s="169"/>
      <c r="CQ129" s="169"/>
      <c r="CR129" s="169"/>
      <c r="CS129" s="169"/>
      <c r="DG129" s="169"/>
      <c r="DH129" s="169"/>
      <c r="DI129" s="169"/>
      <c r="DJ129" s="169"/>
      <c r="DK129" s="169"/>
      <c r="DL129" s="169"/>
      <c r="DM129" s="169"/>
      <c r="DN129" s="169"/>
    </row>
    <row r="130" spans="1:118" s="114" customFormat="1" ht="0.75" customHeight="1">
      <c r="B130" s="299"/>
      <c r="D130" s="345"/>
      <c r="E130" s="316"/>
      <c r="F130" s="322"/>
      <c r="G130" s="314"/>
      <c r="H130" s="315"/>
      <c r="I130" s="315"/>
      <c r="J130" s="315"/>
      <c r="K130" s="241"/>
      <c r="L130" s="241"/>
      <c r="M130" s="241"/>
      <c r="N130" s="241"/>
      <c r="O130" s="241"/>
      <c r="P130" s="241"/>
      <c r="Q130" s="241"/>
      <c r="R130" s="241"/>
      <c r="S130" s="241"/>
      <c r="T130" s="241"/>
      <c r="U130" s="53"/>
      <c r="V130" s="170"/>
      <c r="W130" s="170"/>
      <c r="X130" s="170"/>
      <c r="Y130" s="170"/>
      <c r="Z130" s="170"/>
      <c r="AA130" s="170"/>
      <c r="AB130" s="170"/>
      <c r="AC130" s="170"/>
      <c r="AD130" s="170"/>
      <c r="AE130" s="170"/>
      <c r="AF130" s="170"/>
      <c r="AG130" s="170"/>
      <c r="AH130" s="170"/>
      <c r="AI130" s="170"/>
      <c r="AJ130" s="170"/>
      <c r="AK130" s="170"/>
      <c r="AL130" s="170"/>
      <c r="AM130" s="170"/>
      <c r="AN130" s="170"/>
      <c r="AO130" s="170"/>
      <c r="AP130" s="170"/>
      <c r="AQ130" s="170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280"/>
      <c r="BB130" s="170"/>
      <c r="BC130" s="170"/>
      <c r="BD130" s="170"/>
      <c r="BE130" s="170"/>
      <c r="BF130" s="170"/>
      <c r="BG130" s="170"/>
      <c r="BH130" s="170"/>
      <c r="BI130" s="170"/>
      <c r="BJ130" s="170"/>
      <c r="BK130" s="170"/>
      <c r="BL130" s="170"/>
      <c r="BM130" s="170"/>
      <c r="BN130" s="170"/>
      <c r="BO130" s="170"/>
      <c r="BP130" s="346"/>
      <c r="BQ130" s="346"/>
      <c r="BR130" s="346"/>
      <c r="BS130" s="346"/>
      <c r="BT130" s="346"/>
      <c r="BU130" s="346"/>
      <c r="BV130" s="346"/>
      <c r="BW130" s="346"/>
      <c r="BX130" s="346"/>
      <c r="BY130" s="346"/>
      <c r="BZ130" s="169"/>
      <c r="CA130" s="169"/>
      <c r="CB130" s="169"/>
      <c r="CC130" s="169"/>
      <c r="CD130" s="169"/>
      <c r="CO130" s="169"/>
      <c r="CP130" s="169"/>
      <c r="CQ130" s="169"/>
      <c r="CR130" s="169"/>
      <c r="CS130" s="169"/>
      <c r="DG130" s="169"/>
      <c r="DH130" s="169"/>
      <c r="DI130" s="169"/>
      <c r="DJ130" s="169"/>
      <c r="DK130" s="169"/>
      <c r="DL130" s="169"/>
      <c r="DM130" s="169"/>
      <c r="DN130" s="169"/>
    </row>
    <row r="131" spans="1:118" s="249" customFormat="1" ht="0.75" customHeight="1">
      <c r="B131" s="323">
        <v>0</v>
      </c>
      <c r="D131" s="286"/>
      <c r="E131" s="316"/>
      <c r="F131" s="324"/>
      <c r="G131" s="325"/>
      <c r="H131" s="312"/>
      <c r="I131" s="312"/>
      <c r="J131" s="312"/>
      <c r="K131" s="326"/>
      <c r="L131" s="326"/>
      <c r="M131" s="326"/>
      <c r="N131" s="326"/>
      <c r="O131" s="326"/>
      <c r="P131" s="326"/>
      <c r="Q131" s="326"/>
      <c r="R131" s="326"/>
      <c r="S131" s="326"/>
      <c r="T131" s="326"/>
      <c r="U131" s="53"/>
      <c r="V131" s="325"/>
      <c r="W131" s="325"/>
      <c r="X131" s="325"/>
      <c r="Y131" s="325"/>
      <c r="Z131" s="325"/>
      <c r="AA131" s="325"/>
      <c r="AB131" s="325"/>
      <c r="AC131" s="325"/>
      <c r="AD131" s="325"/>
      <c r="AE131" s="325"/>
      <c r="AF131" s="325"/>
      <c r="AG131" s="325"/>
      <c r="AH131" s="325"/>
      <c r="AI131" s="325"/>
      <c r="AJ131" s="325"/>
      <c r="AK131" s="325"/>
      <c r="AL131" s="325"/>
      <c r="AM131" s="325"/>
      <c r="AN131" s="325"/>
      <c r="AO131" s="325"/>
      <c r="AP131" s="325"/>
      <c r="AQ131" s="325"/>
      <c r="AR131" s="325"/>
      <c r="AS131" s="325"/>
      <c r="AT131" s="325"/>
      <c r="AU131" s="325"/>
      <c r="AV131" s="325"/>
      <c r="AW131" s="325"/>
      <c r="AX131" s="325"/>
      <c r="AY131" s="325"/>
      <c r="AZ131" s="325"/>
      <c r="BA131" s="53"/>
      <c r="BB131" s="325"/>
      <c r="BC131" s="325"/>
      <c r="BD131" s="325"/>
      <c r="BE131" s="325"/>
      <c r="BF131" s="325"/>
      <c r="BG131" s="325"/>
      <c r="BH131" s="325"/>
      <c r="BI131" s="325"/>
      <c r="BJ131" s="325"/>
      <c r="BK131" s="325"/>
      <c r="BL131" s="325"/>
      <c r="BM131" s="325"/>
      <c r="BN131" s="325"/>
      <c r="BO131" s="325"/>
      <c r="BP131" s="985" t="s">
        <v>2126</v>
      </c>
      <c r="BQ131" s="986"/>
      <c r="BR131" s="986"/>
      <c r="BS131" s="986"/>
      <c r="BT131" s="986"/>
      <c r="BU131" s="986"/>
      <c r="BV131" s="986"/>
      <c r="BW131" s="986"/>
      <c r="BX131" s="986"/>
      <c r="BY131" s="986"/>
      <c r="BZ131" s="310"/>
      <c r="CA131" s="310"/>
      <c r="CB131" s="310"/>
      <c r="CC131" s="310"/>
      <c r="CD131" s="310"/>
      <c r="CO131" s="310"/>
      <c r="CP131" s="310"/>
      <c r="CQ131" s="310"/>
      <c r="CR131" s="310"/>
      <c r="CS131" s="310"/>
      <c r="DG131" s="310"/>
      <c r="DH131" s="310"/>
      <c r="DI131" s="310"/>
      <c r="DJ131" s="310"/>
      <c r="DK131" s="310"/>
      <c r="DL131" s="310"/>
      <c r="DM131" s="310"/>
      <c r="DN131" s="310"/>
    </row>
    <row r="132" spans="1:118" s="114" customFormat="1" ht="24" hidden="1" customHeight="1">
      <c r="A132" s="764" t="str">
        <f>IF('Список территорий'!$AC$16="","Не определено",'Список территорий'!$AC$16)</f>
        <v>Тариф: Носитель - горячая вода (Т)</v>
      </c>
      <c r="B132" s="980" t="s">
        <v>105</v>
      </c>
      <c r="C132" s="239" t="str">
        <f>F134</f>
        <v>1.0</v>
      </c>
      <c r="D132" s="272" t="s">
        <v>112</v>
      </c>
      <c r="E132" s="763" t="s">
        <v>134</v>
      </c>
      <c r="F132" s="938" t="str">
        <f>B132</f>
        <v>1</v>
      </c>
      <c r="G132" s="940" t="str">
        <f>IF('Список территорий'!$I$16="","Не определено",'Список территорий'!$G$16 &amp; " / " &amp; 'Список территорий'!$H$16 &amp; " / " &amp; 'Список территорий'!$I$16)</f>
        <v>город Нижний Новгород / город Нижний Новгород / 22701000</v>
      </c>
      <c r="H132" s="274"/>
      <c r="I132" s="274"/>
      <c r="J132" s="274"/>
      <c r="K132" s="275"/>
      <c r="L132" s="275"/>
      <c r="M132" s="275"/>
      <c r="N132" s="275"/>
      <c r="O132" s="275"/>
      <c r="P132" s="275"/>
      <c r="Q132" s="275"/>
      <c r="R132" s="275"/>
      <c r="S132" s="275"/>
      <c r="T132" s="270"/>
      <c r="U132" s="53"/>
      <c r="V132" s="170"/>
      <c r="W132" s="170"/>
      <c r="X132" s="170"/>
      <c r="Y132" s="170"/>
      <c r="Z132" s="170"/>
      <c r="AA132" s="170"/>
      <c r="AB132" s="170"/>
      <c r="AC132" s="170"/>
      <c r="AD132" s="170"/>
      <c r="AE132" s="170"/>
      <c r="AF132" s="170"/>
      <c r="AG132" s="170"/>
      <c r="AH132" s="170"/>
      <c r="AI132" s="170"/>
      <c r="AJ132" s="170"/>
      <c r="AK132" s="170"/>
      <c r="AL132" s="170"/>
      <c r="AM132" s="170"/>
      <c r="AN132" s="170"/>
      <c r="AO132" s="170"/>
      <c r="AP132" s="170"/>
      <c r="AQ132" s="170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277" t="s">
        <v>765</v>
      </c>
      <c r="BB132" s="170"/>
      <c r="BC132" s="170"/>
      <c r="BD132" s="170"/>
      <c r="BE132" s="170"/>
      <c r="BF132" s="170"/>
      <c r="BG132" s="170"/>
      <c r="BH132" s="170"/>
      <c r="BI132" s="170"/>
      <c r="BJ132" s="170"/>
      <c r="BK132" s="170"/>
      <c r="BL132" s="170"/>
      <c r="BM132" s="170"/>
      <c r="BN132" s="170"/>
      <c r="BO132" s="170"/>
      <c r="BP132" s="331"/>
      <c r="BQ132" s="331"/>
      <c r="BR132" s="331"/>
      <c r="BS132" s="331"/>
      <c r="BT132" s="331"/>
      <c r="BU132" s="331"/>
      <c r="BV132" s="331"/>
      <c r="BW132" s="331"/>
      <c r="BX132" s="331"/>
      <c r="BY132" s="331"/>
      <c r="BZ132" s="169"/>
      <c r="CA132" s="169"/>
      <c r="CB132" s="169"/>
      <c r="CC132" s="169"/>
      <c r="CD132" s="169"/>
      <c r="CO132" s="169"/>
      <c r="CP132" s="169"/>
      <c r="CQ132" s="169"/>
      <c r="CR132" s="169"/>
      <c r="CS132" s="169"/>
    </row>
    <row r="133" spans="1:118" s="114" customFormat="1" ht="0.75" hidden="1" customHeight="1">
      <c r="A133" s="287"/>
      <c r="B133" s="981"/>
      <c r="C133" s="239"/>
      <c r="D133" s="279"/>
      <c r="E133" s="289"/>
      <c r="F133" s="939"/>
      <c r="G133" s="941"/>
      <c r="H133" s="274"/>
      <c r="I133" s="274"/>
      <c r="J133" s="274"/>
      <c r="K133" s="275"/>
      <c r="L133" s="275"/>
      <c r="M133" s="275"/>
      <c r="N133" s="275"/>
      <c r="O133" s="275"/>
      <c r="P133" s="275"/>
      <c r="Q133" s="275"/>
      <c r="R133" s="275"/>
      <c r="S133" s="275"/>
      <c r="T133" s="270"/>
      <c r="U133" s="53"/>
      <c r="V133" s="170"/>
      <c r="W133" s="170"/>
      <c r="X133" s="170"/>
      <c r="Y133" s="170"/>
      <c r="Z133" s="170"/>
      <c r="AA133" s="170"/>
      <c r="AB133" s="170"/>
      <c r="AC133" s="170"/>
      <c r="AD133" s="170"/>
      <c r="AE133" s="170"/>
      <c r="AF133" s="170"/>
      <c r="AG133" s="170"/>
      <c r="AH133" s="170"/>
      <c r="AI133" s="170"/>
      <c r="AJ133" s="170"/>
      <c r="AK133" s="170"/>
      <c r="AL133" s="170"/>
      <c r="AM133" s="170"/>
      <c r="AN133" s="170"/>
      <c r="AO133" s="170"/>
      <c r="AP133" s="170"/>
      <c r="AQ133" s="170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280"/>
      <c r="BB133" s="170"/>
      <c r="BC133" s="170"/>
      <c r="BD133" s="170"/>
      <c r="BE133" s="170"/>
      <c r="BF133" s="170"/>
      <c r="BG133" s="170"/>
      <c r="BH133" s="170"/>
      <c r="BI133" s="170"/>
      <c r="BJ133" s="170"/>
      <c r="BK133" s="170"/>
      <c r="BL133" s="170"/>
      <c r="BM133" s="170"/>
      <c r="BN133" s="170"/>
      <c r="BO133" s="170"/>
      <c r="BP133" s="331"/>
      <c r="BQ133" s="331"/>
      <c r="BR133" s="331"/>
      <c r="BS133" s="331"/>
      <c r="BT133" s="331"/>
      <c r="BU133" s="331"/>
      <c r="BV133" s="331"/>
      <c r="BW133" s="331"/>
      <c r="BX133" s="331"/>
      <c r="BY133" s="331"/>
      <c r="BZ133" s="169"/>
      <c r="CA133" s="169"/>
      <c r="CB133" s="169"/>
      <c r="CC133" s="169"/>
      <c r="CD133" s="169"/>
      <c r="CO133" s="169"/>
      <c r="CP133" s="169"/>
      <c r="CQ133" s="169"/>
      <c r="CR133" s="169"/>
      <c r="CS133" s="169"/>
    </row>
    <row r="134" spans="1:118" s="114" customFormat="1" ht="11.25" hidden="1" customHeight="1">
      <c r="A134" s="287"/>
      <c r="B134" s="981"/>
      <c r="C134" s="946"/>
      <c r="D134" s="281"/>
      <c r="E134" s="282"/>
      <c r="F134" s="283" t="str">
        <f>F132 &amp; ".0"</f>
        <v>1.0</v>
      </c>
      <c r="G134" s="301" t="s">
        <v>136</v>
      </c>
      <c r="H134" s="274"/>
      <c r="I134" s="274"/>
      <c r="J134" s="274"/>
      <c r="K134" s="275"/>
      <c r="L134" s="275"/>
      <c r="M134" s="275"/>
      <c r="N134" s="275"/>
      <c r="O134" s="275"/>
      <c r="P134" s="275"/>
      <c r="Q134" s="275"/>
      <c r="R134" s="275"/>
      <c r="S134" s="275"/>
      <c r="T134" s="270"/>
      <c r="U134" s="53"/>
      <c r="V134" s="170"/>
      <c r="W134" s="170"/>
      <c r="X134" s="170"/>
      <c r="Y134" s="170"/>
      <c r="Z134" s="170"/>
      <c r="AA134" s="170"/>
      <c r="AB134" s="170"/>
      <c r="AC134" s="170"/>
      <c r="AD134" s="170"/>
      <c r="AE134" s="170"/>
      <c r="AF134" s="170"/>
      <c r="AG134" s="170"/>
      <c r="AH134" s="170"/>
      <c r="AI134" s="170"/>
      <c r="AJ134" s="170"/>
      <c r="AK134" s="170"/>
      <c r="AL134" s="170"/>
      <c r="AM134" s="170"/>
      <c r="AN134" s="170"/>
      <c r="AO134" s="170"/>
      <c r="AP134" s="170"/>
      <c r="AQ134" s="170"/>
      <c r="AR134" s="170"/>
      <c r="AS134" s="170"/>
      <c r="AT134" s="170"/>
      <c r="AU134" s="170"/>
      <c r="AV134" s="170"/>
      <c r="AW134" s="170"/>
      <c r="AX134" s="170"/>
      <c r="AY134" s="170"/>
      <c r="AZ134" s="170"/>
      <c r="BA134" s="277" t="s">
        <v>21</v>
      </c>
      <c r="BB134" s="634" t="str">
        <f>C132 &amp; ".YEAR"</f>
        <v>1.0.YEAR</v>
      </c>
      <c r="BC134" s="170"/>
      <c r="BD134" s="170"/>
      <c r="BE134" s="170"/>
      <c r="BF134" s="170"/>
      <c r="BG134" s="170"/>
      <c r="BH134" s="170"/>
      <c r="BI134" s="170"/>
      <c r="BJ134" s="170"/>
      <c r="BK134" s="170"/>
      <c r="BL134" s="170"/>
      <c r="BM134" s="170"/>
      <c r="BN134" s="170"/>
      <c r="BO134" s="170"/>
      <c r="BP134" s="332">
        <f>SUM($Q135:$Q146)</f>
        <v>0</v>
      </c>
      <c r="BQ134" s="332">
        <f>SUM($R135:$R146)</f>
        <v>0</v>
      </c>
      <c r="BR134" s="332">
        <f>SUM($S135:$S146)</f>
        <v>0</v>
      </c>
      <c r="BS134" s="332">
        <f>SUM($T135:$T146)</f>
        <v>0</v>
      </c>
      <c r="BT134" s="332">
        <f>SUM($N135:$N146)</f>
        <v>0</v>
      </c>
      <c r="BU134" s="332">
        <f>SUM($Q135:$Q146)</f>
        <v>0</v>
      </c>
      <c r="BV134" s="332">
        <f>SUM($R135:$R146)</f>
        <v>0</v>
      </c>
      <c r="BW134" s="332">
        <f>SUM($S135:$S146)</f>
        <v>0</v>
      </c>
      <c r="BX134" s="332">
        <f>SUM($T135:$T146)</f>
        <v>0</v>
      </c>
      <c r="BY134" s="332">
        <f>SUM($N135:$N146)</f>
        <v>0</v>
      </c>
      <c r="BZ134" s="169"/>
      <c r="CA134" s="169"/>
      <c r="CB134" s="169"/>
      <c r="CC134" s="169"/>
      <c r="CD134" s="169"/>
      <c r="CE134" s="333">
        <f>SUM($Q135:$Q140)</f>
        <v>0</v>
      </c>
      <c r="CF134" s="333">
        <f>SUM($R135:$R140)</f>
        <v>0</v>
      </c>
      <c r="CG134" s="333">
        <f>SUM($S135:$S140)</f>
        <v>0</v>
      </c>
      <c r="CH134" s="333">
        <f>SUM($T135:$T140)</f>
        <v>0</v>
      </c>
      <c r="CI134" s="333">
        <f>SUM($N135:$N140)</f>
        <v>0</v>
      </c>
      <c r="CJ134" s="333">
        <f>SUM($Q141:$Q146)</f>
        <v>0</v>
      </c>
      <c r="CK134" s="333">
        <f>SUM($R141:$R146)</f>
        <v>0</v>
      </c>
      <c r="CL134" s="333">
        <f>SUM($S141:$S146)</f>
        <v>0</v>
      </c>
      <c r="CM134" s="333">
        <f>SUM($T141:$T146)</f>
        <v>0</v>
      </c>
      <c r="CN134" s="333">
        <f>SUM($N141:$N146)</f>
        <v>0</v>
      </c>
      <c r="CO134" s="169"/>
      <c r="CP134" s="169"/>
      <c r="CQ134" s="169"/>
      <c r="CR134" s="169"/>
      <c r="CS134" s="169"/>
    </row>
    <row r="135" spans="1:118" s="114" customFormat="1" ht="11.25" hidden="1" customHeight="1">
      <c r="A135" s="287"/>
      <c r="B135" s="981"/>
      <c r="C135" s="947"/>
      <c r="D135" s="281"/>
      <c r="E135" s="282"/>
      <c r="F135" s="283" t="str">
        <f>F132 &amp; ".1"</f>
        <v>1.1</v>
      </c>
      <c r="G135" s="301" t="s">
        <v>137</v>
      </c>
      <c r="H135" s="274"/>
      <c r="I135" s="274"/>
      <c r="J135" s="274"/>
      <c r="K135" s="275"/>
      <c r="L135" s="275"/>
      <c r="M135" s="275"/>
      <c r="N135" s="275"/>
      <c r="O135" s="275"/>
      <c r="P135" s="275"/>
      <c r="Q135" s="275"/>
      <c r="R135" s="275"/>
      <c r="S135" s="275"/>
      <c r="T135" s="270"/>
      <c r="U135" s="324"/>
      <c r="V135" s="170"/>
      <c r="W135" s="170"/>
      <c r="X135" s="170"/>
      <c r="Y135" s="170"/>
      <c r="Z135" s="170"/>
      <c r="AA135" s="170"/>
      <c r="AB135" s="170"/>
      <c r="AC135" s="170"/>
      <c r="AD135" s="170"/>
      <c r="AE135" s="170"/>
      <c r="AF135" s="170"/>
      <c r="AG135" s="170"/>
      <c r="AH135" s="170"/>
      <c r="AI135" s="170"/>
      <c r="AJ135" s="170"/>
      <c r="AK135" s="170"/>
      <c r="AL135" s="170"/>
      <c r="AM135" s="170"/>
      <c r="AN135" s="170"/>
      <c r="AO135" s="170"/>
      <c r="AP135" s="170"/>
      <c r="AQ135" s="170"/>
      <c r="AR135" s="170"/>
      <c r="AS135" s="170"/>
      <c r="AT135" s="170"/>
      <c r="AU135" s="170"/>
      <c r="AV135" s="170"/>
      <c r="AW135" s="170"/>
      <c r="AX135" s="170"/>
      <c r="AY135" s="170"/>
      <c r="AZ135" s="170"/>
      <c r="BA135" s="280" t="str">
        <f>C132 &amp; "-I"</f>
        <v>1.0-I</v>
      </c>
      <c r="BB135" s="170"/>
      <c r="BC135" s="170"/>
      <c r="BD135" s="170"/>
      <c r="BE135" s="170"/>
      <c r="BF135" s="170"/>
      <c r="BG135" s="170"/>
      <c r="BH135" s="170"/>
      <c r="BI135" s="170"/>
      <c r="BJ135" s="170"/>
      <c r="BK135" s="170"/>
      <c r="BL135" s="170"/>
      <c r="BM135" s="170"/>
      <c r="BN135" s="170"/>
      <c r="BO135" s="170"/>
      <c r="BP135" s="331"/>
      <c r="BQ135" s="331"/>
      <c r="BR135" s="331"/>
      <c r="BS135" s="331"/>
      <c r="BT135" s="331"/>
      <c r="BU135" s="331"/>
      <c r="BV135" s="331"/>
      <c r="BW135" s="331"/>
      <c r="BX135" s="331"/>
      <c r="BY135" s="331"/>
      <c r="BZ135" s="169"/>
      <c r="CA135" s="169"/>
      <c r="CB135" s="169"/>
      <c r="CC135" s="169"/>
      <c r="CD135" s="169"/>
      <c r="CO135" s="169"/>
      <c r="CP135" s="169"/>
      <c r="CQ135" s="169"/>
      <c r="CR135" s="169"/>
      <c r="CS135" s="169"/>
      <c r="CT135" s="334">
        <f>IF(OR(BP134=0,CE134=0,BP134=""),0,CE134/BP134)</f>
        <v>0</v>
      </c>
      <c r="CU135" s="334">
        <f>IF(OR(BQ134=0,CF134=0,BQ134=""),0,CF134/BQ134)</f>
        <v>0</v>
      </c>
      <c r="CV135" s="334">
        <f>IF(OR(BR134=0,CG134=0,BR134=""),0,CG134/BR134)</f>
        <v>0</v>
      </c>
      <c r="CW135" s="334">
        <f>IF(OR(BS134=0,CH134=0,BS134=""),0,CH134/BS134)</f>
        <v>0</v>
      </c>
      <c r="CX135" s="334">
        <f>IF(OR(BT134=0,CI134=0,BT134=""),0,CI134/BT134)</f>
        <v>0</v>
      </c>
      <c r="CY135" s="334">
        <f>IF(OR(SUM(BP134:BT134)=0,SUM(CE134:CI134)=0),0,SUM(CE134:CI134)/SUM(BP134:BT134))</f>
        <v>0</v>
      </c>
    </row>
    <row r="136" spans="1:118" s="114" customFormat="1" ht="11.25" hidden="1" customHeight="1">
      <c r="A136" s="287"/>
      <c r="B136" s="981"/>
      <c r="C136" s="947"/>
      <c r="D136" s="281"/>
      <c r="E136" s="282"/>
      <c r="F136" s="283" t="str">
        <f>F132 &amp; ".2"</f>
        <v>1.2</v>
      </c>
      <c r="G136" s="301" t="s">
        <v>138</v>
      </c>
      <c r="H136" s="274"/>
      <c r="I136" s="274"/>
      <c r="J136" s="274"/>
      <c r="K136" s="275"/>
      <c r="L136" s="275"/>
      <c r="M136" s="275"/>
      <c r="N136" s="275"/>
      <c r="O136" s="275"/>
      <c r="P136" s="275"/>
      <c r="Q136" s="275"/>
      <c r="R136" s="275"/>
      <c r="S136" s="275"/>
      <c r="T136" s="270"/>
      <c r="U136" s="324"/>
      <c r="V136" s="170"/>
      <c r="W136" s="170"/>
      <c r="X136" s="170"/>
      <c r="Y136" s="170"/>
      <c r="Z136" s="170"/>
      <c r="AA136" s="170"/>
      <c r="AB136" s="170"/>
      <c r="AC136" s="170"/>
      <c r="AD136" s="170"/>
      <c r="AE136" s="170"/>
      <c r="AF136" s="170"/>
      <c r="AG136" s="170"/>
      <c r="AH136" s="170"/>
      <c r="AI136" s="170"/>
      <c r="AJ136" s="170"/>
      <c r="AK136" s="170"/>
      <c r="AL136" s="170"/>
      <c r="AM136" s="170"/>
      <c r="AN136" s="170"/>
      <c r="AO136" s="170"/>
      <c r="AP136" s="170"/>
      <c r="AQ136" s="170"/>
      <c r="AR136" s="170"/>
      <c r="AS136" s="170"/>
      <c r="AT136" s="170"/>
      <c r="AU136" s="170"/>
      <c r="AV136" s="170"/>
      <c r="AW136" s="170"/>
      <c r="AX136" s="170"/>
      <c r="AY136" s="170"/>
      <c r="AZ136" s="170"/>
      <c r="BA136" s="280" t="str">
        <f>C132 &amp; "-I"</f>
        <v>1.0-I</v>
      </c>
      <c r="BB136" s="170"/>
      <c r="BC136" s="170"/>
      <c r="BD136" s="170"/>
      <c r="BE136" s="170"/>
      <c r="BF136" s="170"/>
      <c r="BG136" s="170"/>
      <c r="BH136" s="170"/>
      <c r="BI136" s="170"/>
      <c r="BJ136" s="170"/>
      <c r="BK136" s="170"/>
      <c r="BL136" s="170"/>
      <c r="BM136" s="170"/>
      <c r="BN136" s="170"/>
      <c r="BO136" s="170"/>
      <c r="BP136" s="331"/>
      <c r="BQ136" s="331"/>
      <c r="BR136" s="331"/>
      <c r="BS136" s="331"/>
      <c r="BT136" s="331"/>
      <c r="BU136" s="331"/>
      <c r="BV136" s="331"/>
      <c r="BW136" s="331"/>
      <c r="BX136" s="331"/>
      <c r="BY136" s="331"/>
      <c r="BZ136" s="169"/>
      <c r="CA136" s="169"/>
      <c r="CB136" s="169"/>
      <c r="CC136" s="169"/>
      <c r="CD136" s="169"/>
      <c r="CO136" s="169"/>
      <c r="CP136" s="169"/>
      <c r="CQ136" s="169"/>
      <c r="CR136" s="169"/>
      <c r="CS136" s="169"/>
    </row>
    <row r="137" spans="1:118" s="114" customFormat="1" ht="11.25" hidden="1" customHeight="1">
      <c r="A137" s="287"/>
      <c r="B137" s="981"/>
      <c r="C137" s="947"/>
      <c r="D137" s="281"/>
      <c r="E137" s="282"/>
      <c r="F137" s="283" t="str">
        <f>F132 &amp; ".3"</f>
        <v>1.3</v>
      </c>
      <c r="G137" s="301" t="s">
        <v>139</v>
      </c>
      <c r="H137" s="274"/>
      <c r="I137" s="274"/>
      <c r="J137" s="274"/>
      <c r="K137" s="275"/>
      <c r="L137" s="275"/>
      <c r="M137" s="275"/>
      <c r="N137" s="275"/>
      <c r="O137" s="275"/>
      <c r="P137" s="275"/>
      <c r="Q137" s="275"/>
      <c r="R137" s="275"/>
      <c r="S137" s="275"/>
      <c r="T137" s="270"/>
      <c r="U137" s="324"/>
      <c r="V137" s="170"/>
      <c r="W137" s="170"/>
      <c r="X137" s="170"/>
      <c r="Y137" s="170"/>
      <c r="Z137" s="170"/>
      <c r="AA137" s="170"/>
      <c r="AB137" s="170"/>
      <c r="AC137" s="170"/>
      <c r="AD137" s="170"/>
      <c r="AE137" s="170"/>
      <c r="AF137" s="170"/>
      <c r="AG137" s="170"/>
      <c r="AH137" s="170"/>
      <c r="AI137" s="170"/>
      <c r="AJ137" s="170"/>
      <c r="AK137" s="170"/>
      <c r="AL137" s="170"/>
      <c r="AM137" s="170"/>
      <c r="AN137" s="170"/>
      <c r="AO137" s="170"/>
      <c r="AP137" s="170"/>
      <c r="AQ137" s="170"/>
      <c r="AR137" s="170"/>
      <c r="AS137" s="170"/>
      <c r="AT137" s="170"/>
      <c r="AU137" s="170"/>
      <c r="AV137" s="170"/>
      <c r="AW137" s="170"/>
      <c r="AX137" s="170"/>
      <c r="AY137" s="170"/>
      <c r="AZ137" s="170"/>
      <c r="BA137" s="280" t="str">
        <f>C132 &amp; "-I"</f>
        <v>1.0-I</v>
      </c>
      <c r="BB137" s="170"/>
      <c r="BC137" s="170"/>
      <c r="BD137" s="170"/>
      <c r="BE137" s="170"/>
      <c r="BF137" s="170"/>
      <c r="BG137" s="170"/>
      <c r="BH137" s="170"/>
      <c r="BI137" s="170"/>
      <c r="BJ137" s="170"/>
      <c r="BK137" s="170"/>
      <c r="BL137" s="170"/>
      <c r="BM137" s="170"/>
      <c r="BN137" s="170"/>
      <c r="BO137" s="170"/>
      <c r="BP137" s="331"/>
      <c r="BQ137" s="331"/>
      <c r="BR137" s="331"/>
      <c r="BS137" s="331"/>
      <c r="BT137" s="331"/>
      <c r="BU137" s="331"/>
      <c r="BV137" s="331"/>
      <c r="BW137" s="331"/>
      <c r="BX137" s="331"/>
      <c r="BY137" s="331"/>
      <c r="BZ137" s="169"/>
      <c r="CA137" s="169"/>
      <c r="CB137" s="169"/>
      <c r="CC137" s="169"/>
      <c r="CD137" s="169"/>
      <c r="CO137" s="169"/>
      <c r="CP137" s="169"/>
      <c r="CQ137" s="169"/>
      <c r="CR137" s="169"/>
      <c r="CS137" s="169"/>
    </row>
    <row r="138" spans="1:118" s="114" customFormat="1" ht="11.25" hidden="1" customHeight="1">
      <c r="A138" s="287"/>
      <c r="B138" s="981"/>
      <c r="C138" s="947"/>
      <c r="D138" s="281"/>
      <c r="E138" s="282"/>
      <c r="F138" s="283" t="str">
        <f>F132 &amp; ".4"</f>
        <v>1.4</v>
      </c>
      <c r="G138" s="301" t="s">
        <v>140</v>
      </c>
      <c r="H138" s="274"/>
      <c r="I138" s="274"/>
      <c r="J138" s="274"/>
      <c r="K138" s="275"/>
      <c r="L138" s="275"/>
      <c r="M138" s="275"/>
      <c r="N138" s="275"/>
      <c r="O138" s="275"/>
      <c r="P138" s="275"/>
      <c r="Q138" s="275"/>
      <c r="R138" s="275"/>
      <c r="S138" s="275"/>
      <c r="T138" s="270"/>
      <c r="U138" s="324"/>
      <c r="V138" s="170"/>
      <c r="W138" s="170"/>
      <c r="X138" s="170"/>
      <c r="Y138" s="170"/>
      <c r="Z138" s="170"/>
      <c r="AA138" s="170"/>
      <c r="AB138" s="170"/>
      <c r="AC138" s="170"/>
      <c r="AD138" s="170"/>
      <c r="AE138" s="170"/>
      <c r="AF138" s="170"/>
      <c r="AG138" s="170"/>
      <c r="AH138" s="170"/>
      <c r="AI138" s="170"/>
      <c r="AJ138" s="170"/>
      <c r="AK138" s="170"/>
      <c r="AL138" s="170"/>
      <c r="AM138" s="170"/>
      <c r="AN138" s="170"/>
      <c r="AO138" s="170"/>
      <c r="AP138" s="170"/>
      <c r="AQ138" s="170"/>
      <c r="AR138" s="170"/>
      <c r="AS138" s="170"/>
      <c r="AT138" s="170"/>
      <c r="AU138" s="170"/>
      <c r="AV138" s="170"/>
      <c r="AW138" s="170"/>
      <c r="AX138" s="170"/>
      <c r="AY138" s="170"/>
      <c r="AZ138" s="170"/>
      <c r="BA138" s="280" t="str">
        <f>C132 &amp; "-I"</f>
        <v>1.0-I</v>
      </c>
      <c r="BB138" s="170"/>
      <c r="BC138" s="170"/>
      <c r="BD138" s="170"/>
      <c r="BE138" s="170"/>
      <c r="BF138" s="170"/>
      <c r="BG138" s="170"/>
      <c r="BH138" s="170"/>
      <c r="BI138" s="170"/>
      <c r="BJ138" s="170"/>
      <c r="BK138" s="170"/>
      <c r="BL138" s="170"/>
      <c r="BM138" s="170"/>
      <c r="BN138" s="170"/>
      <c r="BO138" s="170"/>
      <c r="BP138" s="331"/>
      <c r="BQ138" s="331"/>
      <c r="BR138" s="331"/>
      <c r="BS138" s="331"/>
      <c r="BT138" s="331"/>
      <c r="BU138" s="331"/>
      <c r="BV138" s="331"/>
      <c r="BW138" s="331"/>
      <c r="BX138" s="331"/>
      <c r="BY138" s="331"/>
      <c r="BZ138" s="169"/>
      <c r="CA138" s="169"/>
      <c r="CB138" s="169"/>
      <c r="CC138" s="169"/>
      <c r="CD138" s="169"/>
      <c r="CO138" s="169"/>
      <c r="CP138" s="169"/>
      <c r="CQ138" s="169"/>
      <c r="CR138" s="169"/>
      <c r="CS138" s="169"/>
    </row>
    <row r="139" spans="1:118" s="114" customFormat="1" ht="11.25" hidden="1" customHeight="1">
      <c r="A139" s="287"/>
      <c r="B139" s="981"/>
      <c r="C139" s="947"/>
      <c r="D139" s="281"/>
      <c r="E139" s="282"/>
      <c r="F139" s="283" t="str">
        <f>F132 &amp; ".5"</f>
        <v>1.5</v>
      </c>
      <c r="G139" s="301" t="s">
        <v>141</v>
      </c>
      <c r="H139" s="274"/>
      <c r="I139" s="274"/>
      <c r="J139" s="274"/>
      <c r="K139" s="275"/>
      <c r="L139" s="275"/>
      <c r="M139" s="275"/>
      <c r="N139" s="275"/>
      <c r="O139" s="275"/>
      <c r="P139" s="275"/>
      <c r="Q139" s="275"/>
      <c r="R139" s="275"/>
      <c r="S139" s="275"/>
      <c r="T139" s="270"/>
      <c r="U139" s="324"/>
      <c r="V139" s="170"/>
      <c r="W139" s="170"/>
      <c r="X139" s="170"/>
      <c r="Y139" s="170"/>
      <c r="Z139" s="170"/>
      <c r="AA139" s="170"/>
      <c r="AB139" s="170"/>
      <c r="AC139" s="170"/>
      <c r="AD139" s="170"/>
      <c r="AE139" s="170"/>
      <c r="AF139" s="170"/>
      <c r="AG139" s="170"/>
      <c r="AH139" s="170"/>
      <c r="AI139" s="170"/>
      <c r="AJ139" s="170"/>
      <c r="AK139" s="170"/>
      <c r="AL139" s="170"/>
      <c r="AM139" s="170"/>
      <c r="AN139" s="170"/>
      <c r="AO139" s="170"/>
      <c r="AP139" s="170"/>
      <c r="AQ139" s="170"/>
      <c r="AR139" s="170"/>
      <c r="AS139" s="170"/>
      <c r="AT139" s="170"/>
      <c r="AU139" s="170"/>
      <c r="AV139" s="170"/>
      <c r="AW139" s="170"/>
      <c r="AX139" s="170"/>
      <c r="AY139" s="170"/>
      <c r="AZ139" s="170"/>
      <c r="BA139" s="280" t="str">
        <f>C132 &amp; "-I"</f>
        <v>1.0-I</v>
      </c>
      <c r="BB139" s="170"/>
      <c r="BC139" s="170"/>
      <c r="BD139" s="170"/>
      <c r="BE139" s="170"/>
      <c r="BF139" s="170"/>
      <c r="BG139" s="170"/>
      <c r="BH139" s="170"/>
      <c r="BI139" s="170"/>
      <c r="BJ139" s="170"/>
      <c r="BK139" s="170"/>
      <c r="BL139" s="170"/>
      <c r="BM139" s="170"/>
      <c r="BN139" s="170"/>
      <c r="BO139" s="170"/>
      <c r="BP139" s="331"/>
      <c r="BQ139" s="331"/>
      <c r="BR139" s="331"/>
      <c r="BS139" s="331"/>
      <c r="BT139" s="331"/>
      <c r="BU139" s="331"/>
      <c r="BV139" s="331"/>
      <c r="BW139" s="331"/>
      <c r="BX139" s="331"/>
      <c r="BY139" s="331"/>
      <c r="BZ139" s="169"/>
      <c r="CA139" s="169"/>
      <c r="CB139" s="169"/>
      <c r="CC139" s="169"/>
      <c r="CD139" s="169"/>
      <c r="CO139" s="169"/>
      <c r="CP139" s="169"/>
      <c r="CQ139" s="169"/>
      <c r="CR139" s="169"/>
      <c r="CS139" s="169"/>
    </row>
    <row r="140" spans="1:118" s="114" customFormat="1" ht="11.25" hidden="1" customHeight="1">
      <c r="A140" s="287"/>
      <c r="B140" s="981"/>
      <c r="C140" s="947"/>
      <c r="D140" s="281"/>
      <c r="E140" s="282"/>
      <c r="F140" s="283" t="str">
        <f>F132 &amp; ".6"</f>
        <v>1.6</v>
      </c>
      <c r="G140" s="301" t="s">
        <v>142</v>
      </c>
      <c r="H140" s="274"/>
      <c r="I140" s="274"/>
      <c r="J140" s="274"/>
      <c r="K140" s="275"/>
      <c r="L140" s="275"/>
      <c r="M140" s="275"/>
      <c r="N140" s="275"/>
      <c r="O140" s="275"/>
      <c r="P140" s="275"/>
      <c r="Q140" s="275"/>
      <c r="R140" s="275"/>
      <c r="S140" s="275"/>
      <c r="T140" s="270"/>
      <c r="U140" s="324"/>
      <c r="V140" s="170"/>
      <c r="W140" s="170"/>
      <c r="X140" s="170"/>
      <c r="Y140" s="170"/>
      <c r="Z140" s="170"/>
      <c r="AA140" s="170"/>
      <c r="AB140" s="170"/>
      <c r="AC140" s="170"/>
      <c r="AD140" s="170"/>
      <c r="AE140" s="170"/>
      <c r="AF140" s="170"/>
      <c r="AG140" s="170"/>
      <c r="AH140" s="170"/>
      <c r="AI140" s="170"/>
      <c r="AJ140" s="170"/>
      <c r="AK140" s="170"/>
      <c r="AL140" s="170"/>
      <c r="AM140" s="170"/>
      <c r="AN140" s="170"/>
      <c r="AO140" s="170"/>
      <c r="AP140" s="170"/>
      <c r="AQ140" s="170"/>
      <c r="AR140" s="170"/>
      <c r="AS140" s="170"/>
      <c r="AT140" s="170"/>
      <c r="AU140" s="170"/>
      <c r="AV140" s="170"/>
      <c r="AW140" s="170"/>
      <c r="AX140" s="170"/>
      <c r="AY140" s="170"/>
      <c r="AZ140" s="170"/>
      <c r="BA140" s="280" t="str">
        <f>C132 &amp; "-I"</f>
        <v>1.0-I</v>
      </c>
      <c r="BB140" s="170"/>
      <c r="BC140" s="170"/>
      <c r="BD140" s="170"/>
      <c r="BE140" s="170"/>
      <c r="BF140" s="170"/>
      <c r="BG140" s="170"/>
      <c r="BH140" s="170"/>
      <c r="BI140" s="170"/>
      <c r="BJ140" s="170"/>
      <c r="BK140" s="170"/>
      <c r="BL140" s="170"/>
      <c r="BM140" s="170"/>
      <c r="BN140" s="170"/>
      <c r="BO140" s="170"/>
      <c r="BP140" s="331"/>
      <c r="BQ140" s="331"/>
      <c r="BR140" s="331"/>
      <c r="BS140" s="331"/>
      <c r="BT140" s="331"/>
      <c r="BU140" s="331"/>
      <c r="BV140" s="331"/>
      <c r="BW140" s="331"/>
      <c r="BX140" s="331"/>
      <c r="BY140" s="331"/>
      <c r="BZ140" s="169"/>
      <c r="CA140" s="169"/>
      <c r="CB140" s="169"/>
      <c r="CC140" s="169"/>
      <c r="CD140" s="169"/>
      <c r="CO140" s="169"/>
      <c r="CP140" s="169"/>
      <c r="CQ140" s="169"/>
      <c r="CR140" s="169"/>
      <c r="CS140" s="169"/>
    </row>
    <row r="141" spans="1:118" s="114" customFormat="1" ht="11.25" hidden="1" customHeight="1">
      <c r="A141" s="287"/>
      <c r="B141" s="981"/>
      <c r="C141" s="947"/>
      <c r="D141" s="281"/>
      <c r="E141" s="282"/>
      <c r="F141" s="283" t="str">
        <f>F132 &amp; ".7"</f>
        <v>1.7</v>
      </c>
      <c r="G141" s="301" t="s">
        <v>143</v>
      </c>
      <c r="H141" s="274"/>
      <c r="I141" s="274"/>
      <c r="J141" s="274"/>
      <c r="K141" s="275"/>
      <c r="L141" s="275"/>
      <c r="M141" s="275"/>
      <c r="N141" s="275"/>
      <c r="O141" s="275"/>
      <c r="P141" s="275"/>
      <c r="Q141" s="275"/>
      <c r="R141" s="275"/>
      <c r="S141" s="275"/>
      <c r="T141" s="270"/>
      <c r="U141" s="324"/>
      <c r="V141" s="170"/>
      <c r="W141" s="170"/>
      <c r="X141" s="170"/>
      <c r="Y141" s="170"/>
      <c r="Z141" s="170"/>
      <c r="AA141" s="170"/>
      <c r="AB141" s="170"/>
      <c r="AC141" s="170"/>
      <c r="AD141" s="170"/>
      <c r="AE141" s="170"/>
      <c r="AF141" s="170"/>
      <c r="AG141" s="170"/>
      <c r="AH141" s="170"/>
      <c r="AI141" s="170"/>
      <c r="AJ141" s="170"/>
      <c r="AK141" s="170"/>
      <c r="AL141" s="170"/>
      <c r="AM141" s="170"/>
      <c r="AN141" s="170"/>
      <c r="AO141" s="170"/>
      <c r="AP141" s="170"/>
      <c r="AQ141" s="170"/>
      <c r="AR141" s="170"/>
      <c r="AS141" s="170"/>
      <c r="AT141" s="170"/>
      <c r="AU141" s="170"/>
      <c r="AV141" s="170"/>
      <c r="AW141" s="170"/>
      <c r="AX141" s="170"/>
      <c r="AY141" s="170"/>
      <c r="AZ141" s="170"/>
      <c r="BA141" s="280" t="str">
        <f>C132 &amp; "-II"</f>
        <v>1.0-II</v>
      </c>
      <c r="BB141" s="170"/>
      <c r="BC141" s="170"/>
      <c r="BD141" s="170"/>
      <c r="BE141" s="170"/>
      <c r="BF141" s="170"/>
      <c r="BG141" s="170"/>
      <c r="BH141" s="170"/>
      <c r="BI141" s="170"/>
      <c r="BJ141" s="170"/>
      <c r="BK141" s="170"/>
      <c r="BL141" s="170"/>
      <c r="BM141" s="170"/>
      <c r="BN141" s="170"/>
      <c r="BO141" s="170"/>
      <c r="BP141" s="331"/>
      <c r="BQ141" s="331"/>
      <c r="BR141" s="331"/>
      <c r="BS141" s="331"/>
      <c r="BT141" s="331"/>
      <c r="BU141" s="331"/>
      <c r="BV141" s="331"/>
      <c r="BW141" s="331"/>
      <c r="BX141" s="331"/>
      <c r="BY141" s="331"/>
      <c r="BZ141" s="169"/>
      <c r="CA141" s="169"/>
      <c r="CB141" s="169"/>
      <c r="CC141" s="169"/>
      <c r="CD141" s="169"/>
      <c r="CO141" s="169"/>
      <c r="CP141" s="169"/>
      <c r="CQ141" s="169"/>
      <c r="CR141" s="169"/>
      <c r="CS141" s="169"/>
      <c r="CT141" s="334">
        <f>IF(OR(BU134=0,CJ134=0,BU134=""),0,CJ134/BU134)</f>
        <v>0</v>
      </c>
      <c r="CU141" s="334">
        <f>IF(OR(BV134=0,CK134=0,BV134=""),0,CK134/BV134)</f>
        <v>0</v>
      </c>
      <c r="CV141" s="334">
        <f>IF(OR(BW134=0,CL134=0,BW134=""),0,CL134/BW134)</f>
        <v>0</v>
      </c>
      <c r="CW141" s="334">
        <f>IF(OR(BX134=0,CM134=0,BX134=""),0,CM134/BX134)</f>
        <v>0</v>
      </c>
      <c r="CX141" s="334">
        <f>IF(OR(BY134=0,CN134=0,BY134=""),0,CN134/BY134)</f>
        <v>0</v>
      </c>
      <c r="CY141" s="334">
        <f>IF(OR(SUM(BU134:BY134)=0,SUM(CJ134:CN134)=0),0,SUM(CJ134:CN134)/SUM(BU134:BY134))</f>
        <v>0</v>
      </c>
    </row>
    <row r="142" spans="1:118" s="114" customFormat="1" ht="11.25" hidden="1" customHeight="1">
      <c r="A142" s="287"/>
      <c r="B142" s="981"/>
      <c r="C142" s="947"/>
      <c r="D142" s="281"/>
      <c r="E142" s="282"/>
      <c r="F142" s="283" t="str">
        <f>F132 &amp; ".8"</f>
        <v>1.8</v>
      </c>
      <c r="G142" s="301" t="s">
        <v>144</v>
      </c>
      <c r="H142" s="274"/>
      <c r="I142" s="274"/>
      <c r="J142" s="274"/>
      <c r="K142" s="275"/>
      <c r="L142" s="275"/>
      <c r="M142" s="275"/>
      <c r="N142" s="275"/>
      <c r="O142" s="275"/>
      <c r="P142" s="275"/>
      <c r="Q142" s="275"/>
      <c r="R142" s="275"/>
      <c r="S142" s="275"/>
      <c r="T142" s="270"/>
      <c r="U142" s="324"/>
      <c r="V142" s="170"/>
      <c r="W142" s="170"/>
      <c r="X142" s="170"/>
      <c r="Y142" s="170"/>
      <c r="Z142" s="170"/>
      <c r="AA142" s="170"/>
      <c r="AB142" s="170"/>
      <c r="AC142" s="170"/>
      <c r="AD142" s="170"/>
      <c r="AE142" s="170"/>
      <c r="AF142" s="170"/>
      <c r="AG142" s="170"/>
      <c r="AH142" s="170"/>
      <c r="AI142" s="170"/>
      <c r="AJ142" s="170"/>
      <c r="AK142" s="170"/>
      <c r="AL142" s="170"/>
      <c r="AM142" s="170"/>
      <c r="AN142" s="170"/>
      <c r="AO142" s="170"/>
      <c r="AP142" s="170"/>
      <c r="AQ142" s="170"/>
      <c r="AR142" s="170"/>
      <c r="AS142" s="170"/>
      <c r="AT142" s="170"/>
      <c r="AU142" s="170"/>
      <c r="AV142" s="170"/>
      <c r="AW142" s="170"/>
      <c r="AX142" s="170"/>
      <c r="AY142" s="170"/>
      <c r="AZ142" s="170"/>
      <c r="BA142" s="280" t="str">
        <f>C132 &amp; "-II"</f>
        <v>1.0-II</v>
      </c>
      <c r="BB142" s="170"/>
      <c r="BC142" s="170"/>
      <c r="BD142" s="170"/>
      <c r="BE142" s="170"/>
      <c r="BF142" s="170"/>
      <c r="BG142" s="170"/>
      <c r="BH142" s="170"/>
      <c r="BI142" s="170"/>
      <c r="BJ142" s="170"/>
      <c r="BK142" s="170"/>
      <c r="BL142" s="170"/>
      <c r="BM142" s="170"/>
      <c r="BN142" s="170"/>
      <c r="BO142" s="170"/>
      <c r="BP142" s="331"/>
      <c r="BQ142" s="331"/>
      <c r="BR142" s="331"/>
      <c r="BS142" s="331"/>
      <c r="BT142" s="331"/>
      <c r="BU142" s="331"/>
      <c r="BV142" s="331"/>
      <c r="BW142" s="331"/>
      <c r="BX142" s="331"/>
      <c r="BY142" s="331"/>
      <c r="BZ142" s="169"/>
      <c r="CA142" s="169"/>
      <c r="CB142" s="169"/>
      <c r="CC142" s="169"/>
      <c r="CD142" s="169"/>
      <c r="CO142" s="169"/>
      <c r="CP142" s="169"/>
      <c r="CQ142" s="169"/>
      <c r="CR142" s="169"/>
      <c r="CS142" s="169"/>
    </row>
    <row r="143" spans="1:118" s="114" customFormat="1" ht="11.25" hidden="1" customHeight="1">
      <c r="A143" s="287"/>
      <c r="B143" s="981"/>
      <c r="C143" s="947"/>
      <c r="D143" s="281"/>
      <c r="E143" s="282"/>
      <c r="F143" s="283" t="str">
        <f>F132 &amp; ".9"</f>
        <v>1.9</v>
      </c>
      <c r="G143" s="301" t="s">
        <v>145</v>
      </c>
      <c r="H143" s="274"/>
      <c r="I143" s="274"/>
      <c r="J143" s="274"/>
      <c r="K143" s="275"/>
      <c r="L143" s="275"/>
      <c r="M143" s="275"/>
      <c r="N143" s="275"/>
      <c r="O143" s="275"/>
      <c r="P143" s="275"/>
      <c r="Q143" s="275"/>
      <c r="R143" s="275"/>
      <c r="S143" s="275"/>
      <c r="T143" s="270"/>
      <c r="U143" s="324"/>
      <c r="V143" s="170"/>
      <c r="W143" s="170"/>
      <c r="X143" s="170"/>
      <c r="Y143" s="170"/>
      <c r="Z143" s="170"/>
      <c r="AA143" s="170"/>
      <c r="AB143" s="170"/>
      <c r="AC143" s="170"/>
      <c r="AD143" s="170"/>
      <c r="AE143" s="170"/>
      <c r="AF143" s="170"/>
      <c r="AG143" s="170"/>
      <c r="AH143" s="170"/>
      <c r="AI143" s="170"/>
      <c r="AJ143" s="170"/>
      <c r="AK143" s="170"/>
      <c r="AL143" s="170"/>
      <c r="AM143" s="170"/>
      <c r="AN143" s="170"/>
      <c r="AO143" s="170"/>
      <c r="AP143" s="170"/>
      <c r="AQ143" s="170"/>
      <c r="AR143" s="170"/>
      <c r="AS143" s="170"/>
      <c r="AT143" s="170"/>
      <c r="AU143" s="170"/>
      <c r="AV143" s="170"/>
      <c r="AW143" s="170"/>
      <c r="AX143" s="170"/>
      <c r="AY143" s="170"/>
      <c r="AZ143" s="170"/>
      <c r="BA143" s="280" t="str">
        <f>C132 &amp; "-II"</f>
        <v>1.0-II</v>
      </c>
      <c r="BB143" s="170"/>
      <c r="BC143" s="170"/>
      <c r="BD143" s="170"/>
      <c r="BE143" s="170"/>
      <c r="BF143" s="170"/>
      <c r="BG143" s="170"/>
      <c r="BH143" s="170"/>
      <c r="BI143" s="170"/>
      <c r="BJ143" s="170"/>
      <c r="BK143" s="170"/>
      <c r="BL143" s="170"/>
      <c r="BM143" s="170"/>
      <c r="BN143" s="170"/>
      <c r="BO143" s="170"/>
      <c r="BP143" s="331"/>
      <c r="BQ143" s="331"/>
      <c r="BR143" s="331"/>
      <c r="BS143" s="331"/>
      <c r="BT143" s="331"/>
      <c r="BU143" s="331"/>
      <c r="BV143" s="331"/>
      <c r="BW143" s="331"/>
      <c r="BX143" s="331"/>
      <c r="BY143" s="331"/>
      <c r="BZ143" s="169"/>
      <c r="CA143" s="169"/>
      <c r="CB143" s="169"/>
      <c r="CC143" s="169"/>
      <c r="CD143" s="169"/>
      <c r="CO143" s="169"/>
      <c r="CP143" s="169"/>
      <c r="CQ143" s="169"/>
      <c r="CR143" s="169"/>
      <c r="CS143" s="169"/>
    </row>
    <row r="144" spans="1:118" s="114" customFormat="1" ht="11.25" hidden="1" customHeight="1">
      <c r="A144" s="287"/>
      <c r="B144" s="981"/>
      <c r="C144" s="947"/>
      <c r="D144" s="281"/>
      <c r="E144" s="282"/>
      <c r="F144" s="283" t="str">
        <f>F132 &amp; ".10"</f>
        <v>1.10</v>
      </c>
      <c r="G144" s="301" t="s">
        <v>146</v>
      </c>
      <c r="H144" s="274"/>
      <c r="I144" s="274"/>
      <c r="J144" s="274"/>
      <c r="K144" s="275"/>
      <c r="L144" s="275"/>
      <c r="M144" s="275"/>
      <c r="N144" s="275"/>
      <c r="O144" s="275"/>
      <c r="P144" s="275"/>
      <c r="Q144" s="275"/>
      <c r="R144" s="275"/>
      <c r="S144" s="275"/>
      <c r="T144" s="270"/>
      <c r="U144" s="324"/>
      <c r="V144" s="170"/>
      <c r="W144" s="170"/>
      <c r="X144" s="170"/>
      <c r="Y144" s="170"/>
      <c r="Z144" s="170"/>
      <c r="AA144" s="170"/>
      <c r="AB144" s="170"/>
      <c r="AC144" s="170"/>
      <c r="AD144" s="170"/>
      <c r="AE144" s="170"/>
      <c r="AF144" s="170"/>
      <c r="AG144" s="170"/>
      <c r="AH144" s="170"/>
      <c r="AI144" s="170"/>
      <c r="AJ144" s="170"/>
      <c r="AK144" s="170"/>
      <c r="AL144" s="170"/>
      <c r="AM144" s="170"/>
      <c r="AN144" s="170"/>
      <c r="AO144" s="170"/>
      <c r="AP144" s="170"/>
      <c r="AQ144" s="170"/>
      <c r="AR144" s="170"/>
      <c r="AS144" s="170"/>
      <c r="AT144" s="170"/>
      <c r="AU144" s="170"/>
      <c r="AV144" s="170"/>
      <c r="AW144" s="170"/>
      <c r="AX144" s="170"/>
      <c r="AY144" s="170"/>
      <c r="AZ144" s="170"/>
      <c r="BA144" s="280" t="str">
        <f>C132 &amp; "-II"</f>
        <v>1.0-II</v>
      </c>
      <c r="BB144" s="170"/>
      <c r="BC144" s="170"/>
      <c r="BD144" s="170"/>
      <c r="BE144" s="170"/>
      <c r="BF144" s="170"/>
      <c r="BG144" s="170"/>
      <c r="BH144" s="170"/>
      <c r="BI144" s="170"/>
      <c r="BJ144" s="170"/>
      <c r="BK144" s="170"/>
      <c r="BL144" s="170"/>
      <c r="BM144" s="170"/>
      <c r="BN144" s="170"/>
      <c r="BO144" s="170"/>
      <c r="BP144" s="331"/>
      <c r="BQ144" s="331"/>
      <c r="BR144" s="331"/>
      <c r="BS144" s="331"/>
      <c r="BT144" s="331"/>
      <c r="BU144" s="331"/>
      <c r="BV144" s="331"/>
      <c r="BW144" s="331"/>
      <c r="BX144" s="331"/>
      <c r="BY144" s="331"/>
      <c r="BZ144" s="169"/>
      <c r="CA144" s="169"/>
      <c r="CB144" s="169"/>
      <c r="CC144" s="169"/>
      <c r="CD144" s="169"/>
      <c r="CO144" s="169"/>
      <c r="CP144" s="169"/>
      <c r="CQ144" s="169"/>
      <c r="CR144" s="169"/>
      <c r="CS144" s="169"/>
    </row>
    <row r="145" spans="1:118" s="114" customFormat="1" ht="11.25" hidden="1" customHeight="1">
      <c r="A145" s="287"/>
      <c r="B145" s="981"/>
      <c r="C145" s="947"/>
      <c r="D145" s="281"/>
      <c r="E145" s="282"/>
      <c r="F145" s="283" t="str">
        <f>F132 &amp; ".11"</f>
        <v>1.11</v>
      </c>
      <c r="G145" s="301" t="s">
        <v>147</v>
      </c>
      <c r="H145" s="274"/>
      <c r="I145" s="274"/>
      <c r="J145" s="274"/>
      <c r="K145" s="275"/>
      <c r="L145" s="275"/>
      <c r="M145" s="275"/>
      <c r="N145" s="275"/>
      <c r="O145" s="275"/>
      <c r="P145" s="275"/>
      <c r="Q145" s="275"/>
      <c r="R145" s="275"/>
      <c r="S145" s="275"/>
      <c r="T145" s="270"/>
      <c r="U145" s="324"/>
      <c r="V145" s="170"/>
      <c r="W145" s="170"/>
      <c r="X145" s="170"/>
      <c r="Y145" s="170"/>
      <c r="Z145" s="170"/>
      <c r="AA145" s="170"/>
      <c r="AB145" s="170"/>
      <c r="AC145" s="170"/>
      <c r="AD145" s="170"/>
      <c r="AE145" s="170"/>
      <c r="AF145" s="170"/>
      <c r="AG145" s="170"/>
      <c r="AH145" s="170"/>
      <c r="AI145" s="170"/>
      <c r="AJ145" s="170"/>
      <c r="AK145" s="170"/>
      <c r="AL145" s="170"/>
      <c r="AM145" s="170"/>
      <c r="AN145" s="170"/>
      <c r="AO145" s="170"/>
      <c r="AP145" s="170"/>
      <c r="AQ145" s="170"/>
      <c r="AR145" s="170"/>
      <c r="AS145" s="170"/>
      <c r="AT145" s="170"/>
      <c r="AU145" s="170"/>
      <c r="AV145" s="170"/>
      <c r="AW145" s="170"/>
      <c r="AX145" s="170"/>
      <c r="AY145" s="170"/>
      <c r="AZ145" s="170"/>
      <c r="BA145" s="280" t="str">
        <f>C132 &amp; "-II"</f>
        <v>1.0-II</v>
      </c>
      <c r="BB145" s="170"/>
      <c r="BC145" s="170"/>
      <c r="BD145" s="170"/>
      <c r="BE145" s="170"/>
      <c r="BF145" s="170"/>
      <c r="BG145" s="170"/>
      <c r="BH145" s="170"/>
      <c r="BI145" s="170"/>
      <c r="BJ145" s="170"/>
      <c r="BK145" s="170"/>
      <c r="BL145" s="170"/>
      <c r="BM145" s="170"/>
      <c r="BN145" s="170"/>
      <c r="BO145" s="170"/>
      <c r="BP145" s="331"/>
      <c r="BQ145" s="331"/>
      <c r="BR145" s="331"/>
      <c r="BS145" s="331"/>
      <c r="BT145" s="331"/>
      <c r="BU145" s="331"/>
      <c r="BV145" s="331"/>
      <c r="BW145" s="331"/>
      <c r="BX145" s="331"/>
      <c r="BY145" s="331"/>
      <c r="BZ145" s="169"/>
      <c r="CA145" s="169"/>
      <c r="CB145" s="169"/>
      <c r="CC145" s="169"/>
      <c r="CD145" s="169"/>
      <c r="CO145" s="169"/>
      <c r="CP145" s="169"/>
      <c r="CQ145" s="169"/>
      <c r="CR145" s="169"/>
      <c r="CS145" s="169"/>
    </row>
    <row r="146" spans="1:118" s="114" customFormat="1" ht="11.25" hidden="1" customHeight="1">
      <c r="A146" s="287"/>
      <c r="B146" s="981"/>
      <c r="C146" s="948"/>
      <c r="D146" s="281"/>
      <c r="E146" s="282"/>
      <c r="F146" s="283" t="str">
        <f>F132 &amp; ".12"</f>
        <v>1.12</v>
      </c>
      <c r="G146" s="301" t="s">
        <v>148</v>
      </c>
      <c r="H146" s="274"/>
      <c r="I146" s="274"/>
      <c r="J146" s="274"/>
      <c r="K146" s="275"/>
      <c r="L146" s="275"/>
      <c r="M146" s="275"/>
      <c r="N146" s="275"/>
      <c r="O146" s="275"/>
      <c r="P146" s="275"/>
      <c r="Q146" s="275"/>
      <c r="R146" s="275"/>
      <c r="S146" s="275"/>
      <c r="T146" s="270"/>
      <c r="U146" s="324"/>
      <c r="V146" s="170"/>
      <c r="W146" s="170"/>
      <c r="X146" s="170"/>
      <c r="Y146" s="170"/>
      <c r="Z146" s="170"/>
      <c r="AA146" s="170"/>
      <c r="AB146" s="170"/>
      <c r="AC146" s="170"/>
      <c r="AD146" s="170"/>
      <c r="AE146" s="170"/>
      <c r="AF146" s="170"/>
      <c r="AG146" s="170"/>
      <c r="AH146" s="170"/>
      <c r="AI146" s="170"/>
      <c r="AJ146" s="170"/>
      <c r="AK146" s="170"/>
      <c r="AL146" s="170"/>
      <c r="AM146" s="170"/>
      <c r="AN146" s="170"/>
      <c r="AO146" s="170"/>
      <c r="AP146" s="170"/>
      <c r="AQ146" s="170"/>
      <c r="AR146" s="170"/>
      <c r="AS146" s="170"/>
      <c r="AT146" s="170"/>
      <c r="AU146" s="170"/>
      <c r="AV146" s="170"/>
      <c r="AW146" s="170"/>
      <c r="AX146" s="170"/>
      <c r="AY146" s="170"/>
      <c r="AZ146" s="170"/>
      <c r="BA146" s="280" t="str">
        <f>C132 &amp; "-II"</f>
        <v>1.0-II</v>
      </c>
      <c r="BB146" s="170"/>
      <c r="BC146" s="170"/>
      <c r="BD146" s="170"/>
      <c r="BE146" s="170"/>
      <c r="BF146" s="170"/>
      <c r="BG146" s="170"/>
      <c r="BH146" s="170"/>
      <c r="BI146" s="170"/>
      <c r="BJ146" s="170"/>
      <c r="BK146" s="170"/>
      <c r="BL146" s="170"/>
      <c r="BM146" s="170"/>
      <c r="BN146" s="170"/>
      <c r="BO146" s="170"/>
      <c r="BP146" s="331"/>
      <c r="BQ146" s="331"/>
      <c r="BR146" s="331"/>
      <c r="BS146" s="331"/>
      <c r="BT146" s="331"/>
      <c r="BU146" s="331"/>
      <c r="BV146" s="331"/>
      <c r="BW146" s="331"/>
      <c r="BX146" s="331"/>
      <c r="BY146" s="331"/>
      <c r="BZ146" s="169"/>
      <c r="CA146" s="169"/>
      <c r="CB146" s="169"/>
      <c r="CC146" s="169"/>
      <c r="CD146" s="169"/>
      <c r="CO146" s="169"/>
      <c r="CP146" s="169"/>
      <c r="CQ146" s="169"/>
      <c r="CR146" s="169"/>
      <c r="CS146" s="169"/>
    </row>
    <row r="147" spans="1:118" s="114" customFormat="1" ht="0.75" hidden="1" customHeight="1">
      <c r="A147" s="287"/>
      <c r="B147" s="981"/>
      <c r="C147" s="946"/>
      <c r="D147" s="281"/>
      <c r="E147" s="316"/>
      <c r="F147" s="274"/>
      <c r="G147" s="274"/>
      <c r="H147" s="274"/>
      <c r="I147" s="274"/>
      <c r="J147" s="274"/>
      <c r="K147" s="275"/>
      <c r="L147" s="275"/>
      <c r="M147" s="275"/>
      <c r="N147" s="275"/>
      <c r="O147" s="275"/>
      <c r="P147" s="275"/>
      <c r="Q147" s="275"/>
      <c r="R147" s="275"/>
      <c r="S147" s="275"/>
      <c r="T147" s="270"/>
      <c r="U147" s="278"/>
      <c r="V147" s="170"/>
      <c r="W147" s="170"/>
      <c r="X147" s="170"/>
      <c r="Y147" s="170"/>
      <c r="Z147" s="170"/>
      <c r="AA147" s="170"/>
      <c r="AB147" s="170"/>
      <c r="AC147" s="170"/>
      <c r="AD147" s="170"/>
      <c r="AE147" s="170"/>
      <c r="AF147" s="170"/>
      <c r="AG147" s="170"/>
      <c r="AH147" s="170"/>
      <c r="AI147" s="170"/>
      <c r="AJ147" s="170"/>
      <c r="AK147" s="170"/>
      <c r="AL147" s="170"/>
      <c r="AM147" s="170"/>
      <c r="AN147" s="170"/>
      <c r="AO147" s="170"/>
      <c r="AP147" s="170"/>
      <c r="AQ147" s="170"/>
      <c r="AR147" s="170"/>
      <c r="AS147" s="170"/>
      <c r="AT147" s="170"/>
      <c r="AU147" s="170"/>
      <c r="AV147" s="170"/>
      <c r="AW147" s="170"/>
      <c r="AX147" s="170"/>
      <c r="AY147" s="170"/>
      <c r="AZ147" s="170"/>
      <c r="BA147" s="280"/>
      <c r="BB147" s="170"/>
      <c r="BC147" s="170"/>
      <c r="BD147" s="170"/>
      <c r="BE147" s="170"/>
      <c r="BF147" s="170"/>
      <c r="BG147" s="170"/>
      <c r="BH147" s="170"/>
      <c r="BI147" s="170"/>
      <c r="BJ147" s="170"/>
      <c r="BK147" s="170"/>
      <c r="BL147" s="170"/>
      <c r="BM147" s="170"/>
      <c r="BN147" s="170"/>
      <c r="BO147" s="170"/>
      <c r="BP147" s="331"/>
      <c r="BQ147" s="331"/>
      <c r="BR147" s="331"/>
      <c r="BS147" s="331"/>
      <c r="BT147" s="331"/>
      <c r="BU147" s="331"/>
      <c r="BV147" s="331"/>
      <c r="BW147" s="331"/>
      <c r="BX147" s="331"/>
      <c r="BY147" s="331"/>
      <c r="BZ147" s="169"/>
      <c r="CA147" s="169"/>
      <c r="CB147" s="169"/>
      <c r="CC147" s="169"/>
      <c r="CD147" s="169"/>
      <c r="CO147" s="169"/>
      <c r="CP147" s="169"/>
      <c r="CQ147" s="169"/>
      <c r="CR147" s="169"/>
      <c r="CS147" s="169"/>
    </row>
    <row r="148" spans="1:118" s="114" customFormat="1" ht="0.75" hidden="1" customHeight="1">
      <c r="A148" s="287"/>
      <c r="B148" s="981"/>
      <c r="C148" s="947"/>
      <c r="D148" s="281"/>
      <c r="E148" s="316"/>
      <c r="F148" s="274"/>
      <c r="G148" s="274"/>
      <c r="H148" s="274"/>
      <c r="I148" s="274"/>
      <c r="J148" s="274"/>
      <c r="K148" s="275"/>
      <c r="L148" s="275"/>
      <c r="M148" s="275"/>
      <c r="N148" s="275"/>
      <c r="O148" s="275"/>
      <c r="P148" s="275"/>
      <c r="Q148" s="275"/>
      <c r="R148" s="275"/>
      <c r="S148" s="275"/>
      <c r="T148" s="270"/>
      <c r="U148" s="278"/>
      <c r="V148" s="170"/>
      <c r="W148" s="170"/>
      <c r="X148" s="170"/>
      <c r="Y148" s="170"/>
      <c r="Z148" s="170"/>
      <c r="AA148" s="170"/>
      <c r="AB148" s="170"/>
      <c r="AC148" s="170"/>
      <c r="AD148" s="170"/>
      <c r="AE148" s="170"/>
      <c r="AF148" s="170"/>
      <c r="AG148" s="170"/>
      <c r="AH148" s="170"/>
      <c r="AI148" s="170"/>
      <c r="AJ148" s="170"/>
      <c r="AK148" s="170"/>
      <c r="AL148" s="170"/>
      <c r="AM148" s="170"/>
      <c r="AN148" s="170"/>
      <c r="AO148" s="170"/>
      <c r="AP148" s="170"/>
      <c r="AQ148" s="170"/>
      <c r="AR148" s="170"/>
      <c r="AS148" s="170"/>
      <c r="AT148" s="170"/>
      <c r="AU148" s="170"/>
      <c r="AV148" s="170"/>
      <c r="AW148" s="170"/>
      <c r="AX148" s="170"/>
      <c r="AY148" s="170"/>
      <c r="AZ148" s="170"/>
      <c r="BA148" s="280"/>
      <c r="BB148" s="170"/>
      <c r="BC148" s="170"/>
      <c r="BD148" s="170"/>
      <c r="BE148" s="170"/>
      <c r="BF148" s="170"/>
      <c r="BG148" s="170"/>
      <c r="BH148" s="170"/>
      <c r="BI148" s="170"/>
      <c r="BJ148" s="170"/>
      <c r="BK148" s="170"/>
      <c r="BL148" s="170"/>
      <c r="BM148" s="170"/>
      <c r="BN148" s="170"/>
      <c r="BO148" s="170"/>
      <c r="BP148" s="331"/>
      <c r="BQ148" s="331"/>
      <c r="BR148" s="331"/>
      <c r="BS148" s="331"/>
      <c r="BT148" s="331"/>
      <c r="BU148" s="331"/>
      <c r="BV148" s="331"/>
      <c r="BW148" s="331"/>
      <c r="BX148" s="331"/>
      <c r="BY148" s="331"/>
      <c r="BZ148" s="169"/>
      <c r="CA148" s="169"/>
      <c r="CB148" s="169"/>
      <c r="CC148" s="169"/>
      <c r="CD148" s="169"/>
      <c r="CO148" s="169"/>
      <c r="CP148" s="169"/>
      <c r="CQ148" s="169"/>
      <c r="CR148" s="169"/>
      <c r="CS148" s="169"/>
    </row>
    <row r="149" spans="1:118" s="114" customFormat="1" ht="0.75" hidden="1" customHeight="1">
      <c r="A149" s="287"/>
      <c r="B149" s="981"/>
      <c r="C149" s="947"/>
      <c r="D149" s="281"/>
      <c r="E149" s="316"/>
      <c r="F149" s="274"/>
      <c r="G149" s="274"/>
      <c r="H149" s="274"/>
      <c r="I149" s="274"/>
      <c r="J149" s="274"/>
      <c r="K149" s="275"/>
      <c r="L149" s="275"/>
      <c r="M149" s="275"/>
      <c r="N149" s="275"/>
      <c r="O149" s="275"/>
      <c r="P149" s="275"/>
      <c r="Q149" s="275"/>
      <c r="R149" s="275"/>
      <c r="S149" s="275"/>
      <c r="T149" s="270"/>
      <c r="U149" s="278"/>
      <c r="V149" s="170"/>
      <c r="W149" s="170"/>
      <c r="X149" s="170"/>
      <c r="Y149" s="170"/>
      <c r="Z149" s="170"/>
      <c r="AA149" s="170"/>
      <c r="AB149" s="170"/>
      <c r="AC149" s="170"/>
      <c r="AD149" s="170"/>
      <c r="AE149" s="170"/>
      <c r="AF149" s="170"/>
      <c r="AG149" s="170"/>
      <c r="AH149" s="170"/>
      <c r="AI149" s="170"/>
      <c r="AJ149" s="170"/>
      <c r="AK149" s="170"/>
      <c r="AL149" s="170"/>
      <c r="AM149" s="170"/>
      <c r="AN149" s="170"/>
      <c r="AO149" s="170"/>
      <c r="AP149" s="170"/>
      <c r="AQ149" s="170"/>
      <c r="AR149" s="170"/>
      <c r="AS149" s="170"/>
      <c r="AT149" s="170"/>
      <c r="AU149" s="170"/>
      <c r="AV149" s="170"/>
      <c r="AW149" s="170"/>
      <c r="AX149" s="170"/>
      <c r="AY149" s="170"/>
      <c r="AZ149" s="170"/>
      <c r="BA149" s="280"/>
      <c r="BB149" s="170"/>
      <c r="BC149" s="170"/>
      <c r="BD149" s="170"/>
      <c r="BE149" s="170"/>
      <c r="BF149" s="170"/>
      <c r="BG149" s="170"/>
      <c r="BH149" s="170"/>
      <c r="BI149" s="170"/>
      <c r="BJ149" s="170"/>
      <c r="BK149" s="170"/>
      <c r="BL149" s="170"/>
      <c r="BM149" s="170"/>
      <c r="BN149" s="170"/>
      <c r="BO149" s="170"/>
      <c r="BP149" s="331"/>
      <c r="BQ149" s="331"/>
      <c r="BR149" s="331"/>
      <c r="BS149" s="331"/>
      <c r="BT149" s="331"/>
      <c r="BU149" s="331"/>
      <c r="BV149" s="331"/>
      <c r="BW149" s="331"/>
      <c r="BX149" s="331"/>
      <c r="BY149" s="331"/>
      <c r="BZ149" s="169"/>
      <c r="CA149" s="169"/>
      <c r="CB149" s="169"/>
      <c r="CC149" s="169"/>
      <c r="CD149" s="169"/>
      <c r="CO149" s="169"/>
      <c r="CP149" s="169"/>
      <c r="CQ149" s="169"/>
      <c r="CR149" s="169"/>
      <c r="CS149" s="169"/>
    </row>
    <row r="150" spans="1:118" s="114" customFormat="1" ht="0.75" hidden="1" customHeight="1">
      <c r="A150" s="287"/>
      <c r="B150" s="981"/>
      <c r="C150" s="947"/>
      <c r="D150" s="281"/>
      <c r="E150" s="316"/>
      <c r="F150" s="274"/>
      <c r="G150" s="274"/>
      <c r="H150" s="274"/>
      <c r="I150" s="274"/>
      <c r="J150" s="274"/>
      <c r="K150" s="275"/>
      <c r="L150" s="275"/>
      <c r="M150" s="275"/>
      <c r="N150" s="275"/>
      <c r="O150" s="275"/>
      <c r="P150" s="275"/>
      <c r="Q150" s="275"/>
      <c r="R150" s="275"/>
      <c r="S150" s="275"/>
      <c r="T150" s="270"/>
      <c r="U150" s="278"/>
      <c r="V150" s="170"/>
      <c r="W150" s="170"/>
      <c r="X150" s="170"/>
      <c r="Y150" s="170"/>
      <c r="Z150" s="170"/>
      <c r="AA150" s="170"/>
      <c r="AB150" s="170"/>
      <c r="AC150" s="170"/>
      <c r="AD150" s="170"/>
      <c r="AE150" s="170"/>
      <c r="AF150" s="170"/>
      <c r="AG150" s="170"/>
      <c r="AH150" s="170"/>
      <c r="AI150" s="170"/>
      <c r="AJ150" s="170"/>
      <c r="AK150" s="170"/>
      <c r="AL150" s="170"/>
      <c r="AM150" s="170"/>
      <c r="AN150" s="170"/>
      <c r="AO150" s="170"/>
      <c r="AP150" s="170"/>
      <c r="AQ150" s="170"/>
      <c r="AR150" s="170"/>
      <c r="AS150" s="170"/>
      <c r="AT150" s="170"/>
      <c r="AU150" s="170"/>
      <c r="AV150" s="170"/>
      <c r="AW150" s="170"/>
      <c r="AX150" s="170"/>
      <c r="AY150" s="170"/>
      <c r="AZ150" s="170"/>
      <c r="BA150" s="280"/>
      <c r="BB150" s="170"/>
      <c r="BC150" s="170"/>
      <c r="BD150" s="170"/>
      <c r="BE150" s="170"/>
      <c r="BF150" s="170"/>
      <c r="BG150" s="170"/>
      <c r="BH150" s="170"/>
      <c r="BI150" s="170"/>
      <c r="BJ150" s="170"/>
      <c r="BK150" s="170"/>
      <c r="BL150" s="170"/>
      <c r="BM150" s="170"/>
      <c r="BN150" s="170"/>
      <c r="BO150" s="170"/>
      <c r="BP150" s="331"/>
      <c r="BQ150" s="331"/>
      <c r="BR150" s="331"/>
      <c r="BS150" s="331"/>
      <c r="BT150" s="331"/>
      <c r="BU150" s="331"/>
      <c r="BV150" s="331"/>
      <c r="BW150" s="331"/>
      <c r="BX150" s="331"/>
      <c r="BY150" s="331"/>
      <c r="BZ150" s="169"/>
      <c r="CA150" s="169"/>
      <c r="CB150" s="169"/>
      <c r="CC150" s="169"/>
      <c r="CD150" s="169"/>
      <c r="CO150" s="169"/>
      <c r="CP150" s="169"/>
      <c r="CQ150" s="169"/>
      <c r="CR150" s="169"/>
      <c r="CS150" s="169"/>
    </row>
    <row r="151" spans="1:118" s="114" customFormat="1" ht="0.75" hidden="1" customHeight="1">
      <c r="A151" s="287"/>
      <c r="B151" s="981"/>
      <c r="C151" s="947"/>
      <c r="D151" s="281"/>
      <c r="E151" s="316"/>
      <c r="F151" s="274"/>
      <c r="G151" s="274"/>
      <c r="H151" s="274"/>
      <c r="I151" s="274"/>
      <c r="J151" s="274"/>
      <c r="K151" s="275"/>
      <c r="L151" s="275"/>
      <c r="M151" s="275"/>
      <c r="N151" s="275"/>
      <c r="O151" s="275"/>
      <c r="P151" s="275"/>
      <c r="Q151" s="275"/>
      <c r="R151" s="275"/>
      <c r="S151" s="275"/>
      <c r="T151" s="270"/>
      <c r="U151" s="278"/>
      <c r="V151" s="170"/>
      <c r="W151" s="170"/>
      <c r="X151" s="170"/>
      <c r="Y151" s="170"/>
      <c r="Z151" s="170"/>
      <c r="AA151" s="170"/>
      <c r="AB151" s="170"/>
      <c r="AC151" s="170"/>
      <c r="AD151" s="170"/>
      <c r="AE151" s="170"/>
      <c r="AF151" s="170"/>
      <c r="AG151" s="170"/>
      <c r="AH151" s="170"/>
      <c r="AI151" s="170"/>
      <c r="AJ151" s="170"/>
      <c r="AK151" s="170"/>
      <c r="AL151" s="170"/>
      <c r="AM151" s="170"/>
      <c r="AN151" s="170"/>
      <c r="AO151" s="170"/>
      <c r="AP151" s="170"/>
      <c r="AQ151" s="170"/>
      <c r="AR151" s="170"/>
      <c r="AS151" s="170"/>
      <c r="AT151" s="170"/>
      <c r="AU151" s="170"/>
      <c r="AV151" s="170"/>
      <c r="AW151" s="170"/>
      <c r="AX151" s="170"/>
      <c r="AY151" s="170"/>
      <c r="AZ151" s="170"/>
      <c r="BA151" s="280"/>
      <c r="BB151" s="170"/>
      <c r="BC151" s="170"/>
      <c r="BD151" s="170"/>
      <c r="BE151" s="170"/>
      <c r="BF151" s="170"/>
      <c r="BG151" s="170"/>
      <c r="BH151" s="170"/>
      <c r="BI151" s="170"/>
      <c r="BJ151" s="170"/>
      <c r="BK151" s="170"/>
      <c r="BL151" s="170"/>
      <c r="BM151" s="170"/>
      <c r="BN151" s="170"/>
      <c r="BO151" s="170"/>
      <c r="BP151" s="331"/>
      <c r="BQ151" s="331"/>
      <c r="BR151" s="331"/>
      <c r="BS151" s="331"/>
      <c r="BT151" s="331"/>
      <c r="BU151" s="331"/>
      <c r="BV151" s="331"/>
      <c r="BW151" s="331"/>
      <c r="BX151" s="331"/>
      <c r="BY151" s="331"/>
      <c r="BZ151" s="169"/>
      <c r="CA151" s="169"/>
      <c r="CB151" s="169"/>
      <c r="CC151" s="169"/>
      <c r="CD151" s="169"/>
      <c r="CO151" s="169"/>
      <c r="CP151" s="169"/>
      <c r="CQ151" s="169"/>
      <c r="CR151" s="169"/>
      <c r="CS151" s="169"/>
    </row>
    <row r="152" spans="1:118" s="114" customFormat="1" ht="0.75" hidden="1" customHeight="1">
      <c r="A152" s="287"/>
      <c r="B152" s="981"/>
      <c r="C152" s="947"/>
      <c r="D152" s="281"/>
      <c r="E152" s="316"/>
      <c r="F152" s="274"/>
      <c r="G152" s="274"/>
      <c r="H152" s="274"/>
      <c r="I152" s="274"/>
      <c r="J152" s="274"/>
      <c r="K152" s="275"/>
      <c r="L152" s="275"/>
      <c r="M152" s="275"/>
      <c r="N152" s="275"/>
      <c r="O152" s="275"/>
      <c r="P152" s="275"/>
      <c r="Q152" s="275"/>
      <c r="R152" s="275"/>
      <c r="S152" s="275"/>
      <c r="T152" s="270"/>
      <c r="U152" s="278"/>
      <c r="V152" s="170"/>
      <c r="W152" s="170"/>
      <c r="X152" s="170"/>
      <c r="Y152" s="170"/>
      <c r="Z152" s="170"/>
      <c r="AA152" s="170"/>
      <c r="AB152" s="170"/>
      <c r="AC152" s="170"/>
      <c r="AD152" s="170"/>
      <c r="AE152" s="170"/>
      <c r="AF152" s="170"/>
      <c r="AG152" s="170"/>
      <c r="AH152" s="170"/>
      <c r="AI152" s="170"/>
      <c r="AJ152" s="170"/>
      <c r="AK152" s="170"/>
      <c r="AL152" s="170"/>
      <c r="AM152" s="170"/>
      <c r="AN152" s="170"/>
      <c r="AO152" s="170"/>
      <c r="AP152" s="170"/>
      <c r="AQ152" s="170"/>
      <c r="AR152" s="170"/>
      <c r="AS152" s="170"/>
      <c r="AT152" s="170"/>
      <c r="AU152" s="170"/>
      <c r="AV152" s="170"/>
      <c r="AW152" s="170"/>
      <c r="AX152" s="170"/>
      <c r="AY152" s="170"/>
      <c r="AZ152" s="170"/>
      <c r="BA152" s="280"/>
      <c r="BB152" s="170"/>
      <c r="BC152" s="170"/>
      <c r="BD152" s="170"/>
      <c r="BE152" s="170"/>
      <c r="BF152" s="170"/>
      <c r="BG152" s="170"/>
      <c r="BH152" s="170"/>
      <c r="BI152" s="170"/>
      <c r="BJ152" s="170"/>
      <c r="BK152" s="170"/>
      <c r="BL152" s="170"/>
      <c r="BM152" s="170"/>
      <c r="BN152" s="170"/>
      <c r="BO152" s="170"/>
      <c r="BP152" s="331"/>
      <c r="BQ152" s="331"/>
      <c r="BR152" s="331"/>
      <c r="BS152" s="331"/>
      <c r="BT152" s="331"/>
      <c r="BU152" s="331"/>
      <c r="BV152" s="331"/>
      <c r="BW152" s="331"/>
      <c r="BX152" s="331"/>
      <c r="BY152" s="331"/>
      <c r="BZ152" s="169"/>
      <c r="CA152" s="169"/>
      <c r="CB152" s="169"/>
      <c r="CC152" s="169"/>
      <c r="CD152" s="169"/>
      <c r="CO152" s="169"/>
      <c r="CP152" s="169"/>
      <c r="CQ152" s="169"/>
      <c r="CR152" s="169"/>
      <c r="CS152" s="169"/>
    </row>
    <row r="153" spans="1:118" s="114" customFormat="1" ht="0.75" hidden="1" customHeight="1">
      <c r="A153" s="287"/>
      <c r="B153" s="981"/>
      <c r="C153" s="947"/>
      <c r="D153" s="281"/>
      <c r="E153" s="316"/>
      <c r="F153" s="274"/>
      <c r="G153" s="274"/>
      <c r="H153" s="274"/>
      <c r="I153" s="274"/>
      <c r="J153" s="274"/>
      <c r="K153" s="275"/>
      <c r="L153" s="275"/>
      <c r="M153" s="275"/>
      <c r="N153" s="275"/>
      <c r="O153" s="275"/>
      <c r="P153" s="275"/>
      <c r="Q153" s="275"/>
      <c r="R153" s="275"/>
      <c r="S153" s="275"/>
      <c r="T153" s="270"/>
      <c r="U153" s="278"/>
      <c r="V153" s="170"/>
      <c r="W153" s="170"/>
      <c r="X153" s="170"/>
      <c r="Y153" s="170"/>
      <c r="Z153" s="170"/>
      <c r="AA153" s="170"/>
      <c r="AB153" s="170"/>
      <c r="AC153" s="170"/>
      <c r="AD153" s="170"/>
      <c r="AE153" s="170"/>
      <c r="AF153" s="170"/>
      <c r="AG153" s="170"/>
      <c r="AH153" s="170"/>
      <c r="AI153" s="170"/>
      <c r="AJ153" s="170"/>
      <c r="AK153" s="170"/>
      <c r="AL153" s="170"/>
      <c r="AM153" s="170"/>
      <c r="AN153" s="170"/>
      <c r="AO153" s="170"/>
      <c r="AP153" s="170"/>
      <c r="AQ153" s="170"/>
      <c r="AR153" s="170"/>
      <c r="AS153" s="170"/>
      <c r="AT153" s="170"/>
      <c r="AU153" s="170"/>
      <c r="AV153" s="170"/>
      <c r="AW153" s="170"/>
      <c r="AX153" s="170"/>
      <c r="AY153" s="170"/>
      <c r="AZ153" s="170"/>
      <c r="BA153" s="280"/>
      <c r="BB153" s="170"/>
      <c r="BC153" s="170"/>
      <c r="BD153" s="170"/>
      <c r="BE153" s="170"/>
      <c r="BF153" s="170"/>
      <c r="BG153" s="170"/>
      <c r="BH153" s="170"/>
      <c r="BI153" s="170"/>
      <c r="BJ153" s="170"/>
      <c r="BK153" s="170"/>
      <c r="BL153" s="170"/>
      <c r="BM153" s="170"/>
      <c r="BN153" s="170"/>
      <c r="BO153" s="170"/>
      <c r="BP153" s="331"/>
      <c r="BQ153" s="331"/>
      <c r="BR153" s="331"/>
      <c r="BS153" s="331"/>
      <c r="BT153" s="331"/>
      <c r="BU153" s="331"/>
      <c r="BV153" s="331"/>
      <c r="BW153" s="331"/>
      <c r="BX153" s="331"/>
      <c r="BY153" s="331"/>
      <c r="BZ153" s="169"/>
      <c r="CA153" s="169"/>
      <c r="CB153" s="169"/>
      <c r="CC153" s="169"/>
      <c r="CD153" s="169"/>
      <c r="CO153" s="169"/>
      <c r="CP153" s="169"/>
      <c r="CQ153" s="169"/>
      <c r="CR153" s="169"/>
      <c r="CS153" s="169"/>
    </row>
    <row r="154" spans="1:118" s="114" customFormat="1" ht="0.75" hidden="1" customHeight="1">
      <c r="A154" s="287"/>
      <c r="B154" s="981"/>
      <c r="C154" s="947"/>
      <c r="D154" s="281"/>
      <c r="E154" s="316"/>
      <c r="F154" s="274"/>
      <c r="G154" s="274"/>
      <c r="H154" s="274"/>
      <c r="I154" s="274"/>
      <c r="J154" s="274"/>
      <c r="K154" s="275"/>
      <c r="L154" s="275"/>
      <c r="M154" s="275"/>
      <c r="N154" s="275"/>
      <c r="O154" s="275"/>
      <c r="P154" s="275"/>
      <c r="Q154" s="275"/>
      <c r="R154" s="275"/>
      <c r="S154" s="275"/>
      <c r="T154" s="270"/>
      <c r="U154" s="278"/>
      <c r="V154" s="170"/>
      <c r="W154" s="170"/>
      <c r="X154" s="170"/>
      <c r="Y154" s="170"/>
      <c r="Z154" s="170"/>
      <c r="AA154" s="170"/>
      <c r="AB154" s="170"/>
      <c r="AC154" s="170"/>
      <c r="AD154" s="170"/>
      <c r="AE154" s="170"/>
      <c r="AF154" s="170"/>
      <c r="AG154" s="170"/>
      <c r="AH154" s="170"/>
      <c r="AI154" s="170"/>
      <c r="AJ154" s="170"/>
      <c r="AK154" s="170"/>
      <c r="AL154" s="170"/>
      <c r="AM154" s="170"/>
      <c r="AN154" s="170"/>
      <c r="AO154" s="170"/>
      <c r="AP154" s="170"/>
      <c r="AQ154" s="170"/>
      <c r="AR154" s="170"/>
      <c r="AS154" s="170"/>
      <c r="AT154" s="170"/>
      <c r="AU154" s="170"/>
      <c r="AV154" s="170"/>
      <c r="AW154" s="170"/>
      <c r="AX154" s="170"/>
      <c r="AY154" s="170"/>
      <c r="AZ154" s="170"/>
      <c r="BA154" s="280"/>
      <c r="BB154" s="170"/>
      <c r="BC154" s="170"/>
      <c r="BD154" s="170"/>
      <c r="BE154" s="170"/>
      <c r="BF154" s="170"/>
      <c r="BG154" s="170"/>
      <c r="BH154" s="170"/>
      <c r="BI154" s="170"/>
      <c r="BJ154" s="170"/>
      <c r="BK154" s="170"/>
      <c r="BL154" s="170"/>
      <c r="BM154" s="170"/>
      <c r="BN154" s="170"/>
      <c r="BO154" s="170"/>
      <c r="BP154" s="331"/>
      <c r="BQ154" s="331"/>
      <c r="BR154" s="331"/>
      <c r="BS154" s="331"/>
      <c r="BT154" s="331"/>
      <c r="BU154" s="331"/>
      <c r="BV154" s="331"/>
      <c r="BW154" s="331"/>
      <c r="BX154" s="331"/>
      <c r="BY154" s="331"/>
      <c r="BZ154" s="169"/>
      <c r="CA154" s="169"/>
      <c r="CB154" s="169"/>
      <c r="CC154" s="169"/>
      <c r="CD154" s="169"/>
      <c r="CO154" s="169"/>
      <c r="CP154" s="169"/>
      <c r="CQ154" s="169"/>
      <c r="CR154" s="169"/>
      <c r="CS154" s="169"/>
    </row>
    <row r="155" spans="1:118" s="114" customFormat="1" ht="0.75" hidden="1" customHeight="1">
      <c r="A155" s="287"/>
      <c r="B155" s="981"/>
      <c r="C155" s="947"/>
      <c r="D155" s="281"/>
      <c r="E155" s="316"/>
      <c r="F155" s="274"/>
      <c r="G155" s="274"/>
      <c r="H155" s="274"/>
      <c r="I155" s="274"/>
      <c r="J155" s="274"/>
      <c r="K155" s="275"/>
      <c r="L155" s="275"/>
      <c r="M155" s="275"/>
      <c r="N155" s="275"/>
      <c r="O155" s="275"/>
      <c r="P155" s="275"/>
      <c r="Q155" s="275"/>
      <c r="R155" s="275"/>
      <c r="S155" s="275"/>
      <c r="T155" s="270"/>
      <c r="U155" s="278"/>
      <c r="V155" s="170"/>
      <c r="W155" s="170"/>
      <c r="X155" s="170"/>
      <c r="Y155" s="170"/>
      <c r="Z155" s="170"/>
      <c r="AA155" s="170"/>
      <c r="AB155" s="170"/>
      <c r="AC155" s="170"/>
      <c r="AD155" s="170"/>
      <c r="AE155" s="170"/>
      <c r="AF155" s="170"/>
      <c r="AG155" s="170"/>
      <c r="AH155" s="170"/>
      <c r="AI155" s="170"/>
      <c r="AJ155" s="170"/>
      <c r="AK155" s="170"/>
      <c r="AL155" s="170"/>
      <c r="AM155" s="170"/>
      <c r="AN155" s="170"/>
      <c r="AO155" s="170"/>
      <c r="AP155" s="170"/>
      <c r="AQ155" s="170"/>
      <c r="AR155" s="170"/>
      <c r="AS155" s="170"/>
      <c r="AT155" s="170"/>
      <c r="AU155" s="170"/>
      <c r="AV155" s="170"/>
      <c r="AW155" s="170"/>
      <c r="AX155" s="170"/>
      <c r="AY155" s="170"/>
      <c r="AZ155" s="170"/>
      <c r="BA155" s="280"/>
      <c r="BB155" s="170"/>
      <c r="BC155" s="170"/>
      <c r="BD155" s="170"/>
      <c r="BE155" s="170"/>
      <c r="BF155" s="170"/>
      <c r="BG155" s="170"/>
      <c r="BH155" s="170"/>
      <c r="BI155" s="170"/>
      <c r="BJ155" s="170"/>
      <c r="BK155" s="170"/>
      <c r="BL155" s="170"/>
      <c r="BM155" s="170"/>
      <c r="BN155" s="170"/>
      <c r="BO155" s="170"/>
      <c r="BP155" s="331"/>
      <c r="BQ155" s="331"/>
      <c r="BR155" s="331"/>
      <c r="BS155" s="331"/>
      <c r="BT155" s="331"/>
      <c r="BU155" s="331"/>
      <c r="BV155" s="331"/>
      <c r="BW155" s="331"/>
      <c r="BX155" s="331"/>
      <c r="BY155" s="331"/>
      <c r="BZ155" s="169"/>
      <c r="CA155" s="169"/>
      <c r="CB155" s="169"/>
      <c r="CC155" s="169"/>
      <c r="CD155" s="169"/>
      <c r="CO155" s="169"/>
      <c r="CP155" s="169"/>
      <c r="CQ155" s="169"/>
      <c r="CR155" s="169"/>
      <c r="CS155" s="169"/>
    </row>
    <row r="156" spans="1:118" s="114" customFormat="1" ht="0.75" hidden="1" customHeight="1">
      <c r="A156" s="287"/>
      <c r="B156" s="981"/>
      <c r="C156" s="947"/>
      <c r="D156" s="281"/>
      <c r="E156" s="316"/>
      <c r="F156" s="274"/>
      <c r="G156" s="274"/>
      <c r="H156" s="274"/>
      <c r="I156" s="274"/>
      <c r="J156" s="274"/>
      <c r="K156" s="275"/>
      <c r="L156" s="275"/>
      <c r="M156" s="275"/>
      <c r="N156" s="275"/>
      <c r="O156" s="275"/>
      <c r="P156" s="275"/>
      <c r="Q156" s="275"/>
      <c r="R156" s="275"/>
      <c r="S156" s="275"/>
      <c r="T156" s="270"/>
      <c r="U156" s="278"/>
      <c r="V156" s="170"/>
      <c r="W156" s="170"/>
      <c r="X156" s="170"/>
      <c r="Y156" s="170"/>
      <c r="Z156" s="170"/>
      <c r="AA156" s="170"/>
      <c r="AB156" s="170"/>
      <c r="AC156" s="170"/>
      <c r="AD156" s="170"/>
      <c r="AE156" s="170"/>
      <c r="AF156" s="170"/>
      <c r="AG156" s="170"/>
      <c r="AH156" s="170"/>
      <c r="AI156" s="170"/>
      <c r="AJ156" s="170"/>
      <c r="AK156" s="170"/>
      <c r="AL156" s="170"/>
      <c r="AM156" s="170"/>
      <c r="AN156" s="170"/>
      <c r="AO156" s="170"/>
      <c r="AP156" s="170"/>
      <c r="AQ156" s="170"/>
      <c r="AR156" s="170"/>
      <c r="AS156" s="170"/>
      <c r="AT156" s="170"/>
      <c r="AU156" s="170"/>
      <c r="AV156" s="170"/>
      <c r="AW156" s="170"/>
      <c r="AX156" s="170"/>
      <c r="AY156" s="170"/>
      <c r="AZ156" s="170"/>
      <c r="BA156" s="280"/>
      <c r="BB156" s="170"/>
      <c r="BC156" s="170"/>
      <c r="BD156" s="170"/>
      <c r="BE156" s="170"/>
      <c r="BF156" s="170"/>
      <c r="BG156" s="170"/>
      <c r="BH156" s="170"/>
      <c r="BI156" s="170"/>
      <c r="BJ156" s="170"/>
      <c r="BK156" s="170"/>
      <c r="BL156" s="170"/>
      <c r="BM156" s="170"/>
      <c r="BN156" s="170"/>
      <c r="BO156" s="170"/>
      <c r="BP156" s="331"/>
      <c r="BQ156" s="331"/>
      <c r="BR156" s="331"/>
      <c r="BS156" s="331"/>
      <c r="BT156" s="331"/>
      <c r="BU156" s="331"/>
      <c r="BV156" s="331"/>
      <c r="BW156" s="331"/>
      <c r="BX156" s="331"/>
      <c r="BY156" s="331"/>
      <c r="BZ156" s="169"/>
      <c r="CA156" s="169"/>
      <c r="CB156" s="169"/>
      <c r="CC156" s="169"/>
      <c r="CD156" s="169"/>
      <c r="CO156" s="169"/>
      <c r="CP156" s="169"/>
      <c r="CQ156" s="169"/>
      <c r="CR156" s="169"/>
      <c r="CS156" s="169"/>
    </row>
    <row r="157" spans="1:118" s="114" customFormat="1" ht="0.75" hidden="1" customHeight="1">
      <c r="A157" s="287"/>
      <c r="B157" s="981"/>
      <c r="C157" s="947"/>
      <c r="D157" s="281"/>
      <c r="E157" s="316"/>
      <c r="F157" s="274"/>
      <c r="G157" s="274"/>
      <c r="H157" s="274"/>
      <c r="I157" s="274"/>
      <c r="J157" s="274"/>
      <c r="K157" s="275"/>
      <c r="L157" s="275"/>
      <c r="M157" s="275"/>
      <c r="N157" s="275"/>
      <c r="O157" s="275"/>
      <c r="P157" s="275"/>
      <c r="Q157" s="275"/>
      <c r="R157" s="275"/>
      <c r="S157" s="275"/>
      <c r="T157" s="270"/>
      <c r="U157" s="278"/>
      <c r="V157" s="170"/>
      <c r="W157" s="170"/>
      <c r="X157" s="170"/>
      <c r="Y157" s="170"/>
      <c r="Z157" s="170"/>
      <c r="AA157" s="170"/>
      <c r="AB157" s="170"/>
      <c r="AC157" s="170"/>
      <c r="AD157" s="170"/>
      <c r="AE157" s="170"/>
      <c r="AF157" s="170"/>
      <c r="AG157" s="170"/>
      <c r="AH157" s="170"/>
      <c r="AI157" s="170"/>
      <c r="AJ157" s="170"/>
      <c r="AK157" s="170"/>
      <c r="AL157" s="170"/>
      <c r="AM157" s="170"/>
      <c r="AN157" s="170"/>
      <c r="AO157" s="170"/>
      <c r="AP157" s="170"/>
      <c r="AQ157" s="170"/>
      <c r="AR157" s="170"/>
      <c r="AS157" s="170"/>
      <c r="AT157" s="170"/>
      <c r="AU157" s="170"/>
      <c r="AV157" s="170"/>
      <c r="AW157" s="170"/>
      <c r="AX157" s="170"/>
      <c r="AY157" s="170"/>
      <c r="AZ157" s="170"/>
      <c r="BA157" s="280"/>
      <c r="BB157" s="170"/>
      <c r="BC157" s="170"/>
      <c r="BD157" s="170"/>
      <c r="BE157" s="170"/>
      <c r="BF157" s="170"/>
      <c r="BG157" s="170"/>
      <c r="BH157" s="170"/>
      <c r="BI157" s="170"/>
      <c r="BJ157" s="170"/>
      <c r="BK157" s="170"/>
      <c r="BL157" s="170"/>
      <c r="BM157" s="170"/>
      <c r="BN157" s="170"/>
      <c r="BO157" s="170"/>
      <c r="BP157" s="331"/>
      <c r="BQ157" s="331"/>
      <c r="BR157" s="331"/>
      <c r="BS157" s="331"/>
      <c r="BT157" s="331"/>
      <c r="BU157" s="331"/>
      <c r="BV157" s="331"/>
      <c r="BW157" s="331"/>
      <c r="BX157" s="331"/>
      <c r="BY157" s="331"/>
      <c r="BZ157" s="169"/>
      <c r="CA157" s="169"/>
      <c r="CB157" s="169"/>
      <c r="CC157" s="169"/>
      <c r="CD157" s="169"/>
      <c r="CO157" s="169"/>
      <c r="CP157" s="169"/>
      <c r="CQ157" s="169"/>
      <c r="CR157" s="169"/>
      <c r="CS157" s="169"/>
    </row>
    <row r="158" spans="1:118" s="114" customFormat="1" ht="0.75" hidden="1" customHeight="1">
      <c r="A158" s="287"/>
      <c r="B158" s="981"/>
      <c r="C158" s="947"/>
      <c r="D158" s="281"/>
      <c r="E158" s="316"/>
      <c r="F158" s="274"/>
      <c r="G158" s="274"/>
      <c r="H158" s="274"/>
      <c r="I158" s="274"/>
      <c r="J158" s="274"/>
      <c r="K158" s="275"/>
      <c r="L158" s="275"/>
      <c r="M158" s="275"/>
      <c r="N158" s="275"/>
      <c r="O158" s="275"/>
      <c r="P158" s="275"/>
      <c r="Q158" s="275"/>
      <c r="R158" s="275"/>
      <c r="S158" s="275"/>
      <c r="T158" s="270"/>
      <c r="U158" s="278"/>
      <c r="V158" s="170"/>
      <c r="W158" s="170"/>
      <c r="X158" s="170"/>
      <c r="Y158" s="170"/>
      <c r="Z158" s="170"/>
      <c r="AA158" s="170"/>
      <c r="AB158" s="170"/>
      <c r="AC158" s="170"/>
      <c r="AD158" s="170"/>
      <c r="AE158" s="170"/>
      <c r="AF158" s="170"/>
      <c r="AG158" s="170"/>
      <c r="AH158" s="170"/>
      <c r="AI158" s="170"/>
      <c r="AJ158" s="170"/>
      <c r="AK158" s="170"/>
      <c r="AL158" s="170"/>
      <c r="AM158" s="170"/>
      <c r="AN158" s="170"/>
      <c r="AO158" s="170"/>
      <c r="AP158" s="170"/>
      <c r="AQ158" s="170"/>
      <c r="AR158" s="170"/>
      <c r="AS158" s="170"/>
      <c r="AT158" s="170"/>
      <c r="AU158" s="170"/>
      <c r="AV158" s="170"/>
      <c r="AW158" s="170"/>
      <c r="AX158" s="170"/>
      <c r="AY158" s="170"/>
      <c r="AZ158" s="170"/>
      <c r="BA158" s="284"/>
      <c r="BB158" s="170"/>
      <c r="BC158" s="170"/>
      <c r="BD158" s="170"/>
      <c r="BE158" s="170"/>
      <c r="BF158" s="170"/>
      <c r="BG158" s="170"/>
      <c r="BH158" s="170"/>
      <c r="BI158" s="170"/>
      <c r="BJ158" s="170"/>
      <c r="BK158" s="170"/>
      <c r="BL158" s="170"/>
      <c r="BM158" s="170"/>
      <c r="BN158" s="170"/>
      <c r="BO158" s="170"/>
      <c r="BP158" s="331"/>
      <c r="BQ158" s="331"/>
      <c r="BR158" s="331"/>
      <c r="BS158" s="331"/>
      <c r="BT158" s="331"/>
      <c r="BU158" s="331"/>
      <c r="BV158" s="331"/>
      <c r="BW158" s="331"/>
      <c r="BX158" s="331"/>
      <c r="BY158" s="331"/>
      <c r="BZ158" s="169"/>
      <c r="CA158" s="169"/>
      <c r="CB158" s="169"/>
      <c r="CC158" s="169"/>
      <c r="CD158" s="169"/>
      <c r="CO158" s="169"/>
      <c r="CP158" s="169"/>
      <c r="CQ158" s="169"/>
      <c r="CR158" s="169"/>
      <c r="CS158" s="169"/>
    </row>
    <row r="159" spans="1:118" s="114" customFormat="1" ht="0.75" hidden="1" customHeight="1">
      <c r="A159" s="287"/>
      <c r="B159" s="982"/>
      <c r="C159" s="949"/>
      <c r="D159" s="285"/>
      <c r="E159" s="316"/>
      <c r="F159" s="274"/>
      <c r="G159" s="274"/>
      <c r="H159" s="274"/>
      <c r="I159" s="274"/>
      <c r="J159" s="274"/>
      <c r="K159" s="275"/>
      <c r="L159" s="275"/>
      <c r="M159" s="275"/>
      <c r="N159" s="275"/>
      <c r="O159" s="275"/>
      <c r="P159" s="275"/>
      <c r="Q159" s="275"/>
      <c r="R159" s="275"/>
      <c r="S159" s="275"/>
      <c r="T159" s="270"/>
      <c r="U159" s="278"/>
      <c r="V159" s="170"/>
      <c r="W159" s="170"/>
      <c r="X159" s="170"/>
      <c r="Y159" s="170"/>
      <c r="Z159" s="170"/>
      <c r="AA159" s="170"/>
      <c r="AB159" s="170"/>
      <c r="AC159" s="170"/>
      <c r="AD159" s="170"/>
      <c r="AE159" s="170"/>
      <c r="AF159" s="170"/>
      <c r="AG159" s="170"/>
      <c r="AH159" s="170"/>
      <c r="AI159" s="170"/>
      <c r="AJ159" s="170"/>
      <c r="AK159" s="170"/>
      <c r="AL159" s="170"/>
      <c r="AM159" s="170"/>
      <c r="AN159" s="170"/>
      <c r="AO159" s="170"/>
      <c r="AP159" s="170"/>
      <c r="AQ159" s="170"/>
      <c r="AR159" s="170"/>
      <c r="AS159" s="170"/>
      <c r="AT159" s="170"/>
      <c r="AU159" s="170"/>
      <c r="AV159" s="170"/>
      <c r="AW159" s="170"/>
      <c r="AX159" s="170"/>
      <c r="AY159" s="170"/>
      <c r="AZ159" s="170"/>
      <c r="BA159" s="284"/>
      <c r="BB159" s="170"/>
      <c r="BC159" s="170"/>
      <c r="BD159" s="170"/>
      <c r="BE159" s="170"/>
      <c r="BF159" s="170"/>
      <c r="BG159" s="170"/>
      <c r="BH159" s="170"/>
      <c r="BI159" s="170"/>
      <c r="BJ159" s="170"/>
      <c r="BK159" s="170"/>
      <c r="BL159" s="170"/>
      <c r="BM159" s="170"/>
      <c r="BN159" s="170"/>
      <c r="BO159" s="170"/>
      <c r="BP159" s="331"/>
      <c r="BQ159" s="331"/>
      <c r="BR159" s="331"/>
      <c r="BS159" s="331"/>
      <c r="BT159" s="331"/>
      <c r="BU159" s="331"/>
      <c r="BV159" s="331"/>
      <c r="BW159" s="331"/>
      <c r="BX159" s="331"/>
      <c r="BY159" s="331"/>
      <c r="BZ159" s="169"/>
      <c r="CA159" s="169"/>
      <c r="CB159" s="169"/>
      <c r="CC159" s="169"/>
      <c r="CD159" s="169"/>
      <c r="CO159" s="169"/>
      <c r="CP159" s="169"/>
      <c r="CQ159" s="169"/>
      <c r="CR159" s="169"/>
      <c r="CS159" s="169"/>
    </row>
    <row r="160" spans="1:118" s="114" customFormat="1" ht="0.75" customHeight="1">
      <c r="A160" s="249"/>
      <c r="B160" s="299"/>
      <c r="C160" s="249"/>
      <c r="D160" s="286"/>
      <c r="E160" s="316"/>
      <c r="F160" s="198"/>
      <c r="G160" s="329" t="s">
        <v>135</v>
      </c>
      <c r="H160" s="329"/>
      <c r="I160" s="329"/>
      <c r="J160" s="329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53"/>
      <c r="V160" s="170"/>
      <c r="W160" s="170"/>
      <c r="X160" s="170"/>
      <c r="Y160" s="170"/>
      <c r="Z160" s="170"/>
      <c r="AA160" s="170"/>
      <c r="AB160" s="170"/>
      <c r="AC160" s="170"/>
      <c r="AD160" s="170"/>
      <c r="AE160" s="170"/>
      <c r="AF160" s="170"/>
      <c r="AG160" s="170"/>
      <c r="AH160" s="170"/>
      <c r="AI160" s="170"/>
      <c r="AJ160" s="170"/>
      <c r="AK160" s="170"/>
      <c r="AL160" s="170"/>
      <c r="AM160" s="170"/>
      <c r="AN160" s="170"/>
      <c r="AO160" s="170"/>
      <c r="AP160" s="170"/>
      <c r="AQ160" s="170"/>
      <c r="AR160" s="170"/>
      <c r="AS160" s="170"/>
      <c r="AT160" s="170"/>
      <c r="AU160" s="170"/>
      <c r="AV160" s="170"/>
      <c r="AW160" s="170"/>
      <c r="AX160" s="170"/>
      <c r="AY160" s="170"/>
      <c r="AZ160" s="170"/>
      <c r="BA160" s="278"/>
      <c r="BB160" s="170"/>
      <c r="BC160" s="170"/>
      <c r="BD160" s="170"/>
      <c r="BE160" s="170"/>
      <c r="BF160" s="170"/>
      <c r="BG160" s="170"/>
      <c r="BH160" s="170"/>
      <c r="BI160" s="170"/>
      <c r="BJ160" s="170"/>
      <c r="BK160" s="170"/>
      <c r="BL160" s="170"/>
      <c r="BM160" s="170"/>
      <c r="BN160" s="170"/>
      <c r="BO160" s="170"/>
      <c r="BP160" s="331"/>
      <c r="BQ160" s="331"/>
      <c r="BR160" s="331"/>
      <c r="BS160" s="331"/>
      <c r="BT160" s="331"/>
      <c r="BU160" s="331"/>
      <c r="BV160" s="331"/>
      <c r="BW160" s="331"/>
      <c r="BX160" s="331"/>
      <c r="BY160" s="331"/>
      <c r="BZ160" s="169"/>
      <c r="CA160" s="169"/>
      <c r="CB160" s="169"/>
      <c r="CC160" s="169"/>
      <c r="CD160" s="169"/>
      <c r="CO160" s="169"/>
      <c r="CP160" s="169"/>
      <c r="CQ160" s="169"/>
      <c r="CR160" s="169"/>
      <c r="CS160" s="169"/>
      <c r="DG160" s="169"/>
      <c r="DH160" s="169"/>
      <c r="DI160" s="169"/>
      <c r="DJ160" s="169"/>
      <c r="DK160" s="169"/>
      <c r="DL160" s="169"/>
      <c r="DM160" s="169"/>
      <c r="DN160" s="169"/>
    </row>
    <row r="161" spans="1:118" s="114" customFormat="1" ht="12" customHeight="1">
      <c r="A161" s="169"/>
      <c r="B161" s="169"/>
      <c r="C161" s="169"/>
      <c r="D161" s="347"/>
      <c r="E161" s="169"/>
      <c r="F161" s="348"/>
      <c r="G161" s="348"/>
      <c r="H161" s="348"/>
      <c r="I161" s="348"/>
      <c r="J161" s="348"/>
      <c r="K161" s="348"/>
      <c r="L161" s="348"/>
      <c r="M161" s="349"/>
      <c r="N161" s="348"/>
      <c r="O161" s="348"/>
      <c r="P161" s="348"/>
      <c r="Q161" s="348"/>
      <c r="R161" s="348"/>
      <c r="S161" s="348"/>
      <c r="T161" s="348"/>
      <c r="U161" s="53"/>
      <c r="V161" s="170"/>
      <c r="W161" s="170"/>
      <c r="X161" s="170"/>
      <c r="Y161" s="170"/>
      <c r="Z161" s="170"/>
      <c r="AA161" s="170"/>
      <c r="AB161" s="170"/>
      <c r="AC161" s="170"/>
      <c r="AD161" s="170"/>
      <c r="AE161" s="170"/>
      <c r="AF161" s="170"/>
      <c r="AG161" s="170"/>
      <c r="AH161" s="170"/>
      <c r="AI161" s="170"/>
      <c r="AJ161" s="170"/>
      <c r="AK161" s="170"/>
      <c r="AL161" s="170"/>
      <c r="AM161" s="170"/>
      <c r="AN161" s="170"/>
      <c r="AO161" s="170"/>
      <c r="AP161" s="170"/>
      <c r="AQ161" s="170"/>
      <c r="AR161" s="170"/>
      <c r="AS161" s="170"/>
      <c r="AT161" s="170"/>
      <c r="AU161" s="170"/>
      <c r="AV161" s="170"/>
      <c r="AW161" s="170"/>
      <c r="AX161" s="170"/>
      <c r="AY161" s="170"/>
      <c r="AZ161" s="170"/>
      <c r="BA161" s="278"/>
      <c r="BB161" s="170"/>
      <c r="BC161" s="170"/>
      <c r="BD161" s="170"/>
      <c r="BE161" s="170"/>
      <c r="BF161" s="170"/>
      <c r="BG161" s="170"/>
      <c r="BH161" s="170"/>
      <c r="BI161" s="170"/>
      <c r="BJ161" s="170"/>
      <c r="BK161" s="170"/>
      <c r="BL161" s="170"/>
      <c r="BM161" s="170"/>
      <c r="BN161" s="170"/>
      <c r="BO161" s="170"/>
      <c r="BP161" s="331"/>
      <c r="BQ161" s="331"/>
      <c r="BR161" s="331"/>
      <c r="BS161" s="331"/>
      <c r="BT161" s="331"/>
      <c r="BU161" s="331"/>
      <c r="BV161" s="331"/>
      <c r="BW161" s="331"/>
      <c r="BX161" s="331"/>
      <c r="BY161" s="331"/>
      <c r="BZ161" s="169"/>
      <c r="CA161" s="169"/>
      <c r="CB161" s="169"/>
      <c r="CC161" s="169"/>
      <c r="CD161" s="169"/>
      <c r="CO161" s="169"/>
      <c r="CP161" s="169"/>
      <c r="CQ161" s="169"/>
      <c r="CR161" s="169"/>
      <c r="CS161" s="169"/>
      <c r="DG161" s="169"/>
      <c r="DH161" s="169"/>
      <c r="DI161" s="169"/>
      <c r="DJ161" s="169"/>
      <c r="DK161" s="169"/>
      <c r="DL161" s="169"/>
      <c r="DM161" s="169"/>
      <c r="DN161" s="169"/>
    </row>
    <row r="162" spans="1:118" s="114" customFormat="1" ht="12" customHeight="1">
      <c r="A162" s="169"/>
      <c r="B162" s="169"/>
      <c r="C162" s="169"/>
      <c r="D162" s="347"/>
      <c r="E162" s="169"/>
      <c r="U162" s="278"/>
      <c r="V162" s="170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0"/>
      <c r="AK162" s="170"/>
      <c r="AL162" s="170"/>
      <c r="AM162" s="170"/>
      <c r="AN162" s="170"/>
      <c r="AO162" s="170"/>
      <c r="AP162" s="170"/>
      <c r="AQ162" s="170"/>
      <c r="AR162" s="170"/>
      <c r="AS162" s="170"/>
      <c r="AT162" s="170"/>
      <c r="AU162" s="170"/>
      <c r="AV162" s="170"/>
      <c r="AW162" s="170"/>
      <c r="AX162" s="170"/>
      <c r="AY162" s="170"/>
      <c r="AZ162" s="170"/>
      <c r="BA162" s="278"/>
      <c r="BB162" s="170"/>
      <c r="BC162" s="170"/>
      <c r="BD162" s="170"/>
      <c r="BE162" s="170"/>
      <c r="BF162" s="170"/>
      <c r="BG162" s="170"/>
      <c r="BH162" s="170"/>
      <c r="BI162" s="170"/>
      <c r="BJ162" s="170"/>
      <c r="BK162" s="170"/>
      <c r="BL162" s="170"/>
      <c r="BM162" s="170"/>
      <c r="BN162" s="170"/>
      <c r="BO162" s="170"/>
      <c r="BP162" s="331"/>
      <c r="BQ162" s="331"/>
      <c r="BR162" s="331"/>
      <c r="BS162" s="331"/>
      <c r="BT162" s="331"/>
      <c r="BU162" s="331"/>
      <c r="BV162" s="331"/>
      <c r="BW162" s="331"/>
      <c r="BX162" s="331"/>
      <c r="BY162" s="331"/>
      <c r="BZ162" s="169"/>
      <c r="CA162" s="169"/>
      <c r="CB162" s="169"/>
      <c r="CC162" s="169"/>
      <c r="CD162" s="169"/>
      <c r="CO162" s="169"/>
      <c r="CP162" s="169"/>
      <c r="CQ162" s="169"/>
      <c r="CR162" s="169"/>
      <c r="CS162" s="169"/>
      <c r="DG162" s="169"/>
      <c r="DH162" s="169"/>
      <c r="DI162" s="169"/>
      <c r="DJ162" s="169"/>
      <c r="DK162" s="169"/>
      <c r="DL162" s="169"/>
      <c r="DM162" s="169"/>
      <c r="DN162" s="169"/>
    </row>
    <row r="163" spans="1:118">
      <c r="A163"/>
      <c r="B163"/>
      <c r="C163"/>
      <c r="D163" s="84"/>
      <c r="E163"/>
      <c r="M163"/>
      <c r="N163"/>
      <c r="O163"/>
      <c r="P163"/>
      <c r="Q163"/>
      <c r="DG163"/>
      <c r="DH163"/>
      <c r="DI163"/>
      <c r="DJ163"/>
      <c r="DK163"/>
      <c r="DL163"/>
      <c r="DM163"/>
      <c r="DN163"/>
    </row>
    <row r="164" spans="1:118">
      <c r="M164"/>
      <c r="N164"/>
      <c r="O164"/>
      <c r="P164"/>
      <c r="Q164"/>
      <c r="DG164"/>
      <c r="DH164"/>
      <c r="DI164"/>
      <c r="DJ164"/>
      <c r="DK164"/>
      <c r="DL164"/>
      <c r="DM164"/>
      <c r="DN164"/>
    </row>
  </sheetData>
  <sheetProtection algorithmName="SHA-512" hashValue="Q1IYpOkcvvNPRfW29qBFCSV27XG/xDbFGZslIYNHxC5GZCJlHFD7jPih80fNIC7ZdL4ZNtndS2126dkrP+wFqQ==" saltValue="AKxK33I3tcePVMbjJJSz7A==" spinCount="100000" sheet="1" objects="1" scenarios="1" formatColumns="0" formatRows="0"/>
  <mergeCells count="35">
    <mergeCell ref="B57:B84"/>
    <mergeCell ref="C59:C71"/>
    <mergeCell ref="F120:F123"/>
    <mergeCell ref="B1:B28"/>
    <mergeCell ref="C3:C15"/>
    <mergeCell ref="C16:C28"/>
    <mergeCell ref="C72:C84"/>
    <mergeCell ref="G1:G2"/>
    <mergeCell ref="F1:F2"/>
    <mergeCell ref="F57:F58"/>
    <mergeCell ref="L120:L123"/>
    <mergeCell ref="M120:T120"/>
    <mergeCell ref="G57:G58"/>
    <mergeCell ref="K120:K123"/>
    <mergeCell ref="J120:J123"/>
    <mergeCell ref="H120:H123"/>
    <mergeCell ref="G128:G129"/>
    <mergeCell ref="G126:G127"/>
    <mergeCell ref="R121:R123"/>
    <mergeCell ref="BP131:BY131"/>
    <mergeCell ref="Q121:Q123"/>
    <mergeCell ref="P122:P123"/>
    <mergeCell ref="N121:P121"/>
    <mergeCell ref="M121:M123"/>
    <mergeCell ref="I120:I123"/>
    <mergeCell ref="T121:T123"/>
    <mergeCell ref="N122:N123"/>
    <mergeCell ref="O122:O123"/>
    <mergeCell ref="S121:S123"/>
    <mergeCell ref="G120:G123"/>
    <mergeCell ref="B132:B159"/>
    <mergeCell ref="F132:F133"/>
    <mergeCell ref="G132:G133"/>
    <mergeCell ref="C134:C146"/>
    <mergeCell ref="C147:C159"/>
  </mergeCells>
  <phoneticPr fontId="3" type="noConversion"/>
  <dataValidations disablePrompts="1" count="1">
    <dataValidation allowBlank="1" showInputMessage="1" showErrorMessage="1" sqref="Q121:R123 N122:P122"/>
  </dataValidations>
  <pageMargins left="0.37" right="0.35" top="1" bottom="1" header="0.5" footer="0.5"/>
  <pageSetup paperSize="9" scale="37" orientation="landscape" horizontalDpi="4294967292" verticalDpi="4294967292" r:id="rId1"/>
  <headerFooter alignWithMargins="0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EAT_CALC">
    <tabColor rgb="FF00B050"/>
  </sheetPr>
  <dimension ref="A1:AY496"/>
  <sheetViews>
    <sheetView showGridLines="0" topLeftCell="AK9" zoomScale="90" zoomScaleNormal="90" workbookViewId="0">
      <pane xSplit="8" ySplit="14" topLeftCell="AS432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 activeCell="AU463" sqref="AU463"/>
    </sheetView>
  </sheetViews>
  <sheetFormatPr defaultRowHeight="11.4"/>
  <cols>
    <col min="1" max="35" width="4.625" hidden="1" customWidth="1"/>
    <col min="36" max="36" width="2.75" hidden="1" customWidth="1"/>
    <col min="37" max="37" width="2.75" customWidth="1"/>
    <col min="38" max="38" width="2.75" hidden="1" customWidth="1"/>
    <col min="39" max="39" width="13.75" customWidth="1"/>
    <col min="40" max="40" width="48.75" customWidth="1"/>
    <col min="41" max="44" width="12.75" customWidth="1"/>
    <col min="45" max="45" width="9.125" hidden="1" customWidth="1"/>
    <col min="46" max="48" width="12.75" customWidth="1"/>
    <col min="49" max="49" width="9.125" hidden="1" customWidth="1"/>
    <col min="50" max="51" width="2.625" customWidth="1"/>
  </cols>
  <sheetData>
    <row r="1" spans="1:51" ht="11.25" hidden="1" customHeight="1">
      <c r="A1" s="2"/>
      <c r="B1" s="2"/>
      <c r="C1" s="2"/>
      <c r="D1" s="2"/>
      <c r="E1" s="2"/>
      <c r="F1" s="2"/>
      <c r="G1" s="2"/>
      <c r="H1" s="2"/>
      <c r="I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0"/>
      <c r="AM1" s="26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 ht="11.25" hidden="1" customHeight="1">
      <c r="A2" s="2"/>
      <c r="B2" s="2"/>
      <c r="C2" s="2"/>
      <c r="D2" s="2"/>
      <c r="E2" s="2"/>
      <c r="F2" s="2"/>
      <c r="G2" s="2"/>
      <c r="H2" s="2"/>
      <c r="I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0"/>
      <c r="AM2" s="26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1.25" hidden="1" customHeight="1">
      <c r="A3" s="2"/>
      <c r="B3" s="2"/>
      <c r="C3" s="2"/>
      <c r="D3" s="2"/>
      <c r="E3" s="2"/>
      <c r="F3" s="2"/>
      <c r="G3" s="2"/>
      <c r="H3" s="2"/>
      <c r="I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0"/>
      <c r="AM3" s="26"/>
      <c r="AN3" s="2"/>
      <c r="AO3" s="2"/>
      <c r="AP3" s="2"/>
      <c r="AQ3" s="2"/>
      <c r="AR3" s="2"/>
      <c r="AS3" s="2"/>
      <c r="AW3" s="2"/>
      <c r="AX3" s="2"/>
      <c r="AY3" s="2"/>
    </row>
    <row r="4" spans="1:51" ht="11.25" hidden="1" customHeight="1">
      <c r="A4" s="2"/>
      <c r="B4" s="2"/>
      <c r="C4" s="2"/>
      <c r="D4" s="2"/>
      <c r="E4" s="2"/>
      <c r="F4" s="2"/>
      <c r="G4" s="2"/>
      <c r="H4" s="2"/>
      <c r="I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0"/>
      <c r="AM4" s="26"/>
      <c r="AN4" s="2"/>
      <c r="AO4" s="2"/>
      <c r="AP4" s="2"/>
      <c r="AQ4" s="2"/>
      <c r="AR4" s="2"/>
      <c r="AS4" s="2"/>
      <c r="AW4" s="2"/>
      <c r="AX4" s="2"/>
      <c r="AY4" s="2"/>
    </row>
    <row r="5" spans="1:51" ht="11.25" hidden="1" customHeight="1">
      <c r="A5" s="2"/>
      <c r="B5" s="2"/>
      <c r="C5" s="2"/>
      <c r="D5" s="2"/>
      <c r="E5" s="2"/>
      <c r="F5" s="2"/>
      <c r="G5" s="2"/>
      <c r="H5" s="2"/>
      <c r="I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0"/>
      <c r="AM5" s="26"/>
      <c r="AN5" s="2"/>
      <c r="AO5" s="2"/>
      <c r="AP5" s="2"/>
      <c r="AQ5" s="2"/>
      <c r="AR5" s="2"/>
      <c r="AS5" s="2"/>
      <c r="AT5" s="157"/>
      <c r="AU5" s="157"/>
      <c r="AV5" s="157"/>
      <c r="AW5" s="2"/>
      <c r="AX5" s="2"/>
      <c r="AY5" s="2"/>
    </row>
    <row r="6" spans="1:51" ht="11.25" hidden="1" customHeight="1">
      <c r="A6" s="2"/>
      <c r="B6" s="2"/>
      <c r="C6" s="2"/>
      <c r="D6" s="2"/>
      <c r="E6" s="2"/>
      <c r="F6" s="2"/>
      <c r="G6" s="2"/>
      <c r="H6" s="2"/>
      <c r="I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0"/>
      <c r="AM6" s="26"/>
      <c r="AN6" s="2"/>
      <c r="AO6" s="2"/>
      <c r="AP6" s="157">
        <v>12</v>
      </c>
      <c r="AQ6" s="157">
        <v>6</v>
      </c>
      <c r="AR6" s="157">
        <v>6</v>
      </c>
      <c r="AS6" s="2"/>
      <c r="AT6" s="157">
        <v>12</v>
      </c>
      <c r="AU6" s="157">
        <v>6</v>
      </c>
      <c r="AV6" s="157">
        <v>6</v>
      </c>
      <c r="AW6" s="2"/>
      <c r="AX6" s="2"/>
      <c r="AY6" s="2"/>
    </row>
    <row r="7" spans="1:51" ht="11.25" hidden="1" customHeight="1">
      <c r="A7" s="2"/>
      <c r="B7" s="2"/>
      <c r="C7" s="2"/>
      <c r="D7" s="2"/>
      <c r="E7" s="2"/>
      <c r="F7" s="2"/>
      <c r="G7" s="2"/>
      <c r="H7" s="2"/>
      <c r="I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0"/>
      <c r="AM7" s="26"/>
      <c r="AN7" s="2"/>
      <c r="AO7" s="2"/>
      <c r="AP7" s="157"/>
      <c r="AQ7" s="157"/>
      <c r="AR7" s="157"/>
      <c r="AS7" s="2"/>
      <c r="AT7" s="147"/>
      <c r="AU7" s="147"/>
      <c r="AV7" s="147"/>
      <c r="AW7" s="2"/>
      <c r="AX7" s="2"/>
      <c r="AY7" s="2"/>
    </row>
    <row r="8" spans="1:51" ht="11.25" hidden="1" customHeight="1">
      <c r="A8" s="114"/>
      <c r="B8" s="114"/>
      <c r="C8" s="114"/>
      <c r="D8" s="114"/>
      <c r="E8" s="114"/>
      <c r="F8" s="114"/>
      <c r="G8" s="114"/>
      <c r="H8" s="114"/>
      <c r="I8" s="114"/>
      <c r="J8" s="169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70"/>
      <c r="AM8" s="171"/>
      <c r="AN8" s="114"/>
      <c r="AO8" s="114"/>
      <c r="AP8" s="172"/>
      <c r="AQ8" s="172"/>
      <c r="AR8" s="172"/>
      <c r="AS8" s="114"/>
      <c r="AT8" s="172"/>
      <c r="AU8" s="172"/>
      <c r="AV8" s="172"/>
      <c r="AW8" s="114"/>
      <c r="AX8" s="114"/>
      <c r="AY8" s="114"/>
    </row>
    <row r="9" spans="1:51">
      <c r="A9" s="148"/>
      <c r="B9" s="144"/>
      <c r="C9" s="144"/>
      <c r="D9" s="144"/>
      <c r="E9" s="144"/>
      <c r="F9" s="144"/>
      <c r="G9" s="144"/>
      <c r="H9" s="144"/>
      <c r="I9" s="144"/>
      <c r="J9" s="155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8"/>
      <c r="AM9" s="156"/>
      <c r="AN9" s="144"/>
      <c r="AO9" s="144"/>
      <c r="AP9" s="143" t="s">
        <v>275</v>
      </c>
      <c r="AQ9" s="143" t="s">
        <v>194</v>
      </c>
      <c r="AR9" s="143" t="s">
        <v>609</v>
      </c>
      <c r="AS9" s="144"/>
      <c r="AT9" s="143" t="s">
        <v>275</v>
      </c>
      <c r="AU9" s="143" t="s">
        <v>194</v>
      </c>
      <c r="AV9" s="143" t="s">
        <v>609</v>
      </c>
      <c r="AW9" s="144"/>
      <c r="AX9" s="144"/>
      <c r="AY9" s="144"/>
    </row>
    <row r="10" spans="1:51">
      <c r="A10" s="144"/>
      <c r="B10" s="144"/>
      <c r="C10" s="144"/>
      <c r="D10" s="144"/>
      <c r="E10" s="144"/>
      <c r="F10" s="144"/>
      <c r="G10" s="144"/>
      <c r="H10" s="144"/>
      <c r="I10" s="144"/>
      <c r="J10" s="155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8"/>
      <c r="AM10" s="156"/>
      <c r="AN10" s="144"/>
      <c r="AO10" s="144"/>
      <c r="AP10" s="143"/>
      <c r="AQ10" s="143"/>
      <c r="AR10" s="143"/>
      <c r="AS10" s="144" t="s">
        <v>276</v>
      </c>
      <c r="AT10" s="215"/>
      <c r="AU10" s="215"/>
      <c r="AV10" s="215"/>
      <c r="AW10" s="144" t="s">
        <v>277</v>
      </c>
      <c r="AX10" s="144"/>
      <c r="AY10" s="144"/>
    </row>
    <row r="11" spans="1:51">
      <c r="A11" s="144"/>
      <c r="B11" s="144"/>
      <c r="C11" s="144"/>
      <c r="D11" s="144"/>
      <c r="E11" s="144"/>
      <c r="F11" s="144"/>
      <c r="G11" s="144"/>
      <c r="H11" s="144"/>
      <c r="I11" s="144"/>
      <c r="J11" s="155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8"/>
      <c r="AM11" s="156"/>
      <c r="AN11" s="144"/>
      <c r="AO11" s="144"/>
      <c r="AP11" s="143"/>
      <c r="AQ11" s="143"/>
      <c r="AR11" s="143"/>
      <c r="AS11" s="144"/>
      <c r="AT11" s="143"/>
      <c r="AU11" s="143"/>
      <c r="AV11" s="143"/>
      <c r="AW11" s="144"/>
      <c r="AX11" s="144"/>
      <c r="AY11" s="144"/>
    </row>
    <row r="12" spans="1:51">
      <c r="A12" s="144"/>
      <c r="B12" s="144"/>
      <c r="C12" s="144"/>
      <c r="D12" s="144"/>
      <c r="E12" s="144"/>
      <c r="F12" s="144"/>
      <c r="G12" s="144"/>
      <c r="H12" s="144"/>
      <c r="I12" s="144"/>
      <c r="J12" s="155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8"/>
      <c r="AM12" s="157"/>
      <c r="AN12" s="71" t="s">
        <v>2117</v>
      </c>
      <c r="AO12" s="71"/>
      <c r="AP12" s="143"/>
      <c r="AQ12" s="143"/>
      <c r="AR12" s="143"/>
      <c r="AS12" s="144"/>
      <c r="AT12" s="147"/>
      <c r="AU12" s="147"/>
      <c r="AV12" s="147"/>
      <c r="AW12" s="144"/>
      <c r="AX12" s="144"/>
      <c r="AY12" s="144"/>
    </row>
    <row r="13" spans="1:51" ht="27" customHeight="1">
      <c r="A13" s="2" t="s">
        <v>589</v>
      </c>
      <c r="B13" s="2"/>
      <c r="C13" s="2"/>
      <c r="D13" s="2"/>
      <c r="E13" s="2"/>
      <c r="F13" s="2"/>
      <c r="G13" s="2"/>
      <c r="H13" s="2"/>
      <c r="I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7"/>
      <c r="AL13" s="27"/>
      <c r="AM13" s="998" t="s">
        <v>2135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214" t="s">
        <v>20</v>
      </c>
      <c r="AU13" s="214" t="s">
        <v>273</v>
      </c>
      <c r="AV13" s="214" t="s">
        <v>274</v>
      </c>
      <c r="AW13" s="168"/>
      <c r="AX13" s="2"/>
      <c r="AY13" s="2"/>
    </row>
    <row r="14" spans="1:51" ht="26.25" hidden="1" customHeight="1">
      <c r="A14" s="2"/>
      <c r="B14" s="2"/>
      <c r="C14" s="2"/>
      <c r="D14" s="2"/>
      <c r="E14" s="2"/>
      <c r="F14" s="2"/>
      <c r="G14" s="2"/>
      <c r="H14" s="2"/>
      <c r="I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/>
      <c r="AL14" s="27"/>
      <c r="AM14" s="998"/>
      <c r="AN14" s="999"/>
      <c r="AO14" s="164"/>
      <c r="AP14" s="1000"/>
      <c r="AQ14" s="984"/>
      <c r="AR14" s="984"/>
      <c r="AS14" s="168"/>
      <c r="AT14" s="919"/>
      <c r="AU14" s="920"/>
      <c r="AV14" s="920"/>
      <c r="AW14" s="168"/>
      <c r="AX14" s="9"/>
      <c r="AY14" s="2"/>
    </row>
    <row r="15" spans="1:51" ht="11.25" hidden="1" customHeight="1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0"/>
      <c r="AM15" s="26"/>
      <c r="AN15" s="2"/>
      <c r="AO15" s="2"/>
      <c r="AP15" s="167"/>
      <c r="AQ15" s="167"/>
      <c r="AR15" s="167"/>
      <c r="AS15" s="2"/>
      <c r="AT15" s="167" t="str">
        <f>AT17 &amp; "_" &amp; AT9</f>
        <v>1_Y</v>
      </c>
      <c r="AU15" s="167" t="str">
        <f>AU17 &amp; "_" &amp; AU9</f>
        <v>1_I</v>
      </c>
      <c r="AV15" s="167" t="str">
        <f>AV17 &amp; "_" &amp; AV9</f>
        <v>1_II</v>
      </c>
      <c r="AW15" s="2"/>
      <c r="AX15" s="2"/>
      <c r="AY15" s="2"/>
    </row>
    <row r="16" spans="1:51" ht="11.25" hidden="1" customHeight="1">
      <c r="A16" s="67"/>
      <c r="B16" s="67"/>
      <c r="C16" s="67"/>
      <c r="D16" s="67"/>
      <c r="E16" s="67"/>
      <c r="F16" s="67"/>
      <c r="G16" s="67"/>
      <c r="H16" s="67"/>
      <c r="I16" s="67"/>
      <c r="J16" s="66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76"/>
      <c r="AM16" s="67"/>
      <c r="AN16" s="67"/>
      <c r="AO16" s="67"/>
      <c r="AP16" s="67"/>
      <c r="AQ16" s="67"/>
      <c r="AR16" s="67"/>
      <c r="AS16" s="65"/>
      <c r="AT16" s="158" t="s">
        <v>15006</v>
      </c>
      <c r="AU16" s="158" t="s">
        <v>15006</v>
      </c>
      <c r="AV16" s="158" t="s">
        <v>15006</v>
      </c>
      <c r="AW16" s="65"/>
      <c r="AX16" s="65"/>
      <c r="AY16" s="67"/>
    </row>
    <row r="17" spans="1:51" ht="12.75" hidden="1" customHeight="1">
      <c r="A17" s="148"/>
      <c r="B17" s="148"/>
      <c r="C17" s="148"/>
      <c r="D17" s="148"/>
      <c r="E17" s="148"/>
      <c r="F17" s="148"/>
      <c r="G17" s="148"/>
      <c r="H17" s="148"/>
      <c r="I17" s="148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167">
        <f>AT19</f>
        <v>1</v>
      </c>
      <c r="AU17" s="167">
        <f>AT19</f>
        <v>1</v>
      </c>
      <c r="AV17" s="167">
        <f>AT19</f>
        <v>1</v>
      </c>
      <c r="AW17" s="154"/>
      <c r="AX17" s="151"/>
      <c r="AY17" s="148"/>
    </row>
    <row r="18" spans="1:51" ht="11.25" hidden="1" customHeight="1">
      <c r="A18" s="2"/>
      <c r="B18" s="2"/>
      <c r="C18" s="2"/>
      <c r="D18" s="2"/>
      <c r="E18" s="2"/>
      <c r="F18" s="2"/>
      <c r="G18" s="2"/>
      <c r="H18" s="2"/>
      <c r="I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146"/>
      <c r="AN18" s="68"/>
      <c r="AO18" s="68"/>
      <c r="AP18" s="2"/>
      <c r="AQ18" s="2"/>
      <c r="AR18" s="2"/>
      <c r="AS18" s="2"/>
      <c r="AT18" s="923" t="s">
        <v>134</v>
      </c>
      <c r="AU18" s="918"/>
      <c r="AV18" s="918"/>
      <c r="AW18" s="2" t="s">
        <v>135</v>
      </c>
      <c r="AX18" s="2"/>
      <c r="AY18" s="2"/>
    </row>
    <row r="19" spans="1:51" ht="11.25" customHeight="1">
      <c r="A19" s="2"/>
      <c r="B19" s="2"/>
      <c r="C19" s="2"/>
      <c r="D19" s="2"/>
      <c r="E19" s="2"/>
      <c r="F19" s="2"/>
      <c r="G19" s="2"/>
      <c r="H19" s="2"/>
      <c r="I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7"/>
      <c r="AL19" s="20"/>
      <c r="AM19" s="925" t="s">
        <v>104</v>
      </c>
      <c r="AN19" s="1001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917">
        <v>1</v>
      </c>
      <c r="AU19" s="917"/>
      <c r="AV19" s="917"/>
      <c r="AW19" s="161"/>
      <c r="AX19" s="61"/>
      <c r="AY19" s="2"/>
    </row>
    <row r="20" spans="1:51" ht="24" customHeight="1">
      <c r="A20" s="2"/>
      <c r="B20" s="2"/>
      <c r="C20" s="2"/>
      <c r="D20" s="2"/>
      <c r="E20" s="2"/>
      <c r="F20" s="2"/>
      <c r="G20" s="2"/>
      <c r="H20" s="2"/>
      <c r="I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7"/>
      <c r="AL20" s="76"/>
      <c r="AM20" s="925"/>
      <c r="AN20" s="1002"/>
      <c r="AO20" s="913"/>
      <c r="AP20" s="1005"/>
      <c r="AQ20" s="1006"/>
      <c r="AR20" s="1006"/>
      <c r="AS20" s="174"/>
      <c r="AT20" s="914" t="str">
        <f>IF('Список территорий'!$I$16="","Не определено",'Список территорий'!$G$16 &amp; " / " &amp; 'Список территорий'!$H$16 &amp; " / " &amp; 'Список территорий'!$I$16)</f>
        <v>город Нижний Новгород / город Нижний Новгород / 22701000</v>
      </c>
      <c r="AU20" s="915"/>
      <c r="AV20" s="915"/>
      <c r="AW20" s="161"/>
      <c r="AX20" s="61"/>
      <c r="AY20" s="2"/>
    </row>
    <row r="21" spans="1:51">
      <c r="A21" s="2"/>
      <c r="B21" s="2"/>
      <c r="C21" s="2"/>
      <c r="D21" s="2"/>
      <c r="E21" s="2"/>
      <c r="F21" s="2"/>
      <c r="G21" s="2"/>
      <c r="H21" s="2"/>
      <c r="I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7"/>
      <c r="AL21" s="150"/>
      <c r="AM21" s="220"/>
      <c r="AN21" s="517" t="s">
        <v>197</v>
      </c>
      <c r="AO21" s="177"/>
      <c r="AP21" s="182"/>
      <c r="AQ21" s="182"/>
      <c r="AR21" s="182"/>
      <c r="AS21" s="190"/>
      <c r="AT21" s="914" t="str">
        <f>IF('Список территорий'!$M$16="","Не определено",'Список территорий'!$M$16)</f>
        <v>да</v>
      </c>
      <c r="AU21" s="915"/>
      <c r="AV21" s="915"/>
      <c r="AW21" s="194"/>
      <c r="AX21" s="61"/>
      <c r="AY21" s="2"/>
    </row>
    <row r="22" spans="1:51" ht="24" customHeight="1">
      <c r="A22" s="2"/>
      <c r="B22" s="2"/>
      <c r="C22" s="2"/>
      <c r="D22" s="2"/>
      <c r="E22" s="2"/>
      <c r="F22" s="2"/>
      <c r="G22" s="2"/>
      <c r="H22" s="2"/>
      <c r="I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7"/>
      <c r="AL22" s="150"/>
      <c r="AM22" s="220"/>
      <c r="AN22" s="518"/>
      <c r="AO22" s="192"/>
      <c r="AP22" s="182"/>
      <c r="AQ22" s="182"/>
      <c r="AR22" s="182"/>
      <c r="AS22" s="190"/>
      <c r="AT22" s="914" t="str">
        <f>IF('Список территорий'!$AC$16="","Не определено",'Список территорий'!$AC$16)</f>
        <v>Тариф: Носитель - горячая вода (Т)</v>
      </c>
      <c r="AU22" s="915"/>
      <c r="AV22" s="915"/>
      <c r="AW22" s="194"/>
      <c r="AX22" s="61"/>
      <c r="AY22" s="2"/>
    </row>
    <row r="23" spans="1:51" ht="0.75" hidden="1" customHeight="1">
      <c r="A23" s="2"/>
      <c r="B23" s="2"/>
      <c r="C23" s="2"/>
      <c r="D23" s="2"/>
      <c r="E23" s="2"/>
      <c r="F23" s="2"/>
      <c r="G23" s="2"/>
      <c r="H23" s="2"/>
      <c r="I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150"/>
      <c r="AM23" s="589"/>
      <c r="AN23" s="165"/>
      <c r="AO23" s="160"/>
      <c r="AP23" s="261"/>
      <c r="AQ23" s="261"/>
      <c r="AR23" s="261"/>
      <c r="AS23" s="194"/>
      <c r="AT23" s="241"/>
      <c r="AU23" s="241"/>
      <c r="AV23" s="241"/>
      <c r="AW23" s="194"/>
      <c r="AX23" s="114"/>
      <c r="AY23" s="2"/>
    </row>
    <row r="24" spans="1:51" ht="0.75" hidden="1" customHeight="1">
      <c r="A24" s="2"/>
      <c r="B24" s="2"/>
      <c r="C24" s="2"/>
      <c r="D24" s="2"/>
      <c r="E24" s="2"/>
      <c r="F24" s="2"/>
      <c r="G24" s="2"/>
      <c r="H24" s="2"/>
      <c r="I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150"/>
      <c r="AM24" s="233"/>
      <c r="AN24" s="165"/>
      <c r="AO24" s="160"/>
      <c r="AP24" s="261"/>
      <c r="AQ24" s="261"/>
      <c r="AR24" s="261"/>
      <c r="AS24" s="194"/>
      <c r="AT24" s="241"/>
      <c r="AU24" s="241"/>
      <c r="AV24" s="241"/>
      <c r="AW24" s="194"/>
      <c r="AX24" s="114"/>
      <c r="AY24" s="2"/>
    </row>
    <row r="25" spans="1:51" ht="0.75" hidden="1" customHeight="1">
      <c r="A25" s="2"/>
      <c r="B25" s="2"/>
      <c r="C25" s="2"/>
      <c r="D25" s="2"/>
      <c r="E25" s="2"/>
      <c r="F25" s="2"/>
      <c r="G25" s="2"/>
      <c r="H25" s="2"/>
      <c r="I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150"/>
      <c r="AM25" s="233"/>
      <c r="AN25" s="165"/>
      <c r="AO25" s="160"/>
      <c r="AP25" s="261"/>
      <c r="AQ25" s="261"/>
      <c r="AR25" s="261"/>
      <c r="AS25" s="194"/>
      <c r="AT25" s="241"/>
      <c r="AU25" s="241"/>
      <c r="AV25" s="241"/>
      <c r="AW25" s="194"/>
      <c r="AX25" s="114"/>
      <c r="AY25" s="2"/>
    </row>
    <row r="26" spans="1:51" ht="0.75" hidden="1" customHeight="1">
      <c r="A26" s="2"/>
      <c r="B26" s="2"/>
      <c r="C26" s="2"/>
      <c r="D26" s="2"/>
      <c r="E26" s="2"/>
      <c r="F26" s="2"/>
      <c r="G26" s="2"/>
      <c r="H26" s="2"/>
      <c r="I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150"/>
      <c r="AM26" s="233"/>
      <c r="AN26" s="165"/>
      <c r="AO26" s="160"/>
      <c r="AP26" s="261"/>
      <c r="AQ26" s="261"/>
      <c r="AR26" s="261"/>
      <c r="AS26" s="194"/>
      <c r="AT26" s="241"/>
      <c r="AU26" s="241"/>
      <c r="AV26" s="241"/>
      <c r="AW26" s="194"/>
      <c r="AX26" s="114"/>
      <c r="AY26" s="2"/>
    </row>
    <row r="27" spans="1:51" ht="0.75" hidden="1" customHeight="1">
      <c r="A27" s="2"/>
      <c r="B27" s="2"/>
      <c r="C27" s="2"/>
      <c r="D27" s="2"/>
      <c r="E27" s="2"/>
      <c r="F27" s="2"/>
      <c r="G27" s="2"/>
      <c r="H27" s="2"/>
      <c r="I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150"/>
      <c r="AM27" s="233"/>
      <c r="AN27" s="165"/>
      <c r="AO27" s="160"/>
      <c r="AP27" s="261"/>
      <c r="AQ27" s="261"/>
      <c r="AR27" s="261"/>
      <c r="AS27" s="194"/>
      <c r="AT27" s="241"/>
      <c r="AU27" s="241"/>
      <c r="AV27" s="241"/>
      <c r="AW27" s="194"/>
      <c r="AX27" s="114"/>
      <c r="AY27" s="2"/>
    </row>
    <row r="28" spans="1:51" ht="0.75" hidden="1" customHeight="1">
      <c r="A28" s="2"/>
      <c r="B28" s="2"/>
      <c r="C28" s="2"/>
      <c r="D28" s="2"/>
      <c r="E28" s="2"/>
      <c r="F28" s="2"/>
      <c r="G28" s="2"/>
      <c r="H28" s="2"/>
      <c r="I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150"/>
      <c r="AM28" s="233"/>
      <c r="AN28" s="165"/>
      <c r="AO28" s="160"/>
      <c r="AP28" s="261"/>
      <c r="AQ28" s="261"/>
      <c r="AR28" s="261"/>
      <c r="AS28" s="194"/>
      <c r="AT28" s="241"/>
      <c r="AU28" s="241"/>
      <c r="AV28" s="241"/>
      <c r="AW28" s="194"/>
      <c r="AX28" s="114"/>
      <c r="AY28" s="2"/>
    </row>
    <row r="29" spans="1:51" ht="0.75" hidden="1" customHeight="1">
      <c r="A29" s="2"/>
      <c r="B29" s="2"/>
      <c r="C29" s="2"/>
      <c r="D29" s="2"/>
      <c r="E29" s="2"/>
      <c r="F29" s="2"/>
      <c r="G29" s="2"/>
      <c r="H29" s="2"/>
      <c r="I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150"/>
      <c r="AM29" s="233"/>
      <c r="AN29" s="165"/>
      <c r="AO29" s="160"/>
      <c r="AP29" s="261"/>
      <c r="AQ29" s="261"/>
      <c r="AR29" s="261"/>
      <c r="AS29" s="194"/>
      <c r="AT29" s="241"/>
      <c r="AU29" s="241"/>
      <c r="AV29" s="241"/>
      <c r="AW29" s="194"/>
      <c r="AX29" s="114"/>
      <c r="AY29" s="2"/>
    </row>
    <row r="30" spans="1:51" ht="0.75" hidden="1" customHeight="1">
      <c r="A30" s="2"/>
      <c r="B30" s="2"/>
      <c r="C30" s="2"/>
      <c r="D30" s="2"/>
      <c r="E30" s="2"/>
      <c r="F30" s="2"/>
      <c r="G30" s="2"/>
      <c r="H30" s="2"/>
      <c r="I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150"/>
      <c r="AM30" s="233"/>
      <c r="AN30" s="165"/>
      <c r="AO30" s="160"/>
      <c r="AP30" s="261"/>
      <c r="AQ30" s="261"/>
      <c r="AR30" s="261"/>
      <c r="AS30" s="194"/>
      <c r="AT30" s="241"/>
      <c r="AU30" s="241"/>
      <c r="AV30" s="241"/>
      <c r="AW30" s="194"/>
      <c r="AX30" s="114"/>
      <c r="AY30" s="2"/>
    </row>
    <row r="31" spans="1:51" ht="0.75" hidden="1" customHeight="1">
      <c r="A31" s="2"/>
      <c r="B31" s="2"/>
      <c r="C31" s="2"/>
      <c r="D31" s="2"/>
      <c r="E31" s="2"/>
      <c r="F31" s="2"/>
      <c r="G31" s="2"/>
      <c r="H31" s="2"/>
      <c r="I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150"/>
      <c r="AM31" s="233"/>
      <c r="AN31" s="165"/>
      <c r="AO31" s="160"/>
      <c r="AP31" s="261"/>
      <c r="AQ31" s="261"/>
      <c r="AR31" s="261"/>
      <c r="AS31" s="194"/>
      <c r="AT31" s="241"/>
      <c r="AU31" s="241"/>
      <c r="AV31" s="241"/>
      <c r="AW31" s="194"/>
      <c r="AX31" s="114"/>
      <c r="AY31" s="2"/>
    </row>
    <row r="32" spans="1:51" ht="0.75" hidden="1" customHeight="1">
      <c r="A32" s="2"/>
      <c r="B32" s="2"/>
      <c r="C32" s="2"/>
      <c r="D32" s="2"/>
      <c r="E32" s="2"/>
      <c r="F32" s="2"/>
      <c r="G32" s="2"/>
      <c r="H32" s="2"/>
      <c r="I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150"/>
      <c r="AM32" s="233"/>
      <c r="AN32" s="165"/>
      <c r="AO32" s="160"/>
      <c r="AP32" s="261"/>
      <c r="AQ32" s="261"/>
      <c r="AR32" s="261"/>
      <c r="AS32" s="194"/>
      <c r="AT32" s="241"/>
      <c r="AU32" s="241"/>
      <c r="AV32" s="241"/>
      <c r="AW32" s="194"/>
      <c r="AX32" s="114"/>
      <c r="AY32" s="2"/>
    </row>
    <row r="33" spans="1:51" ht="0.75" hidden="1" customHeight="1">
      <c r="A33" s="2"/>
      <c r="B33" s="2"/>
      <c r="C33" s="2"/>
      <c r="D33" s="2"/>
      <c r="E33" s="2"/>
      <c r="F33" s="2"/>
      <c r="G33" s="2"/>
      <c r="H33" s="2"/>
      <c r="I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150"/>
      <c r="AM33" s="233"/>
      <c r="AN33" s="165"/>
      <c r="AO33" s="160"/>
      <c r="AP33" s="261"/>
      <c r="AQ33" s="261"/>
      <c r="AR33" s="261"/>
      <c r="AS33" s="194"/>
      <c r="AT33" s="241"/>
      <c r="AU33" s="241"/>
      <c r="AV33" s="241"/>
      <c r="AW33" s="194"/>
      <c r="AX33" s="114"/>
      <c r="AY33" s="2"/>
    </row>
    <row r="34" spans="1:51" ht="0.75" hidden="1" customHeight="1">
      <c r="A34" s="2"/>
      <c r="B34" s="2"/>
      <c r="C34" s="2"/>
      <c r="D34" s="2"/>
      <c r="E34" s="2"/>
      <c r="F34" s="2"/>
      <c r="G34" s="2"/>
      <c r="H34" s="2"/>
      <c r="I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150"/>
      <c r="AM34" s="233"/>
      <c r="AN34" s="165"/>
      <c r="AO34" s="160"/>
      <c r="AP34" s="261"/>
      <c r="AQ34" s="261"/>
      <c r="AR34" s="261"/>
      <c r="AS34" s="194"/>
      <c r="AT34" s="241"/>
      <c r="AU34" s="241"/>
      <c r="AV34" s="241"/>
      <c r="AW34" s="194"/>
      <c r="AX34" s="114"/>
      <c r="AY34" s="2"/>
    </row>
    <row r="35" spans="1:51" ht="0.75" hidden="1" customHeight="1">
      <c r="A35" s="2"/>
      <c r="B35" s="2"/>
      <c r="C35" s="2"/>
      <c r="D35" s="2"/>
      <c r="E35" s="2"/>
      <c r="F35" s="2"/>
      <c r="G35" s="2"/>
      <c r="H35" s="2"/>
      <c r="I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150"/>
      <c r="AM35" s="447"/>
      <c r="AN35" s="165"/>
      <c r="AO35" s="160"/>
      <c r="AP35" s="261"/>
      <c r="AQ35" s="261"/>
      <c r="AR35" s="261"/>
      <c r="AS35" s="194"/>
      <c r="AT35" s="241"/>
      <c r="AU35" s="241"/>
      <c r="AV35" s="241"/>
      <c r="AW35" s="194"/>
      <c r="AX35" s="114"/>
      <c r="AY35" s="2"/>
    </row>
    <row r="36" spans="1:51" ht="36" customHeight="1">
      <c r="A36" s="10"/>
      <c r="B36" s="10"/>
      <c r="C36" s="10"/>
      <c r="D36" s="10"/>
      <c r="E36" s="10"/>
      <c r="F36" s="10"/>
      <c r="G36" s="10"/>
      <c r="H36" s="10"/>
      <c r="I36" s="10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150"/>
      <c r="AM36" s="490" t="s">
        <v>166</v>
      </c>
      <c r="AN36" s="494" t="s">
        <v>3000</v>
      </c>
      <c r="AO36" s="163" t="s">
        <v>195</v>
      </c>
      <c r="AP36" s="247">
        <f>SUMIF($AS$9:$AW$9,AP$9,$AS36:$AW36)</f>
        <v>7522.3671557784783</v>
      </c>
      <c r="AQ36" s="247">
        <f>SUMIF($AS$9:$AW$9,AQ$9,$AS36:$AW36)</f>
        <v>3761.1835778892391</v>
      </c>
      <c r="AR36" s="247">
        <f>SUMIF($AS$9:$AW$9,AR$9,$AS36:$AW36)</f>
        <v>3761.1835778892391</v>
      </c>
      <c r="AS36" s="194"/>
      <c r="AT36" s="730">
        <f>Т!AT1110</f>
        <v>7522.3671557784783</v>
      </c>
      <c r="AU36" s="730">
        <f>Т!AU1110</f>
        <v>3761.1835778892391</v>
      </c>
      <c r="AV36" s="730">
        <f>Т!AV1110</f>
        <v>3761.1835778892391</v>
      </c>
      <c r="AW36" s="194"/>
      <c r="AX36" s="326"/>
      <c r="AY36" s="2"/>
    </row>
    <row r="37" spans="1:51" ht="0.15" customHeight="1">
      <c r="A37" s="10"/>
      <c r="B37" s="10"/>
      <c r="C37" s="10"/>
      <c r="D37" s="10"/>
      <c r="E37" s="10"/>
      <c r="F37" s="10"/>
      <c r="G37" s="10"/>
      <c r="H37" s="10"/>
      <c r="I37" s="10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150"/>
      <c r="AM37" s="495"/>
      <c r="AN37" s="496"/>
      <c r="AO37" s="166"/>
      <c r="AP37" s="241"/>
      <c r="AQ37" s="241"/>
      <c r="AR37" s="241"/>
      <c r="AS37" s="194"/>
      <c r="AT37" s="241"/>
      <c r="AU37" s="241"/>
      <c r="AV37" s="241"/>
      <c r="AW37" s="194"/>
      <c r="AX37" s="326"/>
      <c r="AY37" s="2"/>
    </row>
    <row r="38" spans="1:51" ht="0.15" customHeight="1">
      <c r="A38" s="10"/>
      <c r="B38" s="10"/>
      <c r="C38" s="10"/>
      <c r="D38" s="10"/>
      <c r="E38" s="10"/>
      <c r="F38" s="10"/>
      <c r="G38" s="10"/>
      <c r="H38" s="10"/>
      <c r="I38" s="10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150"/>
      <c r="AM38" s="495"/>
      <c r="AN38" s="496"/>
      <c r="AO38" s="166"/>
      <c r="AP38" s="241"/>
      <c r="AQ38" s="241"/>
      <c r="AR38" s="241"/>
      <c r="AS38" s="194"/>
      <c r="AT38" s="241"/>
      <c r="AU38" s="241"/>
      <c r="AV38" s="241"/>
      <c r="AW38" s="194"/>
      <c r="AX38" s="326"/>
      <c r="AY38" s="2"/>
    </row>
    <row r="39" spans="1:51" ht="0.15" customHeight="1">
      <c r="A39" s="10"/>
      <c r="B39" s="10"/>
      <c r="C39" s="10"/>
      <c r="D39" s="10"/>
      <c r="E39" s="10"/>
      <c r="F39" s="10"/>
      <c r="G39" s="10"/>
      <c r="H39" s="10"/>
      <c r="I39" s="10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150"/>
      <c r="AM39" s="495"/>
      <c r="AN39" s="496"/>
      <c r="AO39" s="166"/>
      <c r="AP39" s="241"/>
      <c r="AQ39" s="241"/>
      <c r="AR39" s="241"/>
      <c r="AS39" s="194"/>
      <c r="AT39" s="241"/>
      <c r="AU39" s="241"/>
      <c r="AV39" s="241"/>
      <c r="AW39" s="194"/>
      <c r="AX39" s="326"/>
      <c r="AY39" s="2"/>
    </row>
    <row r="40" spans="1:51" ht="0.15" customHeight="1">
      <c r="A40" s="10"/>
      <c r="B40" s="10"/>
      <c r="C40" s="10"/>
      <c r="D40" s="10"/>
      <c r="E40" s="10"/>
      <c r="F40" s="10"/>
      <c r="G40" s="10"/>
      <c r="H40" s="10"/>
      <c r="I40" s="10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150"/>
      <c r="AM40" s="495"/>
      <c r="AN40" s="496"/>
      <c r="AO40" s="166"/>
      <c r="AP40" s="241"/>
      <c r="AQ40" s="241"/>
      <c r="AR40" s="241"/>
      <c r="AS40" s="194"/>
      <c r="AT40" s="241"/>
      <c r="AU40" s="241"/>
      <c r="AV40" s="241"/>
      <c r="AW40" s="194"/>
      <c r="AX40" s="326"/>
      <c r="AY40" s="2"/>
    </row>
    <row r="41" spans="1:51" ht="0.15" customHeight="1">
      <c r="A41" s="10"/>
      <c r="B41" s="10"/>
      <c r="C41" s="10"/>
      <c r="D41" s="10"/>
      <c r="E41" s="10"/>
      <c r="F41" s="10"/>
      <c r="G41" s="10"/>
      <c r="H41" s="10"/>
      <c r="I41" s="10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150"/>
      <c r="AM41" s="495"/>
      <c r="AN41" s="496"/>
      <c r="AO41" s="166"/>
      <c r="AP41" s="241"/>
      <c r="AQ41" s="241"/>
      <c r="AR41" s="241"/>
      <c r="AS41" s="194"/>
      <c r="AT41" s="241"/>
      <c r="AU41" s="241"/>
      <c r="AV41" s="241"/>
      <c r="AW41" s="194"/>
      <c r="AX41" s="326"/>
      <c r="AY41" s="2"/>
    </row>
    <row r="42" spans="1:51" ht="0.15" customHeight="1">
      <c r="A42" s="10"/>
      <c r="B42" s="10"/>
      <c r="C42" s="10"/>
      <c r="D42" s="10"/>
      <c r="E42" s="10"/>
      <c r="F42" s="10"/>
      <c r="G42" s="10"/>
      <c r="H42" s="10"/>
      <c r="I42" s="10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150"/>
      <c r="AM42" s="495"/>
      <c r="AN42" s="496"/>
      <c r="AO42" s="166"/>
      <c r="AP42" s="241"/>
      <c r="AQ42" s="241"/>
      <c r="AR42" s="241"/>
      <c r="AS42" s="194"/>
      <c r="AT42" s="241"/>
      <c r="AU42" s="241"/>
      <c r="AV42" s="241"/>
      <c r="AW42" s="194"/>
      <c r="AX42" s="326"/>
      <c r="AY42" s="2"/>
    </row>
    <row r="43" spans="1:51" ht="0.15" customHeight="1">
      <c r="A43" s="10"/>
      <c r="B43" s="10"/>
      <c r="C43" s="10"/>
      <c r="D43" s="10"/>
      <c r="E43" s="10"/>
      <c r="F43" s="10"/>
      <c r="G43" s="10"/>
      <c r="H43" s="10"/>
      <c r="I43" s="10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150"/>
      <c r="AM43" s="495"/>
      <c r="AN43" s="496"/>
      <c r="AO43" s="166"/>
      <c r="AP43" s="241"/>
      <c r="AQ43" s="241"/>
      <c r="AR43" s="241"/>
      <c r="AS43" s="194"/>
      <c r="AT43" s="241"/>
      <c r="AU43" s="241"/>
      <c r="AV43" s="241"/>
      <c r="AW43" s="194"/>
      <c r="AX43" s="326"/>
      <c r="AY43" s="2"/>
    </row>
    <row r="44" spans="1:51" ht="0.15" customHeight="1">
      <c r="A44" s="10"/>
      <c r="B44" s="10"/>
      <c r="C44" s="10"/>
      <c r="D44" s="10"/>
      <c r="E44" s="10"/>
      <c r="F44" s="10"/>
      <c r="G44" s="10"/>
      <c r="H44" s="10"/>
      <c r="I44" s="10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150"/>
      <c r="AM44" s="495"/>
      <c r="AN44" s="496"/>
      <c r="AO44" s="166"/>
      <c r="AP44" s="241"/>
      <c r="AQ44" s="241"/>
      <c r="AR44" s="241"/>
      <c r="AS44" s="194"/>
      <c r="AT44" s="241"/>
      <c r="AU44" s="241"/>
      <c r="AV44" s="241"/>
      <c r="AW44" s="194"/>
      <c r="AX44" s="326"/>
      <c r="AY44" s="2"/>
    </row>
    <row r="45" spans="1:51" ht="0.15" customHeight="1">
      <c r="A45" s="10"/>
      <c r="B45" s="10"/>
      <c r="C45" s="10"/>
      <c r="D45" s="10"/>
      <c r="E45" s="10"/>
      <c r="F45" s="10"/>
      <c r="G45" s="10"/>
      <c r="H45" s="10"/>
      <c r="I45" s="10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150"/>
      <c r="AM45" s="495"/>
      <c r="AN45" s="496"/>
      <c r="AO45" s="166"/>
      <c r="AP45" s="241"/>
      <c r="AQ45" s="241"/>
      <c r="AR45" s="241"/>
      <c r="AS45" s="194"/>
      <c r="AT45" s="241"/>
      <c r="AU45" s="241"/>
      <c r="AV45" s="241"/>
      <c r="AW45" s="194"/>
      <c r="AX45" s="326"/>
      <c r="AY45" s="2"/>
    </row>
    <row r="46" spans="1:51" ht="0.15" customHeight="1">
      <c r="A46" s="10"/>
      <c r="B46" s="10"/>
      <c r="C46" s="10"/>
      <c r="D46" s="10"/>
      <c r="E46" s="10"/>
      <c r="F46" s="10"/>
      <c r="G46" s="10"/>
      <c r="H46" s="10"/>
      <c r="I46" s="10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150"/>
      <c r="AM46" s="495"/>
      <c r="AN46" s="496"/>
      <c r="AO46" s="166"/>
      <c r="AP46" s="241"/>
      <c r="AQ46" s="241"/>
      <c r="AR46" s="241"/>
      <c r="AS46" s="194"/>
      <c r="AT46" s="241"/>
      <c r="AU46" s="241"/>
      <c r="AV46" s="241"/>
      <c r="AW46" s="194"/>
      <c r="AX46" s="326"/>
      <c r="AY46" s="2"/>
    </row>
    <row r="47" spans="1:51" ht="0.15" customHeight="1">
      <c r="A47" s="10"/>
      <c r="B47" s="10"/>
      <c r="C47" s="10"/>
      <c r="D47" s="10"/>
      <c r="E47" s="10"/>
      <c r="F47" s="10"/>
      <c r="G47" s="10"/>
      <c r="H47" s="10"/>
      <c r="I47" s="10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150"/>
      <c r="AM47" s="495"/>
      <c r="AN47" s="496"/>
      <c r="AO47" s="166"/>
      <c r="AP47" s="241"/>
      <c r="AQ47" s="241"/>
      <c r="AR47" s="241"/>
      <c r="AS47" s="194"/>
      <c r="AT47" s="241"/>
      <c r="AU47" s="241"/>
      <c r="AV47" s="241"/>
      <c r="AW47" s="194"/>
      <c r="AX47" s="326"/>
      <c r="AY47" s="2"/>
    </row>
    <row r="48" spans="1:51" ht="0.15" customHeight="1">
      <c r="A48" s="10"/>
      <c r="B48" s="10"/>
      <c r="C48" s="10"/>
      <c r="D48" s="10"/>
      <c r="E48" s="10"/>
      <c r="F48" s="10"/>
      <c r="G48" s="10"/>
      <c r="H48" s="10"/>
      <c r="I48" s="10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150"/>
      <c r="AM48" s="495"/>
      <c r="AN48" s="496"/>
      <c r="AO48" s="166"/>
      <c r="AP48" s="241"/>
      <c r="AQ48" s="241"/>
      <c r="AR48" s="241"/>
      <c r="AS48" s="194"/>
      <c r="AT48" s="241"/>
      <c r="AU48" s="241"/>
      <c r="AV48" s="241"/>
      <c r="AW48" s="194"/>
      <c r="AX48" s="326"/>
      <c r="AY48" s="2"/>
    </row>
    <row r="49" spans="1:51" ht="0.15" customHeight="1">
      <c r="A49" s="10"/>
      <c r="B49" s="10"/>
      <c r="C49" s="10"/>
      <c r="D49" s="10"/>
      <c r="E49" s="10"/>
      <c r="F49" s="10"/>
      <c r="G49" s="10"/>
      <c r="H49" s="10"/>
      <c r="I49" s="10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150"/>
      <c r="AM49" s="495"/>
      <c r="AN49" s="496"/>
      <c r="AO49" s="166"/>
      <c r="AP49" s="241"/>
      <c r="AQ49" s="241"/>
      <c r="AR49" s="241"/>
      <c r="AS49" s="194"/>
      <c r="AT49" s="241"/>
      <c r="AU49" s="241"/>
      <c r="AV49" s="241"/>
      <c r="AW49" s="194"/>
      <c r="AX49" s="326"/>
      <c r="AY49" s="2"/>
    </row>
    <row r="50" spans="1:51" ht="0.15" customHeight="1">
      <c r="A50" s="10"/>
      <c r="B50" s="10"/>
      <c r="C50" s="10"/>
      <c r="D50" s="10"/>
      <c r="E50" s="10"/>
      <c r="F50" s="10"/>
      <c r="G50" s="10"/>
      <c r="H50" s="10"/>
      <c r="I50" s="10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150"/>
      <c r="AM50" s="495"/>
      <c r="AN50" s="496"/>
      <c r="AO50" s="166"/>
      <c r="AP50" s="241"/>
      <c r="AQ50" s="241"/>
      <c r="AR50" s="241"/>
      <c r="AS50" s="194"/>
      <c r="AT50" s="241"/>
      <c r="AU50" s="241"/>
      <c r="AV50" s="241"/>
      <c r="AW50" s="194"/>
      <c r="AX50" s="326"/>
      <c r="AY50" s="2"/>
    </row>
    <row r="51" spans="1:51" ht="0.15" customHeight="1">
      <c r="A51" s="10"/>
      <c r="B51" s="10"/>
      <c r="C51" s="10"/>
      <c r="D51" s="10"/>
      <c r="E51" s="10"/>
      <c r="F51" s="10"/>
      <c r="G51" s="10"/>
      <c r="H51" s="10"/>
      <c r="I51" s="10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150"/>
      <c r="AM51" s="495"/>
      <c r="AN51" s="496"/>
      <c r="AO51" s="166"/>
      <c r="AP51" s="241"/>
      <c r="AQ51" s="241"/>
      <c r="AR51" s="241"/>
      <c r="AS51" s="194"/>
      <c r="AT51" s="241"/>
      <c r="AU51" s="241"/>
      <c r="AV51" s="241"/>
      <c r="AW51" s="194"/>
      <c r="AX51" s="326"/>
      <c r="AY51" s="2"/>
    </row>
    <row r="52" spans="1:51" ht="0.15" customHeight="1">
      <c r="A52" s="10"/>
      <c r="B52" s="10"/>
      <c r="C52" s="10"/>
      <c r="D52" s="10"/>
      <c r="E52" s="10"/>
      <c r="F52" s="10"/>
      <c r="G52" s="10"/>
      <c r="H52" s="10"/>
      <c r="I52" s="10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150"/>
      <c r="AM52" s="495"/>
      <c r="AN52" s="496"/>
      <c r="AO52" s="166"/>
      <c r="AP52" s="241"/>
      <c r="AQ52" s="241"/>
      <c r="AR52" s="241"/>
      <c r="AS52" s="194"/>
      <c r="AT52" s="241"/>
      <c r="AU52" s="241"/>
      <c r="AV52" s="241"/>
      <c r="AW52" s="194"/>
      <c r="AX52" s="326"/>
      <c r="AY52" s="2"/>
    </row>
    <row r="53" spans="1:51" ht="0.15" customHeight="1">
      <c r="A53" s="10"/>
      <c r="B53" s="10"/>
      <c r="C53" s="10"/>
      <c r="D53" s="10"/>
      <c r="E53" s="10"/>
      <c r="F53" s="10"/>
      <c r="G53" s="10"/>
      <c r="H53" s="10"/>
      <c r="I53" s="10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150"/>
      <c r="AM53" s="495"/>
      <c r="AN53" s="496"/>
      <c r="AO53" s="166"/>
      <c r="AP53" s="241"/>
      <c r="AQ53" s="241"/>
      <c r="AR53" s="241"/>
      <c r="AS53" s="194"/>
      <c r="AT53" s="241"/>
      <c r="AU53" s="241"/>
      <c r="AV53" s="241"/>
      <c r="AW53" s="194"/>
      <c r="AX53" s="326"/>
      <c r="AY53" s="2"/>
    </row>
    <row r="54" spans="1:51" ht="0.15" customHeight="1">
      <c r="A54" s="10"/>
      <c r="B54" s="10"/>
      <c r="C54" s="10"/>
      <c r="D54" s="10"/>
      <c r="E54" s="10"/>
      <c r="F54" s="10"/>
      <c r="G54" s="10"/>
      <c r="H54" s="10"/>
      <c r="I54" s="10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150"/>
      <c r="AM54" s="495"/>
      <c r="AN54" s="496"/>
      <c r="AO54" s="166"/>
      <c r="AP54" s="241"/>
      <c r="AQ54" s="241"/>
      <c r="AR54" s="241"/>
      <c r="AS54" s="194"/>
      <c r="AT54" s="241"/>
      <c r="AU54" s="241"/>
      <c r="AV54" s="241"/>
      <c r="AW54" s="194"/>
      <c r="AX54" s="326"/>
      <c r="AY54" s="2"/>
    </row>
    <row r="55" spans="1:51" ht="0.15" customHeight="1">
      <c r="A55" s="10"/>
      <c r="B55" s="10"/>
      <c r="C55" s="10"/>
      <c r="D55" s="10"/>
      <c r="E55" s="10"/>
      <c r="F55" s="10"/>
      <c r="G55" s="10"/>
      <c r="H55" s="10"/>
      <c r="I55" s="10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150"/>
      <c r="AM55" s="495"/>
      <c r="AN55" s="496"/>
      <c r="AO55" s="166"/>
      <c r="AP55" s="241"/>
      <c r="AQ55" s="241"/>
      <c r="AR55" s="241"/>
      <c r="AS55" s="194"/>
      <c r="AT55" s="241"/>
      <c r="AU55" s="241"/>
      <c r="AV55" s="241"/>
      <c r="AW55" s="194"/>
      <c r="AX55" s="326"/>
      <c r="AY55" s="2"/>
    </row>
    <row r="56" spans="1:51" ht="0.15" customHeight="1">
      <c r="A56" s="10"/>
      <c r="B56" s="10"/>
      <c r="C56" s="10"/>
      <c r="D56" s="10"/>
      <c r="E56" s="10"/>
      <c r="F56" s="10"/>
      <c r="G56" s="10"/>
      <c r="H56" s="10"/>
      <c r="I56" s="10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150"/>
      <c r="AM56" s="495"/>
      <c r="AN56" s="496"/>
      <c r="AO56" s="166"/>
      <c r="AP56" s="241"/>
      <c r="AQ56" s="241"/>
      <c r="AR56" s="241"/>
      <c r="AS56" s="194"/>
      <c r="AT56" s="241"/>
      <c r="AU56" s="241"/>
      <c r="AV56" s="241"/>
      <c r="AW56" s="194"/>
      <c r="AX56" s="326"/>
      <c r="AY56" s="2"/>
    </row>
    <row r="57" spans="1:51" ht="0.15" customHeight="1">
      <c r="A57" s="10"/>
      <c r="B57" s="10"/>
      <c r="C57" s="10"/>
      <c r="D57" s="10"/>
      <c r="E57" s="10"/>
      <c r="F57" s="10"/>
      <c r="G57" s="10"/>
      <c r="H57" s="10"/>
      <c r="I57" s="10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150"/>
      <c r="AM57" s="495"/>
      <c r="AN57" s="496"/>
      <c r="AO57" s="166"/>
      <c r="AP57" s="241"/>
      <c r="AQ57" s="241"/>
      <c r="AR57" s="241"/>
      <c r="AS57" s="194"/>
      <c r="AT57" s="241"/>
      <c r="AU57" s="241"/>
      <c r="AV57" s="241"/>
      <c r="AW57" s="194"/>
      <c r="AX57" s="326"/>
      <c r="AY57" s="2"/>
    </row>
    <row r="58" spans="1:51" ht="0.15" customHeight="1">
      <c r="A58" s="10"/>
      <c r="B58" s="10"/>
      <c r="C58" s="10"/>
      <c r="D58" s="10"/>
      <c r="E58" s="10"/>
      <c r="F58" s="10"/>
      <c r="G58" s="10"/>
      <c r="H58" s="10"/>
      <c r="I58" s="10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150"/>
      <c r="AM58" s="495"/>
      <c r="AN58" s="496"/>
      <c r="AO58" s="166"/>
      <c r="AP58" s="241"/>
      <c r="AQ58" s="241"/>
      <c r="AR58" s="241"/>
      <c r="AS58" s="194"/>
      <c r="AT58" s="241"/>
      <c r="AU58" s="241"/>
      <c r="AV58" s="241"/>
      <c r="AW58" s="194"/>
      <c r="AX58" s="326"/>
      <c r="AY58" s="2"/>
    </row>
    <row r="59" spans="1:51" ht="0.15" customHeight="1">
      <c r="A59" s="10"/>
      <c r="B59" s="10"/>
      <c r="C59" s="10"/>
      <c r="D59" s="10"/>
      <c r="E59" s="10"/>
      <c r="F59" s="10"/>
      <c r="G59" s="10"/>
      <c r="H59" s="10"/>
      <c r="I59" s="10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150"/>
      <c r="AM59" s="495"/>
      <c r="AN59" s="496"/>
      <c r="AO59" s="166"/>
      <c r="AP59" s="241"/>
      <c r="AQ59" s="241"/>
      <c r="AR59" s="241"/>
      <c r="AS59" s="194"/>
      <c r="AT59" s="241"/>
      <c r="AU59" s="241"/>
      <c r="AV59" s="241"/>
      <c r="AW59" s="194"/>
      <c r="AX59" s="326"/>
      <c r="AY59" s="2"/>
    </row>
    <row r="60" spans="1:51" ht="0.15" customHeight="1">
      <c r="A60" s="10"/>
      <c r="B60" s="10"/>
      <c r="C60" s="10"/>
      <c r="D60" s="10"/>
      <c r="E60" s="10"/>
      <c r="F60" s="10"/>
      <c r="G60" s="10"/>
      <c r="H60" s="10"/>
      <c r="I60" s="10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150"/>
      <c r="AM60" s="495"/>
      <c r="AN60" s="496"/>
      <c r="AO60" s="166"/>
      <c r="AP60" s="241"/>
      <c r="AQ60" s="241"/>
      <c r="AR60" s="241"/>
      <c r="AS60" s="194"/>
      <c r="AT60" s="241"/>
      <c r="AU60" s="241"/>
      <c r="AV60" s="241"/>
      <c r="AW60" s="194"/>
      <c r="AX60" s="326"/>
      <c r="AY60" s="2"/>
    </row>
    <row r="61" spans="1:51" ht="0.15" customHeight="1">
      <c r="A61" s="10"/>
      <c r="B61" s="10"/>
      <c r="C61" s="10"/>
      <c r="D61" s="10"/>
      <c r="E61" s="10"/>
      <c r="F61" s="10"/>
      <c r="G61" s="10"/>
      <c r="H61" s="10"/>
      <c r="I61" s="10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150"/>
      <c r="AM61" s="495"/>
      <c r="AN61" s="496"/>
      <c r="AO61" s="166"/>
      <c r="AP61" s="241"/>
      <c r="AQ61" s="241"/>
      <c r="AR61" s="241"/>
      <c r="AS61" s="194"/>
      <c r="AT61" s="241"/>
      <c r="AU61" s="241"/>
      <c r="AV61" s="241"/>
      <c r="AW61" s="194"/>
      <c r="AX61" s="326"/>
      <c r="AY61" s="2"/>
    </row>
    <row r="62" spans="1:51" ht="0.15" customHeight="1">
      <c r="A62" s="10"/>
      <c r="B62" s="10"/>
      <c r="C62" s="10"/>
      <c r="D62" s="10"/>
      <c r="E62" s="10"/>
      <c r="F62" s="10"/>
      <c r="G62" s="10"/>
      <c r="H62" s="10"/>
      <c r="I62" s="10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150"/>
      <c r="AM62" s="495"/>
      <c r="AN62" s="496"/>
      <c r="AO62" s="166"/>
      <c r="AP62" s="241"/>
      <c r="AQ62" s="241"/>
      <c r="AR62" s="241"/>
      <c r="AS62" s="194"/>
      <c r="AT62" s="241"/>
      <c r="AU62" s="241"/>
      <c r="AV62" s="241"/>
      <c r="AW62" s="194"/>
      <c r="AX62" s="326"/>
      <c r="AY62" s="2"/>
    </row>
    <row r="63" spans="1:51" ht="0.15" customHeight="1">
      <c r="A63" s="10"/>
      <c r="B63" s="10"/>
      <c r="C63" s="10"/>
      <c r="D63" s="10"/>
      <c r="E63" s="10"/>
      <c r="F63" s="10"/>
      <c r="G63" s="10"/>
      <c r="H63" s="10"/>
      <c r="I63" s="10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150"/>
      <c r="AM63" s="495"/>
      <c r="AN63" s="496"/>
      <c r="AO63" s="166"/>
      <c r="AP63" s="241"/>
      <c r="AQ63" s="241"/>
      <c r="AR63" s="241"/>
      <c r="AS63" s="194"/>
      <c r="AT63" s="241"/>
      <c r="AU63" s="241"/>
      <c r="AV63" s="241"/>
      <c r="AW63" s="194"/>
      <c r="AX63" s="326"/>
      <c r="AY63" s="2"/>
    </row>
    <row r="64" spans="1:51" ht="0.15" customHeight="1">
      <c r="A64" s="10"/>
      <c r="B64" s="10"/>
      <c r="C64" s="10"/>
      <c r="D64" s="10"/>
      <c r="E64" s="10"/>
      <c r="F64" s="10"/>
      <c r="G64" s="10"/>
      <c r="H64" s="10"/>
      <c r="I64" s="10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150"/>
      <c r="AM64" s="495"/>
      <c r="AN64" s="496"/>
      <c r="AO64" s="166"/>
      <c r="AP64" s="241"/>
      <c r="AQ64" s="241"/>
      <c r="AR64" s="241"/>
      <c r="AS64" s="194"/>
      <c r="AT64" s="241"/>
      <c r="AU64" s="241"/>
      <c r="AV64" s="241"/>
      <c r="AW64" s="194"/>
      <c r="AX64" s="326"/>
      <c r="AY64" s="2"/>
    </row>
    <row r="65" spans="1:51" ht="0.15" customHeight="1">
      <c r="A65" s="10"/>
      <c r="B65" s="10"/>
      <c r="C65" s="10"/>
      <c r="D65" s="10"/>
      <c r="E65" s="10"/>
      <c r="F65" s="10"/>
      <c r="G65" s="10"/>
      <c r="H65" s="10"/>
      <c r="I65" s="10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150"/>
      <c r="AM65" s="495"/>
      <c r="AN65" s="496"/>
      <c r="AO65" s="166"/>
      <c r="AP65" s="241"/>
      <c r="AQ65" s="241"/>
      <c r="AR65" s="241"/>
      <c r="AS65" s="194"/>
      <c r="AT65" s="241"/>
      <c r="AU65" s="241"/>
      <c r="AV65" s="241"/>
      <c r="AW65" s="194"/>
      <c r="AX65" s="326"/>
      <c r="AY65" s="2"/>
    </row>
    <row r="66" spans="1:51" ht="0.15" customHeight="1">
      <c r="A66" s="10"/>
      <c r="B66" s="10"/>
      <c r="C66" s="10"/>
      <c r="D66" s="10"/>
      <c r="E66" s="10"/>
      <c r="F66" s="10"/>
      <c r="G66" s="10"/>
      <c r="H66" s="10"/>
      <c r="I66" s="10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150"/>
      <c r="AM66" s="495"/>
      <c r="AN66" s="496"/>
      <c r="AO66" s="166"/>
      <c r="AP66" s="241"/>
      <c r="AQ66" s="241"/>
      <c r="AR66" s="241"/>
      <c r="AS66" s="194"/>
      <c r="AT66" s="241"/>
      <c r="AU66" s="241"/>
      <c r="AV66" s="241"/>
      <c r="AW66" s="194"/>
      <c r="AX66" s="326"/>
      <c r="AY66" s="2"/>
    </row>
    <row r="67" spans="1:51" ht="0.15" customHeight="1">
      <c r="A67" s="10"/>
      <c r="B67" s="10"/>
      <c r="C67" s="10"/>
      <c r="D67" s="10"/>
      <c r="E67" s="10"/>
      <c r="F67" s="10"/>
      <c r="G67" s="10"/>
      <c r="H67" s="10"/>
      <c r="I67" s="10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150"/>
      <c r="AM67" s="495"/>
      <c r="AN67" s="496"/>
      <c r="AO67" s="166"/>
      <c r="AP67" s="241"/>
      <c r="AQ67" s="241"/>
      <c r="AR67" s="241"/>
      <c r="AS67" s="194"/>
      <c r="AT67" s="241"/>
      <c r="AU67" s="241"/>
      <c r="AV67" s="241"/>
      <c r="AW67" s="194"/>
      <c r="AX67" s="326"/>
      <c r="AY67" s="2"/>
    </row>
    <row r="68" spans="1:51" ht="0.15" customHeight="1">
      <c r="A68" s="10"/>
      <c r="B68" s="10"/>
      <c r="C68" s="10"/>
      <c r="D68" s="10"/>
      <c r="E68" s="10"/>
      <c r="F68" s="10"/>
      <c r="G68" s="10"/>
      <c r="H68" s="10"/>
      <c r="I68" s="10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150"/>
      <c r="AM68" s="495"/>
      <c r="AN68" s="496"/>
      <c r="AO68" s="166"/>
      <c r="AP68" s="241"/>
      <c r="AQ68" s="241"/>
      <c r="AR68" s="241"/>
      <c r="AS68" s="194"/>
      <c r="AT68" s="241"/>
      <c r="AU68" s="241"/>
      <c r="AV68" s="241"/>
      <c r="AW68" s="194"/>
      <c r="AX68" s="326"/>
      <c r="AY68" s="2"/>
    </row>
    <row r="69" spans="1:51" ht="0.15" customHeight="1">
      <c r="A69" s="10"/>
      <c r="B69" s="10"/>
      <c r="C69" s="10"/>
      <c r="D69" s="10"/>
      <c r="E69" s="10"/>
      <c r="F69" s="10"/>
      <c r="G69" s="10"/>
      <c r="H69" s="10"/>
      <c r="I69" s="10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150"/>
      <c r="AM69" s="495"/>
      <c r="AN69" s="496"/>
      <c r="AO69" s="166"/>
      <c r="AP69" s="241"/>
      <c r="AQ69" s="241"/>
      <c r="AR69" s="241"/>
      <c r="AS69" s="194"/>
      <c r="AT69" s="241"/>
      <c r="AU69" s="241"/>
      <c r="AV69" s="241"/>
      <c r="AW69" s="194"/>
      <c r="AX69" s="326"/>
      <c r="AY69" s="2"/>
    </row>
    <row r="70" spans="1:51" ht="0.15" customHeight="1">
      <c r="A70" s="10"/>
      <c r="B70" s="10"/>
      <c r="C70" s="10"/>
      <c r="D70" s="10"/>
      <c r="E70" s="10"/>
      <c r="F70" s="10"/>
      <c r="G70" s="10"/>
      <c r="H70" s="10"/>
      <c r="I70" s="10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150"/>
      <c r="AM70" s="495"/>
      <c r="AN70" s="496"/>
      <c r="AO70" s="166"/>
      <c r="AP70" s="241"/>
      <c r="AQ70" s="241"/>
      <c r="AR70" s="241"/>
      <c r="AS70" s="194"/>
      <c r="AT70" s="241"/>
      <c r="AU70" s="241"/>
      <c r="AV70" s="241"/>
      <c r="AW70" s="194"/>
      <c r="AX70" s="326"/>
      <c r="AY70" s="2"/>
    </row>
    <row r="71" spans="1:51" ht="0.15" customHeight="1">
      <c r="A71" s="10"/>
      <c r="B71" s="10"/>
      <c r="C71" s="10"/>
      <c r="D71" s="10"/>
      <c r="E71" s="10"/>
      <c r="F71" s="10"/>
      <c r="G71" s="10"/>
      <c r="H71" s="10"/>
      <c r="I71" s="10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150"/>
      <c r="AM71" s="495"/>
      <c r="AN71" s="496"/>
      <c r="AO71" s="166"/>
      <c r="AP71" s="241"/>
      <c r="AQ71" s="241"/>
      <c r="AR71" s="241"/>
      <c r="AS71" s="194"/>
      <c r="AT71" s="241"/>
      <c r="AU71" s="241"/>
      <c r="AV71" s="241"/>
      <c r="AW71" s="194"/>
      <c r="AX71" s="326"/>
      <c r="AY71" s="2"/>
    </row>
    <row r="72" spans="1:51" ht="0.15" customHeight="1">
      <c r="A72" s="10"/>
      <c r="B72" s="10"/>
      <c r="C72" s="10"/>
      <c r="D72" s="10"/>
      <c r="E72" s="10"/>
      <c r="F72" s="10"/>
      <c r="G72" s="10"/>
      <c r="H72" s="10"/>
      <c r="I72" s="10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150"/>
      <c r="AM72" s="495"/>
      <c r="AN72" s="496"/>
      <c r="AO72" s="166"/>
      <c r="AP72" s="241"/>
      <c r="AQ72" s="241"/>
      <c r="AR72" s="241"/>
      <c r="AS72" s="194"/>
      <c r="AT72" s="241"/>
      <c r="AU72" s="241"/>
      <c r="AV72" s="241"/>
      <c r="AW72" s="194"/>
      <c r="AX72" s="326"/>
      <c r="AY72" s="2"/>
    </row>
    <row r="73" spans="1:51" ht="0.15" customHeight="1">
      <c r="A73" s="10"/>
      <c r="B73" s="10"/>
      <c r="C73" s="10"/>
      <c r="D73" s="10"/>
      <c r="E73" s="10"/>
      <c r="F73" s="10"/>
      <c r="G73" s="10"/>
      <c r="H73" s="10"/>
      <c r="I73" s="10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150"/>
      <c r="AM73" s="495"/>
      <c r="AN73" s="496"/>
      <c r="AO73" s="166"/>
      <c r="AP73" s="241"/>
      <c r="AQ73" s="241"/>
      <c r="AR73" s="241"/>
      <c r="AS73" s="194"/>
      <c r="AT73" s="241"/>
      <c r="AU73" s="241"/>
      <c r="AV73" s="241"/>
      <c r="AW73" s="194"/>
      <c r="AX73" s="326"/>
      <c r="AY73" s="2"/>
    </row>
    <row r="74" spans="1:51" ht="0.15" customHeight="1">
      <c r="A74" s="10"/>
      <c r="B74" s="10"/>
      <c r="C74" s="10"/>
      <c r="D74" s="10"/>
      <c r="E74" s="10"/>
      <c r="F74" s="10"/>
      <c r="G74" s="10"/>
      <c r="H74" s="10"/>
      <c r="I74" s="10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150"/>
      <c r="AM74" s="495"/>
      <c r="AN74" s="496"/>
      <c r="AO74" s="166"/>
      <c r="AP74" s="241"/>
      <c r="AQ74" s="241"/>
      <c r="AR74" s="241"/>
      <c r="AS74" s="194"/>
      <c r="AT74" s="241"/>
      <c r="AU74" s="241"/>
      <c r="AV74" s="241"/>
      <c r="AW74" s="194"/>
      <c r="AX74" s="326"/>
      <c r="AY74" s="2"/>
    </row>
    <row r="75" spans="1:51" ht="0.15" customHeight="1">
      <c r="A75" s="10"/>
      <c r="B75" s="10"/>
      <c r="C75" s="10"/>
      <c r="D75" s="10"/>
      <c r="E75" s="10"/>
      <c r="F75" s="10"/>
      <c r="G75" s="10"/>
      <c r="H75" s="10"/>
      <c r="I75" s="10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150"/>
      <c r="AM75" s="495"/>
      <c r="AN75" s="496"/>
      <c r="AO75" s="166"/>
      <c r="AP75" s="241"/>
      <c r="AQ75" s="241"/>
      <c r="AR75" s="241"/>
      <c r="AS75" s="194"/>
      <c r="AT75" s="241"/>
      <c r="AU75" s="241"/>
      <c r="AV75" s="241"/>
      <c r="AW75" s="194"/>
      <c r="AX75" s="326"/>
      <c r="AY75" s="2"/>
    </row>
    <row r="76" spans="1:51" ht="0.15" customHeight="1">
      <c r="A76" s="10"/>
      <c r="B76" s="10"/>
      <c r="C76" s="10"/>
      <c r="D76" s="10"/>
      <c r="E76" s="10"/>
      <c r="F76" s="10"/>
      <c r="G76" s="10"/>
      <c r="H76" s="10"/>
      <c r="I76" s="10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150"/>
      <c r="AM76" s="495"/>
      <c r="AN76" s="496"/>
      <c r="AO76" s="166"/>
      <c r="AP76" s="241"/>
      <c r="AQ76" s="241"/>
      <c r="AR76" s="241"/>
      <c r="AS76" s="194"/>
      <c r="AT76" s="241"/>
      <c r="AU76" s="241"/>
      <c r="AV76" s="241"/>
      <c r="AW76" s="194"/>
      <c r="AX76" s="326"/>
      <c r="AY76" s="2"/>
    </row>
    <row r="77" spans="1:51" ht="0.15" customHeight="1">
      <c r="A77" s="10"/>
      <c r="B77" s="10"/>
      <c r="C77" s="10"/>
      <c r="D77" s="10"/>
      <c r="E77" s="10"/>
      <c r="F77" s="10"/>
      <c r="G77" s="10"/>
      <c r="H77" s="10"/>
      <c r="I77" s="10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150"/>
      <c r="AM77" s="495"/>
      <c r="AN77" s="496"/>
      <c r="AO77" s="166"/>
      <c r="AP77" s="241"/>
      <c r="AQ77" s="241"/>
      <c r="AR77" s="241"/>
      <c r="AS77" s="194"/>
      <c r="AT77" s="241"/>
      <c r="AU77" s="241"/>
      <c r="AV77" s="241"/>
      <c r="AW77" s="194"/>
      <c r="AX77" s="326"/>
      <c r="AY77" s="2"/>
    </row>
    <row r="78" spans="1:51" ht="0.15" customHeight="1">
      <c r="A78" s="10"/>
      <c r="B78" s="10"/>
      <c r="C78" s="10"/>
      <c r="D78" s="10"/>
      <c r="E78" s="10"/>
      <c r="F78" s="10"/>
      <c r="G78" s="10"/>
      <c r="H78" s="10"/>
      <c r="I78" s="10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150"/>
      <c r="AM78" s="495"/>
      <c r="AN78" s="496"/>
      <c r="AO78" s="166"/>
      <c r="AP78" s="241"/>
      <c r="AQ78" s="241"/>
      <c r="AR78" s="241"/>
      <c r="AS78" s="194"/>
      <c r="AT78" s="241"/>
      <c r="AU78" s="241"/>
      <c r="AV78" s="241"/>
      <c r="AW78" s="194"/>
      <c r="AX78" s="326"/>
      <c r="AY78" s="2"/>
    </row>
    <row r="79" spans="1:51" ht="0.15" customHeight="1">
      <c r="A79" s="10"/>
      <c r="B79" s="10"/>
      <c r="C79" s="10"/>
      <c r="D79" s="10"/>
      <c r="E79" s="10"/>
      <c r="F79" s="10"/>
      <c r="G79" s="10"/>
      <c r="H79" s="10"/>
      <c r="I79" s="10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150"/>
      <c r="AM79" s="495"/>
      <c r="AN79" s="496"/>
      <c r="AO79" s="166"/>
      <c r="AP79" s="241"/>
      <c r="AQ79" s="241"/>
      <c r="AR79" s="241"/>
      <c r="AS79" s="194"/>
      <c r="AT79" s="241"/>
      <c r="AU79" s="241"/>
      <c r="AV79" s="241"/>
      <c r="AW79" s="194"/>
      <c r="AX79" s="326"/>
      <c r="AY79" s="2"/>
    </row>
    <row r="80" spans="1:51" ht="0.15" customHeight="1">
      <c r="A80" s="10"/>
      <c r="B80" s="10"/>
      <c r="C80" s="10"/>
      <c r="D80" s="10"/>
      <c r="E80" s="10"/>
      <c r="F80" s="10"/>
      <c r="G80" s="10"/>
      <c r="H80" s="10"/>
      <c r="I80" s="10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150"/>
      <c r="AM80" s="495"/>
      <c r="AN80" s="496"/>
      <c r="AO80" s="166"/>
      <c r="AP80" s="241"/>
      <c r="AQ80" s="241"/>
      <c r="AR80" s="241"/>
      <c r="AS80" s="194"/>
      <c r="AT80" s="241"/>
      <c r="AU80" s="241"/>
      <c r="AV80" s="241"/>
      <c r="AW80" s="194"/>
      <c r="AX80" s="326"/>
      <c r="AY80" s="2"/>
    </row>
    <row r="81" spans="1:51" ht="0.15" customHeight="1">
      <c r="A81" s="10"/>
      <c r="B81" s="10"/>
      <c r="C81" s="10"/>
      <c r="D81" s="10"/>
      <c r="E81" s="10"/>
      <c r="F81" s="10"/>
      <c r="G81" s="10"/>
      <c r="H81" s="10"/>
      <c r="I81" s="10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150"/>
      <c r="AM81" s="495"/>
      <c r="AN81" s="496"/>
      <c r="AO81" s="166"/>
      <c r="AP81" s="241"/>
      <c r="AQ81" s="241"/>
      <c r="AR81" s="241"/>
      <c r="AS81" s="194"/>
      <c r="AT81" s="241"/>
      <c r="AU81" s="241"/>
      <c r="AV81" s="241"/>
      <c r="AW81" s="194"/>
      <c r="AX81" s="326"/>
      <c r="AY81" s="2"/>
    </row>
    <row r="82" spans="1:51" ht="0.15" customHeight="1">
      <c r="A82" s="10"/>
      <c r="B82" s="10"/>
      <c r="C82" s="10"/>
      <c r="D82" s="10"/>
      <c r="E82" s="10"/>
      <c r="F82" s="10"/>
      <c r="G82" s="10"/>
      <c r="H82" s="10"/>
      <c r="I82" s="10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150"/>
      <c r="AM82" s="495"/>
      <c r="AN82" s="496"/>
      <c r="AO82" s="166"/>
      <c r="AP82" s="241"/>
      <c r="AQ82" s="241"/>
      <c r="AR82" s="241"/>
      <c r="AS82" s="194"/>
      <c r="AT82" s="241"/>
      <c r="AU82" s="241"/>
      <c r="AV82" s="241"/>
      <c r="AW82" s="194"/>
      <c r="AX82" s="326"/>
      <c r="AY82" s="2"/>
    </row>
    <row r="83" spans="1:51" ht="0.75" hidden="1" customHeight="1">
      <c r="A83" s="10"/>
      <c r="B83" s="10"/>
      <c r="C83" s="10"/>
      <c r="D83" s="10"/>
      <c r="E83" s="10"/>
      <c r="F83" s="10"/>
      <c r="G83" s="10"/>
      <c r="H83" s="10"/>
      <c r="I83" s="10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150"/>
      <c r="AM83" s="495"/>
      <c r="AN83" s="496"/>
      <c r="AO83" s="166"/>
      <c r="AP83" s="241"/>
      <c r="AQ83" s="241"/>
      <c r="AR83" s="241"/>
      <c r="AS83" s="194"/>
      <c r="AT83" s="241"/>
      <c r="AU83" s="241"/>
      <c r="AV83" s="241"/>
      <c r="AW83" s="194"/>
      <c r="AX83" s="326"/>
      <c r="AY83" s="2"/>
    </row>
    <row r="84" spans="1:51" ht="0.75" hidden="1" customHeight="1">
      <c r="A84" s="10"/>
      <c r="B84" s="10"/>
      <c r="C84" s="10"/>
      <c r="D84" s="10"/>
      <c r="E84" s="10"/>
      <c r="F84" s="10"/>
      <c r="G84" s="10"/>
      <c r="H84" s="10"/>
      <c r="I84" s="10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150"/>
      <c r="AM84" s="495"/>
      <c r="AN84" s="496"/>
      <c r="AO84" s="166"/>
      <c r="AP84" s="241"/>
      <c r="AQ84" s="241"/>
      <c r="AR84" s="241"/>
      <c r="AS84" s="194"/>
      <c r="AT84" s="241"/>
      <c r="AU84" s="241"/>
      <c r="AV84" s="241"/>
      <c r="AW84" s="194"/>
      <c r="AX84" s="326"/>
      <c r="AY84" s="2"/>
    </row>
    <row r="85" spans="1:51" ht="0.75" hidden="1" customHeight="1">
      <c r="A85" s="10"/>
      <c r="B85" s="10"/>
      <c r="C85" s="10"/>
      <c r="D85" s="10"/>
      <c r="E85" s="10"/>
      <c r="F85" s="10"/>
      <c r="G85" s="10"/>
      <c r="H85" s="10"/>
      <c r="I85" s="10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150"/>
      <c r="AM85" s="495"/>
      <c r="AN85" s="496"/>
      <c r="AO85" s="166"/>
      <c r="AP85" s="241"/>
      <c r="AQ85" s="241"/>
      <c r="AR85" s="241"/>
      <c r="AS85" s="194"/>
      <c r="AT85" s="241"/>
      <c r="AU85" s="241"/>
      <c r="AV85" s="241"/>
      <c r="AW85" s="194"/>
      <c r="AX85" s="326"/>
      <c r="AY85" s="2"/>
    </row>
    <row r="86" spans="1:51" ht="0.75" hidden="1" customHeight="1">
      <c r="A86" s="10"/>
      <c r="B86" s="10"/>
      <c r="C86" s="10"/>
      <c r="D86" s="10"/>
      <c r="E86" s="10"/>
      <c r="F86" s="10"/>
      <c r="G86" s="10"/>
      <c r="H86" s="10"/>
      <c r="I86" s="10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150"/>
      <c r="AM86" s="495"/>
      <c r="AN86" s="496"/>
      <c r="AO86" s="166"/>
      <c r="AP86" s="241"/>
      <c r="AQ86" s="241"/>
      <c r="AR86" s="241"/>
      <c r="AS86" s="194"/>
      <c r="AT86" s="241"/>
      <c r="AU86" s="241"/>
      <c r="AV86" s="241"/>
      <c r="AW86" s="194"/>
      <c r="AX86" s="326"/>
      <c r="AY86" s="2"/>
    </row>
    <row r="87" spans="1:51" ht="0.75" hidden="1" customHeight="1">
      <c r="A87" s="10"/>
      <c r="B87" s="10"/>
      <c r="C87" s="10"/>
      <c r="D87" s="10"/>
      <c r="E87" s="10"/>
      <c r="F87" s="10"/>
      <c r="G87" s="10"/>
      <c r="H87" s="10"/>
      <c r="I87" s="10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150"/>
      <c r="AM87" s="495"/>
      <c r="AN87" s="496"/>
      <c r="AO87" s="166"/>
      <c r="AP87" s="241"/>
      <c r="AQ87" s="241"/>
      <c r="AR87" s="241"/>
      <c r="AS87" s="194"/>
      <c r="AT87" s="241"/>
      <c r="AU87" s="241"/>
      <c r="AV87" s="241"/>
      <c r="AW87" s="194"/>
      <c r="AX87" s="326"/>
      <c r="AY87" s="2"/>
    </row>
    <row r="88" spans="1:51" ht="0.75" hidden="1" customHeight="1">
      <c r="A88" s="10"/>
      <c r="B88" s="10"/>
      <c r="C88" s="10"/>
      <c r="D88" s="10"/>
      <c r="E88" s="10"/>
      <c r="F88" s="10"/>
      <c r="G88" s="10"/>
      <c r="H88" s="10"/>
      <c r="I88" s="10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150"/>
      <c r="AM88" s="495"/>
      <c r="AN88" s="496"/>
      <c r="AO88" s="166"/>
      <c r="AP88" s="241"/>
      <c r="AQ88" s="241"/>
      <c r="AR88" s="241"/>
      <c r="AS88" s="194"/>
      <c r="AT88" s="241"/>
      <c r="AU88" s="241"/>
      <c r="AV88" s="241"/>
      <c r="AW88" s="194"/>
      <c r="AX88" s="326"/>
      <c r="AY88" s="2"/>
    </row>
    <row r="89" spans="1:51" ht="0.75" hidden="1" customHeight="1">
      <c r="A89" s="10"/>
      <c r="B89" s="10"/>
      <c r="C89" s="10"/>
      <c r="D89" s="10"/>
      <c r="E89" s="10"/>
      <c r="F89" s="10"/>
      <c r="G89" s="10"/>
      <c r="H89" s="10"/>
      <c r="I89" s="10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150"/>
      <c r="AM89" s="495"/>
      <c r="AN89" s="496"/>
      <c r="AO89" s="166"/>
      <c r="AP89" s="241"/>
      <c r="AQ89" s="241"/>
      <c r="AR89" s="241"/>
      <c r="AS89" s="194"/>
      <c r="AT89" s="241"/>
      <c r="AU89" s="241"/>
      <c r="AV89" s="241"/>
      <c r="AW89" s="194"/>
      <c r="AX89" s="326"/>
      <c r="AY89" s="2"/>
    </row>
    <row r="90" spans="1:51">
      <c r="A90" s="10"/>
      <c r="B90" s="10"/>
      <c r="C90" s="10"/>
      <c r="D90" s="10"/>
      <c r="E90" s="10"/>
      <c r="F90" s="10"/>
      <c r="G90" s="10"/>
      <c r="H90" s="10"/>
      <c r="I90" s="10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150"/>
      <c r="AM90" s="490" t="s">
        <v>180</v>
      </c>
      <c r="AN90" s="494" t="s">
        <v>322</v>
      </c>
      <c r="AO90" s="163" t="s">
        <v>195</v>
      </c>
      <c r="AP90" s="247">
        <f t="shared" ref="AP90:AR95" si="0">SUMIF($AS$9:$AW$9,AP$9,$AS90:$AW90)</f>
        <v>1292.2200000000005</v>
      </c>
      <c r="AQ90" s="247">
        <f t="shared" si="0"/>
        <v>646.11000000000024</v>
      </c>
      <c r="AR90" s="247">
        <f t="shared" si="0"/>
        <v>646.11000000000024</v>
      </c>
      <c r="AS90" s="194"/>
      <c r="AT90" s="754">
        <f>SUM(AT91,AT154)</f>
        <v>1292.2200000000005</v>
      </c>
      <c r="AU90" s="754">
        <f>SUM(AU91,AU154)</f>
        <v>646.11000000000024</v>
      </c>
      <c r="AV90" s="754">
        <f>SUM(AV91,AV154)</f>
        <v>646.11000000000024</v>
      </c>
      <c r="AW90" s="194"/>
      <c r="AX90" s="326"/>
      <c r="AY90" s="2"/>
    </row>
    <row r="91" spans="1:51">
      <c r="A91" s="10"/>
      <c r="B91" s="10"/>
      <c r="C91" s="10"/>
      <c r="D91" s="10"/>
      <c r="E91" s="10"/>
      <c r="F91" s="10"/>
      <c r="G91" s="10"/>
      <c r="H91" s="10"/>
      <c r="I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9"/>
      <c r="AL91" s="150"/>
      <c r="AM91" s="490" t="s">
        <v>181</v>
      </c>
      <c r="AN91" s="497" t="s">
        <v>323</v>
      </c>
      <c r="AO91" s="163" t="s">
        <v>195</v>
      </c>
      <c r="AP91" s="247">
        <f t="shared" si="0"/>
        <v>1292.2200000000005</v>
      </c>
      <c r="AQ91" s="247">
        <f t="shared" si="0"/>
        <v>646.11000000000024</v>
      </c>
      <c r="AR91" s="247">
        <f t="shared" si="0"/>
        <v>646.11000000000024</v>
      </c>
      <c r="AS91" s="194"/>
      <c r="AT91" s="253">
        <f>SUM(AT92,AT126,AT127)</f>
        <v>1292.2200000000005</v>
      </c>
      <c r="AU91" s="253">
        <f>SUM(AU92,AU126,AU127)</f>
        <v>646.11000000000024</v>
      </c>
      <c r="AV91" s="253">
        <f>SUM(AV92,AV126,AV127)</f>
        <v>646.11000000000024</v>
      </c>
      <c r="AW91" s="194"/>
      <c r="AX91" s="326"/>
      <c r="AY91" s="2"/>
    </row>
    <row r="92" spans="1:51">
      <c r="A92" s="10"/>
      <c r="B92" s="10"/>
      <c r="C92" s="10"/>
      <c r="D92" s="10"/>
      <c r="E92" s="10"/>
      <c r="F92" s="10"/>
      <c r="G92" s="10"/>
      <c r="H92" s="10"/>
      <c r="I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9"/>
      <c r="AL92" s="150"/>
      <c r="AM92" s="490" t="s">
        <v>324</v>
      </c>
      <c r="AN92" s="498" t="s">
        <v>325</v>
      </c>
      <c r="AO92" s="163" t="s">
        <v>195</v>
      </c>
      <c r="AP92" s="247">
        <f t="shared" si="0"/>
        <v>0</v>
      </c>
      <c r="AQ92" s="247">
        <f t="shared" si="0"/>
        <v>0</v>
      </c>
      <c r="AR92" s="247">
        <f t="shared" si="0"/>
        <v>0</v>
      </c>
      <c r="AS92" s="194"/>
      <c r="AT92" s="754">
        <f>SUM(AT93,AT109)</f>
        <v>0</v>
      </c>
      <c r="AU92" s="754">
        <f>SUM(AU93,AU109)</f>
        <v>0</v>
      </c>
      <c r="AV92" s="754">
        <f>SUM(AV93,AV109)</f>
        <v>0</v>
      </c>
      <c r="AW92" s="194"/>
      <c r="AX92" s="326"/>
      <c r="AY92" s="2"/>
    </row>
    <row r="93" spans="1:51">
      <c r="A93" s="10"/>
      <c r="B93" s="10"/>
      <c r="C93" s="10"/>
      <c r="D93" s="10"/>
      <c r="E93" s="10"/>
      <c r="F93" s="10"/>
      <c r="G93" s="10"/>
      <c r="H93" s="10"/>
      <c r="I93" s="10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150"/>
      <c r="AM93" s="499" t="str">
        <f>AM92 &amp; ".1"</f>
        <v>5.1.1.1</v>
      </c>
      <c r="AN93" s="470" t="s">
        <v>294</v>
      </c>
      <c r="AO93" s="163" t="s">
        <v>195</v>
      </c>
      <c r="AP93" s="247">
        <f t="shared" si="0"/>
        <v>0</v>
      </c>
      <c r="AQ93" s="247">
        <f t="shared" si="0"/>
        <v>0</v>
      </c>
      <c r="AR93" s="247">
        <f t="shared" si="0"/>
        <v>0</v>
      </c>
      <c r="AS93" s="194"/>
      <c r="AT93" s="254">
        <f>SUM(AT94,AT98,AT102)</f>
        <v>0</v>
      </c>
      <c r="AU93" s="255">
        <f>SUM(AU94,AU98,AU102)</f>
        <v>0</v>
      </c>
      <c r="AV93" s="256">
        <f>SUM(AV94,AV98,AV102)</f>
        <v>0</v>
      </c>
      <c r="AW93" s="194"/>
      <c r="AX93" s="326"/>
      <c r="AY93" s="2"/>
    </row>
    <row r="94" spans="1:51">
      <c r="A94" s="10"/>
      <c r="B94" s="10"/>
      <c r="C94" s="10"/>
      <c r="D94" s="10"/>
      <c r="E94" s="10"/>
      <c r="F94" s="10"/>
      <c r="G94" s="10"/>
      <c r="H94" s="10"/>
      <c r="I94" s="10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150"/>
      <c r="AM94" s="499" t="str">
        <f>AM92 &amp; ".1.1"</f>
        <v>5.1.1.1.1</v>
      </c>
      <c r="AN94" s="469" t="s">
        <v>738</v>
      </c>
      <c r="AO94" s="163" t="s">
        <v>195</v>
      </c>
      <c r="AP94" s="247">
        <f t="shared" si="0"/>
        <v>0</v>
      </c>
      <c r="AQ94" s="247">
        <f t="shared" si="0"/>
        <v>0</v>
      </c>
      <c r="AR94" s="247">
        <f t="shared" si="0"/>
        <v>0</v>
      </c>
      <c r="AS94" s="194"/>
      <c r="AT94" s="256">
        <f>AU94+AV94</f>
        <v>0</v>
      </c>
      <c r="AU94" s="588"/>
      <c r="AV94" s="588"/>
      <c r="AW94" s="194"/>
      <c r="AX94" s="326"/>
      <c r="AY94" s="2"/>
    </row>
    <row r="95" spans="1:51">
      <c r="A95" s="10"/>
      <c r="B95" s="10"/>
      <c r="C95" s="10"/>
      <c r="D95" s="10"/>
      <c r="E95" s="10"/>
      <c r="F95" s="10"/>
      <c r="G95" s="10"/>
      <c r="H95" s="10"/>
      <c r="I95" s="10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150"/>
      <c r="AM95" s="499" t="str">
        <f>AM92 &amp; ".1.1.0.1"</f>
        <v>5.1.1.1.1.0.1</v>
      </c>
      <c r="AN95" s="471" t="s">
        <v>285</v>
      </c>
      <c r="AO95" s="163" t="s">
        <v>286</v>
      </c>
      <c r="AP95" s="247">
        <f t="shared" si="0"/>
        <v>0</v>
      </c>
      <c r="AQ95" s="247">
        <f t="shared" si="0"/>
        <v>0</v>
      </c>
      <c r="AR95" s="247">
        <f t="shared" si="0"/>
        <v>0</v>
      </c>
      <c r="AS95" s="194"/>
      <c r="AT95" s="244">
        <f>AU95+AV95</f>
        <v>0</v>
      </c>
      <c r="AU95" s="588"/>
      <c r="AV95" s="222"/>
      <c r="AW95" s="194"/>
      <c r="AX95" s="326"/>
      <c r="AY95" s="2"/>
    </row>
    <row r="96" spans="1:51">
      <c r="A96" s="10"/>
      <c r="B96" s="10"/>
      <c r="C96" s="10"/>
      <c r="D96" s="10"/>
      <c r="E96" s="10"/>
      <c r="F96" s="10"/>
      <c r="G96" s="10"/>
      <c r="H96" s="10"/>
      <c r="I96" s="10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150"/>
      <c r="AM96" s="499" t="str">
        <f>AM92 &amp; ".1.1.0.2"</f>
        <v>5.1.1.1.1.0.2</v>
      </c>
      <c r="AN96" s="471" t="s">
        <v>287</v>
      </c>
      <c r="AO96" s="163" t="s">
        <v>288</v>
      </c>
      <c r="AP96" s="258">
        <f>IF(AP95=0,0,AP94/AP95)</f>
        <v>0</v>
      </c>
      <c r="AQ96" s="258">
        <f>IF(AQ95=0,0,AQ94/AQ95)</f>
        <v>0</v>
      </c>
      <c r="AR96" s="258">
        <f>IF(AR95=0,0,AR94/AR95)</f>
        <v>0</v>
      </c>
      <c r="AS96" s="194"/>
      <c r="AT96" s="244">
        <f>IF(AT95=0,0,AT94/AT95)</f>
        <v>0</v>
      </c>
      <c r="AU96" s="244">
        <f>IF(AU95=0,0,AU94/AU95)</f>
        <v>0</v>
      </c>
      <c r="AV96" s="244">
        <f>IF(AV95=0,0,AV94/AV95)</f>
        <v>0</v>
      </c>
      <c r="AW96" s="194"/>
      <c r="AX96" s="326"/>
      <c r="AY96" s="2"/>
    </row>
    <row r="97" spans="1:51" ht="0.75" hidden="1" customHeight="1">
      <c r="A97" s="10"/>
      <c r="B97" s="10"/>
      <c r="C97" s="10"/>
      <c r="D97" s="10"/>
      <c r="E97" s="10"/>
      <c r="F97" s="10"/>
      <c r="G97" s="10"/>
      <c r="H97" s="10"/>
      <c r="I97" s="10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150"/>
      <c r="AM97" s="500"/>
      <c r="AN97" s="472"/>
      <c r="AO97" s="166"/>
      <c r="AP97" s="241"/>
      <c r="AQ97" s="241"/>
      <c r="AR97" s="241"/>
      <c r="AS97" s="194"/>
      <c r="AT97" s="242"/>
      <c r="AU97" s="260"/>
      <c r="AV97" s="241"/>
      <c r="AW97" s="194"/>
      <c r="AX97" s="326"/>
      <c r="AY97" s="2"/>
    </row>
    <row r="98" spans="1:51">
      <c r="A98" s="10"/>
      <c r="B98" s="10"/>
      <c r="C98" s="10"/>
      <c r="D98" s="10"/>
      <c r="E98" s="10"/>
      <c r="F98" s="10"/>
      <c r="G98" s="10"/>
      <c r="H98" s="10"/>
      <c r="I98" s="10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150"/>
      <c r="AM98" s="499" t="str">
        <f>AM92 &amp; ".1.2"</f>
        <v>5.1.1.1.2</v>
      </c>
      <c r="AN98" s="469" t="s">
        <v>739</v>
      </c>
      <c r="AO98" s="163" t="s">
        <v>195</v>
      </c>
      <c r="AP98" s="247">
        <f t="shared" ref="AP98:AR99" si="1">SUMIF($AS$9:$AW$9,AP$9,$AS98:$AW98)</f>
        <v>0</v>
      </c>
      <c r="AQ98" s="247">
        <f t="shared" si="1"/>
        <v>0</v>
      </c>
      <c r="AR98" s="247">
        <f t="shared" si="1"/>
        <v>0</v>
      </c>
      <c r="AS98" s="194"/>
      <c r="AT98" s="256">
        <f>AU98+AV98</f>
        <v>0</v>
      </c>
      <c r="AU98" s="588"/>
      <c r="AV98" s="588"/>
      <c r="AW98" s="194"/>
      <c r="AX98" s="326"/>
      <c r="AY98" s="2"/>
    </row>
    <row r="99" spans="1:51">
      <c r="A99" s="10"/>
      <c r="B99" s="10"/>
      <c r="C99" s="10"/>
      <c r="D99" s="10"/>
      <c r="E99" s="10"/>
      <c r="F99" s="10"/>
      <c r="G99" s="10"/>
      <c r="H99" s="10"/>
      <c r="I99" s="10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150"/>
      <c r="AM99" s="499" t="str">
        <f>AM92 &amp; ".1.2.0.1"</f>
        <v>5.1.1.1.2.0.1</v>
      </c>
      <c r="AN99" s="471" t="s">
        <v>285</v>
      </c>
      <c r="AO99" s="163" t="s">
        <v>286</v>
      </c>
      <c r="AP99" s="247">
        <f t="shared" si="1"/>
        <v>0</v>
      </c>
      <c r="AQ99" s="247">
        <f t="shared" si="1"/>
        <v>0</v>
      </c>
      <c r="AR99" s="247">
        <f t="shared" si="1"/>
        <v>0</v>
      </c>
      <c r="AS99" s="194"/>
      <c r="AT99" s="244">
        <f>AU99+AV99</f>
        <v>0</v>
      </c>
      <c r="AU99" s="588"/>
      <c r="AV99" s="222"/>
      <c r="AW99" s="194"/>
      <c r="AX99" s="326"/>
      <c r="AY99" s="2"/>
    </row>
    <row r="100" spans="1:51">
      <c r="A100" s="10"/>
      <c r="B100" s="10"/>
      <c r="C100" s="10"/>
      <c r="D100" s="10"/>
      <c r="E100" s="10"/>
      <c r="F100" s="10"/>
      <c r="G100" s="10"/>
      <c r="H100" s="10"/>
      <c r="I100" s="10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150"/>
      <c r="AM100" s="499" t="str">
        <f>AM92 &amp; ".1.2.0.2"</f>
        <v>5.1.1.1.2.0.2</v>
      </c>
      <c r="AN100" s="471" t="s">
        <v>287</v>
      </c>
      <c r="AO100" s="163" t="s">
        <v>288</v>
      </c>
      <c r="AP100" s="258">
        <f>IF(AP99=0,0,AP98/AP99)</f>
        <v>0</v>
      </c>
      <c r="AQ100" s="258">
        <f>IF(AQ99=0,0,AQ98/AQ99)</f>
        <v>0</v>
      </c>
      <c r="AR100" s="258">
        <f>IF(AR99=0,0,AR98/AR99)</f>
        <v>0</v>
      </c>
      <c r="AS100" s="194"/>
      <c r="AT100" s="244">
        <f>IF(AT99=0,0,AT98/AT99)</f>
        <v>0</v>
      </c>
      <c r="AU100" s="244">
        <f>IF(AU99=0,0,AU98/AU99)</f>
        <v>0</v>
      </c>
      <c r="AV100" s="244">
        <f>IF(AV99=0,0,AV98/AV99)</f>
        <v>0</v>
      </c>
      <c r="AW100" s="194"/>
      <c r="AX100" s="326"/>
      <c r="AY100" s="2"/>
    </row>
    <row r="101" spans="1:51" ht="0.75" hidden="1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150"/>
      <c r="AM101" s="500"/>
      <c r="AN101" s="472"/>
      <c r="AO101" s="166"/>
      <c r="AP101" s="241"/>
      <c r="AQ101" s="241"/>
      <c r="AR101" s="241"/>
      <c r="AS101" s="194"/>
      <c r="AT101" s="242"/>
      <c r="AU101" s="260"/>
      <c r="AV101" s="241"/>
      <c r="AW101" s="194"/>
      <c r="AX101" s="326"/>
      <c r="AY101" s="2"/>
    </row>
    <row r="102" spans="1:51">
      <c r="A102" s="10"/>
      <c r="B102" s="10"/>
      <c r="C102" s="10"/>
      <c r="D102" s="10"/>
      <c r="E102" s="10"/>
      <c r="F102" s="10"/>
      <c r="G102" s="10"/>
      <c r="H102" s="10"/>
      <c r="I102" s="10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150"/>
      <c r="AM102" s="499" t="str">
        <f>AM92 &amp; ".1.3"</f>
        <v>5.1.1.1.3</v>
      </c>
      <c r="AN102" s="469" t="s">
        <v>2224</v>
      </c>
      <c r="AO102" s="163" t="s">
        <v>195</v>
      </c>
      <c r="AP102" s="247">
        <f t="shared" ref="AP102:AR103" si="2">SUMIF($AS$9:$AW$9,AP$9,$AS102:$AW102)</f>
        <v>0</v>
      </c>
      <c r="AQ102" s="247">
        <f t="shared" si="2"/>
        <v>0</v>
      </c>
      <c r="AR102" s="247">
        <f t="shared" si="2"/>
        <v>0</v>
      </c>
      <c r="AS102" s="194"/>
      <c r="AT102" s="256">
        <f>AU102+AV102</f>
        <v>0</v>
      </c>
      <c r="AU102" s="588"/>
      <c r="AV102" s="588"/>
      <c r="AW102" s="194"/>
      <c r="AX102" s="326"/>
      <c r="AY102" s="2"/>
    </row>
    <row r="103" spans="1:51">
      <c r="A103" s="10"/>
      <c r="B103" s="10"/>
      <c r="C103" s="10"/>
      <c r="D103" s="10"/>
      <c r="E103" s="10"/>
      <c r="F103" s="10"/>
      <c r="G103" s="10"/>
      <c r="H103" s="10"/>
      <c r="I103" s="10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150"/>
      <c r="AM103" s="499" t="str">
        <f>AM92 &amp; ".1.3.0.1"</f>
        <v>5.1.1.1.3.0.1</v>
      </c>
      <c r="AN103" s="471" t="s">
        <v>285</v>
      </c>
      <c r="AO103" s="163" t="s">
        <v>286</v>
      </c>
      <c r="AP103" s="247">
        <f t="shared" si="2"/>
        <v>0</v>
      </c>
      <c r="AQ103" s="247">
        <f t="shared" si="2"/>
        <v>0</v>
      </c>
      <c r="AR103" s="247">
        <f t="shared" si="2"/>
        <v>0</v>
      </c>
      <c r="AS103" s="194"/>
      <c r="AT103" s="244">
        <f>AU103+AV103</f>
        <v>0</v>
      </c>
      <c r="AU103" s="588"/>
      <c r="AV103" s="222"/>
      <c r="AW103" s="194"/>
      <c r="AX103" s="326"/>
      <c r="AY103" s="2"/>
    </row>
    <row r="104" spans="1:51">
      <c r="A104" s="10"/>
      <c r="B104" s="10"/>
      <c r="C104" s="10"/>
      <c r="D104" s="10"/>
      <c r="E104" s="10"/>
      <c r="F104" s="10"/>
      <c r="G104" s="10"/>
      <c r="H104" s="10"/>
      <c r="I104" s="10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150"/>
      <c r="AM104" s="499" t="str">
        <f>AM92 &amp; ".1.3.0.2"</f>
        <v>5.1.1.1.3.0.2</v>
      </c>
      <c r="AN104" s="471" t="s">
        <v>287</v>
      </c>
      <c r="AO104" s="163" t="s">
        <v>288</v>
      </c>
      <c r="AP104" s="258">
        <f>IF(AP103=0,0,AP102/AP103)</f>
        <v>0</v>
      </c>
      <c r="AQ104" s="258">
        <f>IF(AQ103=0,0,AQ102/AQ103)</f>
        <v>0</v>
      </c>
      <c r="AR104" s="258">
        <f>IF(AR103=0,0,AR102/AR103)</f>
        <v>0</v>
      </c>
      <c r="AS104" s="194"/>
      <c r="AT104" s="244">
        <f>IF(AT103=0,0,AT102/AT103)</f>
        <v>0</v>
      </c>
      <c r="AU104" s="244">
        <f>IF(AU103=0,0,AU102/AU103)</f>
        <v>0</v>
      </c>
      <c r="AV104" s="244">
        <f>IF(AV103=0,0,AV102/AV103)</f>
        <v>0</v>
      </c>
      <c r="AW104" s="194"/>
      <c r="AX104" s="326"/>
      <c r="AY104" s="2"/>
    </row>
    <row r="105" spans="1:51">
      <c r="A105" s="10"/>
      <c r="B105" s="10"/>
      <c r="C105" s="10"/>
      <c r="D105" s="10"/>
      <c r="E105" s="10"/>
      <c r="F105" s="10"/>
      <c r="G105" s="10"/>
      <c r="H105" s="10"/>
      <c r="I105" s="10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150"/>
      <c r="AM105" s="499" t="str">
        <f>AM92 &amp; ".2"</f>
        <v>5.1.1.2</v>
      </c>
      <c r="AN105" s="470" t="s">
        <v>278</v>
      </c>
      <c r="AO105" s="163" t="s">
        <v>195</v>
      </c>
      <c r="AP105" s="247">
        <f t="shared" ref="AP105:AR111" si="3">SUMIF($AS$9:$AW$9,AP$9,$AS105:$AW105)</f>
        <v>0</v>
      </c>
      <c r="AQ105" s="247">
        <f t="shared" si="3"/>
        <v>0</v>
      </c>
      <c r="AR105" s="247">
        <f t="shared" si="3"/>
        <v>0</v>
      </c>
      <c r="AS105" s="194"/>
      <c r="AT105" s="244">
        <f>SUM(AT106:AT108)</f>
        <v>0</v>
      </c>
      <c r="AU105" s="257">
        <f>SUM(AU106:AU108)</f>
        <v>0</v>
      </c>
      <c r="AV105" s="754">
        <f>SUM(AV106:AV108)</f>
        <v>0</v>
      </c>
      <c r="AW105" s="194"/>
      <c r="AX105" s="326"/>
      <c r="AY105" s="2"/>
    </row>
    <row r="106" spans="1:51">
      <c r="A106" s="10"/>
      <c r="B106" s="10"/>
      <c r="C106" s="10"/>
      <c r="D106" s="10"/>
      <c r="E106" s="10"/>
      <c r="F106" s="10"/>
      <c r="G106" s="10"/>
      <c r="H106" s="10"/>
      <c r="I106" s="10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150"/>
      <c r="AM106" s="499" t="str">
        <f>AM92 &amp; ".2.1"</f>
        <v>5.1.1.2.1</v>
      </c>
      <c r="AN106" s="469" t="s">
        <v>738</v>
      </c>
      <c r="AO106" s="163" t="s">
        <v>195</v>
      </c>
      <c r="AP106" s="247">
        <f t="shared" si="3"/>
        <v>0</v>
      </c>
      <c r="AQ106" s="247">
        <f t="shared" si="3"/>
        <v>0</v>
      </c>
      <c r="AR106" s="247">
        <f t="shared" si="3"/>
        <v>0</v>
      </c>
      <c r="AS106" s="194"/>
      <c r="AT106" s="256">
        <f>AU106+AV106</f>
        <v>0</v>
      </c>
      <c r="AU106" s="588"/>
      <c r="AV106" s="588"/>
      <c r="AW106" s="194"/>
      <c r="AX106" s="326"/>
      <c r="AY106" s="2"/>
    </row>
    <row r="107" spans="1:51">
      <c r="A107" s="10"/>
      <c r="B107" s="10"/>
      <c r="C107" s="10"/>
      <c r="D107" s="10"/>
      <c r="E107" s="10"/>
      <c r="F107" s="10"/>
      <c r="G107" s="10"/>
      <c r="H107" s="10"/>
      <c r="I107" s="10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150"/>
      <c r="AM107" s="499" t="str">
        <f>AM92 &amp; ".2.2"</f>
        <v>5.1.1.2.2</v>
      </c>
      <c r="AN107" s="469" t="s">
        <v>739</v>
      </c>
      <c r="AO107" s="163" t="s">
        <v>195</v>
      </c>
      <c r="AP107" s="247">
        <f t="shared" si="3"/>
        <v>0</v>
      </c>
      <c r="AQ107" s="247">
        <f t="shared" si="3"/>
        <v>0</v>
      </c>
      <c r="AR107" s="247">
        <f t="shared" si="3"/>
        <v>0</v>
      </c>
      <c r="AS107" s="194"/>
      <c r="AT107" s="256">
        <f>AU107+AV107</f>
        <v>0</v>
      </c>
      <c r="AU107" s="588"/>
      <c r="AV107" s="222"/>
      <c r="AW107" s="194"/>
      <c r="AX107" s="326"/>
      <c r="AY107" s="2"/>
    </row>
    <row r="108" spans="1:51">
      <c r="A108" s="10"/>
      <c r="B108" s="10"/>
      <c r="C108" s="10"/>
      <c r="D108" s="10"/>
      <c r="E108" s="10"/>
      <c r="F108" s="10"/>
      <c r="G108" s="10"/>
      <c r="H108" s="10"/>
      <c r="I108" s="10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150"/>
      <c r="AM108" s="499" t="str">
        <f>AM92 &amp; ".2.3"</f>
        <v>5.1.1.2.3</v>
      </c>
      <c r="AN108" s="469" t="s">
        <v>2224</v>
      </c>
      <c r="AO108" s="747" t="s">
        <v>195</v>
      </c>
      <c r="AP108" s="748">
        <f t="shared" si="3"/>
        <v>0</v>
      </c>
      <c r="AQ108" s="748">
        <f t="shared" si="3"/>
        <v>0</v>
      </c>
      <c r="AR108" s="748">
        <f t="shared" si="3"/>
        <v>0</v>
      </c>
      <c r="AS108" s="194"/>
      <c r="AT108" s="256">
        <f>AU108+AV108</f>
        <v>0</v>
      </c>
      <c r="AU108" s="588"/>
      <c r="AV108" s="222"/>
      <c r="AW108" s="194"/>
      <c r="AX108" s="326"/>
      <c r="AY108" s="2"/>
    </row>
    <row r="109" spans="1:51">
      <c r="A109" s="10"/>
      <c r="B109" s="10"/>
      <c r="C109" s="10"/>
      <c r="D109" s="10"/>
      <c r="E109" s="10"/>
      <c r="F109" s="10"/>
      <c r="G109" s="10"/>
      <c r="H109" s="10"/>
      <c r="I109" s="10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150"/>
      <c r="AM109" s="499" t="str">
        <f>AM92 &amp; ".3"</f>
        <v>5.1.1.3</v>
      </c>
      <c r="AN109" s="470" t="s">
        <v>295</v>
      </c>
      <c r="AO109" s="163" t="s">
        <v>195</v>
      </c>
      <c r="AP109" s="247">
        <f t="shared" si="3"/>
        <v>0</v>
      </c>
      <c r="AQ109" s="247">
        <f t="shared" si="3"/>
        <v>0</v>
      </c>
      <c r="AR109" s="247">
        <f t="shared" si="3"/>
        <v>0</v>
      </c>
      <c r="AS109" s="194"/>
      <c r="AT109" s="244">
        <f>SUM(AT110,AT114,AT118)</f>
        <v>0</v>
      </c>
      <c r="AU109" s="257">
        <f>SUM(AU110,AU114,AU118)</f>
        <v>0</v>
      </c>
      <c r="AV109" s="754">
        <f>SUM(AV110,AV114,AV118)</f>
        <v>0</v>
      </c>
      <c r="AW109" s="194"/>
      <c r="AX109" s="326"/>
      <c r="AY109" s="2"/>
    </row>
    <row r="110" spans="1:51">
      <c r="A110" s="10"/>
      <c r="B110" s="10"/>
      <c r="C110" s="10"/>
      <c r="D110" s="10"/>
      <c r="E110" s="10"/>
      <c r="F110" s="10"/>
      <c r="G110" s="10"/>
      <c r="H110" s="10"/>
      <c r="I110" s="10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150"/>
      <c r="AM110" s="499" t="str">
        <f>AM92 &amp; ".3.1"</f>
        <v>5.1.1.3.1</v>
      </c>
      <c r="AN110" s="469" t="s">
        <v>738</v>
      </c>
      <c r="AO110" s="163" t="s">
        <v>195</v>
      </c>
      <c r="AP110" s="247">
        <f t="shared" si="3"/>
        <v>0</v>
      </c>
      <c r="AQ110" s="247">
        <f t="shared" si="3"/>
        <v>0</v>
      </c>
      <c r="AR110" s="247">
        <f t="shared" si="3"/>
        <v>0</v>
      </c>
      <c r="AS110" s="194"/>
      <c r="AT110" s="256">
        <f>AU110+AV110</f>
        <v>0</v>
      </c>
      <c r="AU110" s="588"/>
      <c r="AV110" s="588"/>
      <c r="AW110" s="194"/>
      <c r="AX110" s="326"/>
      <c r="AY110" s="2"/>
    </row>
    <row r="111" spans="1:51">
      <c r="A111" s="10"/>
      <c r="B111" s="10"/>
      <c r="C111" s="10"/>
      <c r="D111" s="10"/>
      <c r="E111" s="10"/>
      <c r="F111" s="10"/>
      <c r="G111" s="10"/>
      <c r="H111" s="10"/>
      <c r="I111" s="10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150"/>
      <c r="AM111" s="499" t="str">
        <f>AM92 &amp; ".3.1.0.1"</f>
        <v>5.1.1.3.1.0.1</v>
      </c>
      <c r="AN111" s="471" t="s">
        <v>285</v>
      </c>
      <c r="AO111" s="163" t="s">
        <v>286</v>
      </c>
      <c r="AP111" s="247">
        <f t="shared" si="3"/>
        <v>0</v>
      </c>
      <c r="AQ111" s="247">
        <f t="shared" si="3"/>
        <v>0</v>
      </c>
      <c r="AR111" s="247">
        <f t="shared" si="3"/>
        <v>0</v>
      </c>
      <c r="AS111" s="194"/>
      <c r="AT111" s="256">
        <f>AU111+AV111</f>
        <v>0</v>
      </c>
      <c r="AU111" s="588"/>
      <c r="AV111" s="222"/>
      <c r="AW111" s="194"/>
      <c r="AX111" s="326"/>
      <c r="AY111" s="2"/>
    </row>
    <row r="112" spans="1:51">
      <c r="A112" s="10"/>
      <c r="B112" s="10"/>
      <c r="C112" s="10"/>
      <c r="D112" s="10"/>
      <c r="E112" s="10"/>
      <c r="F112" s="10"/>
      <c r="G112" s="10"/>
      <c r="H112" s="10"/>
      <c r="I112" s="10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150"/>
      <c r="AM112" s="499" t="str">
        <f>AM92 &amp; ".3.1.0.2"</f>
        <v>5.1.1.3.1.0.2</v>
      </c>
      <c r="AN112" s="471" t="s">
        <v>287</v>
      </c>
      <c r="AO112" s="163" t="s">
        <v>288</v>
      </c>
      <c r="AP112" s="258">
        <f>IF(AP111=0,0,AP110/AP111)</f>
        <v>0</v>
      </c>
      <c r="AQ112" s="258">
        <f>IF(AQ111=0,0,AQ110/AQ111)</f>
        <v>0</v>
      </c>
      <c r="AR112" s="258">
        <f>IF(AR111=0,0,AR110/AR111)</f>
        <v>0</v>
      </c>
      <c r="AS112" s="194"/>
      <c r="AT112" s="244">
        <f>IF(AT111=0,0,AT110/AT111)</f>
        <v>0</v>
      </c>
      <c r="AU112" s="244">
        <f>IF(AU111=0,0,AU110/AU111)</f>
        <v>0</v>
      </c>
      <c r="AV112" s="244">
        <f>IF(AV111=0,0,AV110/AV111)</f>
        <v>0</v>
      </c>
      <c r="AW112" s="194"/>
      <c r="AX112" s="326"/>
      <c r="AY112" s="2"/>
    </row>
    <row r="113" spans="1:51" ht="0.75" hidden="1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150"/>
      <c r="AM113" s="500"/>
      <c r="AN113" s="472"/>
      <c r="AO113" s="166"/>
      <c r="AP113" s="241"/>
      <c r="AQ113" s="241"/>
      <c r="AR113" s="241"/>
      <c r="AS113" s="194"/>
      <c r="AT113" s="242"/>
      <c r="AU113" s="260"/>
      <c r="AV113" s="241"/>
      <c r="AW113" s="194"/>
      <c r="AX113" s="326"/>
      <c r="AY113" s="2"/>
    </row>
    <row r="114" spans="1:51">
      <c r="A114" s="10"/>
      <c r="B114" s="10"/>
      <c r="C114" s="10"/>
      <c r="D114" s="10"/>
      <c r="E114" s="10"/>
      <c r="F114" s="10"/>
      <c r="G114" s="10"/>
      <c r="H114" s="10"/>
      <c r="I114" s="10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150"/>
      <c r="AM114" s="499" t="str">
        <f>AM92 &amp; ".3.2"</f>
        <v>5.1.1.3.2</v>
      </c>
      <c r="AN114" s="469" t="s">
        <v>739</v>
      </c>
      <c r="AO114" s="163" t="s">
        <v>195</v>
      </c>
      <c r="AP114" s="247">
        <f t="shared" ref="AP114:AR115" si="4">SUMIF($AS$9:$AW$9,AP$9,$AS114:$AW114)</f>
        <v>0</v>
      </c>
      <c r="AQ114" s="247">
        <f t="shared" si="4"/>
        <v>0</v>
      </c>
      <c r="AR114" s="247">
        <f t="shared" si="4"/>
        <v>0</v>
      </c>
      <c r="AS114" s="194"/>
      <c r="AT114" s="256">
        <f>AU114+AV114</f>
        <v>0</v>
      </c>
      <c r="AU114" s="588"/>
      <c r="AV114" s="588"/>
      <c r="AW114" s="194"/>
      <c r="AX114" s="326"/>
      <c r="AY114" s="2"/>
    </row>
    <row r="115" spans="1:51">
      <c r="A115" s="10"/>
      <c r="B115" s="10"/>
      <c r="C115" s="10"/>
      <c r="D115" s="10"/>
      <c r="E115" s="10"/>
      <c r="F115" s="10"/>
      <c r="G115" s="10"/>
      <c r="H115" s="10"/>
      <c r="I115" s="10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150"/>
      <c r="AM115" s="499" t="str">
        <f>AM92 &amp; ".3.2.0.1"</f>
        <v>5.1.1.3.2.0.1</v>
      </c>
      <c r="AN115" s="471" t="s">
        <v>285</v>
      </c>
      <c r="AO115" s="163" t="s">
        <v>286</v>
      </c>
      <c r="AP115" s="247">
        <f t="shared" si="4"/>
        <v>0</v>
      </c>
      <c r="AQ115" s="247">
        <f t="shared" si="4"/>
        <v>0</v>
      </c>
      <c r="AR115" s="247">
        <f t="shared" si="4"/>
        <v>0</v>
      </c>
      <c r="AS115" s="194"/>
      <c r="AT115" s="256">
        <f>AU115+AV115</f>
        <v>0</v>
      </c>
      <c r="AU115" s="588"/>
      <c r="AV115" s="222"/>
      <c r="AW115" s="194"/>
      <c r="AX115" s="326"/>
      <c r="AY115" s="2"/>
    </row>
    <row r="116" spans="1:51">
      <c r="A116" s="10"/>
      <c r="B116" s="10"/>
      <c r="C116" s="10"/>
      <c r="D116" s="10"/>
      <c r="E116" s="10"/>
      <c r="F116" s="10"/>
      <c r="G116" s="10"/>
      <c r="H116" s="10"/>
      <c r="I116" s="10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150"/>
      <c r="AM116" s="499" t="str">
        <f>AM92 &amp; ".3.2.0.2"</f>
        <v>5.1.1.3.2.0.2</v>
      </c>
      <c r="AN116" s="471" t="s">
        <v>287</v>
      </c>
      <c r="AO116" s="163" t="s">
        <v>288</v>
      </c>
      <c r="AP116" s="258">
        <f>IF(AP115=0,0,AP114/AP115)</f>
        <v>0</v>
      </c>
      <c r="AQ116" s="258">
        <f>IF(AQ115=0,0,AQ114/AQ115)</f>
        <v>0</v>
      </c>
      <c r="AR116" s="258">
        <f>IF(AR115=0,0,AR114/AR115)</f>
        <v>0</v>
      </c>
      <c r="AS116" s="194"/>
      <c r="AT116" s="244">
        <f>IF(AT115=0,0,AT114/AT115)</f>
        <v>0</v>
      </c>
      <c r="AU116" s="244">
        <f>IF(AU115=0,0,AU114/AU115)</f>
        <v>0</v>
      </c>
      <c r="AV116" s="244">
        <f>IF(AV115=0,0,AV114/AV115)</f>
        <v>0</v>
      </c>
      <c r="AW116" s="194"/>
      <c r="AX116" s="326"/>
      <c r="AY116" s="2"/>
    </row>
    <row r="117" spans="1:51" ht="0.75" hidden="1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150"/>
      <c r="AM117" s="500"/>
      <c r="AN117" s="472"/>
      <c r="AO117" s="166"/>
      <c r="AP117" s="241"/>
      <c r="AQ117" s="241"/>
      <c r="AR117" s="241"/>
      <c r="AS117" s="194"/>
      <c r="AT117" s="242"/>
      <c r="AU117" s="260"/>
      <c r="AV117" s="241"/>
      <c r="AW117" s="194"/>
      <c r="AX117" s="326"/>
      <c r="AY117" s="2"/>
    </row>
    <row r="118" spans="1:51">
      <c r="A118" s="10"/>
      <c r="B118" s="10"/>
      <c r="C118" s="10"/>
      <c r="D118" s="10"/>
      <c r="E118" s="10"/>
      <c r="F118" s="10"/>
      <c r="G118" s="10"/>
      <c r="H118" s="10"/>
      <c r="I118" s="10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150"/>
      <c r="AM118" s="499" t="str">
        <f>AM92 &amp; ".3.3"</f>
        <v>5.1.1.3.3</v>
      </c>
      <c r="AN118" s="469" t="s">
        <v>737</v>
      </c>
      <c r="AO118" s="163" t="s">
        <v>195</v>
      </c>
      <c r="AP118" s="247">
        <f t="shared" ref="AP118:AR119" si="5">SUMIF($AS$9:$AW$9,AP$9,$AS118:$AW118)</f>
        <v>0</v>
      </c>
      <c r="AQ118" s="247">
        <f t="shared" si="5"/>
        <v>0</v>
      </c>
      <c r="AR118" s="247">
        <f t="shared" si="5"/>
        <v>0</v>
      </c>
      <c r="AS118" s="194"/>
      <c r="AT118" s="256">
        <f>AU118+AV118</f>
        <v>0</v>
      </c>
      <c r="AU118" s="588"/>
      <c r="AV118" s="588"/>
      <c r="AW118" s="194"/>
      <c r="AX118" s="326"/>
      <c r="AY118" s="2"/>
    </row>
    <row r="119" spans="1:51">
      <c r="A119" s="10"/>
      <c r="B119" s="10"/>
      <c r="C119" s="10"/>
      <c r="D119" s="10"/>
      <c r="E119" s="10"/>
      <c r="F119" s="10"/>
      <c r="G119" s="10"/>
      <c r="H119" s="10"/>
      <c r="I119" s="10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150"/>
      <c r="AM119" s="499" t="str">
        <f>AM92 &amp; ".3.3.0.1"</f>
        <v>5.1.1.3.3.0.1</v>
      </c>
      <c r="AN119" s="471" t="s">
        <v>285</v>
      </c>
      <c r="AO119" s="163" t="s">
        <v>286</v>
      </c>
      <c r="AP119" s="247">
        <f t="shared" si="5"/>
        <v>0</v>
      </c>
      <c r="AQ119" s="247">
        <f t="shared" si="5"/>
        <v>0</v>
      </c>
      <c r="AR119" s="247">
        <f t="shared" si="5"/>
        <v>0</v>
      </c>
      <c r="AS119" s="194"/>
      <c r="AT119" s="256">
        <f>AU119+AV119</f>
        <v>0</v>
      </c>
      <c r="AU119" s="588"/>
      <c r="AV119" s="222"/>
      <c r="AW119" s="194"/>
      <c r="AX119" s="326"/>
      <c r="AY119" s="2"/>
    </row>
    <row r="120" spans="1:51">
      <c r="A120" s="10"/>
      <c r="B120" s="10"/>
      <c r="C120" s="10"/>
      <c r="D120" s="10"/>
      <c r="E120" s="10"/>
      <c r="F120" s="10"/>
      <c r="G120" s="10"/>
      <c r="H120" s="10"/>
      <c r="I120" s="10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150"/>
      <c r="AM120" s="499" t="str">
        <f>AM92 &amp; ".3.3.0.2"</f>
        <v>5.1.1.3.3.0.2</v>
      </c>
      <c r="AN120" s="471" t="s">
        <v>287</v>
      </c>
      <c r="AO120" s="163" t="s">
        <v>288</v>
      </c>
      <c r="AP120" s="258">
        <f>IF(AP119=0,0,AP118/AP119)</f>
        <v>0</v>
      </c>
      <c r="AQ120" s="258">
        <f>IF(AQ119=0,0,AQ118/AQ119)</f>
        <v>0</v>
      </c>
      <c r="AR120" s="258">
        <f>IF(AR119=0,0,AR118/AR119)</f>
        <v>0</v>
      </c>
      <c r="AS120" s="194"/>
      <c r="AT120" s="244">
        <f>IF(AT119=0,0,AT118/AT119)</f>
        <v>0</v>
      </c>
      <c r="AU120" s="244">
        <f>IF(AU119=0,0,AU118/AU119)</f>
        <v>0</v>
      </c>
      <c r="AV120" s="244">
        <f>IF(AV119=0,0,AV118/AV119)</f>
        <v>0</v>
      </c>
      <c r="AW120" s="194"/>
      <c r="AX120" s="326"/>
      <c r="AY120" s="2"/>
    </row>
    <row r="121" spans="1:51" ht="0.75" hidden="1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150"/>
      <c r="AM121" s="500"/>
      <c r="AN121" s="472"/>
      <c r="AO121" s="166"/>
      <c r="AP121" s="241"/>
      <c r="AQ121" s="241"/>
      <c r="AR121" s="241"/>
      <c r="AS121" s="194"/>
      <c r="AT121" s="242"/>
      <c r="AU121" s="260"/>
      <c r="AV121" s="241"/>
      <c r="AW121" s="194"/>
      <c r="AX121" s="326"/>
      <c r="AY121" s="2"/>
    </row>
    <row r="122" spans="1:51">
      <c r="A122" s="10"/>
      <c r="B122" s="10"/>
      <c r="C122" s="10"/>
      <c r="D122" s="10"/>
      <c r="E122" s="10"/>
      <c r="F122" s="10"/>
      <c r="G122" s="10"/>
      <c r="H122" s="10"/>
      <c r="I122" s="10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150"/>
      <c r="AM122" s="499" t="str">
        <f>AM92 &amp; ".4"</f>
        <v>5.1.1.4</v>
      </c>
      <c r="AN122" s="470" t="s">
        <v>279</v>
      </c>
      <c r="AO122" s="163" t="s">
        <v>195</v>
      </c>
      <c r="AP122" s="247">
        <f t="shared" ref="AP122:AR130" si="6">SUMIF($AS$9:$AW$9,AP$9,$AS122:$AW122)</f>
        <v>0</v>
      </c>
      <c r="AQ122" s="247">
        <f t="shared" si="6"/>
        <v>0</v>
      </c>
      <c r="AR122" s="247">
        <f t="shared" si="6"/>
        <v>0</v>
      </c>
      <c r="AS122" s="194"/>
      <c r="AT122" s="244">
        <f>SUM(AT123:AT125)</f>
        <v>0</v>
      </c>
      <c r="AU122" s="257">
        <f>SUM(AU123:AU125)</f>
        <v>0</v>
      </c>
      <c r="AV122" s="754">
        <f>SUM(AV123:AV125)</f>
        <v>0</v>
      </c>
      <c r="AW122" s="194"/>
      <c r="AX122" s="326"/>
      <c r="AY122" s="2"/>
    </row>
    <row r="123" spans="1:51">
      <c r="A123" s="10"/>
      <c r="B123" s="10"/>
      <c r="C123" s="10"/>
      <c r="D123" s="10"/>
      <c r="E123" s="10"/>
      <c r="F123" s="10"/>
      <c r="G123" s="10"/>
      <c r="H123" s="10"/>
      <c r="I123" s="10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150"/>
      <c r="AM123" s="499" t="str">
        <f>AM92 &amp; ".4.1"</f>
        <v>5.1.1.4.1</v>
      </c>
      <c r="AN123" s="469" t="s">
        <v>738</v>
      </c>
      <c r="AO123" s="163" t="s">
        <v>195</v>
      </c>
      <c r="AP123" s="247">
        <f t="shared" si="6"/>
        <v>0</v>
      </c>
      <c r="AQ123" s="247">
        <f t="shared" si="6"/>
        <v>0</v>
      </c>
      <c r="AR123" s="247">
        <f t="shared" si="6"/>
        <v>0</v>
      </c>
      <c r="AS123" s="194"/>
      <c r="AT123" s="256">
        <f t="shared" ref="AT123:AT130" si="7">AU123+AV123</f>
        <v>0</v>
      </c>
      <c r="AU123" s="588"/>
      <c r="AV123" s="588"/>
      <c r="AW123" s="194"/>
      <c r="AX123" s="326"/>
      <c r="AY123" s="2"/>
    </row>
    <row r="124" spans="1:51">
      <c r="A124" s="10"/>
      <c r="B124" s="10"/>
      <c r="C124" s="10"/>
      <c r="D124" s="10"/>
      <c r="E124" s="10"/>
      <c r="F124" s="10"/>
      <c r="G124" s="10"/>
      <c r="H124" s="10"/>
      <c r="I124" s="10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150"/>
      <c r="AM124" s="499" t="str">
        <f>AM92 &amp; ".4.2"</f>
        <v>5.1.1.4.2</v>
      </c>
      <c r="AN124" s="469" t="s">
        <v>739</v>
      </c>
      <c r="AO124" s="163" t="s">
        <v>195</v>
      </c>
      <c r="AP124" s="247">
        <f t="shared" si="6"/>
        <v>0</v>
      </c>
      <c r="AQ124" s="247">
        <f t="shared" si="6"/>
        <v>0</v>
      </c>
      <c r="AR124" s="247">
        <f t="shared" si="6"/>
        <v>0</v>
      </c>
      <c r="AS124" s="194"/>
      <c r="AT124" s="256">
        <f t="shared" si="7"/>
        <v>0</v>
      </c>
      <c r="AU124" s="588"/>
      <c r="AV124" s="588"/>
      <c r="AW124" s="194"/>
      <c r="AX124" s="326"/>
      <c r="AY124" s="2"/>
    </row>
    <row r="125" spans="1:51">
      <c r="A125" s="10"/>
      <c r="B125" s="10"/>
      <c r="C125" s="10"/>
      <c r="D125" s="10"/>
      <c r="E125" s="10"/>
      <c r="F125" s="10"/>
      <c r="G125" s="10"/>
      <c r="H125" s="10"/>
      <c r="I125" s="10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150"/>
      <c r="AM125" s="499" t="str">
        <f>AM92 &amp; ".4.3"</f>
        <v>5.1.1.4.3</v>
      </c>
      <c r="AN125" s="469" t="s">
        <v>737</v>
      </c>
      <c r="AO125" s="163" t="s">
        <v>195</v>
      </c>
      <c r="AP125" s="247">
        <f t="shared" si="6"/>
        <v>0</v>
      </c>
      <c r="AQ125" s="247">
        <f t="shared" si="6"/>
        <v>0</v>
      </c>
      <c r="AR125" s="247">
        <f t="shared" si="6"/>
        <v>0</v>
      </c>
      <c r="AS125" s="194"/>
      <c r="AT125" s="256">
        <f t="shared" si="7"/>
        <v>0</v>
      </c>
      <c r="AU125" s="588"/>
      <c r="AV125" s="222"/>
      <c r="AW125" s="194"/>
      <c r="AX125" s="326"/>
      <c r="AY125" s="2"/>
    </row>
    <row r="126" spans="1:51" ht="21" customHeight="1">
      <c r="A126" s="10"/>
      <c r="B126" s="10"/>
      <c r="C126" s="10"/>
      <c r="D126" s="10"/>
      <c r="E126" s="10"/>
      <c r="F126" s="10"/>
      <c r="G126" s="10"/>
      <c r="H126" s="10"/>
      <c r="I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9"/>
      <c r="AL126" s="150"/>
      <c r="AM126" s="490" t="s">
        <v>326</v>
      </c>
      <c r="AN126" s="498" t="s">
        <v>327</v>
      </c>
      <c r="AO126" s="163" t="s">
        <v>195</v>
      </c>
      <c r="AP126" s="247">
        <f t="shared" si="6"/>
        <v>0</v>
      </c>
      <c r="AQ126" s="247">
        <f t="shared" si="6"/>
        <v>0</v>
      </c>
      <c r="AR126" s="247">
        <f t="shared" si="6"/>
        <v>0</v>
      </c>
      <c r="AS126" s="194"/>
      <c r="AT126" s="256">
        <f t="shared" si="7"/>
        <v>0</v>
      </c>
      <c r="AU126" s="245"/>
      <c r="AV126" s="245"/>
      <c r="AW126" s="194"/>
      <c r="AX126" s="326"/>
      <c r="AY126" s="2"/>
    </row>
    <row r="127" spans="1:51" ht="20.399999999999999">
      <c r="A127" s="10"/>
      <c r="B127" s="10"/>
      <c r="C127" s="10"/>
      <c r="D127" s="10"/>
      <c r="E127" s="10"/>
      <c r="F127" s="10"/>
      <c r="G127" s="10"/>
      <c r="H127" s="10"/>
      <c r="I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9"/>
      <c r="AL127" s="150"/>
      <c r="AM127" s="490" t="s">
        <v>329</v>
      </c>
      <c r="AN127" s="498" t="s">
        <v>330</v>
      </c>
      <c r="AO127" s="163" t="s">
        <v>195</v>
      </c>
      <c r="AP127" s="247">
        <f t="shared" si="6"/>
        <v>1292.2200000000005</v>
      </c>
      <c r="AQ127" s="247">
        <f t="shared" si="6"/>
        <v>646.11000000000024</v>
      </c>
      <c r="AR127" s="247">
        <f t="shared" si="6"/>
        <v>646.11000000000024</v>
      </c>
      <c r="AS127" s="194"/>
      <c r="AT127" s="754">
        <f t="shared" si="7"/>
        <v>1292.2200000000005</v>
      </c>
      <c r="AU127" s="754">
        <f>SUM(AU130,AU133,AU136,AU139,AU142,AU145,AU148,AU151)</f>
        <v>646.11000000000024</v>
      </c>
      <c r="AV127" s="754">
        <f>SUM(AV130,AV133,AV136,AV139,AV142,AV145,AV148,AV151)</f>
        <v>646.11000000000024</v>
      </c>
      <c r="AW127" s="194"/>
      <c r="AX127" s="326"/>
      <c r="AY127" s="2"/>
    </row>
    <row r="128" spans="1:51">
      <c r="A128" s="10"/>
      <c r="B128" s="10"/>
      <c r="C128" s="10"/>
      <c r="D128" s="10"/>
      <c r="E128" s="10"/>
      <c r="F128" s="10"/>
      <c r="G128" s="10"/>
      <c r="H128" s="10"/>
      <c r="I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9"/>
      <c r="AL128" s="150"/>
      <c r="AM128" s="501" t="s">
        <v>331</v>
      </c>
      <c r="AN128" s="473" t="s">
        <v>666</v>
      </c>
      <c r="AO128" s="163" t="s">
        <v>284</v>
      </c>
      <c r="AP128" s="247">
        <f t="shared" si="6"/>
        <v>177.59</v>
      </c>
      <c r="AQ128" s="247">
        <f t="shared" si="6"/>
        <v>88.795000000000002</v>
      </c>
      <c r="AR128" s="247">
        <f t="shared" si="6"/>
        <v>88.795000000000002</v>
      </c>
      <c r="AS128" s="194"/>
      <c r="AT128" s="754">
        <f t="shared" si="7"/>
        <v>177.59</v>
      </c>
      <c r="AU128" s="754">
        <f>AU132+AU138+AU144+AU150</f>
        <v>88.795000000000002</v>
      </c>
      <c r="AV128" s="754">
        <f>AV132+AV138+AV144+AV150</f>
        <v>88.795000000000002</v>
      </c>
      <c r="AW128" s="194"/>
      <c r="AX128" s="326"/>
      <c r="AY128" s="2"/>
    </row>
    <row r="129" spans="1:51">
      <c r="A129" s="10"/>
      <c r="B129" s="10"/>
      <c r="C129" s="10"/>
      <c r="D129" s="10"/>
      <c r="E129" s="10"/>
      <c r="F129" s="10"/>
      <c r="G129" s="10"/>
      <c r="H129" s="10"/>
      <c r="I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9"/>
      <c r="AL129" s="150"/>
      <c r="AM129" s="501" t="s">
        <v>332</v>
      </c>
      <c r="AN129" s="473" t="s">
        <v>668</v>
      </c>
      <c r="AO129" s="163" t="s">
        <v>669</v>
      </c>
      <c r="AP129" s="247">
        <f t="shared" si="6"/>
        <v>0</v>
      </c>
      <c r="AQ129" s="247">
        <f t="shared" si="6"/>
        <v>0</v>
      </c>
      <c r="AR129" s="247">
        <f t="shared" si="6"/>
        <v>0</v>
      </c>
      <c r="AS129" s="194"/>
      <c r="AT129" s="754">
        <f t="shared" si="7"/>
        <v>0</v>
      </c>
      <c r="AU129" s="754">
        <f>AU135+AU141+AU147+AU153</f>
        <v>0</v>
      </c>
      <c r="AV129" s="754">
        <f>AV135+AV141+AV147+AV153</f>
        <v>0</v>
      </c>
      <c r="AW129" s="194"/>
      <c r="AX129" s="326"/>
      <c r="AY129" s="2"/>
    </row>
    <row r="130" spans="1:51">
      <c r="A130" s="10"/>
      <c r="B130" s="10"/>
      <c r="C130" s="10"/>
      <c r="D130" s="10"/>
      <c r="E130" s="10"/>
      <c r="F130" s="10"/>
      <c r="G130" s="10"/>
      <c r="H130" s="10"/>
      <c r="I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9"/>
      <c r="AL130" s="150"/>
      <c r="AM130" s="501" t="s">
        <v>333</v>
      </c>
      <c r="AN130" s="473" t="s">
        <v>334</v>
      </c>
      <c r="AO130" s="163" t="s">
        <v>195</v>
      </c>
      <c r="AP130" s="247">
        <f t="shared" si="6"/>
        <v>0</v>
      </c>
      <c r="AQ130" s="247">
        <f t="shared" si="6"/>
        <v>0</v>
      </c>
      <c r="AR130" s="247">
        <f t="shared" si="6"/>
        <v>0</v>
      </c>
      <c r="AS130" s="194"/>
      <c r="AT130" s="754">
        <f t="shared" si="7"/>
        <v>0</v>
      </c>
      <c r="AU130" s="754">
        <f>AU131*AU132</f>
        <v>0</v>
      </c>
      <c r="AV130" s="754">
        <f>AV131*AV132</f>
        <v>0</v>
      </c>
      <c r="AW130" s="194"/>
      <c r="AX130" s="326"/>
      <c r="AY130" s="2"/>
    </row>
    <row r="131" spans="1:51">
      <c r="A131" s="10"/>
      <c r="B131" s="10"/>
      <c r="C131" s="10"/>
      <c r="D131" s="10"/>
      <c r="E131" s="10"/>
      <c r="F131" s="10"/>
      <c r="G131" s="10"/>
      <c r="H131" s="10"/>
      <c r="I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9"/>
      <c r="AL131" s="150"/>
      <c r="AM131" s="501" t="s">
        <v>335</v>
      </c>
      <c r="AN131" s="474" t="s">
        <v>670</v>
      </c>
      <c r="AO131" s="163" t="s">
        <v>313</v>
      </c>
      <c r="AP131" s="247">
        <f>IF(AP132=0,0,AP130/AP132)</f>
        <v>0</v>
      </c>
      <c r="AQ131" s="247">
        <f>IF(AQ132=0,0,AQ130/AQ132)</f>
        <v>0</v>
      </c>
      <c r="AR131" s="247">
        <f>IF(AR132=0,0,AR130/AR132)</f>
        <v>0</v>
      </c>
      <c r="AS131" s="194"/>
      <c r="AT131" s="754">
        <f>IF(AT132=0,0,AT130/AT132)</f>
        <v>0</v>
      </c>
      <c r="AU131" s="245"/>
      <c r="AV131" s="245"/>
      <c r="AW131" s="194"/>
      <c r="AX131" s="326"/>
      <c r="AY131" s="2"/>
    </row>
    <row r="132" spans="1:51">
      <c r="A132" s="10"/>
      <c r="B132" s="10"/>
      <c r="C132" s="10"/>
      <c r="D132" s="10"/>
      <c r="E132" s="10"/>
      <c r="F132" s="10"/>
      <c r="G132" s="10"/>
      <c r="H132" s="10"/>
      <c r="I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9"/>
      <c r="AL132" s="150"/>
      <c r="AM132" s="501" t="s">
        <v>336</v>
      </c>
      <c r="AN132" s="474" t="s">
        <v>666</v>
      </c>
      <c r="AO132" s="163" t="s">
        <v>284</v>
      </c>
      <c r="AP132" s="247">
        <f t="shared" ref="AP132:AR133" si="8">SUMIF($AS$9:$AW$9,AP$9,$AS132:$AW132)</f>
        <v>0</v>
      </c>
      <c r="AQ132" s="247">
        <f t="shared" si="8"/>
        <v>0</v>
      </c>
      <c r="AR132" s="247">
        <f t="shared" si="8"/>
        <v>0</v>
      </c>
      <c r="AS132" s="194"/>
      <c r="AT132" s="754">
        <f>AU132+AV132</f>
        <v>0</v>
      </c>
      <c r="AU132" s="245"/>
      <c r="AV132" s="245"/>
      <c r="AW132" s="194"/>
      <c r="AX132" s="326"/>
      <c r="AY132" s="2"/>
    </row>
    <row r="133" spans="1:51">
      <c r="A133" s="10"/>
      <c r="B133" s="10"/>
      <c r="C133" s="10"/>
      <c r="D133" s="10"/>
      <c r="E133" s="10"/>
      <c r="F133" s="10"/>
      <c r="G133" s="10"/>
      <c r="H133" s="10"/>
      <c r="I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9"/>
      <c r="AL133" s="150"/>
      <c r="AM133" s="501" t="s">
        <v>337</v>
      </c>
      <c r="AN133" s="473" t="s">
        <v>338</v>
      </c>
      <c r="AO133" s="163" t="s">
        <v>195</v>
      </c>
      <c r="AP133" s="247">
        <f t="shared" si="8"/>
        <v>0</v>
      </c>
      <c r="AQ133" s="247">
        <f t="shared" si="8"/>
        <v>0</v>
      </c>
      <c r="AR133" s="247">
        <f t="shared" si="8"/>
        <v>0</v>
      </c>
      <c r="AS133" s="194"/>
      <c r="AT133" s="754">
        <f>AU133+AV133</f>
        <v>0</v>
      </c>
      <c r="AU133" s="754">
        <f>AU134*AU135</f>
        <v>0</v>
      </c>
      <c r="AV133" s="754">
        <f>AV134*AV135</f>
        <v>0</v>
      </c>
      <c r="AW133" s="194"/>
      <c r="AX133" s="326"/>
      <c r="AY133" s="2"/>
    </row>
    <row r="134" spans="1:51">
      <c r="A134" s="2"/>
      <c r="B134" s="2"/>
      <c r="C134" s="2"/>
      <c r="D134" s="2"/>
      <c r="E134" s="2"/>
      <c r="F134" s="2"/>
      <c r="G134" s="2"/>
      <c r="H134" s="2"/>
      <c r="I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7"/>
      <c r="AL134" s="150"/>
      <c r="AM134" s="501" t="s">
        <v>339</v>
      </c>
      <c r="AN134" s="474" t="s">
        <v>671</v>
      </c>
      <c r="AO134" s="163" t="s">
        <v>314</v>
      </c>
      <c r="AP134" s="247">
        <f>IF(AP135=0,0,AP133/AP135)</f>
        <v>0</v>
      </c>
      <c r="AQ134" s="247">
        <f>IF(AQ135=0,0,AQ133/AQ135)</f>
        <v>0</v>
      </c>
      <c r="AR134" s="247">
        <f>IF(AR135=0,0,AR133/AR135)</f>
        <v>0</v>
      </c>
      <c r="AS134" s="194"/>
      <c r="AT134" s="754">
        <f>IF(AT135=0,0,AT133/AT135)</f>
        <v>0</v>
      </c>
      <c r="AU134" s="245"/>
      <c r="AV134" s="245"/>
      <c r="AW134" s="194"/>
      <c r="AX134" s="326"/>
      <c r="AY134" s="2"/>
    </row>
    <row r="135" spans="1:51">
      <c r="A135" s="2"/>
      <c r="B135" s="2"/>
      <c r="C135" s="2"/>
      <c r="D135" s="2"/>
      <c r="E135" s="2"/>
      <c r="F135" s="2"/>
      <c r="G135" s="2"/>
      <c r="H135" s="2"/>
      <c r="I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7"/>
      <c r="AL135" s="150"/>
      <c r="AM135" s="501" t="s">
        <v>340</v>
      </c>
      <c r="AN135" s="474" t="s">
        <v>672</v>
      </c>
      <c r="AO135" s="163" t="s">
        <v>669</v>
      </c>
      <c r="AP135" s="247">
        <f t="shared" ref="AP135:AR136" si="9">SUMIF($AS$9:$AW$9,AP$9,$AS135:$AW135)</f>
        <v>0</v>
      </c>
      <c r="AQ135" s="247">
        <f t="shared" si="9"/>
        <v>0</v>
      </c>
      <c r="AR135" s="247">
        <f t="shared" si="9"/>
        <v>0</v>
      </c>
      <c r="AS135" s="194"/>
      <c r="AT135" s="754">
        <f>AU135+AV135</f>
        <v>0</v>
      </c>
      <c r="AU135" s="245"/>
      <c r="AV135" s="245"/>
      <c r="AW135" s="194"/>
      <c r="AX135" s="326"/>
      <c r="AY135" s="2"/>
    </row>
    <row r="136" spans="1:51">
      <c r="A136" s="2"/>
      <c r="B136" s="2"/>
      <c r="C136" s="2"/>
      <c r="D136" s="2"/>
      <c r="E136" s="2"/>
      <c r="F136" s="2"/>
      <c r="G136" s="2"/>
      <c r="H136" s="2"/>
      <c r="I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7"/>
      <c r="AL136" s="150"/>
      <c r="AM136" s="501" t="s">
        <v>341</v>
      </c>
      <c r="AN136" s="473" t="s">
        <v>342</v>
      </c>
      <c r="AO136" s="163" t="s">
        <v>195</v>
      </c>
      <c r="AP136" s="247">
        <f t="shared" si="9"/>
        <v>1292.2200000000005</v>
      </c>
      <c r="AQ136" s="247">
        <f t="shared" si="9"/>
        <v>646.11000000000024</v>
      </c>
      <c r="AR136" s="247">
        <f t="shared" si="9"/>
        <v>646.11000000000024</v>
      </c>
      <c r="AS136" s="194"/>
      <c r="AT136" s="754">
        <f>AU136+AV136</f>
        <v>1292.2200000000005</v>
      </c>
      <c r="AU136" s="754">
        <f>AU137*AU138</f>
        <v>646.11000000000024</v>
      </c>
      <c r="AV136" s="754">
        <f>AV137*AV138</f>
        <v>646.11000000000024</v>
      </c>
      <c r="AW136" s="194"/>
      <c r="AX136" s="326"/>
      <c r="AY136" s="2"/>
    </row>
    <row r="137" spans="1:51">
      <c r="A137" s="2"/>
      <c r="B137" s="2"/>
      <c r="C137" s="2"/>
      <c r="D137" s="2"/>
      <c r="E137" s="2"/>
      <c r="F137" s="2"/>
      <c r="G137" s="2"/>
      <c r="H137" s="2"/>
      <c r="I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7"/>
      <c r="AL137" s="150"/>
      <c r="AM137" s="501" t="s">
        <v>343</v>
      </c>
      <c r="AN137" s="474" t="s">
        <v>670</v>
      </c>
      <c r="AO137" s="163" t="s">
        <v>313</v>
      </c>
      <c r="AP137" s="247">
        <f>IF(AP138=0,0,AP136/AP138)</f>
        <v>7.2764232220282699</v>
      </c>
      <c r="AQ137" s="247">
        <f>IF(AQ138=0,0,AQ136/AQ138)</f>
        <v>7.2764232220282699</v>
      </c>
      <c r="AR137" s="247">
        <f>IF(AR138=0,0,AR136/AR138)</f>
        <v>7.2764232220282699</v>
      </c>
      <c r="AS137" s="194"/>
      <c r="AT137" s="754">
        <f>IF(AT138=0,0,AT136/AT138)</f>
        <v>7.2764232220282699</v>
      </c>
      <c r="AU137" s="245">
        <f>7.27642322202827</f>
        <v>7.2764232220282699</v>
      </c>
      <c r="AV137" s="245">
        <f>AU137</f>
        <v>7.2764232220282699</v>
      </c>
      <c r="AW137" s="194"/>
      <c r="AX137" s="326"/>
      <c r="AY137" s="2"/>
    </row>
    <row r="138" spans="1:51">
      <c r="A138" s="2"/>
      <c r="B138" s="2"/>
      <c r="C138" s="2"/>
      <c r="D138" s="2"/>
      <c r="E138" s="2"/>
      <c r="F138" s="2"/>
      <c r="G138" s="2"/>
      <c r="H138" s="2"/>
      <c r="I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7"/>
      <c r="AL138" s="150"/>
      <c r="AM138" s="501" t="s">
        <v>344</v>
      </c>
      <c r="AN138" s="474" t="s">
        <v>666</v>
      </c>
      <c r="AO138" s="163" t="s">
        <v>284</v>
      </c>
      <c r="AP138" s="247">
        <f t="shared" ref="AP138:AR139" si="10">SUMIF($AS$9:$AW$9,AP$9,$AS138:$AW138)</f>
        <v>177.59</v>
      </c>
      <c r="AQ138" s="247">
        <f t="shared" si="10"/>
        <v>88.795000000000002</v>
      </c>
      <c r="AR138" s="247">
        <f t="shared" si="10"/>
        <v>88.795000000000002</v>
      </c>
      <c r="AS138" s="194"/>
      <c r="AT138" s="754">
        <f>AU138+AV138</f>
        <v>177.59</v>
      </c>
      <c r="AU138" s="245">
        <f>177.59/2</f>
        <v>88.795000000000002</v>
      </c>
      <c r="AV138" s="245">
        <f>AU138</f>
        <v>88.795000000000002</v>
      </c>
      <c r="AW138" s="194"/>
      <c r="AX138" s="326"/>
      <c r="AY138" s="2"/>
    </row>
    <row r="139" spans="1:51">
      <c r="A139" s="2"/>
      <c r="B139" s="2"/>
      <c r="C139" s="2"/>
      <c r="D139" s="2"/>
      <c r="E139" s="2"/>
      <c r="F139" s="2"/>
      <c r="G139" s="2"/>
      <c r="H139" s="2"/>
      <c r="I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7"/>
      <c r="AL139" s="150"/>
      <c r="AM139" s="501" t="s">
        <v>345</v>
      </c>
      <c r="AN139" s="473" t="s">
        <v>346</v>
      </c>
      <c r="AO139" s="163" t="s">
        <v>195</v>
      </c>
      <c r="AP139" s="247">
        <f t="shared" si="10"/>
        <v>0</v>
      </c>
      <c r="AQ139" s="247">
        <f t="shared" si="10"/>
        <v>0</v>
      </c>
      <c r="AR139" s="247">
        <f t="shared" si="10"/>
        <v>0</v>
      </c>
      <c r="AS139" s="194"/>
      <c r="AT139" s="754">
        <f>AU139+AV139</f>
        <v>0</v>
      </c>
      <c r="AU139" s="754">
        <f>AU140*AU141</f>
        <v>0</v>
      </c>
      <c r="AV139" s="754">
        <f>AV140*AV141</f>
        <v>0</v>
      </c>
      <c r="AW139" s="194"/>
      <c r="AX139" s="326"/>
      <c r="AY139" s="2"/>
    </row>
    <row r="140" spans="1:51">
      <c r="A140" s="2"/>
      <c r="B140" s="2"/>
      <c r="C140" s="2"/>
      <c r="D140" s="2"/>
      <c r="E140" s="2"/>
      <c r="F140" s="2"/>
      <c r="G140" s="2"/>
      <c r="H140" s="2"/>
      <c r="I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7"/>
      <c r="AL140" s="150"/>
      <c r="AM140" s="501" t="s">
        <v>347</v>
      </c>
      <c r="AN140" s="474" t="s">
        <v>671</v>
      </c>
      <c r="AO140" s="163" t="s">
        <v>314</v>
      </c>
      <c r="AP140" s="247">
        <f>IF(AP141=0,0,AP139/AP141)</f>
        <v>0</v>
      </c>
      <c r="AQ140" s="247">
        <f>IF(AQ141=0,0,AQ139/AQ141)</f>
        <v>0</v>
      </c>
      <c r="AR140" s="247">
        <f>IF(AR141=0,0,AR139/AR141)</f>
        <v>0</v>
      </c>
      <c r="AS140" s="194"/>
      <c r="AT140" s="754">
        <f>IF(AT141=0,0,AT139/AT141)</f>
        <v>0</v>
      </c>
      <c r="AU140" s="245"/>
      <c r="AV140" s="245"/>
      <c r="AW140" s="194"/>
      <c r="AX140" s="326"/>
      <c r="AY140" s="2"/>
    </row>
    <row r="141" spans="1:51">
      <c r="A141" s="2"/>
      <c r="B141" s="2"/>
      <c r="C141" s="2"/>
      <c r="D141" s="2"/>
      <c r="E141" s="2"/>
      <c r="F141" s="2"/>
      <c r="G141" s="2"/>
      <c r="H141" s="2"/>
      <c r="I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7"/>
      <c r="AL141" s="150"/>
      <c r="AM141" s="501" t="s">
        <v>348</v>
      </c>
      <c r="AN141" s="474" t="s">
        <v>672</v>
      </c>
      <c r="AO141" s="163" t="s">
        <v>669</v>
      </c>
      <c r="AP141" s="247">
        <f t="shared" ref="AP141:AR142" si="11">SUMIF($AS$9:$AW$9,AP$9,$AS141:$AW141)</f>
        <v>0</v>
      </c>
      <c r="AQ141" s="247">
        <f t="shared" si="11"/>
        <v>0</v>
      </c>
      <c r="AR141" s="247">
        <f t="shared" si="11"/>
        <v>0</v>
      </c>
      <c r="AS141" s="194"/>
      <c r="AT141" s="754">
        <f>AU141+AV141</f>
        <v>0</v>
      </c>
      <c r="AU141" s="245"/>
      <c r="AV141" s="245"/>
      <c r="AW141" s="194"/>
      <c r="AX141" s="326"/>
      <c r="AY141" s="2"/>
    </row>
    <row r="142" spans="1:51">
      <c r="A142" s="2"/>
      <c r="B142" s="2"/>
      <c r="C142" s="2"/>
      <c r="D142" s="2"/>
      <c r="E142" s="2"/>
      <c r="F142" s="2"/>
      <c r="G142" s="2"/>
      <c r="H142" s="2"/>
      <c r="I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7"/>
      <c r="AL142" s="150"/>
      <c r="AM142" s="501" t="s">
        <v>349</v>
      </c>
      <c r="AN142" s="473" t="s">
        <v>350</v>
      </c>
      <c r="AO142" s="163" t="s">
        <v>195</v>
      </c>
      <c r="AP142" s="247">
        <f t="shared" si="11"/>
        <v>0</v>
      </c>
      <c r="AQ142" s="247">
        <f t="shared" si="11"/>
        <v>0</v>
      </c>
      <c r="AR142" s="247">
        <f t="shared" si="11"/>
        <v>0</v>
      </c>
      <c r="AS142" s="194"/>
      <c r="AT142" s="754">
        <f>AU142+AV142</f>
        <v>0</v>
      </c>
      <c r="AU142" s="754">
        <f>AU143*AU144</f>
        <v>0</v>
      </c>
      <c r="AV142" s="754">
        <f>AV143*AV144</f>
        <v>0</v>
      </c>
      <c r="AW142" s="194"/>
      <c r="AX142" s="326"/>
      <c r="AY142" s="2"/>
    </row>
    <row r="143" spans="1:51">
      <c r="A143" s="2"/>
      <c r="B143" s="2"/>
      <c r="C143" s="2"/>
      <c r="D143" s="2"/>
      <c r="E143" s="2"/>
      <c r="F143" s="2"/>
      <c r="G143" s="2"/>
      <c r="H143" s="2"/>
      <c r="I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7"/>
      <c r="AL143" s="150"/>
      <c r="AM143" s="501" t="s">
        <v>351</v>
      </c>
      <c r="AN143" s="474" t="s">
        <v>670</v>
      </c>
      <c r="AO143" s="163" t="s">
        <v>313</v>
      </c>
      <c r="AP143" s="247">
        <f>IF(AP144=0,0,AP142/AP144)</f>
        <v>0</v>
      </c>
      <c r="AQ143" s="247">
        <f>IF(AQ144=0,0,AQ142/AQ144)</f>
        <v>0</v>
      </c>
      <c r="AR143" s="247">
        <f>IF(AR144=0,0,AR142/AR144)</f>
        <v>0</v>
      </c>
      <c r="AS143" s="194"/>
      <c r="AT143" s="754">
        <f>IF(AT144=0,0,AT142/AT144)</f>
        <v>0</v>
      </c>
      <c r="AU143" s="245"/>
      <c r="AV143" s="245"/>
      <c r="AW143" s="194"/>
      <c r="AX143" s="326"/>
      <c r="AY143" s="2"/>
    </row>
    <row r="144" spans="1:51">
      <c r="A144" s="2"/>
      <c r="B144" s="2"/>
      <c r="C144" s="2"/>
      <c r="D144" s="2"/>
      <c r="E144" s="2"/>
      <c r="F144" s="2"/>
      <c r="G144" s="2"/>
      <c r="H144" s="2"/>
      <c r="I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7"/>
      <c r="AL144" s="150"/>
      <c r="AM144" s="501" t="s">
        <v>352</v>
      </c>
      <c r="AN144" s="474" t="s">
        <v>666</v>
      </c>
      <c r="AO144" s="163" t="s">
        <v>284</v>
      </c>
      <c r="AP144" s="247">
        <f t="shared" ref="AP144:AR145" si="12">SUMIF($AS$9:$AW$9,AP$9,$AS144:$AW144)</f>
        <v>0</v>
      </c>
      <c r="AQ144" s="247">
        <f t="shared" si="12"/>
        <v>0</v>
      </c>
      <c r="AR144" s="247">
        <f t="shared" si="12"/>
        <v>0</v>
      </c>
      <c r="AS144" s="194"/>
      <c r="AT144" s="754">
        <f>AU144+AV144</f>
        <v>0</v>
      </c>
      <c r="AU144" s="245"/>
      <c r="AV144" s="245"/>
      <c r="AW144" s="194"/>
      <c r="AX144" s="326"/>
      <c r="AY144" s="2"/>
    </row>
    <row r="145" spans="1:51">
      <c r="A145" s="2"/>
      <c r="B145" s="2"/>
      <c r="C145" s="2"/>
      <c r="D145" s="2"/>
      <c r="E145" s="2"/>
      <c r="F145" s="2"/>
      <c r="G145" s="2"/>
      <c r="H145" s="2"/>
      <c r="I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7"/>
      <c r="AL145" s="150"/>
      <c r="AM145" s="501" t="s">
        <v>353</v>
      </c>
      <c r="AN145" s="473" t="s">
        <v>354</v>
      </c>
      <c r="AO145" s="163" t="s">
        <v>195</v>
      </c>
      <c r="AP145" s="247">
        <f t="shared" si="12"/>
        <v>0</v>
      </c>
      <c r="AQ145" s="247">
        <f t="shared" si="12"/>
        <v>0</v>
      </c>
      <c r="AR145" s="247">
        <f t="shared" si="12"/>
        <v>0</v>
      </c>
      <c r="AS145" s="194"/>
      <c r="AT145" s="754">
        <f>AU145+AV145</f>
        <v>0</v>
      </c>
      <c r="AU145" s="754">
        <f>AU146*AU147</f>
        <v>0</v>
      </c>
      <c r="AV145" s="754">
        <f>AV146*AV147</f>
        <v>0</v>
      </c>
      <c r="AW145" s="194"/>
      <c r="AX145" s="326"/>
      <c r="AY145" s="2"/>
    </row>
    <row r="146" spans="1:51">
      <c r="A146" s="2"/>
      <c r="B146" s="2"/>
      <c r="C146" s="2"/>
      <c r="D146" s="2"/>
      <c r="E146" s="2"/>
      <c r="F146" s="2"/>
      <c r="G146" s="2"/>
      <c r="H146" s="2"/>
      <c r="I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9"/>
      <c r="AL146" s="150"/>
      <c r="AM146" s="501" t="s">
        <v>355</v>
      </c>
      <c r="AN146" s="474" t="s">
        <v>671</v>
      </c>
      <c r="AO146" s="163" t="s">
        <v>314</v>
      </c>
      <c r="AP146" s="247">
        <f>IF(AP147=0,0,AP145/AP147)</f>
        <v>0</v>
      </c>
      <c r="AQ146" s="247">
        <f>IF(AQ147=0,0,AQ145/AQ147)</f>
        <v>0</v>
      </c>
      <c r="AR146" s="247">
        <f>IF(AR147=0,0,AR145/AR147)</f>
        <v>0</v>
      </c>
      <c r="AS146" s="194"/>
      <c r="AT146" s="754">
        <f>IF(AT147=0,0,AT145/AT147)</f>
        <v>0</v>
      </c>
      <c r="AU146" s="245"/>
      <c r="AV146" s="245"/>
      <c r="AW146" s="194"/>
      <c r="AX146" s="326"/>
      <c r="AY146" s="2"/>
    </row>
    <row r="147" spans="1:51">
      <c r="A147" s="2"/>
      <c r="B147" s="2"/>
      <c r="C147" s="2"/>
      <c r="D147" s="2"/>
      <c r="E147" s="2"/>
      <c r="F147" s="2"/>
      <c r="G147" s="2"/>
      <c r="H147" s="2"/>
      <c r="I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9"/>
      <c r="AL147" s="150"/>
      <c r="AM147" s="501" t="s">
        <v>356</v>
      </c>
      <c r="AN147" s="474" t="s">
        <v>672</v>
      </c>
      <c r="AO147" s="163" t="s">
        <v>669</v>
      </c>
      <c r="AP147" s="247">
        <f t="shared" ref="AP147:AR148" si="13">SUMIF($AS$9:$AW$9,AP$9,$AS147:$AW147)</f>
        <v>0</v>
      </c>
      <c r="AQ147" s="247">
        <f t="shared" si="13"/>
        <v>0</v>
      </c>
      <c r="AR147" s="247">
        <f t="shared" si="13"/>
        <v>0</v>
      </c>
      <c r="AS147" s="194"/>
      <c r="AT147" s="754">
        <f>AU147+AV147</f>
        <v>0</v>
      </c>
      <c r="AU147" s="245"/>
      <c r="AV147" s="245"/>
      <c r="AW147" s="194"/>
      <c r="AX147" s="326"/>
      <c r="AY147" s="2"/>
    </row>
    <row r="148" spans="1:51">
      <c r="A148" s="2"/>
      <c r="B148" s="2"/>
      <c r="C148" s="2"/>
      <c r="D148" s="2"/>
      <c r="E148" s="2"/>
      <c r="F148" s="2"/>
      <c r="G148" s="2"/>
      <c r="H148" s="2"/>
      <c r="I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9"/>
      <c r="AL148" s="150"/>
      <c r="AM148" s="501" t="s">
        <v>357</v>
      </c>
      <c r="AN148" s="473" t="s">
        <v>358</v>
      </c>
      <c r="AO148" s="163" t="s">
        <v>195</v>
      </c>
      <c r="AP148" s="247">
        <f t="shared" si="13"/>
        <v>0</v>
      </c>
      <c r="AQ148" s="247">
        <f t="shared" si="13"/>
        <v>0</v>
      </c>
      <c r="AR148" s="247">
        <f t="shared" si="13"/>
        <v>0</v>
      </c>
      <c r="AS148" s="194"/>
      <c r="AT148" s="754">
        <f>AU148+AV148</f>
        <v>0</v>
      </c>
      <c r="AU148" s="754">
        <f>AU149*AU150</f>
        <v>0</v>
      </c>
      <c r="AV148" s="754">
        <f>AV149*AV150</f>
        <v>0</v>
      </c>
      <c r="AW148" s="194"/>
      <c r="AX148" s="326"/>
      <c r="AY148" s="2"/>
    </row>
    <row r="149" spans="1:51">
      <c r="A149" s="2"/>
      <c r="B149" s="2"/>
      <c r="C149" s="2"/>
      <c r="D149" s="2"/>
      <c r="E149" s="2"/>
      <c r="F149" s="2"/>
      <c r="G149" s="2"/>
      <c r="H149" s="2"/>
      <c r="I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9"/>
      <c r="AL149" s="150"/>
      <c r="AM149" s="501" t="s">
        <v>359</v>
      </c>
      <c r="AN149" s="474" t="s">
        <v>670</v>
      </c>
      <c r="AO149" s="163" t="s">
        <v>313</v>
      </c>
      <c r="AP149" s="247">
        <f>IF(AP150=0,0,AP148/AP150)</f>
        <v>0</v>
      </c>
      <c r="AQ149" s="247">
        <f>IF(AQ150=0,0,AQ148/AQ150)</f>
        <v>0</v>
      </c>
      <c r="AR149" s="247">
        <f>IF(AR150=0,0,AR148/AR150)</f>
        <v>0</v>
      </c>
      <c r="AS149" s="194"/>
      <c r="AT149" s="754">
        <f>IF(AT150=0,0,AT148/AT150)</f>
        <v>0</v>
      </c>
      <c r="AU149" s="245"/>
      <c r="AV149" s="245"/>
      <c r="AW149" s="194"/>
      <c r="AX149" s="326"/>
      <c r="AY149" s="2"/>
    </row>
    <row r="150" spans="1:51">
      <c r="A150" s="2"/>
      <c r="B150" s="2"/>
      <c r="C150" s="2"/>
      <c r="D150" s="2"/>
      <c r="E150" s="2"/>
      <c r="F150" s="2"/>
      <c r="G150" s="2"/>
      <c r="H150" s="2"/>
      <c r="I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9"/>
      <c r="AL150" s="150"/>
      <c r="AM150" s="501" t="s">
        <v>360</v>
      </c>
      <c r="AN150" s="474" t="s">
        <v>666</v>
      </c>
      <c r="AO150" s="163" t="s">
        <v>284</v>
      </c>
      <c r="AP150" s="247">
        <f t="shared" ref="AP150:AR151" si="14">SUMIF($AS$9:$AW$9,AP$9,$AS150:$AW150)</f>
        <v>0</v>
      </c>
      <c r="AQ150" s="247">
        <f t="shared" si="14"/>
        <v>0</v>
      </c>
      <c r="AR150" s="247">
        <f t="shared" si="14"/>
        <v>0</v>
      </c>
      <c r="AS150" s="194"/>
      <c r="AT150" s="754">
        <f>AU150+AV150</f>
        <v>0</v>
      </c>
      <c r="AU150" s="245"/>
      <c r="AV150" s="245"/>
      <c r="AW150" s="194"/>
      <c r="AX150" s="326"/>
      <c r="AY150" s="2"/>
    </row>
    <row r="151" spans="1:51">
      <c r="A151" s="2"/>
      <c r="B151" s="2"/>
      <c r="C151" s="2"/>
      <c r="D151" s="2"/>
      <c r="E151" s="2"/>
      <c r="F151" s="2"/>
      <c r="G151" s="2"/>
      <c r="H151" s="2"/>
      <c r="I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9"/>
      <c r="AL151" s="150"/>
      <c r="AM151" s="501" t="s">
        <v>361</v>
      </c>
      <c r="AN151" s="473" t="s">
        <v>362</v>
      </c>
      <c r="AO151" s="163" t="s">
        <v>195</v>
      </c>
      <c r="AP151" s="247">
        <f t="shared" si="14"/>
        <v>0</v>
      </c>
      <c r="AQ151" s="247">
        <f t="shared" si="14"/>
        <v>0</v>
      </c>
      <c r="AR151" s="247">
        <f t="shared" si="14"/>
        <v>0</v>
      </c>
      <c r="AS151" s="194"/>
      <c r="AT151" s="754">
        <f>AU151+AV151</f>
        <v>0</v>
      </c>
      <c r="AU151" s="754">
        <f>AU152*AU153</f>
        <v>0</v>
      </c>
      <c r="AV151" s="754">
        <f>AV152*AV153</f>
        <v>0</v>
      </c>
      <c r="AW151" s="194"/>
      <c r="AX151" s="326"/>
      <c r="AY151" s="2"/>
    </row>
    <row r="152" spans="1:51">
      <c r="A152" s="2"/>
      <c r="B152" s="2"/>
      <c r="C152" s="2"/>
      <c r="D152" s="2"/>
      <c r="E152" s="2"/>
      <c r="F152" s="2"/>
      <c r="G152" s="2"/>
      <c r="H152" s="2"/>
      <c r="I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9"/>
      <c r="AL152" s="150"/>
      <c r="AM152" s="501" t="s">
        <v>363</v>
      </c>
      <c r="AN152" s="474" t="s">
        <v>671</v>
      </c>
      <c r="AO152" s="163" t="s">
        <v>314</v>
      </c>
      <c r="AP152" s="247">
        <f>IF(AP153=0,0,AP151/AP153)</f>
        <v>0</v>
      </c>
      <c r="AQ152" s="247">
        <f>IF(AQ153=0,0,AQ151/AQ153)</f>
        <v>0</v>
      </c>
      <c r="AR152" s="247">
        <f>IF(AR153=0,0,AR151/AR153)</f>
        <v>0</v>
      </c>
      <c r="AS152" s="194"/>
      <c r="AT152" s="754">
        <f>IF(AT153=0,0,AT151/AT153)</f>
        <v>0</v>
      </c>
      <c r="AU152" s="245"/>
      <c r="AV152" s="245"/>
      <c r="AW152" s="194"/>
      <c r="AX152" s="326"/>
      <c r="AY152" s="2"/>
    </row>
    <row r="153" spans="1:51">
      <c r="A153" s="2"/>
      <c r="B153" s="2"/>
      <c r="C153" s="2"/>
      <c r="D153" s="2"/>
      <c r="E153" s="2"/>
      <c r="F153" s="2"/>
      <c r="G153" s="2"/>
      <c r="H153" s="2"/>
      <c r="I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9"/>
      <c r="AL153" s="150"/>
      <c r="AM153" s="501" t="s">
        <v>364</v>
      </c>
      <c r="AN153" s="474" t="s">
        <v>672</v>
      </c>
      <c r="AO153" s="163" t="s">
        <v>669</v>
      </c>
      <c r="AP153" s="247">
        <f t="shared" ref="AP153:AR158" si="15">SUMIF($AS$9:$AW$9,AP$9,$AS153:$AW153)</f>
        <v>0</v>
      </c>
      <c r="AQ153" s="247">
        <f t="shared" si="15"/>
        <v>0</v>
      </c>
      <c r="AR153" s="247">
        <f t="shared" si="15"/>
        <v>0</v>
      </c>
      <c r="AS153" s="194"/>
      <c r="AT153" s="754">
        <f>AU153+AV153</f>
        <v>0</v>
      </c>
      <c r="AU153" s="245"/>
      <c r="AV153" s="245"/>
      <c r="AW153" s="194"/>
      <c r="AX153" s="326"/>
      <c r="AY153" s="2"/>
    </row>
    <row r="154" spans="1:51">
      <c r="A154" s="2"/>
      <c r="B154" s="2"/>
      <c r="C154" s="2"/>
      <c r="D154" s="2"/>
      <c r="E154" s="2"/>
      <c r="F154" s="2"/>
      <c r="G154" s="2"/>
      <c r="H154" s="2"/>
      <c r="I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7"/>
      <c r="AL154" s="150"/>
      <c r="AM154" s="490" t="s">
        <v>182</v>
      </c>
      <c r="AN154" s="497" t="s">
        <v>365</v>
      </c>
      <c r="AO154" s="163" t="s">
        <v>195</v>
      </c>
      <c r="AP154" s="247">
        <f t="shared" si="15"/>
        <v>0</v>
      </c>
      <c r="AQ154" s="247">
        <f t="shared" si="15"/>
        <v>0</v>
      </c>
      <c r="AR154" s="247">
        <f t="shared" si="15"/>
        <v>0</v>
      </c>
      <c r="AS154" s="194"/>
      <c r="AT154" s="253">
        <f>SUM(AT155,AT189)</f>
        <v>0</v>
      </c>
      <c r="AU154" s="253">
        <f>SUM(AU155,AU189)</f>
        <v>0</v>
      </c>
      <c r="AV154" s="253">
        <f>SUM(AV155,AV189)</f>
        <v>0</v>
      </c>
      <c r="AW154" s="194"/>
      <c r="AX154" s="326"/>
      <c r="AY154" s="2"/>
    </row>
    <row r="155" spans="1:51">
      <c r="A155" s="2"/>
      <c r="B155" s="2"/>
      <c r="C155" s="2"/>
      <c r="D155" s="2"/>
      <c r="E155" s="2"/>
      <c r="F155" s="2"/>
      <c r="G155" s="2"/>
      <c r="H155" s="2"/>
      <c r="I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7"/>
      <c r="AL155" s="150"/>
      <c r="AM155" s="490" t="s">
        <v>183</v>
      </c>
      <c r="AN155" s="498" t="s">
        <v>366</v>
      </c>
      <c r="AO155" s="163" t="s">
        <v>195</v>
      </c>
      <c r="AP155" s="247">
        <f t="shared" si="15"/>
        <v>0</v>
      </c>
      <c r="AQ155" s="247">
        <f t="shared" si="15"/>
        <v>0</v>
      </c>
      <c r="AR155" s="247">
        <f t="shared" si="15"/>
        <v>0</v>
      </c>
      <c r="AS155" s="194"/>
      <c r="AT155" s="754">
        <f>SUM(AT156,AT172)</f>
        <v>0</v>
      </c>
      <c r="AU155" s="754">
        <f>SUM(AU156,AU172)</f>
        <v>0</v>
      </c>
      <c r="AV155" s="754">
        <f>SUM(AV156,AV172)</f>
        <v>0</v>
      </c>
      <c r="AW155" s="194"/>
      <c r="AX155" s="326"/>
      <c r="AY155" s="2"/>
    </row>
    <row r="156" spans="1:51">
      <c r="A156" s="10"/>
      <c r="B156" s="10"/>
      <c r="C156" s="10"/>
      <c r="D156" s="10"/>
      <c r="E156" s="10"/>
      <c r="F156" s="10"/>
      <c r="G156" s="10"/>
      <c r="H156" s="10"/>
      <c r="I156" s="10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150"/>
      <c r="AM156" s="499" t="str">
        <f>AM155 &amp; ".1"</f>
        <v>5.2.1.1</v>
      </c>
      <c r="AN156" s="470" t="s">
        <v>294</v>
      </c>
      <c r="AO156" s="163" t="s">
        <v>195</v>
      </c>
      <c r="AP156" s="247">
        <f t="shared" si="15"/>
        <v>0</v>
      </c>
      <c r="AQ156" s="247">
        <f t="shared" si="15"/>
        <v>0</v>
      </c>
      <c r="AR156" s="247">
        <f t="shared" si="15"/>
        <v>0</v>
      </c>
      <c r="AS156" s="194"/>
      <c r="AT156" s="254">
        <f>SUM(AT157,AT161,AT165)</f>
        <v>0</v>
      </c>
      <c r="AU156" s="255">
        <f>SUM(AU157,AU161,AU165)</f>
        <v>0</v>
      </c>
      <c r="AV156" s="256">
        <f>SUM(AV157,AV161,AV165)</f>
        <v>0</v>
      </c>
      <c r="AW156" s="194"/>
      <c r="AX156" s="326"/>
      <c r="AY156" s="2"/>
    </row>
    <row r="157" spans="1:51">
      <c r="A157" s="10"/>
      <c r="B157" s="10"/>
      <c r="C157" s="10"/>
      <c r="D157" s="10"/>
      <c r="E157" s="10"/>
      <c r="F157" s="10"/>
      <c r="G157" s="10"/>
      <c r="H157" s="10"/>
      <c r="I157" s="10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150"/>
      <c r="AM157" s="499" t="str">
        <f>AM155 &amp; ".1.1"</f>
        <v>5.2.1.1.1</v>
      </c>
      <c r="AN157" s="469" t="s">
        <v>738</v>
      </c>
      <c r="AO157" s="163" t="s">
        <v>195</v>
      </c>
      <c r="AP157" s="247">
        <f t="shared" si="15"/>
        <v>0</v>
      </c>
      <c r="AQ157" s="247">
        <f t="shared" si="15"/>
        <v>0</v>
      </c>
      <c r="AR157" s="247">
        <f t="shared" si="15"/>
        <v>0</v>
      </c>
      <c r="AS157" s="194"/>
      <c r="AT157" s="256">
        <f>AU157+AV157</f>
        <v>0</v>
      </c>
      <c r="AU157" s="588"/>
      <c r="AV157" s="588"/>
      <c r="AW157" s="194"/>
      <c r="AX157" s="326"/>
      <c r="AY157" s="2"/>
    </row>
    <row r="158" spans="1:51">
      <c r="A158" s="10"/>
      <c r="B158" s="10"/>
      <c r="C158" s="10"/>
      <c r="D158" s="10"/>
      <c r="E158" s="10"/>
      <c r="F158" s="10"/>
      <c r="G158" s="10"/>
      <c r="H158" s="10"/>
      <c r="I158" s="10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150"/>
      <c r="AM158" s="499" t="str">
        <f>AM155 &amp; ".1.1.0.1"</f>
        <v>5.2.1.1.1.0.1</v>
      </c>
      <c r="AN158" s="471" t="s">
        <v>285</v>
      </c>
      <c r="AO158" s="163" t="s">
        <v>286</v>
      </c>
      <c r="AP158" s="247">
        <f t="shared" si="15"/>
        <v>0</v>
      </c>
      <c r="AQ158" s="247">
        <f t="shared" si="15"/>
        <v>0</v>
      </c>
      <c r="AR158" s="247">
        <f t="shared" si="15"/>
        <v>0</v>
      </c>
      <c r="AS158" s="194"/>
      <c r="AT158" s="244">
        <f>AU158+AV158</f>
        <v>0</v>
      </c>
      <c r="AU158" s="588"/>
      <c r="AV158" s="222"/>
      <c r="AW158" s="194"/>
      <c r="AX158" s="326"/>
      <c r="AY158" s="2"/>
    </row>
    <row r="159" spans="1:51">
      <c r="A159" s="10"/>
      <c r="B159" s="10"/>
      <c r="C159" s="10"/>
      <c r="D159" s="10"/>
      <c r="E159" s="10"/>
      <c r="F159" s="10"/>
      <c r="G159" s="10"/>
      <c r="H159" s="10"/>
      <c r="I159" s="10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150"/>
      <c r="AM159" s="499" t="str">
        <f>AM155 &amp; ".1.1.0.2"</f>
        <v>5.2.1.1.1.0.2</v>
      </c>
      <c r="AN159" s="471" t="s">
        <v>287</v>
      </c>
      <c r="AO159" s="163" t="s">
        <v>288</v>
      </c>
      <c r="AP159" s="258">
        <f>IF(AP158=0,0,AP157/AP158)</f>
        <v>0</v>
      </c>
      <c r="AQ159" s="258">
        <f>IF(AQ158=0,0,AQ157/AQ158)</f>
        <v>0</v>
      </c>
      <c r="AR159" s="258">
        <f>IF(AR158=0,0,AR157/AR158)</f>
        <v>0</v>
      </c>
      <c r="AS159" s="194"/>
      <c r="AT159" s="244">
        <f>IF(AT158=0,0,AT157/AT158)</f>
        <v>0</v>
      </c>
      <c r="AU159" s="244">
        <f>IF(AU158=0,0,AU157/AU158)</f>
        <v>0</v>
      </c>
      <c r="AV159" s="244">
        <f>IF(AV158=0,0,AV157/AV158)</f>
        <v>0</v>
      </c>
      <c r="AW159" s="194"/>
      <c r="AX159" s="326"/>
      <c r="AY159" s="2"/>
    </row>
    <row r="160" spans="1:51" ht="0.75" hidden="1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150"/>
      <c r="AM160" s="500"/>
      <c r="AN160" s="472"/>
      <c r="AO160" s="166"/>
      <c r="AP160" s="241"/>
      <c r="AQ160" s="241"/>
      <c r="AR160" s="241"/>
      <c r="AS160" s="194"/>
      <c r="AT160" s="242"/>
      <c r="AU160" s="260"/>
      <c r="AV160" s="241"/>
      <c r="AW160" s="194"/>
      <c r="AX160" s="326"/>
      <c r="AY160" s="2"/>
    </row>
    <row r="161" spans="1:51">
      <c r="A161" s="10"/>
      <c r="B161" s="10"/>
      <c r="C161" s="10"/>
      <c r="D161" s="10"/>
      <c r="E161" s="10"/>
      <c r="F161" s="10"/>
      <c r="G161" s="10"/>
      <c r="H161" s="10"/>
      <c r="I161" s="10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150"/>
      <c r="AM161" s="499" t="str">
        <f>AM155 &amp; ".1.2"</f>
        <v>5.2.1.1.2</v>
      </c>
      <c r="AN161" s="469" t="s">
        <v>739</v>
      </c>
      <c r="AO161" s="163" t="s">
        <v>195</v>
      </c>
      <c r="AP161" s="247">
        <f t="shared" ref="AP161:AR162" si="16">SUMIF($AS$9:$AW$9,AP$9,$AS161:$AW161)</f>
        <v>0</v>
      </c>
      <c r="AQ161" s="247">
        <f t="shared" si="16"/>
        <v>0</v>
      </c>
      <c r="AR161" s="247">
        <f t="shared" si="16"/>
        <v>0</v>
      </c>
      <c r="AS161" s="194"/>
      <c r="AT161" s="256">
        <f>AU161+AV161</f>
        <v>0</v>
      </c>
      <c r="AU161" s="588"/>
      <c r="AV161" s="588"/>
      <c r="AW161" s="194"/>
      <c r="AX161" s="326"/>
      <c r="AY161" s="2"/>
    </row>
    <row r="162" spans="1:51">
      <c r="A162" s="10"/>
      <c r="B162" s="10"/>
      <c r="C162" s="10"/>
      <c r="D162" s="10"/>
      <c r="E162" s="10"/>
      <c r="F162" s="10"/>
      <c r="G162" s="10"/>
      <c r="H162" s="10"/>
      <c r="I162" s="10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150"/>
      <c r="AM162" s="499" t="str">
        <f>AM155 &amp; ".1.2.0.1"</f>
        <v>5.2.1.1.2.0.1</v>
      </c>
      <c r="AN162" s="471" t="s">
        <v>285</v>
      </c>
      <c r="AO162" s="163" t="s">
        <v>286</v>
      </c>
      <c r="AP162" s="247">
        <f t="shared" si="16"/>
        <v>0</v>
      </c>
      <c r="AQ162" s="247">
        <f t="shared" si="16"/>
        <v>0</v>
      </c>
      <c r="AR162" s="247">
        <f t="shared" si="16"/>
        <v>0</v>
      </c>
      <c r="AS162" s="194"/>
      <c r="AT162" s="244">
        <f>AU162+AV162</f>
        <v>0</v>
      </c>
      <c r="AU162" s="588"/>
      <c r="AV162" s="222"/>
      <c r="AW162" s="194"/>
      <c r="AX162" s="326"/>
      <c r="AY162" s="2"/>
    </row>
    <row r="163" spans="1:51">
      <c r="A163" s="10"/>
      <c r="B163" s="10"/>
      <c r="C163" s="10"/>
      <c r="D163" s="10"/>
      <c r="E163" s="10"/>
      <c r="F163" s="10"/>
      <c r="G163" s="10"/>
      <c r="H163" s="10"/>
      <c r="I163" s="10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150"/>
      <c r="AM163" s="499" t="str">
        <f>AM155 &amp; ".1.2.0.2"</f>
        <v>5.2.1.1.2.0.2</v>
      </c>
      <c r="AN163" s="471" t="s">
        <v>287</v>
      </c>
      <c r="AO163" s="163" t="s">
        <v>288</v>
      </c>
      <c r="AP163" s="258">
        <f>IF(AP162=0,0,AP161/AP162)</f>
        <v>0</v>
      </c>
      <c r="AQ163" s="258">
        <f>IF(AQ162=0,0,AQ161/AQ162)</f>
        <v>0</v>
      </c>
      <c r="AR163" s="258">
        <f>IF(AR162=0,0,AR161/AR162)</f>
        <v>0</v>
      </c>
      <c r="AS163" s="194"/>
      <c r="AT163" s="244">
        <f>IF(AT162=0,0,AT161/AT162)</f>
        <v>0</v>
      </c>
      <c r="AU163" s="244">
        <f>IF(AU162=0,0,AU161/AU162)</f>
        <v>0</v>
      </c>
      <c r="AV163" s="244">
        <f>IF(AV162=0,0,AV161/AV162)</f>
        <v>0</v>
      </c>
      <c r="AW163" s="194"/>
      <c r="AX163" s="326"/>
      <c r="AY163" s="2"/>
    </row>
    <row r="164" spans="1:51" ht="0.75" hidden="1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150"/>
      <c r="AM164" s="500"/>
      <c r="AN164" s="472"/>
      <c r="AO164" s="166"/>
      <c r="AP164" s="241"/>
      <c r="AQ164" s="241"/>
      <c r="AR164" s="241"/>
      <c r="AS164" s="194"/>
      <c r="AT164" s="242"/>
      <c r="AU164" s="260"/>
      <c r="AV164" s="241"/>
      <c r="AW164" s="194"/>
      <c r="AX164" s="326"/>
      <c r="AY164" s="2"/>
    </row>
    <row r="165" spans="1:51">
      <c r="A165" s="10"/>
      <c r="B165" s="10"/>
      <c r="C165" s="10"/>
      <c r="D165" s="10"/>
      <c r="E165" s="10"/>
      <c r="F165" s="10"/>
      <c r="G165" s="10"/>
      <c r="H165" s="10"/>
      <c r="I165" s="10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150"/>
      <c r="AM165" s="499" t="str">
        <f>AM155 &amp; ".1.3"</f>
        <v>5.2.1.1.3</v>
      </c>
      <c r="AN165" s="469" t="s">
        <v>2224</v>
      </c>
      <c r="AO165" s="163" t="s">
        <v>195</v>
      </c>
      <c r="AP165" s="247">
        <f t="shared" ref="AP165:AR166" si="17">SUMIF($AS$9:$AW$9,AP$9,$AS165:$AW165)</f>
        <v>0</v>
      </c>
      <c r="AQ165" s="247">
        <f t="shared" si="17"/>
        <v>0</v>
      </c>
      <c r="AR165" s="247">
        <f t="shared" si="17"/>
        <v>0</v>
      </c>
      <c r="AS165" s="194"/>
      <c r="AT165" s="256">
        <f>AU165+AV165</f>
        <v>0</v>
      </c>
      <c r="AU165" s="588"/>
      <c r="AV165" s="588"/>
      <c r="AW165" s="194"/>
      <c r="AX165" s="326"/>
      <c r="AY165" s="2"/>
    </row>
    <row r="166" spans="1:51">
      <c r="A166" s="10"/>
      <c r="B166" s="10"/>
      <c r="C166" s="10"/>
      <c r="D166" s="10"/>
      <c r="E166" s="10"/>
      <c r="F166" s="10"/>
      <c r="G166" s="10"/>
      <c r="H166" s="10"/>
      <c r="I166" s="10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150"/>
      <c r="AM166" s="499" t="str">
        <f>AM155 &amp; ".1.3.0.1"</f>
        <v>5.2.1.1.3.0.1</v>
      </c>
      <c r="AN166" s="471" t="s">
        <v>285</v>
      </c>
      <c r="AO166" s="163" t="s">
        <v>286</v>
      </c>
      <c r="AP166" s="247">
        <f t="shared" si="17"/>
        <v>0</v>
      </c>
      <c r="AQ166" s="247">
        <f t="shared" si="17"/>
        <v>0</v>
      </c>
      <c r="AR166" s="247">
        <f t="shared" si="17"/>
        <v>0</v>
      </c>
      <c r="AS166" s="194"/>
      <c r="AT166" s="244">
        <f>AU166+AV166</f>
        <v>0</v>
      </c>
      <c r="AU166" s="588"/>
      <c r="AV166" s="222"/>
      <c r="AW166" s="194"/>
      <c r="AX166" s="326"/>
      <c r="AY166" s="2"/>
    </row>
    <row r="167" spans="1:51">
      <c r="A167" s="10"/>
      <c r="B167" s="10"/>
      <c r="C167" s="10"/>
      <c r="D167" s="10"/>
      <c r="E167" s="10"/>
      <c r="F167" s="10"/>
      <c r="G167" s="10"/>
      <c r="H167" s="10"/>
      <c r="I167" s="10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150"/>
      <c r="AM167" s="499" t="str">
        <f>AM155 &amp; ".1.3.0.2"</f>
        <v>5.2.1.1.3.0.2</v>
      </c>
      <c r="AN167" s="471" t="s">
        <v>287</v>
      </c>
      <c r="AO167" s="163" t="s">
        <v>288</v>
      </c>
      <c r="AP167" s="258">
        <f>IF(AP166=0,0,AP165/AP166)</f>
        <v>0</v>
      </c>
      <c r="AQ167" s="258">
        <f>IF(AQ166=0,0,AQ165/AQ166)</f>
        <v>0</v>
      </c>
      <c r="AR167" s="258">
        <f>IF(AR166=0,0,AR165/AR166)</f>
        <v>0</v>
      </c>
      <c r="AS167" s="194"/>
      <c r="AT167" s="244">
        <f>IF(AT166=0,0,AT165/AT166)</f>
        <v>0</v>
      </c>
      <c r="AU167" s="244">
        <f>IF(AU166=0,0,AU165/AU166)</f>
        <v>0</v>
      </c>
      <c r="AV167" s="244">
        <f>IF(AV166=0,0,AV165/AV166)</f>
        <v>0</v>
      </c>
      <c r="AW167" s="194"/>
      <c r="AX167" s="326"/>
      <c r="AY167" s="2"/>
    </row>
    <row r="168" spans="1:51">
      <c r="A168" s="10"/>
      <c r="B168" s="10"/>
      <c r="C168" s="10"/>
      <c r="D168" s="10"/>
      <c r="E168" s="10"/>
      <c r="F168" s="10"/>
      <c r="G168" s="10"/>
      <c r="H168" s="10"/>
      <c r="I168" s="10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150"/>
      <c r="AM168" s="499" t="str">
        <f>AM155 &amp; ".2"</f>
        <v>5.2.1.2</v>
      </c>
      <c r="AN168" s="470" t="s">
        <v>278</v>
      </c>
      <c r="AO168" s="163" t="s">
        <v>195</v>
      </c>
      <c r="AP168" s="247">
        <f t="shared" ref="AP168:AR174" si="18">SUMIF($AS$9:$AW$9,AP$9,$AS168:$AW168)</f>
        <v>0</v>
      </c>
      <c r="AQ168" s="247">
        <f t="shared" si="18"/>
        <v>0</v>
      </c>
      <c r="AR168" s="247">
        <f t="shared" si="18"/>
        <v>0</v>
      </c>
      <c r="AS168" s="194"/>
      <c r="AT168" s="244">
        <f>SUM(AT169:AT171)</f>
        <v>0</v>
      </c>
      <c r="AU168" s="257">
        <f>SUM(AU169:AU171)</f>
        <v>0</v>
      </c>
      <c r="AV168" s="754">
        <f>SUM(AV169:AV171)</f>
        <v>0</v>
      </c>
      <c r="AW168" s="194"/>
      <c r="AX168" s="326"/>
      <c r="AY168" s="2"/>
    </row>
    <row r="169" spans="1:51">
      <c r="A169" s="10"/>
      <c r="B169" s="10"/>
      <c r="C169" s="10"/>
      <c r="D169" s="10"/>
      <c r="E169" s="10"/>
      <c r="F169" s="10"/>
      <c r="G169" s="10"/>
      <c r="H169" s="10"/>
      <c r="I169" s="10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150"/>
      <c r="AM169" s="499" t="str">
        <f>AM155 &amp; ".2.1"</f>
        <v>5.2.1.2.1</v>
      </c>
      <c r="AN169" s="469" t="s">
        <v>738</v>
      </c>
      <c r="AO169" s="163" t="s">
        <v>195</v>
      </c>
      <c r="AP169" s="247">
        <f t="shared" si="18"/>
        <v>0</v>
      </c>
      <c r="AQ169" s="247">
        <f t="shared" si="18"/>
        <v>0</v>
      </c>
      <c r="AR169" s="247">
        <f t="shared" si="18"/>
        <v>0</v>
      </c>
      <c r="AS169" s="194"/>
      <c r="AT169" s="256">
        <f>AU169+AV169</f>
        <v>0</v>
      </c>
      <c r="AU169" s="588"/>
      <c r="AV169" s="588"/>
      <c r="AW169" s="194"/>
      <c r="AX169" s="326"/>
      <c r="AY169" s="2"/>
    </row>
    <row r="170" spans="1:51">
      <c r="A170" s="10"/>
      <c r="B170" s="10"/>
      <c r="C170" s="10"/>
      <c r="D170" s="10"/>
      <c r="E170" s="10"/>
      <c r="F170" s="10"/>
      <c r="G170" s="10"/>
      <c r="H170" s="10"/>
      <c r="I170" s="10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150"/>
      <c r="AM170" s="499" t="str">
        <f>AM155 &amp; ".2.2"</f>
        <v>5.2.1.2.2</v>
      </c>
      <c r="AN170" s="469" t="s">
        <v>739</v>
      </c>
      <c r="AO170" s="163" t="s">
        <v>195</v>
      </c>
      <c r="AP170" s="247">
        <f t="shared" si="18"/>
        <v>0</v>
      </c>
      <c r="AQ170" s="247">
        <f t="shared" si="18"/>
        <v>0</v>
      </c>
      <c r="AR170" s="247">
        <f t="shared" si="18"/>
        <v>0</v>
      </c>
      <c r="AS170" s="194"/>
      <c r="AT170" s="256">
        <f>AU170+AV170</f>
        <v>0</v>
      </c>
      <c r="AU170" s="588"/>
      <c r="AV170" s="222"/>
      <c r="AW170" s="194"/>
      <c r="AX170" s="326"/>
      <c r="AY170" s="2"/>
    </row>
    <row r="171" spans="1:51">
      <c r="A171" s="10"/>
      <c r="B171" s="10"/>
      <c r="C171" s="10"/>
      <c r="D171" s="10"/>
      <c r="E171" s="10"/>
      <c r="F171" s="10"/>
      <c r="G171" s="10"/>
      <c r="H171" s="10"/>
      <c r="I171" s="10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150"/>
      <c r="AM171" s="499" t="str">
        <f>AM155 &amp; ".2.3"</f>
        <v>5.2.1.2.3</v>
      </c>
      <c r="AN171" s="469" t="s">
        <v>2224</v>
      </c>
      <c r="AO171" s="747" t="s">
        <v>195</v>
      </c>
      <c r="AP171" s="748">
        <f t="shared" si="18"/>
        <v>0</v>
      </c>
      <c r="AQ171" s="748">
        <f t="shared" si="18"/>
        <v>0</v>
      </c>
      <c r="AR171" s="748">
        <f t="shared" si="18"/>
        <v>0</v>
      </c>
      <c r="AS171" s="194"/>
      <c r="AT171" s="256">
        <f>AU171+AV171</f>
        <v>0</v>
      </c>
      <c r="AU171" s="588"/>
      <c r="AV171" s="222"/>
      <c r="AW171" s="194"/>
      <c r="AX171" s="326"/>
      <c r="AY171" s="2"/>
    </row>
    <row r="172" spans="1:51">
      <c r="A172" s="10"/>
      <c r="B172" s="10"/>
      <c r="C172" s="10"/>
      <c r="D172" s="10"/>
      <c r="E172" s="10"/>
      <c r="F172" s="10"/>
      <c r="G172" s="10"/>
      <c r="H172" s="10"/>
      <c r="I172" s="10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150"/>
      <c r="AM172" s="499" t="str">
        <f>AM155 &amp; ".3"</f>
        <v>5.2.1.3</v>
      </c>
      <c r="AN172" s="470" t="s">
        <v>295</v>
      </c>
      <c r="AO172" s="163" t="s">
        <v>195</v>
      </c>
      <c r="AP172" s="247">
        <f t="shared" si="18"/>
        <v>0</v>
      </c>
      <c r="AQ172" s="247">
        <f t="shared" si="18"/>
        <v>0</v>
      </c>
      <c r="AR172" s="247">
        <f t="shared" si="18"/>
        <v>0</v>
      </c>
      <c r="AS172" s="194"/>
      <c r="AT172" s="244">
        <f>SUM(AT173,AT177,AT181)</f>
        <v>0</v>
      </c>
      <c r="AU172" s="257">
        <f>SUM(AU173,AU177,AU181)</f>
        <v>0</v>
      </c>
      <c r="AV172" s="754">
        <f>SUM(AV173,AV177,AV181)</f>
        <v>0</v>
      </c>
      <c r="AW172" s="194"/>
      <c r="AX172" s="326"/>
      <c r="AY172" s="2"/>
    </row>
    <row r="173" spans="1:51">
      <c r="A173" s="10"/>
      <c r="B173" s="10"/>
      <c r="C173" s="10"/>
      <c r="D173" s="10"/>
      <c r="E173" s="10"/>
      <c r="F173" s="10"/>
      <c r="G173" s="10"/>
      <c r="H173" s="10"/>
      <c r="I173" s="10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150"/>
      <c r="AM173" s="499" t="str">
        <f>AM155 &amp; ".3.1"</f>
        <v>5.2.1.3.1</v>
      </c>
      <c r="AN173" s="469" t="s">
        <v>738</v>
      </c>
      <c r="AO173" s="163" t="s">
        <v>195</v>
      </c>
      <c r="AP173" s="247">
        <f t="shared" si="18"/>
        <v>0</v>
      </c>
      <c r="AQ173" s="247">
        <f t="shared" si="18"/>
        <v>0</v>
      </c>
      <c r="AR173" s="247">
        <f t="shared" si="18"/>
        <v>0</v>
      </c>
      <c r="AS173" s="194"/>
      <c r="AT173" s="256">
        <f>AU173+AV173</f>
        <v>0</v>
      </c>
      <c r="AU173" s="588"/>
      <c r="AV173" s="588"/>
      <c r="AW173" s="194"/>
      <c r="AX173" s="326"/>
      <c r="AY173" s="2"/>
    </row>
    <row r="174" spans="1:51">
      <c r="A174" s="10"/>
      <c r="B174" s="10"/>
      <c r="C174" s="10"/>
      <c r="D174" s="10"/>
      <c r="E174" s="10"/>
      <c r="F174" s="10"/>
      <c r="G174" s="10"/>
      <c r="H174" s="10"/>
      <c r="I174" s="10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150"/>
      <c r="AM174" s="499" t="str">
        <f>AM155 &amp; ".3.1.0.1"</f>
        <v>5.2.1.3.1.0.1</v>
      </c>
      <c r="AN174" s="471" t="s">
        <v>285</v>
      </c>
      <c r="AO174" s="163" t="s">
        <v>286</v>
      </c>
      <c r="AP174" s="247">
        <f t="shared" si="18"/>
        <v>0</v>
      </c>
      <c r="AQ174" s="247">
        <f t="shared" si="18"/>
        <v>0</v>
      </c>
      <c r="AR174" s="247">
        <f t="shared" si="18"/>
        <v>0</v>
      </c>
      <c r="AS174" s="194"/>
      <c r="AT174" s="256">
        <f>AU174+AV174</f>
        <v>0</v>
      </c>
      <c r="AU174" s="588"/>
      <c r="AV174" s="222"/>
      <c r="AW174" s="194"/>
      <c r="AX174" s="326"/>
      <c r="AY174" s="2"/>
    </row>
    <row r="175" spans="1:51">
      <c r="A175" s="10"/>
      <c r="B175" s="10"/>
      <c r="C175" s="10"/>
      <c r="D175" s="10"/>
      <c r="E175" s="10"/>
      <c r="F175" s="10"/>
      <c r="G175" s="10"/>
      <c r="H175" s="10"/>
      <c r="I175" s="10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150"/>
      <c r="AM175" s="499" t="str">
        <f>AM155 &amp; ".3.1.0.2"</f>
        <v>5.2.1.3.1.0.2</v>
      </c>
      <c r="AN175" s="471" t="s">
        <v>287</v>
      </c>
      <c r="AO175" s="163" t="s">
        <v>288</v>
      </c>
      <c r="AP175" s="258">
        <f>IF(AP174=0,0,AP173/AP174)</f>
        <v>0</v>
      </c>
      <c r="AQ175" s="258">
        <f>IF(AQ174=0,0,AQ173/AQ174)</f>
        <v>0</v>
      </c>
      <c r="AR175" s="258">
        <f>IF(AR174=0,0,AR173/AR174)</f>
        <v>0</v>
      </c>
      <c r="AS175" s="194"/>
      <c r="AT175" s="244">
        <f>IF(AT174=0,0,AT173/AT174)</f>
        <v>0</v>
      </c>
      <c r="AU175" s="244">
        <f>IF(AU174=0,0,AU173/AU174)</f>
        <v>0</v>
      </c>
      <c r="AV175" s="244">
        <f>IF(AV174=0,0,AV173/AV174)</f>
        <v>0</v>
      </c>
      <c r="AW175" s="194"/>
      <c r="AX175" s="326"/>
      <c r="AY175" s="2"/>
    </row>
    <row r="176" spans="1:51" ht="0.75" hidden="1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150"/>
      <c r="AM176" s="500"/>
      <c r="AN176" s="472"/>
      <c r="AO176" s="166"/>
      <c r="AP176" s="241"/>
      <c r="AQ176" s="241"/>
      <c r="AR176" s="241"/>
      <c r="AS176" s="194"/>
      <c r="AT176" s="242"/>
      <c r="AU176" s="260"/>
      <c r="AV176" s="241"/>
      <c r="AW176" s="194"/>
      <c r="AX176" s="326"/>
      <c r="AY176" s="2"/>
    </row>
    <row r="177" spans="1:51">
      <c r="A177" s="10"/>
      <c r="B177" s="10"/>
      <c r="C177" s="10"/>
      <c r="D177" s="10"/>
      <c r="E177" s="10"/>
      <c r="F177" s="10"/>
      <c r="G177" s="10"/>
      <c r="H177" s="10"/>
      <c r="I177" s="10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150"/>
      <c r="AM177" s="499" t="str">
        <f>AM155 &amp; ".3.2"</f>
        <v>5.2.1.3.2</v>
      </c>
      <c r="AN177" s="469" t="s">
        <v>739</v>
      </c>
      <c r="AO177" s="163" t="s">
        <v>195</v>
      </c>
      <c r="AP177" s="247">
        <f t="shared" ref="AP177:AR178" si="19">SUMIF($AS$9:$AW$9,AP$9,$AS177:$AW177)</f>
        <v>0</v>
      </c>
      <c r="AQ177" s="247">
        <f t="shared" si="19"/>
        <v>0</v>
      </c>
      <c r="AR177" s="247">
        <f t="shared" si="19"/>
        <v>0</v>
      </c>
      <c r="AS177" s="194"/>
      <c r="AT177" s="256">
        <f>AU177+AV177</f>
        <v>0</v>
      </c>
      <c r="AU177" s="588"/>
      <c r="AV177" s="588"/>
      <c r="AW177" s="194"/>
      <c r="AX177" s="326"/>
      <c r="AY177" s="2"/>
    </row>
    <row r="178" spans="1:51">
      <c r="A178" s="10"/>
      <c r="B178" s="10"/>
      <c r="C178" s="10"/>
      <c r="D178" s="10"/>
      <c r="E178" s="10"/>
      <c r="F178" s="10"/>
      <c r="G178" s="10"/>
      <c r="H178" s="10"/>
      <c r="I178" s="10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150"/>
      <c r="AM178" s="499" t="str">
        <f>AM155 &amp; ".3.2.0.1"</f>
        <v>5.2.1.3.2.0.1</v>
      </c>
      <c r="AN178" s="471" t="s">
        <v>285</v>
      </c>
      <c r="AO178" s="163" t="s">
        <v>286</v>
      </c>
      <c r="AP178" s="247">
        <f t="shared" si="19"/>
        <v>0</v>
      </c>
      <c r="AQ178" s="247">
        <f t="shared" si="19"/>
        <v>0</v>
      </c>
      <c r="AR178" s="247">
        <f t="shared" si="19"/>
        <v>0</v>
      </c>
      <c r="AS178" s="194"/>
      <c r="AT178" s="256">
        <f>AU178+AV178</f>
        <v>0</v>
      </c>
      <c r="AU178" s="588"/>
      <c r="AV178" s="222"/>
      <c r="AW178" s="194"/>
      <c r="AX178" s="326"/>
      <c r="AY178" s="2"/>
    </row>
    <row r="179" spans="1:51">
      <c r="A179" s="10"/>
      <c r="B179" s="10"/>
      <c r="C179" s="10"/>
      <c r="D179" s="10"/>
      <c r="E179" s="10"/>
      <c r="F179" s="10"/>
      <c r="G179" s="10"/>
      <c r="H179" s="10"/>
      <c r="I179" s="10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150"/>
      <c r="AM179" s="499" t="str">
        <f>AM155 &amp; ".3.2.0.2"</f>
        <v>5.2.1.3.2.0.2</v>
      </c>
      <c r="AN179" s="471" t="s">
        <v>287</v>
      </c>
      <c r="AO179" s="163" t="s">
        <v>288</v>
      </c>
      <c r="AP179" s="258">
        <f>IF(AP178=0,0,AP177/AP178)</f>
        <v>0</v>
      </c>
      <c r="AQ179" s="258">
        <f>IF(AQ178=0,0,AQ177/AQ178)</f>
        <v>0</v>
      </c>
      <c r="AR179" s="258">
        <f>IF(AR178=0,0,AR177/AR178)</f>
        <v>0</v>
      </c>
      <c r="AS179" s="194"/>
      <c r="AT179" s="244">
        <f>IF(AT178=0,0,AT177/AT178)</f>
        <v>0</v>
      </c>
      <c r="AU179" s="244">
        <f>IF(AU178=0,0,AU177/AU178)</f>
        <v>0</v>
      </c>
      <c r="AV179" s="244">
        <f>IF(AV178=0,0,AV177/AV178)</f>
        <v>0</v>
      </c>
      <c r="AW179" s="194"/>
      <c r="AX179" s="326"/>
      <c r="AY179" s="2"/>
    </row>
    <row r="180" spans="1:51" ht="0.75" hidden="1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150"/>
      <c r="AM180" s="500"/>
      <c r="AN180" s="472"/>
      <c r="AO180" s="166"/>
      <c r="AP180" s="241"/>
      <c r="AQ180" s="241"/>
      <c r="AR180" s="241"/>
      <c r="AS180" s="194"/>
      <c r="AT180" s="242"/>
      <c r="AU180" s="260"/>
      <c r="AV180" s="241"/>
      <c r="AW180" s="194"/>
      <c r="AX180" s="326"/>
      <c r="AY180" s="2"/>
    </row>
    <row r="181" spans="1:51">
      <c r="A181" s="10"/>
      <c r="B181" s="10"/>
      <c r="C181" s="10"/>
      <c r="D181" s="10"/>
      <c r="E181" s="10"/>
      <c r="F181" s="10"/>
      <c r="G181" s="10"/>
      <c r="H181" s="10"/>
      <c r="I181" s="10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150"/>
      <c r="AM181" s="499" t="str">
        <f>AM155 &amp; ".3.3"</f>
        <v>5.2.1.3.3</v>
      </c>
      <c r="AN181" s="469" t="s">
        <v>737</v>
      </c>
      <c r="AO181" s="163" t="s">
        <v>195</v>
      </c>
      <c r="AP181" s="247">
        <f t="shared" ref="AP181:AR182" si="20">SUMIF($AS$9:$AW$9,AP$9,$AS181:$AW181)</f>
        <v>0</v>
      </c>
      <c r="AQ181" s="247">
        <f t="shared" si="20"/>
        <v>0</v>
      </c>
      <c r="AR181" s="247">
        <f t="shared" si="20"/>
        <v>0</v>
      </c>
      <c r="AS181" s="194"/>
      <c r="AT181" s="256">
        <f>AU181+AV181</f>
        <v>0</v>
      </c>
      <c r="AU181" s="588"/>
      <c r="AV181" s="588"/>
      <c r="AW181" s="194"/>
      <c r="AX181" s="326"/>
      <c r="AY181" s="2"/>
    </row>
    <row r="182" spans="1:51">
      <c r="A182" s="10"/>
      <c r="B182" s="10"/>
      <c r="C182" s="10"/>
      <c r="D182" s="10"/>
      <c r="E182" s="10"/>
      <c r="F182" s="10"/>
      <c r="G182" s="10"/>
      <c r="H182" s="10"/>
      <c r="I182" s="10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150"/>
      <c r="AM182" s="499" t="str">
        <f>AM155 &amp; ".3.3.0.1"</f>
        <v>5.2.1.3.3.0.1</v>
      </c>
      <c r="AN182" s="471" t="s">
        <v>285</v>
      </c>
      <c r="AO182" s="163" t="s">
        <v>286</v>
      </c>
      <c r="AP182" s="247">
        <f t="shared" si="20"/>
        <v>0</v>
      </c>
      <c r="AQ182" s="247">
        <f t="shared" si="20"/>
        <v>0</v>
      </c>
      <c r="AR182" s="247">
        <f t="shared" si="20"/>
        <v>0</v>
      </c>
      <c r="AS182" s="194"/>
      <c r="AT182" s="256">
        <f>AU182+AV182</f>
        <v>0</v>
      </c>
      <c r="AU182" s="588"/>
      <c r="AV182" s="222"/>
      <c r="AW182" s="194"/>
      <c r="AX182" s="326"/>
      <c r="AY182" s="2"/>
    </row>
    <row r="183" spans="1:51">
      <c r="A183" s="10"/>
      <c r="B183" s="10"/>
      <c r="C183" s="10"/>
      <c r="D183" s="10"/>
      <c r="E183" s="10"/>
      <c r="F183" s="10"/>
      <c r="G183" s="10"/>
      <c r="H183" s="10"/>
      <c r="I183" s="10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150"/>
      <c r="AM183" s="499" t="str">
        <f>AM155 &amp; ".3.3.0.2"</f>
        <v>5.2.1.3.3.0.2</v>
      </c>
      <c r="AN183" s="471" t="s">
        <v>287</v>
      </c>
      <c r="AO183" s="163" t="s">
        <v>288</v>
      </c>
      <c r="AP183" s="258">
        <f>IF(AP182=0,0,AP181/AP182)</f>
        <v>0</v>
      </c>
      <c r="AQ183" s="258">
        <f>IF(AQ182=0,0,AQ181/AQ182)</f>
        <v>0</v>
      </c>
      <c r="AR183" s="258">
        <f>IF(AR182=0,0,AR181/AR182)</f>
        <v>0</v>
      </c>
      <c r="AS183" s="194"/>
      <c r="AT183" s="244">
        <f>IF(AT182=0,0,AT181/AT182)</f>
        <v>0</v>
      </c>
      <c r="AU183" s="244">
        <f>IF(AU182=0,0,AU181/AU182)</f>
        <v>0</v>
      </c>
      <c r="AV183" s="244">
        <f>IF(AV182=0,0,AV181/AV182)</f>
        <v>0</v>
      </c>
      <c r="AW183" s="194"/>
      <c r="AX183" s="326"/>
      <c r="AY183" s="2"/>
    </row>
    <row r="184" spans="1:51" ht="0.75" hidden="1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150"/>
      <c r="AM184" s="500"/>
      <c r="AN184" s="472"/>
      <c r="AO184" s="166"/>
      <c r="AP184" s="241"/>
      <c r="AQ184" s="241"/>
      <c r="AR184" s="241"/>
      <c r="AS184" s="194"/>
      <c r="AT184" s="242"/>
      <c r="AU184" s="260"/>
      <c r="AV184" s="241"/>
      <c r="AW184" s="194"/>
      <c r="AX184" s="326"/>
      <c r="AY184" s="2"/>
    </row>
    <row r="185" spans="1:51">
      <c r="A185" s="10"/>
      <c r="B185" s="10"/>
      <c r="C185" s="10"/>
      <c r="D185" s="10"/>
      <c r="E185" s="10"/>
      <c r="F185" s="10"/>
      <c r="G185" s="10"/>
      <c r="H185" s="10"/>
      <c r="I185" s="10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150"/>
      <c r="AM185" s="499" t="str">
        <f>AM155 &amp; ".4"</f>
        <v>5.2.1.4</v>
      </c>
      <c r="AN185" s="470" t="s">
        <v>279</v>
      </c>
      <c r="AO185" s="163" t="s">
        <v>195</v>
      </c>
      <c r="AP185" s="247">
        <f t="shared" ref="AP185:AR192" si="21">SUMIF($AS$9:$AW$9,AP$9,$AS185:$AW185)</f>
        <v>0</v>
      </c>
      <c r="AQ185" s="247">
        <f t="shared" si="21"/>
        <v>0</v>
      </c>
      <c r="AR185" s="247">
        <f t="shared" si="21"/>
        <v>0</v>
      </c>
      <c r="AS185" s="194"/>
      <c r="AT185" s="244">
        <f>SUM(AT186:AT188)</f>
        <v>0</v>
      </c>
      <c r="AU185" s="257">
        <f>SUM(AU186:AU188)</f>
        <v>0</v>
      </c>
      <c r="AV185" s="754">
        <f>SUM(AV186:AV188)</f>
        <v>0</v>
      </c>
      <c r="AW185" s="194"/>
      <c r="AX185" s="326"/>
      <c r="AY185" s="2"/>
    </row>
    <row r="186" spans="1:51">
      <c r="A186" s="10"/>
      <c r="B186" s="10"/>
      <c r="C186" s="10"/>
      <c r="D186" s="10"/>
      <c r="E186" s="10"/>
      <c r="F186" s="10"/>
      <c r="G186" s="10"/>
      <c r="H186" s="10"/>
      <c r="I186" s="10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150"/>
      <c r="AM186" s="499" t="str">
        <f>AM155 &amp; ".4.1"</f>
        <v>5.2.1.4.1</v>
      </c>
      <c r="AN186" s="469" t="s">
        <v>738</v>
      </c>
      <c r="AO186" s="163" t="s">
        <v>195</v>
      </c>
      <c r="AP186" s="247">
        <f t="shared" si="21"/>
        <v>0</v>
      </c>
      <c r="AQ186" s="247">
        <f t="shared" si="21"/>
        <v>0</v>
      </c>
      <c r="AR186" s="247">
        <f t="shared" si="21"/>
        <v>0</v>
      </c>
      <c r="AS186" s="194"/>
      <c r="AT186" s="256">
        <f t="shared" ref="AT186:AT192" si="22">AU186+AV186</f>
        <v>0</v>
      </c>
      <c r="AU186" s="588"/>
      <c r="AV186" s="588"/>
      <c r="AW186" s="194"/>
      <c r="AX186" s="326"/>
      <c r="AY186" s="2"/>
    </row>
    <row r="187" spans="1:51">
      <c r="A187" s="10"/>
      <c r="B187" s="10"/>
      <c r="C187" s="10"/>
      <c r="D187" s="10"/>
      <c r="E187" s="10"/>
      <c r="F187" s="10"/>
      <c r="G187" s="10"/>
      <c r="H187" s="10"/>
      <c r="I187" s="10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150"/>
      <c r="AM187" s="499" t="str">
        <f>AM155 &amp; ".4.2"</f>
        <v>5.2.1.4.2</v>
      </c>
      <c r="AN187" s="469" t="s">
        <v>739</v>
      </c>
      <c r="AO187" s="163" t="s">
        <v>195</v>
      </c>
      <c r="AP187" s="247">
        <f t="shared" si="21"/>
        <v>0</v>
      </c>
      <c r="AQ187" s="247">
        <f t="shared" si="21"/>
        <v>0</v>
      </c>
      <c r="AR187" s="247">
        <f t="shared" si="21"/>
        <v>0</v>
      </c>
      <c r="AS187" s="194"/>
      <c r="AT187" s="256">
        <f t="shared" si="22"/>
        <v>0</v>
      </c>
      <c r="AU187" s="588"/>
      <c r="AV187" s="588"/>
      <c r="AW187" s="194"/>
      <c r="AX187" s="326"/>
      <c r="AY187" s="2"/>
    </row>
    <row r="188" spans="1:51">
      <c r="A188" s="10"/>
      <c r="B188" s="10"/>
      <c r="C188" s="10"/>
      <c r="D188" s="10"/>
      <c r="E188" s="10"/>
      <c r="F188" s="10"/>
      <c r="G188" s="10"/>
      <c r="H188" s="10"/>
      <c r="I188" s="10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150"/>
      <c r="AM188" s="499" t="str">
        <f>AM155 &amp; ".4.3"</f>
        <v>5.2.1.4.3</v>
      </c>
      <c r="AN188" s="469" t="s">
        <v>737</v>
      </c>
      <c r="AO188" s="163" t="s">
        <v>195</v>
      </c>
      <c r="AP188" s="247">
        <f t="shared" si="21"/>
        <v>0</v>
      </c>
      <c r="AQ188" s="247">
        <f t="shared" si="21"/>
        <v>0</v>
      </c>
      <c r="AR188" s="247">
        <f t="shared" si="21"/>
        <v>0</v>
      </c>
      <c r="AS188" s="194"/>
      <c r="AT188" s="256">
        <f t="shared" si="22"/>
        <v>0</v>
      </c>
      <c r="AU188" s="588"/>
      <c r="AV188" s="222"/>
      <c r="AW188" s="194"/>
      <c r="AX188" s="326"/>
      <c r="AY188" s="2"/>
    </row>
    <row r="189" spans="1:51">
      <c r="A189" s="2"/>
      <c r="B189" s="2"/>
      <c r="C189" s="2"/>
      <c r="D189" s="2"/>
      <c r="E189" s="2"/>
      <c r="F189" s="2"/>
      <c r="G189" s="2"/>
      <c r="H189" s="2"/>
      <c r="I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7"/>
      <c r="AL189" s="150"/>
      <c r="AM189" s="490" t="s">
        <v>184</v>
      </c>
      <c r="AN189" s="498" t="s">
        <v>367</v>
      </c>
      <c r="AO189" s="163" t="s">
        <v>195</v>
      </c>
      <c r="AP189" s="247">
        <f t="shared" si="21"/>
        <v>0</v>
      </c>
      <c r="AQ189" s="247">
        <f t="shared" si="21"/>
        <v>0</v>
      </c>
      <c r="AR189" s="247">
        <f t="shared" si="21"/>
        <v>0</v>
      </c>
      <c r="AS189" s="194"/>
      <c r="AT189" s="754">
        <f t="shared" si="22"/>
        <v>0</v>
      </c>
      <c r="AU189" s="754">
        <f>SUM(AU192,AU195,AU198,AU201,AU204,AU207,AU210,AU213)</f>
        <v>0</v>
      </c>
      <c r="AV189" s="754">
        <f>SUM(AV192,AV195,AV198,AV201,AV204,AV207,AV210,AV213)</f>
        <v>0</v>
      </c>
      <c r="AW189" s="194"/>
      <c r="AX189" s="326"/>
      <c r="AY189" s="2"/>
    </row>
    <row r="190" spans="1:51">
      <c r="A190" s="2"/>
      <c r="B190" s="2"/>
      <c r="C190" s="2"/>
      <c r="D190" s="2"/>
      <c r="E190" s="2"/>
      <c r="F190" s="2"/>
      <c r="G190" s="2"/>
      <c r="H190" s="2"/>
      <c r="I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7"/>
      <c r="AL190" s="150"/>
      <c r="AM190" s="501" t="s">
        <v>368</v>
      </c>
      <c r="AN190" s="473" t="s">
        <v>666</v>
      </c>
      <c r="AO190" s="163" t="s">
        <v>284</v>
      </c>
      <c r="AP190" s="247">
        <f t="shared" si="21"/>
        <v>0</v>
      </c>
      <c r="AQ190" s="247">
        <f t="shared" si="21"/>
        <v>0</v>
      </c>
      <c r="AR190" s="247">
        <f t="shared" si="21"/>
        <v>0</v>
      </c>
      <c r="AS190" s="194"/>
      <c r="AT190" s="754">
        <f t="shared" si="22"/>
        <v>0</v>
      </c>
      <c r="AU190" s="754">
        <f>AU194+AU200+AU206+AU212</f>
        <v>0</v>
      </c>
      <c r="AV190" s="754">
        <f>AV194+AV200+AV206+AV212</f>
        <v>0</v>
      </c>
      <c r="AW190" s="194"/>
      <c r="AX190" s="326"/>
      <c r="AY190" s="2"/>
    </row>
    <row r="191" spans="1:51">
      <c r="A191" s="2"/>
      <c r="B191" s="2"/>
      <c r="C191" s="2"/>
      <c r="D191" s="2"/>
      <c r="E191" s="2"/>
      <c r="F191" s="2"/>
      <c r="G191" s="2"/>
      <c r="H191" s="2"/>
      <c r="I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7"/>
      <c r="AL191" s="150"/>
      <c r="AM191" s="501" t="s">
        <v>369</v>
      </c>
      <c r="AN191" s="473" t="s">
        <v>668</v>
      </c>
      <c r="AO191" s="163" t="s">
        <v>669</v>
      </c>
      <c r="AP191" s="247">
        <f t="shared" si="21"/>
        <v>0</v>
      </c>
      <c r="AQ191" s="247">
        <f t="shared" si="21"/>
        <v>0</v>
      </c>
      <c r="AR191" s="247">
        <f t="shared" si="21"/>
        <v>0</v>
      </c>
      <c r="AS191" s="194"/>
      <c r="AT191" s="754">
        <f t="shared" si="22"/>
        <v>0</v>
      </c>
      <c r="AU191" s="754">
        <f>AU197+AU203+AU209+AU215</f>
        <v>0</v>
      </c>
      <c r="AV191" s="754">
        <f>AV197+AV203+AV209+AV215</f>
        <v>0</v>
      </c>
      <c r="AW191" s="194"/>
      <c r="AX191" s="326"/>
      <c r="AY191" s="2"/>
    </row>
    <row r="192" spans="1:51">
      <c r="A192" s="2"/>
      <c r="B192" s="2"/>
      <c r="C192" s="2"/>
      <c r="D192" s="2"/>
      <c r="E192" s="2"/>
      <c r="F192" s="2"/>
      <c r="G192" s="2"/>
      <c r="H192" s="2"/>
      <c r="I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7"/>
      <c r="AL192" s="150"/>
      <c r="AM192" s="501" t="s">
        <v>370</v>
      </c>
      <c r="AN192" s="473" t="s">
        <v>334</v>
      </c>
      <c r="AO192" s="163" t="s">
        <v>195</v>
      </c>
      <c r="AP192" s="247">
        <f t="shared" si="21"/>
        <v>0</v>
      </c>
      <c r="AQ192" s="247">
        <f t="shared" si="21"/>
        <v>0</v>
      </c>
      <c r="AR192" s="247">
        <f t="shared" si="21"/>
        <v>0</v>
      </c>
      <c r="AS192" s="194"/>
      <c r="AT192" s="754">
        <f t="shared" si="22"/>
        <v>0</v>
      </c>
      <c r="AU192" s="754">
        <f>AU193*AU194</f>
        <v>0</v>
      </c>
      <c r="AV192" s="754">
        <f>AV193*AV194</f>
        <v>0</v>
      </c>
      <c r="AW192" s="194"/>
      <c r="AX192" s="326"/>
      <c r="AY192" s="2"/>
    </row>
    <row r="193" spans="1:51">
      <c r="A193" s="2"/>
      <c r="B193" s="2"/>
      <c r="C193" s="2"/>
      <c r="D193" s="2"/>
      <c r="E193" s="2"/>
      <c r="F193" s="2"/>
      <c r="G193" s="2"/>
      <c r="H193" s="2"/>
      <c r="I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7"/>
      <c r="AL193" s="150"/>
      <c r="AM193" s="501" t="s">
        <v>371</v>
      </c>
      <c r="AN193" s="474" t="s">
        <v>670</v>
      </c>
      <c r="AO193" s="163" t="s">
        <v>313</v>
      </c>
      <c r="AP193" s="247">
        <f>IF(AP194=0,0,AP192/AP194)</f>
        <v>0</v>
      </c>
      <c r="AQ193" s="247">
        <f>IF(AQ194=0,0,AQ192/AQ194)</f>
        <v>0</v>
      </c>
      <c r="AR193" s="247">
        <f>IF(AR194=0,0,AR192/AR194)</f>
        <v>0</v>
      </c>
      <c r="AS193" s="194"/>
      <c r="AT193" s="754">
        <f>IF(AT194=0,0,AT192/AT194)</f>
        <v>0</v>
      </c>
      <c r="AU193" s="245"/>
      <c r="AV193" s="245"/>
      <c r="AW193" s="194"/>
      <c r="AX193" s="326"/>
      <c r="AY193" s="2"/>
    </row>
    <row r="194" spans="1:51">
      <c r="A194" s="2"/>
      <c r="B194" s="2"/>
      <c r="C194" s="2"/>
      <c r="D194" s="2"/>
      <c r="E194" s="2"/>
      <c r="F194" s="2"/>
      <c r="G194" s="2"/>
      <c r="H194" s="2"/>
      <c r="I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7"/>
      <c r="AL194" s="150"/>
      <c r="AM194" s="501" t="s">
        <v>372</v>
      </c>
      <c r="AN194" s="474" t="s">
        <v>666</v>
      </c>
      <c r="AO194" s="163" t="s">
        <v>284</v>
      </c>
      <c r="AP194" s="247">
        <f t="shared" ref="AP194:AR195" si="23">SUMIF($AS$9:$AW$9,AP$9,$AS194:$AW194)</f>
        <v>0</v>
      </c>
      <c r="AQ194" s="247">
        <f t="shared" si="23"/>
        <v>0</v>
      </c>
      <c r="AR194" s="247">
        <f t="shared" si="23"/>
        <v>0</v>
      </c>
      <c r="AS194" s="194"/>
      <c r="AT194" s="754">
        <f>AU194+AV194</f>
        <v>0</v>
      </c>
      <c r="AU194" s="245"/>
      <c r="AV194" s="245"/>
      <c r="AW194" s="194"/>
      <c r="AX194" s="326"/>
      <c r="AY194" s="2"/>
    </row>
    <row r="195" spans="1:51">
      <c r="A195" s="2"/>
      <c r="B195" s="2"/>
      <c r="C195" s="2"/>
      <c r="D195" s="2"/>
      <c r="E195" s="2"/>
      <c r="F195" s="2"/>
      <c r="G195" s="2"/>
      <c r="H195" s="2"/>
      <c r="I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7"/>
      <c r="AL195" s="150"/>
      <c r="AM195" s="501" t="s">
        <v>373</v>
      </c>
      <c r="AN195" s="473" t="s">
        <v>338</v>
      </c>
      <c r="AO195" s="163" t="s">
        <v>195</v>
      </c>
      <c r="AP195" s="247">
        <f t="shared" si="23"/>
        <v>0</v>
      </c>
      <c r="AQ195" s="247">
        <f t="shared" si="23"/>
        <v>0</v>
      </c>
      <c r="AR195" s="247">
        <f t="shared" si="23"/>
        <v>0</v>
      </c>
      <c r="AS195" s="194"/>
      <c r="AT195" s="754">
        <f>AU195+AV195</f>
        <v>0</v>
      </c>
      <c r="AU195" s="754">
        <f>AU196*AU197</f>
        <v>0</v>
      </c>
      <c r="AV195" s="754">
        <f>AV196*AV197</f>
        <v>0</v>
      </c>
      <c r="AW195" s="194"/>
      <c r="AX195" s="326"/>
      <c r="AY195" s="2"/>
    </row>
    <row r="196" spans="1:51">
      <c r="A196" s="2"/>
      <c r="B196" s="2"/>
      <c r="C196" s="2"/>
      <c r="D196" s="2"/>
      <c r="E196" s="2"/>
      <c r="F196" s="2"/>
      <c r="G196" s="2"/>
      <c r="H196" s="2"/>
      <c r="I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7"/>
      <c r="AL196" s="150"/>
      <c r="AM196" s="501" t="s">
        <v>374</v>
      </c>
      <c r="AN196" s="474" t="s">
        <v>671</v>
      </c>
      <c r="AO196" s="163" t="s">
        <v>314</v>
      </c>
      <c r="AP196" s="247">
        <f>IF(AP197=0,0,AP195/AP197)</f>
        <v>0</v>
      </c>
      <c r="AQ196" s="247">
        <f>IF(AQ197=0,0,AQ195/AQ197)</f>
        <v>0</v>
      </c>
      <c r="AR196" s="247">
        <f>IF(AR197=0,0,AR195/AR197)</f>
        <v>0</v>
      </c>
      <c r="AS196" s="194"/>
      <c r="AT196" s="754">
        <f>IF(AT197=0,0,AT195/AT197)</f>
        <v>0</v>
      </c>
      <c r="AU196" s="245"/>
      <c r="AV196" s="245"/>
      <c r="AW196" s="194"/>
      <c r="AX196" s="326"/>
      <c r="AY196" s="2"/>
    </row>
    <row r="197" spans="1:51">
      <c r="A197" s="2"/>
      <c r="B197" s="2"/>
      <c r="C197" s="2"/>
      <c r="D197" s="2"/>
      <c r="E197" s="2"/>
      <c r="F197" s="2"/>
      <c r="G197" s="2"/>
      <c r="H197" s="2"/>
      <c r="I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7"/>
      <c r="AL197" s="150"/>
      <c r="AM197" s="501" t="s">
        <v>375</v>
      </c>
      <c r="AN197" s="474" t="s">
        <v>672</v>
      </c>
      <c r="AO197" s="163" t="s">
        <v>669</v>
      </c>
      <c r="AP197" s="247">
        <f t="shared" ref="AP197:AR198" si="24">SUMIF($AS$9:$AW$9,AP$9,$AS197:$AW197)</f>
        <v>0</v>
      </c>
      <c r="AQ197" s="247">
        <f t="shared" si="24"/>
        <v>0</v>
      </c>
      <c r="AR197" s="247">
        <f t="shared" si="24"/>
        <v>0</v>
      </c>
      <c r="AS197" s="194"/>
      <c r="AT197" s="754">
        <f>AU197+AV197</f>
        <v>0</v>
      </c>
      <c r="AU197" s="245"/>
      <c r="AV197" s="245"/>
      <c r="AW197" s="194"/>
      <c r="AX197" s="326"/>
      <c r="AY197" s="2"/>
    </row>
    <row r="198" spans="1:51">
      <c r="A198" s="2"/>
      <c r="B198" s="2"/>
      <c r="C198" s="2"/>
      <c r="D198" s="2"/>
      <c r="E198" s="2"/>
      <c r="F198" s="2"/>
      <c r="G198" s="2"/>
      <c r="H198" s="2"/>
      <c r="I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7"/>
      <c r="AL198" s="150"/>
      <c r="AM198" s="501" t="s">
        <v>376</v>
      </c>
      <c r="AN198" s="473" t="s">
        <v>342</v>
      </c>
      <c r="AO198" s="163" t="s">
        <v>195</v>
      </c>
      <c r="AP198" s="247">
        <f t="shared" si="24"/>
        <v>0</v>
      </c>
      <c r="AQ198" s="247">
        <f t="shared" si="24"/>
        <v>0</v>
      </c>
      <c r="AR198" s="247">
        <f t="shared" si="24"/>
        <v>0</v>
      </c>
      <c r="AS198" s="194"/>
      <c r="AT198" s="754">
        <f>AU198+AV198</f>
        <v>0</v>
      </c>
      <c r="AU198" s="754">
        <f>AU199*AU200</f>
        <v>0</v>
      </c>
      <c r="AV198" s="754">
        <f>AV199*AV200</f>
        <v>0</v>
      </c>
      <c r="AW198" s="194"/>
      <c r="AX198" s="326"/>
      <c r="AY198" s="2"/>
    </row>
    <row r="199" spans="1:51">
      <c r="A199" s="2"/>
      <c r="B199" s="2"/>
      <c r="C199" s="2"/>
      <c r="D199" s="2"/>
      <c r="E199" s="2"/>
      <c r="F199" s="2"/>
      <c r="G199" s="2"/>
      <c r="H199" s="2"/>
      <c r="I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7"/>
      <c r="AL199" s="150"/>
      <c r="AM199" s="501" t="s">
        <v>377</v>
      </c>
      <c r="AN199" s="474" t="s">
        <v>670</v>
      </c>
      <c r="AO199" s="163" t="s">
        <v>313</v>
      </c>
      <c r="AP199" s="247">
        <f>IF(AP200=0,0,AP198/AP200)</f>
        <v>0</v>
      </c>
      <c r="AQ199" s="247">
        <f>IF(AQ200=0,0,AQ198/AQ200)</f>
        <v>0</v>
      </c>
      <c r="AR199" s="247">
        <f>IF(AR200=0,0,AR198/AR200)</f>
        <v>0</v>
      </c>
      <c r="AS199" s="194"/>
      <c r="AT199" s="754">
        <f>IF(AT200=0,0,AT198/AT200)</f>
        <v>0</v>
      </c>
      <c r="AU199" s="245"/>
      <c r="AV199" s="245"/>
      <c r="AW199" s="194"/>
      <c r="AX199" s="326"/>
      <c r="AY199" s="2"/>
    </row>
    <row r="200" spans="1:51">
      <c r="A200" s="2"/>
      <c r="B200" s="2"/>
      <c r="C200" s="2"/>
      <c r="D200" s="2"/>
      <c r="E200" s="2"/>
      <c r="F200" s="2"/>
      <c r="G200" s="2"/>
      <c r="H200" s="2"/>
      <c r="I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7"/>
      <c r="AL200" s="150"/>
      <c r="AM200" s="501" t="s">
        <v>378</v>
      </c>
      <c r="AN200" s="474" t="s">
        <v>666</v>
      </c>
      <c r="AO200" s="163" t="s">
        <v>284</v>
      </c>
      <c r="AP200" s="247">
        <f t="shared" ref="AP200:AR201" si="25">SUMIF($AS$9:$AW$9,AP$9,$AS200:$AW200)</f>
        <v>0</v>
      </c>
      <c r="AQ200" s="247">
        <f t="shared" si="25"/>
        <v>0</v>
      </c>
      <c r="AR200" s="247">
        <f t="shared" si="25"/>
        <v>0</v>
      </c>
      <c r="AS200" s="194"/>
      <c r="AT200" s="754">
        <f>AU200+AV200</f>
        <v>0</v>
      </c>
      <c r="AU200" s="245"/>
      <c r="AV200" s="245"/>
      <c r="AW200" s="194"/>
      <c r="AX200" s="326"/>
      <c r="AY200" s="2"/>
    </row>
    <row r="201" spans="1:51">
      <c r="A201" s="2"/>
      <c r="B201" s="2"/>
      <c r="C201" s="2"/>
      <c r="D201" s="2"/>
      <c r="E201" s="2"/>
      <c r="F201" s="2"/>
      <c r="G201" s="2"/>
      <c r="H201" s="2"/>
      <c r="I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7"/>
      <c r="AL201" s="150"/>
      <c r="AM201" s="501" t="s">
        <v>379</v>
      </c>
      <c r="AN201" s="473" t="s">
        <v>346</v>
      </c>
      <c r="AO201" s="163" t="s">
        <v>195</v>
      </c>
      <c r="AP201" s="247">
        <f t="shared" si="25"/>
        <v>0</v>
      </c>
      <c r="AQ201" s="247">
        <f t="shared" si="25"/>
        <v>0</v>
      </c>
      <c r="AR201" s="247">
        <f t="shared" si="25"/>
        <v>0</v>
      </c>
      <c r="AS201" s="194"/>
      <c r="AT201" s="754">
        <f>AU201+AV201</f>
        <v>0</v>
      </c>
      <c r="AU201" s="754">
        <f>AU202*AU203</f>
        <v>0</v>
      </c>
      <c r="AV201" s="754">
        <f>AV202*AV203</f>
        <v>0</v>
      </c>
      <c r="AW201" s="194"/>
      <c r="AX201" s="326"/>
      <c r="AY201" s="2"/>
    </row>
    <row r="202" spans="1:51">
      <c r="A202" s="2"/>
      <c r="B202" s="2"/>
      <c r="C202" s="2"/>
      <c r="D202" s="2"/>
      <c r="E202" s="2"/>
      <c r="F202" s="2"/>
      <c r="G202" s="2"/>
      <c r="H202" s="2"/>
      <c r="I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7"/>
      <c r="AL202" s="150"/>
      <c r="AM202" s="501" t="s">
        <v>380</v>
      </c>
      <c r="AN202" s="474" t="s">
        <v>671</v>
      </c>
      <c r="AO202" s="163" t="s">
        <v>314</v>
      </c>
      <c r="AP202" s="247">
        <f>IF(AP203=0,0,AP201/AP203)</f>
        <v>0</v>
      </c>
      <c r="AQ202" s="247">
        <f>IF(AQ203=0,0,AQ201/AQ203)</f>
        <v>0</v>
      </c>
      <c r="AR202" s="247">
        <f>IF(AR203=0,0,AR201/AR203)</f>
        <v>0</v>
      </c>
      <c r="AS202" s="194"/>
      <c r="AT202" s="754">
        <f>IF(AT203=0,0,AT201/AT203)</f>
        <v>0</v>
      </c>
      <c r="AU202" s="245"/>
      <c r="AV202" s="245"/>
      <c r="AW202" s="194"/>
      <c r="AX202" s="326"/>
      <c r="AY202" s="2"/>
    </row>
    <row r="203" spans="1:51">
      <c r="A203" s="2"/>
      <c r="B203" s="2"/>
      <c r="C203" s="2"/>
      <c r="D203" s="2"/>
      <c r="E203" s="2"/>
      <c r="F203" s="2"/>
      <c r="G203" s="2"/>
      <c r="H203" s="2"/>
      <c r="I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7"/>
      <c r="AL203" s="150"/>
      <c r="AM203" s="501" t="s">
        <v>381</v>
      </c>
      <c r="AN203" s="474" t="s">
        <v>672</v>
      </c>
      <c r="AO203" s="163" t="s">
        <v>669</v>
      </c>
      <c r="AP203" s="247">
        <f t="shared" ref="AP203:AR204" si="26">SUMIF($AS$9:$AW$9,AP$9,$AS203:$AW203)</f>
        <v>0</v>
      </c>
      <c r="AQ203" s="247">
        <f t="shared" si="26"/>
        <v>0</v>
      </c>
      <c r="AR203" s="247">
        <f t="shared" si="26"/>
        <v>0</v>
      </c>
      <c r="AS203" s="194"/>
      <c r="AT203" s="754">
        <f>AU203+AV203</f>
        <v>0</v>
      </c>
      <c r="AU203" s="245"/>
      <c r="AV203" s="245"/>
      <c r="AW203" s="194"/>
      <c r="AX203" s="326"/>
      <c r="AY203" s="2"/>
    </row>
    <row r="204" spans="1:51">
      <c r="A204" s="2"/>
      <c r="B204" s="2"/>
      <c r="C204" s="2"/>
      <c r="D204" s="2"/>
      <c r="E204" s="2"/>
      <c r="F204" s="2"/>
      <c r="G204" s="2"/>
      <c r="H204" s="2"/>
      <c r="I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7"/>
      <c r="AL204" s="150"/>
      <c r="AM204" s="501" t="s">
        <v>382</v>
      </c>
      <c r="AN204" s="473" t="s">
        <v>350</v>
      </c>
      <c r="AO204" s="163" t="s">
        <v>195</v>
      </c>
      <c r="AP204" s="247">
        <f t="shared" si="26"/>
        <v>0</v>
      </c>
      <c r="AQ204" s="247">
        <f t="shared" si="26"/>
        <v>0</v>
      </c>
      <c r="AR204" s="247">
        <f t="shared" si="26"/>
        <v>0</v>
      </c>
      <c r="AS204" s="194"/>
      <c r="AT204" s="754">
        <f>AU204+AV204</f>
        <v>0</v>
      </c>
      <c r="AU204" s="754">
        <f>AU205*AU206</f>
        <v>0</v>
      </c>
      <c r="AV204" s="754">
        <f>AV205*AV206</f>
        <v>0</v>
      </c>
      <c r="AW204" s="194"/>
      <c r="AX204" s="326"/>
      <c r="AY204" s="2"/>
    </row>
    <row r="205" spans="1:51">
      <c r="A205" s="2"/>
      <c r="B205" s="2"/>
      <c r="C205" s="2"/>
      <c r="D205" s="2"/>
      <c r="E205" s="2"/>
      <c r="F205" s="2"/>
      <c r="G205" s="2"/>
      <c r="H205" s="2"/>
      <c r="I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7"/>
      <c r="AL205" s="150"/>
      <c r="AM205" s="501" t="s">
        <v>383</v>
      </c>
      <c r="AN205" s="474" t="s">
        <v>670</v>
      </c>
      <c r="AO205" s="163" t="s">
        <v>313</v>
      </c>
      <c r="AP205" s="247">
        <f>IF(AP206=0,0,AP204/AP206)</f>
        <v>0</v>
      </c>
      <c r="AQ205" s="247">
        <f>IF(AQ206=0,0,AQ204/AQ206)</f>
        <v>0</v>
      </c>
      <c r="AR205" s="247">
        <f>IF(AR206=0,0,AR204/AR206)</f>
        <v>0</v>
      </c>
      <c r="AS205" s="194"/>
      <c r="AT205" s="754">
        <f>IF(AT206=0,0,AT204/AT206)</f>
        <v>0</v>
      </c>
      <c r="AU205" s="245"/>
      <c r="AV205" s="245"/>
      <c r="AW205" s="194"/>
      <c r="AX205" s="326"/>
      <c r="AY205" s="2"/>
    </row>
    <row r="206" spans="1:51">
      <c r="A206" s="2"/>
      <c r="B206" s="2"/>
      <c r="C206" s="2"/>
      <c r="D206" s="2"/>
      <c r="E206" s="2"/>
      <c r="F206" s="2"/>
      <c r="G206" s="2"/>
      <c r="H206" s="2"/>
      <c r="I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7"/>
      <c r="AL206" s="150"/>
      <c r="AM206" s="501" t="s">
        <v>384</v>
      </c>
      <c r="AN206" s="474" t="s">
        <v>666</v>
      </c>
      <c r="AO206" s="163" t="s">
        <v>284</v>
      </c>
      <c r="AP206" s="247">
        <f t="shared" ref="AP206:AR207" si="27">SUMIF($AS$9:$AW$9,AP$9,$AS206:$AW206)</f>
        <v>0</v>
      </c>
      <c r="AQ206" s="247">
        <f t="shared" si="27"/>
        <v>0</v>
      </c>
      <c r="AR206" s="247">
        <f t="shared" si="27"/>
        <v>0</v>
      </c>
      <c r="AS206" s="194"/>
      <c r="AT206" s="754">
        <f>AU206+AV206</f>
        <v>0</v>
      </c>
      <c r="AU206" s="245"/>
      <c r="AV206" s="245"/>
      <c r="AW206" s="194"/>
      <c r="AX206" s="326"/>
      <c r="AY206" s="2"/>
    </row>
    <row r="207" spans="1:51">
      <c r="A207" s="2"/>
      <c r="B207" s="2"/>
      <c r="C207" s="2"/>
      <c r="D207" s="2"/>
      <c r="E207" s="2"/>
      <c r="F207" s="2"/>
      <c r="G207" s="2"/>
      <c r="H207" s="2"/>
      <c r="I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7"/>
      <c r="AL207" s="150"/>
      <c r="AM207" s="501" t="s">
        <v>385</v>
      </c>
      <c r="AN207" s="473" t="s">
        <v>354</v>
      </c>
      <c r="AO207" s="163" t="s">
        <v>195</v>
      </c>
      <c r="AP207" s="247">
        <f t="shared" si="27"/>
        <v>0</v>
      </c>
      <c r="AQ207" s="247">
        <f t="shared" si="27"/>
        <v>0</v>
      </c>
      <c r="AR207" s="247">
        <f t="shared" si="27"/>
        <v>0</v>
      </c>
      <c r="AS207" s="194"/>
      <c r="AT207" s="754">
        <f>AU207+AV207</f>
        <v>0</v>
      </c>
      <c r="AU207" s="754">
        <f>AU208*AU209</f>
        <v>0</v>
      </c>
      <c r="AV207" s="754">
        <f>AV208*AV209</f>
        <v>0</v>
      </c>
      <c r="AW207" s="194"/>
      <c r="AX207" s="326"/>
      <c r="AY207" s="2"/>
    </row>
    <row r="208" spans="1:51">
      <c r="A208" s="2"/>
      <c r="B208" s="2"/>
      <c r="C208" s="2"/>
      <c r="D208" s="2"/>
      <c r="E208" s="2"/>
      <c r="F208" s="2"/>
      <c r="G208" s="2"/>
      <c r="H208" s="2"/>
      <c r="I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7"/>
      <c r="AL208" s="150"/>
      <c r="AM208" s="501" t="s">
        <v>386</v>
      </c>
      <c r="AN208" s="474" t="s">
        <v>671</v>
      </c>
      <c r="AO208" s="163" t="s">
        <v>314</v>
      </c>
      <c r="AP208" s="247">
        <f>IF(AP209=0,0,AP207/AP209)</f>
        <v>0</v>
      </c>
      <c r="AQ208" s="247">
        <f>IF(AQ209=0,0,AQ207/AQ209)</f>
        <v>0</v>
      </c>
      <c r="AR208" s="247">
        <f>IF(AR209=0,0,AR207/AR209)</f>
        <v>0</v>
      </c>
      <c r="AS208" s="194"/>
      <c r="AT208" s="754">
        <f>IF(AT209=0,0,AT207/AT209)</f>
        <v>0</v>
      </c>
      <c r="AU208" s="245"/>
      <c r="AV208" s="245"/>
      <c r="AW208" s="194"/>
      <c r="AX208" s="326"/>
      <c r="AY208" s="2"/>
    </row>
    <row r="209" spans="1:51">
      <c r="A209" s="2"/>
      <c r="B209" s="2"/>
      <c r="C209" s="2"/>
      <c r="D209" s="2"/>
      <c r="E209" s="2"/>
      <c r="F209" s="2"/>
      <c r="G209" s="2"/>
      <c r="H209" s="2"/>
      <c r="I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7"/>
      <c r="AL209" s="150"/>
      <c r="AM209" s="501" t="s">
        <v>387</v>
      </c>
      <c r="AN209" s="474" t="s">
        <v>672</v>
      </c>
      <c r="AO209" s="163" t="s">
        <v>669</v>
      </c>
      <c r="AP209" s="247">
        <f t="shared" ref="AP209:AR210" si="28">SUMIF($AS$9:$AW$9,AP$9,$AS209:$AW209)</f>
        <v>0</v>
      </c>
      <c r="AQ209" s="247">
        <f t="shared" si="28"/>
        <v>0</v>
      </c>
      <c r="AR209" s="247">
        <f t="shared" si="28"/>
        <v>0</v>
      </c>
      <c r="AS209" s="194"/>
      <c r="AT209" s="754">
        <f>AU209+AV209</f>
        <v>0</v>
      </c>
      <c r="AU209" s="245"/>
      <c r="AV209" s="245"/>
      <c r="AW209" s="194"/>
      <c r="AX209" s="326"/>
      <c r="AY209" s="2"/>
    </row>
    <row r="210" spans="1:51">
      <c r="A210" s="2"/>
      <c r="B210" s="2"/>
      <c r="C210" s="2"/>
      <c r="D210" s="2"/>
      <c r="E210" s="2"/>
      <c r="F210" s="2"/>
      <c r="G210" s="2"/>
      <c r="H210" s="2"/>
      <c r="I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7"/>
      <c r="AL210" s="150"/>
      <c r="AM210" s="501" t="s">
        <v>388</v>
      </c>
      <c r="AN210" s="473" t="s">
        <v>358</v>
      </c>
      <c r="AO210" s="163" t="s">
        <v>195</v>
      </c>
      <c r="AP210" s="247">
        <f t="shared" si="28"/>
        <v>0</v>
      </c>
      <c r="AQ210" s="247">
        <f t="shared" si="28"/>
        <v>0</v>
      </c>
      <c r="AR210" s="247">
        <f t="shared" si="28"/>
        <v>0</v>
      </c>
      <c r="AS210" s="194"/>
      <c r="AT210" s="754">
        <f>AU210+AV210</f>
        <v>0</v>
      </c>
      <c r="AU210" s="754">
        <f>AU211*AU212</f>
        <v>0</v>
      </c>
      <c r="AV210" s="754">
        <f>AV211*AV212</f>
        <v>0</v>
      </c>
      <c r="AW210" s="194"/>
      <c r="AX210" s="326"/>
      <c r="AY210" s="2"/>
    </row>
    <row r="211" spans="1:51">
      <c r="A211" s="2"/>
      <c r="B211" s="2"/>
      <c r="C211" s="2"/>
      <c r="D211" s="2"/>
      <c r="E211" s="2"/>
      <c r="F211" s="2"/>
      <c r="G211" s="2"/>
      <c r="H211" s="2"/>
      <c r="I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7"/>
      <c r="AL211" s="150"/>
      <c r="AM211" s="501" t="s">
        <v>389</v>
      </c>
      <c r="AN211" s="474" t="s">
        <v>670</v>
      </c>
      <c r="AO211" s="163" t="s">
        <v>313</v>
      </c>
      <c r="AP211" s="247">
        <f>IF(AP212=0,0,AP210/AP212)</f>
        <v>0</v>
      </c>
      <c r="AQ211" s="247">
        <f>IF(AQ212=0,0,AQ210/AQ212)</f>
        <v>0</v>
      </c>
      <c r="AR211" s="247">
        <f>IF(AR212=0,0,AR210/AR212)</f>
        <v>0</v>
      </c>
      <c r="AS211" s="194"/>
      <c r="AT211" s="754">
        <f>IF(AT212=0,0,AT210/AT212)</f>
        <v>0</v>
      </c>
      <c r="AU211" s="245"/>
      <c r="AV211" s="245"/>
      <c r="AW211" s="194"/>
      <c r="AX211" s="326"/>
      <c r="AY211" s="2"/>
    </row>
    <row r="212" spans="1:51">
      <c r="A212" s="2"/>
      <c r="B212" s="2"/>
      <c r="C212" s="2"/>
      <c r="D212" s="2"/>
      <c r="E212" s="2"/>
      <c r="F212" s="2"/>
      <c r="G212" s="2"/>
      <c r="H212" s="2"/>
      <c r="I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7"/>
      <c r="AL212" s="150"/>
      <c r="AM212" s="501" t="s">
        <v>390</v>
      </c>
      <c r="AN212" s="474" t="s">
        <v>666</v>
      </c>
      <c r="AO212" s="163" t="s">
        <v>284</v>
      </c>
      <c r="AP212" s="247">
        <f t="shared" ref="AP212:AR213" si="29">SUMIF($AS$9:$AW$9,AP$9,$AS212:$AW212)</f>
        <v>0</v>
      </c>
      <c r="AQ212" s="247">
        <f t="shared" si="29"/>
        <v>0</v>
      </c>
      <c r="AR212" s="247">
        <f t="shared" si="29"/>
        <v>0</v>
      </c>
      <c r="AS212" s="194"/>
      <c r="AT212" s="754">
        <f>AU212+AV212</f>
        <v>0</v>
      </c>
      <c r="AU212" s="245"/>
      <c r="AV212" s="245"/>
      <c r="AW212" s="194"/>
      <c r="AX212" s="326"/>
      <c r="AY212" s="2"/>
    </row>
    <row r="213" spans="1:51">
      <c r="A213" s="2"/>
      <c r="B213" s="2"/>
      <c r="C213" s="2"/>
      <c r="D213" s="2"/>
      <c r="E213" s="2"/>
      <c r="F213" s="2"/>
      <c r="G213" s="2"/>
      <c r="H213" s="2"/>
      <c r="I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7"/>
      <c r="AL213" s="150"/>
      <c r="AM213" s="501" t="s">
        <v>391</v>
      </c>
      <c r="AN213" s="473" t="s">
        <v>362</v>
      </c>
      <c r="AO213" s="163" t="s">
        <v>195</v>
      </c>
      <c r="AP213" s="247">
        <f t="shared" si="29"/>
        <v>0</v>
      </c>
      <c r="AQ213" s="247">
        <f t="shared" si="29"/>
        <v>0</v>
      </c>
      <c r="AR213" s="247">
        <f t="shared" si="29"/>
        <v>0</v>
      </c>
      <c r="AS213" s="194"/>
      <c r="AT213" s="754">
        <f>AU213+AV213</f>
        <v>0</v>
      </c>
      <c r="AU213" s="754">
        <f>AU214*AU215</f>
        <v>0</v>
      </c>
      <c r="AV213" s="754">
        <f>AV214*AV215</f>
        <v>0</v>
      </c>
      <c r="AW213" s="194"/>
      <c r="AX213" s="326"/>
      <c r="AY213" s="2"/>
    </row>
    <row r="214" spans="1:51">
      <c r="A214" s="2"/>
      <c r="B214" s="2"/>
      <c r="C214" s="2"/>
      <c r="D214" s="2"/>
      <c r="E214" s="2"/>
      <c r="F214" s="2"/>
      <c r="G214" s="2"/>
      <c r="H214" s="2"/>
      <c r="I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7"/>
      <c r="AL214" s="150"/>
      <c r="AM214" s="501" t="s">
        <v>392</v>
      </c>
      <c r="AN214" s="474" t="s">
        <v>671</v>
      </c>
      <c r="AO214" s="163" t="s">
        <v>314</v>
      </c>
      <c r="AP214" s="247">
        <f>IF(AP215=0,0,AP213/AP215)</f>
        <v>0</v>
      </c>
      <c r="AQ214" s="247">
        <f>IF(AQ215=0,0,AQ213/AQ215)</f>
        <v>0</v>
      </c>
      <c r="AR214" s="247">
        <f>IF(AR215=0,0,AR213/AR215)</f>
        <v>0</v>
      </c>
      <c r="AS214" s="194"/>
      <c r="AT214" s="754">
        <f>IF(AT215=0,0,AT213/AT215)</f>
        <v>0</v>
      </c>
      <c r="AU214" s="245"/>
      <c r="AV214" s="245"/>
      <c r="AW214" s="194"/>
      <c r="AX214" s="326"/>
      <c r="AY214" s="2"/>
    </row>
    <row r="215" spans="1:51">
      <c r="A215" s="2"/>
      <c r="B215" s="2"/>
      <c r="C215" s="2"/>
      <c r="D215" s="2"/>
      <c r="E215" s="2"/>
      <c r="F215" s="2"/>
      <c r="G215" s="2"/>
      <c r="H215" s="2"/>
      <c r="I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7"/>
      <c r="AL215" s="150"/>
      <c r="AM215" s="501" t="s">
        <v>393</v>
      </c>
      <c r="AN215" s="474" t="s">
        <v>672</v>
      </c>
      <c r="AO215" s="163" t="s">
        <v>669</v>
      </c>
      <c r="AP215" s="247">
        <f t="shared" ref="AP215:AR216" si="30">SUMIF($AS$9:$AW$9,AP$9,$AS215:$AW215)</f>
        <v>0</v>
      </c>
      <c r="AQ215" s="247">
        <f t="shared" si="30"/>
        <v>0</v>
      </c>
      <c r="AR215" s="247">
        <f t="shared" si="30"/>
        <v>0</v>
      </c>
      <c r="AS215" s="194"/>
      <c r="AT215" s="754">
        <f>AU215+AV215</f>
        <v>0</v>
      </c>
      <c r="AU215" s="245"/>
      <c r="AV215" s="245"/>
      <c r="AW215" s="194"/>
      <c r="AX215" s="326"/>
      <c r="AY215" s="2"/>
    </row>
    <row r="216" spans="1:51">
      <c r="A216" s="2"/>
      <c r="B216" s="2"/>
      <c r="C216" s="2"/>
      <c r="D216" s="2"/>
      <c r="E216" s="2"/>
      <c r="F216" s="2"/>
      <c r="G216" s="2"/>
      <c r="H216" s="2"/>
      <c r="I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7"/>
      <c r="AL216" s="150"/>
      <c r="AM216" s="490" t="s">
        <v>394</v>
      </c>
      <c r="AN216" s="494" t="s">
        <v>201</v>
      </c>
      <c r="AO216" s="163" t="s">
        <v>195</v>
      </c>
      <c r="AP216" s="247">
        <f t="shared" si="30"/>
        <v>5167</v>
      </c>
      <c r="AQ216" s="247">
        <f t="shared" si="30"/>
        <v>2583.5</v>
      </c>
      <c r="AR216" s="247">
        <f t="shared" si="30"/>
        <v>2583.5</v>
      </c>
      <c r="AS216" s="194"/>
      <c r="AT216" s="754">
        <f>AU216+AV216</f>
        <v>5167</v>
      </c>
      <c r="AU216" s="754">
        <f>SUM(AU222,AU229,AU236,AU240,AU244)</f>
        <v>2583.5</v>
      </c>
      <c r="AV216" s="754">
        <f>SUM(AV222,AV229,AV236,AV240,AV244)</f>
        <v>2583.5</v>
      </c>
      <c r="AW216" s="194"/>
      <c r="AX216" s="326"/>
      <c r="AY216" s="2"/>
    </row>
    <row r="217" spans="1:51" ht="20.399999999999999">
      <c r="A217" s="2"/>
      <c r="B217" s="2"/>
      <c r="C217" s="2"/>
      <c r="D217" s="2"/>
      <c r="E217" s="2"/>
      <c r="F217" s="2"/>
      <c r="G217" s="2"/>
      <c r="H217" s="2"/>
      <c r="I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7"/>
      <c r="AL217" s="150"/>
      <c r="AM217" s="502" t="s">
        <v>296</v>
      </c>
      <c r="AN217" s="475" t="s">
        <v>25</v>
      </c>
      <c r="AO217" s="163" t="s">
        <v>29</v>
      </c>
      <c r="AP217" s="241"/>
      <c r="AQ217" s="247">
        <f>IF(AQ218=0,0,(1000*AQ216/AQ218)/AQ$6)</f>
        <v>0</v>
      </c>
      <c r="AR217" s="247">
        <f>IF(AR218=0,0,(1000*AR216/AR218)/AR$6)</f>
        <v>0</v>
      </c>
      <c r="AS217" s="194"/>
      <c r="AT217" s="241"/>
      <c r="AU217" s="754">
        <f>IF(AU218=0,0,(1000*AU216/AU218)/AU$6)</f>
        <v>0</v>
      </c>
      <c r="AV217" s="754">
        <f>IF(AV218=0,0,(1000*AV216/AV218)/AV$6)</f>
        <v>0</v>
      </c>
      <c r="AW217" s="194"/>
      <c r="AX217" s="326"/>
      <c r="AY217" s="2"/>
    </row>
    <row r="218" spans="1:51" ht="20.399999999999999">
      <c r="A218" s="2"/>
      <c r="B218" s="2"/>
      <c r="C218" s="2"/>
      <c r="D218" s="2"/>
      <c r="E218" s="2"/>
      <c r="F218" s="2"/>
      <c r="G218" s="2"/>
      <c r="H218" s="2"/>
      <c r="I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7"/>
      <c r="AL218" s="150"/>
      <c r="AM218" s="502" t="s">
        <v>297</v>
      </c>
      <c r="AN218" s="475" t="s">
        <v>26</v>
      </c>
      <c r="AO218" s="163" t="s">
        <v>289</v>
      </c>
      <c r="AP218" s="241"/>
      <c r="AQ218" s="247">
        <f>SUMIF($AS$9:$AW$9,AQ$9,$AS218:$AW218)</f>
        <v>0</v>
      </c>
      <c r="AR218" s="247">
        <f>SUMIF($AS$9:$AW$9,AR$9,$AS218:$AW218)</f>
        <v>0</v>
      </c>
      <c r="AS218" s="194"/>
      <c r="AT218" s="241"/>
      <c r="AU218" s="754">
        <f>SUM(AU224,AU231,AU238,AU242,AU246)</f>
        <v>0</v>
      </c>
      <c r="AV218" s="754">
        <f>SUM(AV224,AV231,AV238,AV242,AV246)</f>
        <v>0</v>
      </c>
      <c r="AW218" s="194"/>
      <c r="AX218" s="326"/>
      <c r="AY218" s="2"/>
    </row>
    <row r="219" spans="1:51" ht="20.399999999999999">
      <c r="A219" s="2"/>
      <c r="B219" s="2"/>
      <c r="C219" s="2"/>
      <c r="D219" s="2"/>
      <c r="E219" s="2"/>
      <c r="F219" s="2"/>
      <c r="G219" s="2"/>
      <c r="H219" s="2"/>
      <c r="I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7"/>
      <c r="AL219" s="150"/>
      <c r="AM219" s="503" t="str">
        <f>AM218 &amp; ".1"</f>
        <v>6.0.2.1</v>
      </c>
      <c r="AN219" s="476" t="s">
        <v>28</v>
      </c>
      <c r="AO219" s="163" t="s">
        <v>289</v>
      </c>
      <c r="AP219" s="241"/>
      <c r="AQ219" s="247">
        <f>SUMIF($AS$9:$AW$9,AQ$9,$AS219:$AW219)</f>
        <v>0</v>
      </c>
      <c r="AR219" s="247">
        <f>SUMIF($AS$9:$AW$9,AR$9,$AS219:$AW219)</f>
        <v>0</v>
      </c>
      <c r="AS219" s="194"/>
      <c r="AT219" s="241"/>
      <c r="AU219" s="754">
        <f>SUM(AU225,AU232,AU239,AU243,AU247)</f>
        <v>0</v>
      </c>
      <c r="AV219" s="754">
        <f>SUM(AV225,AV232,AV239,AV243,AV247)</f>
        <v>0</v>
      </c>
      <c r="AW219" s="194"/>
      <c r="AX219" s="326"/>
      <c r="AY219" s="2"/>
    </row>
    <row r="220" spans="1:51" ht="20.399999999999999">
      <c r="A220" s="2"/>
      <c r="B220" s="2"/>
      <c r="C220" s="2"/>
      <c r="D220" s="2"/>
      <c r="E220" s="2"/>
      <c r="F220" s="2"/>
      <c r="G220" s="2"/>
      <c r="H220" s="2"/>
      <c r="I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7"/>
      <c r="AL220" s="150"/>
      <c r="AM220" s="503" t="str">
        <f>AM218 &amp; ".2"</f>
        <v>6.0.2.2</v>
      </c>
      <c r="AN220" s="476" t="s">
        <v>27</v>
      </c>
      <c r="AO220" s="163" t="s">
        <v>755</v>
      </c>
      <c r="AP220" s="241"/>
      <c r="AQ220" s="247">
        <f>IF(AQ219=0,0,AQ218/AQ219*100)</f>
        <v>0</v>
      </c>
      <c r="AR220" s="247">
        <f>IF(AR219=0,0,AR218/AR219*100)</f>
        <v>0</v>
      </c>
      <c r="AS220" s="194"/>
      <c r="AT220" s="241"/>
      <c r="AU220" s="754">
        <f>IF(AU219=0,0,AU218/AU219*100)</f>
        <v>0</v>
      </c>
      <c r="AV220" s="754">
        <f>IF(AV219=0,0,AV218/AV219*100)</f>
        <v>0</v>
      </c>
      <c r="AW220" s="194"/>
      <c r="AX220" s="326"/>
      <c r="AY220" s="2"/>
    </row>
    <row r="221" spans="1:51" ht="20.399999999999999">
      <c r="A221" s="2"/>
      <c r="B221" s="2"/>
      <c r="C221" s="2"/>
      <c r="D221" s="2"/>
      <c r="E221" s="2"/>
      <c r="F221" s="2"/>
      <c r="G221" s="2"/>
      <c r="H221" s="2"/>
      <c r="I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7"/>
      <c r="AL221" s="150"/>
      <c r="AM221" s="502" t="s">
        <v>741</v>
      </c>
      <c r="AN221" s="475" t="s">
        <v>32</v>
      </c>
      <c r="AO221" s="163" t="s">
        <v>29</v>
      </c>
      <c r="AP221" s="241"/>
      <c r="AQ221" s="241"/>
      <c r="AR221" s="241"/>
      <c r="AS221" s="194"/>
      <c r="AT221" s="241"/>
      <c r="AU221" s="245"/>
      <c r="AV221" s="245"/>
      <c r="AW221" s="194"/>
      <c r="AX221" s="326"/>
      <c r="AY221" s="2"/>
    </row>
    <row r="222" spans="1:51">
      <c r="A222" s="2"/>
      <c r="B222" s="2"/>
      <c r="C222" s="2"/>
      <c r="D222" s="2"/>
      <c r="E222" s="2"/>
      <c r="F222" s="2"/>
      <c r="G222" s="2"/>
      <c r="H222" s="2"/>
      <c r="I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7"/>
      <c r="AL222" s="150"/>
      <c r="AM222" s="501" t="s">
        <v>711</v>
      </c>
      <c r="AN222" s="477" t="s">
        <v>573</v>
      </c>
      <c r="AO222" s="163" t="s">
        <v>195</v>
      </c>
      <c r="AP222" s="247">
        <f>SUMIF($AS$9:$AW$9,AP$9,$AS222:$AW222)</f>
        <v>1395.79</v>
      </c>
      <c r="AQ222" s="247">
        <f>SUMIF($AS$9:$AW$9,AQ$9,$AS222:$AW222)</f>
        <v>697.89499999999998</v>
      </c>
      <c r="AR222" s="247">
        <f>SUMIF($AS$9:$AW$9,AR$9,$AS222:$AW222)</f>
        <v>697.89499999999998</v>
      </c>
      <c r="AS222" s="194"/>
      <c r="AT222" s="754">
        <f>AU222+AV222</f>
        <v>1395.79</v>
      </c>
      <c r="AU222" s="245">
        <f>1395.79/2</f>
        <v>697.89499999999998</v>
      </c>
      <c r="AV222" s="245">
        <f>AU222</f>
        <v>697.89499999999998</v>
      </c>
      <c r="AW222" s="194"/>
      <c r="AX222" s="326"/>
      <c r="AY222" s="2"/>
    </row>
    <row r="223" spans="1:51" ht="20.399999999999999">
      <c r="A223" s="2"/>
      <c r="B223" s="2"/>
      <c r="C223" s="2"/>
      <c r="D223" s="2"/>
      <c r="E223" s="2"/>
      <c r="F223" s="2"/>
      <c r="G223" s="2"/>
      <c r="H223" s="2"/>
      <c r="I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7"/>
      <c r="AL223" s="150"/>
      <c r="AM223" s="501" t="s">
        <v>574</v>
      </c>
      <c r="AN223" s="475" t="s">
        <v>30</v>
      </c>
      <c r="AO223" s="163" t="s">
        <v>29</v>
      </c>
      <c r="AP223" s="241"/>
      <c r="AQ223" s="247">
        <f>IF(AQ224=0,0,(1000*AQ222/AQ224)/AQ$6)</f>
        <v>0</v>
      </c>
      <c r="AR223" s="247">
        <f>IF(AR224=0,0,(1000*AR222/AR224)/AR$6)</f>
        <v>0</v>
      </c>
      <c r="AS223" s="194"/>
      <c r="AT223" s="241"/>
      <c r="AU223" s="754">
        <f>IF(AU224=0,0,(1000*AU222/AU224)/AU$6)</f>
        <v>0</v>
      </c>
      <c r="AV223" s="754">
        <f>IF(AV224=0,0,(1000*AV222/AV224)/AV$6)</f>
        <v>0</v>
      </c>
      <c r="AW223" s="194"/>
      <c r="AX223" s="326"/>
      <c r="AY223" s="2"/>
    </row>
    <row r="224" spans="1:51" ht="20.399999999999999">
      <c r="A224" s="2"/>
      <c r="B224" s="2"/>
      <c r="C224" s="2"/>
      <c r="D224" s="2"/>
      <c r="E224" s="2"/>
      <c r="F224" s="2"/>
      <c r="G224" s="2"/>
      <c r="H224" s="2"/>
      <c r="I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7"/>
      <c r="AL224" s="150"/>
      <c r="AM224" s="501" t="s">
        <v>575</v>
      </c>
      <c r="AN224" s="475" t="s">
        <v>31</v>
      </c>
      <c r="AO224" s="163" t="s">
        <v>289</v>
      </c>
      <c r="AP224" s="241"/>
      <c r="AQ224" s="247">
        <f>SUMIF($AS$9:$AW$9,AQ$9,$AS224:$AW224)</f>
        <v>0</v>
      </c>
      <c r="AR224" s="247">
        <f>SUMIF($AS$9:$AW$9,AR$9,$AS224:$AW224)</f>
        <v>0</v>
      </c>
      <c r="AS224" s="194"/>
      <c r="AT224" s="241"/>
      <c r="AU224" s="245"/>
      <c r="AV224" s="245"/>
      <c r="AW224" s="194"/>
      <c r="AX224" s="326"/>
      <c r="AY224" s="2"/>
    </row>
    <row r="225" spans="1:51" ht="30.6">
      <c r="A225" s="2"/>
      <c r="B225" s="2"/>
      <c r="C225" s="2"/>
      <c r="D225" s="2"/>
      <c r="E225" s="2"/>
      <c r="F225" s="2"/>
      <c r="G225" s="2"/>
      <c r="H225" s="2"/>
      <c r="I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7"/>
      <c r="AL225" s="150"/>
      <c r="AM225" s="501" t="str">
        <f>AM224 &amp; ".0"</f>
        <v>6.1.2.0</v>
      </c>
      <c r="AN225" s="476" t="str">
        <f>"справочно: нормативная " &amp; AN224</f>
        <v>справочно: нормативная численность основного производственного персонала, относимого на регулируемый вид деятельности</v>
      </c>
      <c r="AO225" s="163" t="s">
        <v>289</v>
      </c>
      <c r="AP225" s="241"/>
      <c r="AQ225" s="247">
        <f>SUMIF($AS$9:$AW$9,AQ$9,$AS225:$AW225)</f>
        <v>0</v>
      </c>
      <c r="AR225" s="247">
        <f>SUMIF($AS$9:$AW$9,AR$9,$AS225:$AW225)</f>
        <v>0</v>
      </c>
      <c r="AS225" s="194"/>
      <c r="AT225" s="241"/>
      <c r="AU225" s="245"/>
      <c r="AV225" s="245"/>
      <c r="AW225" s="194"/>
      <c r="AX225" s="326"/>
      <c r="AY225" s="2"/>
    </row>
    <row r="226" spans="1:51">
      <c r="A226" s="2"/>
      <c r="B226" s="2"/>
      <c r="C226" s="2"/>
      <c r="D226" s="2"/>
      <c r="E226" s="2"/>
      <c r="F226" s="2"/>
      <c r="G226" s="2"/>
      <c r="H226" s="2"/>
      <c r="I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7"/>
      <c r="AL226" s="150"/>
      <c r="AM226" s="501" t="s">
        <v>745</v>
      </c>
      <c r="AN226" s="475" t="s">
        <v>33</v>
      </c>
      <c r="AO226" s="163" t="s">
        <v>29</v>
      </c>
      <c r="AP226" s="241"/>
      <c r="AQ226" s="241"/>
      <c r="AR226" s="241"/>
      <c r="AS226" s="194"/>
      <c r="AT226" s="241"/>
      <c r="AU226" s="245"/>
      <c r="AV226" s="245"/>
      <c r="AW226" s="194"/>
      <c r="AX226" s="326"/>
      <c r="AY226" s="2"/>
    </row>
    <row r="227" spans="1:51">
      <c r="A227" s="2"/>
      <c r="B227" s="2"/>
      <c r="C227" s="2"/>
      <c r="D227" s="2"/>
      <c r="E227" s="2"/>
      <c r="F227" s="2"/>
      <c r="G227" s="2"/>
      <c r="H227" s="2"/>
      <c r="I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7"/>
      <c r="AL227" s="150"/>
      <c r="AM227" s="501" t="s">
        <v>746</v>
      </c>
      <c r="AN227" s="475" t="s">
        <v>34</v>
      </c>
      <c r="AO227" s="163" t="s">
        <v>29</v>
      </c>
      <c r="AP227" s="241"/>
      <c r="AQ227" s="241"/>
      <c r="AR227" s="241"/>
      <c r="AS227" s="194"/>
      <c r="AT227" s="241"/>
      <c r="AU227" s="245"/>
      <c r="AV227" s="245"/>
      <c r="AW227" s="194"/>
      <c r="AX227" s="326"/>
      <c r="AY227" s="2"/>
    </row>
    <row r="228" spans="1:51">
      <c r="A228" s="2"/>
      <c r="B228" s="2"/>
      <c r="C228" s="2"/>
      <c r="D228" s="2"/>
      <c r="E228" s="2"/>
      <c r="F228" s="2"/>
      <c r="G228" s="2"/>
      <c r="H228" s="2"/>
      <c r="I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7"/>
      <c r="AL228" s="150"/>
      <c r="AM228" s="501" t="s">
        <v>747</v>
      </c>
      <c r="AN228" s="475" t="s">
        <v>35</v>
      </c>
      <c r="AO228" s="163" t="s">
        <v>29</v>
      </c>
      <c r="AP228" s="241"/>
      <c r="AQ228" s="241"/>
      <c r="AR228" s="241"/>
      <c r="AS228" s="194"/>
      <c r="AT228" s="241"/>
      <c r="AU228" s="245"/>
      <c r="AV228" s="245"/>
      <c r="AW228" s="194"/>
      <c r="AX228" s="326"/>
      <c r="AY228" s="2"/>
    </row>
    <row r="229" spans="1:51">
      <c r="A229" s="2"/>
      <c r="B229" s="2"/>
      <c r="C229" s="2"/>
      <c r="D229" s="2"/>
      <c r="E229" s="2"/>
      <c r="F229" s="2"/>
      <c r="G229" s="2"/>
      <c r="H229" s="2"/>
      <c r="I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7"/>
      <c r="AL229" s="150"/>
      <c r="AM229" s="501" t="s">
        <v>704</v>
      </c>
      <c r="AN229" s="477" t="s">
        <v>577</v>
      </c>
      <c r="AO229" s="163" t="s">
        <v>195</v>
      </c>
      <c r="AP229" s="247">
        <f>SUMIF($AS$9:$AW$9,AP$9,$AS229:$AW229)</f>
        <v>1384.87</v>
      </c>
      <c r="AQ229" s="247">
        <f>SUMIF($AS$9:$AW$9,AQ$9,$AS229:$AW229)</f>
        <v>692.43499999999995</v>
      </c>
      <c r="AR229" s="247">
        <f>SUMIF($AS$9:$AW$9,AR$9,$AS229:$AW229)</f>
        <v>692.43499999999995</v>
      </c>
      <c r="AS229" s="194"/>
      <c r="AT229" s="754">
        <f>AU229+AV229</f>
        <v>1384.87</v>
      </c>
      <c r="AU229" s="245">
        <f>1384.87/2</f>
        <v>692.43499999999995</v>
      </c>
      <c r="AV229" s="245">
        <f>AU229</f>
        <v>692.43499999999995</v>
      </c>
      <c r="AW229" s="194"/>
      <c r="AX229" s="326"/>
      <c r="AY229" s="2"/>
    </row>
    <row r="230" spans="1:51">
      <c r="A230" s="2"/>
      <c r="B230" s="2"/>
      <c r="C230" s="2"/>
      <c r="D230" s="2"/>
      <c r="E230" s="2"/>
      <c r="F230" s="2"/>
      <c r="G230" s="2"/>
      <c r="H230" s="2"/>
      <c r="I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7"/>
      <c r="AL230" s="150"/>
      <c r="AM230" s="501" t="s">
        <v>576</v>
      </c>
      <c r="AN230" s="478" t="s">
        <v>36</v>
      </c>
      <c r="AO230" s="163" t="s">
        <v>29</v>
      </c>
      <c r="AP230" s="241"/>
      <c r="AQ230" s="247">
        <f>IF(AQ231=0,0,(1000*AQ229/AQ231)/AQ$6)</f>
        <v>0</v>
      </c>
      <c r="AR230" s="247">
        <f>IF(AR231=0,0,(1000*AR229/AR231)/AR$6)</f>
        <v>0</v>
      </c>
      <c r="AS230" s="194"/>
      <c r="AT230" s="241"/>
      <c r="AU230" s="754">
        <f>IF(AU231=0,0,(1000*AU229/AU231)/AU$6)</f>
        <v>0</v>
      </c>
      <c r="AV230" s="754">
        <f>IF(AV231=0,0,(1000*AV229/AV231)/AV$6)</f>
        <v>0</v>
      </c>
      <c r="AW230" s="194"/>
      <c r="AX230" s="326"/>
      <c r="AY230" s="2"/>
    </row>
    <row r="231" spans="1:51" ht="20.399999999999999">
      <c r="A231" s="2"/>
      <c r="B231" s="2"/>
      <c r="C231" s="2"/>
      <c r="D231" s="2"/>
      <c r="E231" s="2"/>
      <c r="F231" s="2"/>
      <c r="G231" s="2"/>
      <c r="H231" s="2"/>
      <c r="I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7"/>
      <c r="AL231" s="150"/>
      <c r="AM231" s="501" t="s">
        <v>578</v>
      </c>
      <c r="AN231" s="478" t="s">
        <v>37</v>
      </c>
      <c r="AO231" s="163" t="s">
        <v>289</v>
      </c>
      <c r="AP231" s="241"/>
      <c r="AQ231" s="247">
        <f>SUMIF($AS$9:$AW$9,AQ$9,$AS231:$AW231)</f>
        <v>0</v>
      </c>
      <c r="AR231" s="247">
        <f>SUMIF($AS$9:$AW$9,AR$9,$AS231:$AW231)</f>
        <v>0</v>
      </c>
      <c r="AS231" s="194"/>
      <c r="AT231" s="241"/>
      <c r="AU231" s="245"/>
      <c r="AV231" s="245"/>
      <c r="AW231" s="194"/>
      <c r="AX231" s="326"/>
      <c r="AY231" s="2"/>
    </row>
    <row r="232" spans="1:51" ht="30.6">
      <c r="A232" s="2"/>
      <c r="B232" s="2"/>
      <c r="C232" s="2"/>
      <c r="D232" s="2"/>
      <c r="E232" s="2"/>
      <c r="F232" s="2"/>
      <c r="G232" s="2"/>
      <c r="H232" s="2"/>
      <c r="I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7"/>
      <c r="AL232" s="150"/>
      <c r="AM232" s="501" t="str">
        <f>AM231 &amp; ".0"</f>
        <v>6.2.2.0</v>
      </c>
      <c r="AN232" s="476" t="str">
        <f>"справочно: нормативная " &amp; AN231</f>
        <v>справочно: нормативная численность ремонтного персонала, относимого на регулируемый вид деятельности</v>
      </c>
      <c r="AO232" s="163" t="s">
        <v>289</v>
      </c>
      <c r="AP232" s="241"/>
      <c r="AQ232" s="247">
        <f>SUMIF($AS$9:$AW$9,AQ$9,$AS232:$AW232)</f>
        <v>0</v>
      </c>
      <c r="AR232" s="247">
        <f>SUMIF($AS$9:$AW$9,AR$9,$AS232:$AW232)</f>
        <v>0</v>
      </c>
      <c r="AS232" s="194"/>
      <c r="AT232" s="241"/>
      <c r="AU232" s="245"/>
      <c r="AV232" s="245"/>
      <c r="AW232" s="194"/>
      <c r="AX232" s="326"/>
      <c r="AY232" s="2"/>
    </row>
    <row r="233" spans="1:51">
      <c r="A233" s="2"/>
      <c r="B233" s="2"/>
      <c r="C233" s="2"/>
      <c r="D233" s="2"/>
      <c r="E233" s="2"/>
      <c r="F233" s="2"/>
      <c r="G233" s="2"/>
      <c r="H233" s="2"/>
      <c r="I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7"/>
      <c r="AL233" s="150"/>
      <c r="AM233" s="501" t="s">
        <v>742</v>
      </c>
      <c r="AN233" s="475" t="s">
        <v>33</v>
      </c>
      <c r="AO233" s="163" t="s">
        <v>29</v>
      </c>
      <c r="AP233" s="241"/>
      <c r="AQ233" s="241"/>
      <c r="AR233" s="241"/>
      <c r="AS233" s="194"/>
      <c r="AT233" s="241"/>
      <c r="AU233" s="245"/>
      <c r="AV233" s="245"/>
      <c r="AW233" s="194"/>
      <c r="AX233" s="326"/>
      <c r="AY233" s="2"/>
    </row>
    <row r="234" spans="1:51">
      <c r="A234" s="2"/>
      <c r="B234" s="2"/>
      <c r="C234" s="2"/>
      <c r="D234" s="2"/>
      <c r="E234" s="2"/>
      <c r="F234" s="2"/>
      <c r="G234" s="2"/>
      <c r="H234" s="2"/>
      <c r="I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7"/>
      <c r="AL234" s="150"/>
      <c r="AM234" s="501" t="s">
        <v>743</v>
      </c>
      <c r="AN234" s="475" t="s">
        <v>34</v>
      </c>
      <c r="AO234" s="163" t="s">
        <v>29</v>
      </c>
      <c r="AP234" s="241"/>
      <c r="AQ234" s="241"/>
      <c r="AR234" s="241"/>
      <c r="AS234" s="194"/>
      <c r="AT234" s="241"/>
      <c r="AU234" s="245"/>
      <c r="AV234" s="245"/>
      <c r="AW234" s="194"/>
      <c r="AX234" s="326"/>
      <c r="AY234" s="2"/>
    </row>
    <row r="235" spans="1:51">
      <c r="A235" s="2"/>
      <c r="B235" s="2"/>
      <c r="C235" s="2"/>
      <c r="D235" s="2"/>
      <c r="E235" s="2"/>
      <c r="F235" s="2"/>
      <c r="G235" s="2"/>
      <c r="H235" s="2"/>
      <c r="I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7"/>
      <c r="AL235" s="150"/>
      <c r="AM235" s="501" t="s">
        <v>744</v>
      </c>
      <c r="AN235" s="475" t="s">
        <v>35</v>
      </c>
      <c r="AO235" s="163" t="s">
        <v>29</v>
      </c>
      <c r="AP235" s="241"/>
      <c r="AQ235" s="241"/>
      <c r="AR235" s="241"/>
      <c r="AS235" s="194"/>
      <c r="AT235" s="241"/>
      <c r="AU235" s="245"/>
      <c r="AV235" s="245"/>
      <c r="AW235" s="194"/>
      <c r="AX235" s="326"/>
      <c r="AY235" s="2"/>
    </row>
    <row r="236" spans="1:51">
      <c r="A236" s="2"/>
      <c r="B236" s="2"/>
      <c r="C236" s="2"/>
      <c r="D236" s="2"/>
      <c r="E236" s="2"/>
      <c r="F236" s="2"/>
      <c r="G236" s="2"/>
      <c r="H236" s="2"/>
      <c r="I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7"/>
      <c r="AL236" s="150"/>
      <c r="AM236" s="501" t="s">
        <v>707</v>
      </c>
      <c r="AN236" s="477" t="s">
        <v>580</v>
      </c>
      <c r="AO236" s="163" t="s">
        <v>195</v>
      </c>
      <c r="AP236" s="247">
        <f>SUMIF($AS$9:$AW$9,AP$9,$AS236:$AW236)</f>
        <v>0</v>
      </c>
      <c r="AQ236" s="247">
        <f>SUMIF($AS$9:$AW$9,AQ$9,$AS236:$AW236)</f>
        <v>0</v>
      </c>
      <c r="AR236" s="247">
        <f>SUMIF($AS$9:$AW$9,AR$9,$AS236:$AW236)</f>
        <v>0</v>
      </c>
      <c r="AS236" s="194"/>
      <c r="AT236" s="754">
        <f>AU236+AV236</f>
        <v>0</v>
      </c>
      <c r="AU236" s="245"/>
      <c r="AV236" s="245"/>
      <c r="AW236" s="194"/>
      <c r="AX236" s="326"/>
      <c r="AY236" s="2"/>
    </row>
    <row r="237" spans="1:51">
      <c r="A237" s="2"/>
      <c r="B237" s="2"/>
      <c r="C237" s="2"/>
      <c r="D237" s="2"/>
      <c r="E237" s="2"/>
      <c r="F237" s="2"/>
      <c r="G237" s="2"/>
      <c r="H237" s="2"/>
      <c r="I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7"/>
      <c r="AL237" s="150"/>
      <c r="AM237" s="501" t="s">
        <v>709</v>
      </c>
      <c r="AN237" s="478" t="s">
        <v>38</v>
      </c>
      <c r="AO237" s="163" t="s">
        <v>29</v>
      </c>
      <c r="AP237" s="241"/>
      <c r="AQ237" s="247">
        <f>IF(AQ238=0,0,(1000*AQ236/AQ238)/AQ$6)</f>
        <v>0</v>
      </c>
      <c r="AR237" s="247">
        <f>IF(AR238=0,0,(1000*AR236/AR238)/AR$6)</f>
        <v>0</v>
      </c>
      <c r="AS237" s="194"/>
      <c r="AT237" s="241"/>
      <c r="AU237" s="754">
        <f>IF(AU238=0,0,(1000*AU236/AU238)/AU$6)</f>
        <v>0</v>
      </c>
      <c r="AV237" s="754">
        <f>IF(AV238=0,0,(1000*AV236/AV238)/AV$6)</f>
        <v>0</v>
      </c>
      <c r="AW237" s="194"/>
      <c r="AX237" s="326"/>
      <c r="AY237" s="2"/>
    </row>
    <row r="238" spans="1:51" ht="20.399999999999999">
      <c r="A238" s="2"/>
      <c r="B238" s="2"/>
      <c r="C238" s="2"/>
      <c r="D238" s="2"/>
      <c r="E238" s="2"/>
      <c r="F238" s="2"/>
      <c r="G238" s="2"/>
      <c r="H238" s="2"/>
      <c r="I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7"/>
      <c r="AL238" s="150"/>
      <c r="AM238" s="501" t="s">
        <v>581</v>
      </c>
      <c r="AN238" s="478" t="s">
        <v>39</v>
      </c>
      <c r="AO238" s="163" t="s">
        <v>289</v>
      </c>
      <c r="AP238" s="241"/>
      <c r="AQ238" s="247">
        <f t="shared" ref="AQ238:AR240" si="31">SUMIF($AS$9:$AW$9,AQ$9,$AS238:$AW238)</f>
        <v>0</v>
      </c>
      <c r="AR238" s="247">
        <f t="shared" si="31"/>
        <v>0</v>
      </c>
      <c r="AS238" s="194"/>
      <c r="AT238" s="241"/>
      <c r="AU238" s="245"/>
      <c r="AV238" s="245"/>
      <c r="AW238" s="194"/>
      <c r="AX238" s="326"/>
      <c r="AY238" s="2"/>
    </row>
    <row r="239" spans="1:51" ht="30.6">
      <c r="A239" s="2"/>
      <c r="B239" s="2"/>
      <c r="C239" s="2"/>
      <c r="D239" s="2"/>
      <c r="E239" s="2"/>
      <c r="F239" s="2"/>
      <c r="G239" s="2"/>
      <c r="H239" s="2"/>
      <c r="I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7"/>
      <c r="AL239" s="150"/>
      <c r="AM239" s="501" t="str">
        <f>AM238 &amp; ".0"</f>
        <v>6.3.2.0</v>
      </c>
      <c r="AN239" s="476" t="str">
        <f>"справочно: нормативная " &amp; AN238</f>
        <v>справочно: нормативная численность цехового персонала, относимого на регулируемый вид деятельности</v>
      </c>
      <c r="AO239" s="163" t="s">
        <v>289</v>
      </c>
      <c r="AP239" s="241"/>
      <c r="AQ239" s="247">
        <f t="shared" si="31"/>
        <v>0</v>
      </c>
      <c r="AR239" s="247">
        <f t="shared" si="31"/>
        <v>0</v>
      </c>
      <c r="AS239" s="194"/>
      <c r="AT239" s="241"/>
      <c r="AU239" s="245"/>
      <c r="AV239" s="245"/>
      <c r="AW239" s="194"/>
      <c r="AX239" s="326"/>
      <c r="AY239" s="2"/>
    </row>
    <row r="240" spans="1:51">
      <c r="A240" s="2"/>
      <c r="B240" s="2"/>
      <c r="C240" s="2"/>
      <c r="D240" s="2"/>
      <c r="E240" s="2"/>
      <c r="F240" s="2"/>
      <c r="G240" s="2"/>
      <c r="H240" s="2"/>
      <c r="I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7"/>
      <c r="AL240" s="150"/>
      <c r="AM240" s="501" t="s">
        <v>582</v>
      </c>
      <c r="AN240" s="477" t="s">
        <v>583</v>
      </c>
      <c r="AO240" s="163" t="s">
        <v>195</v>
      </c>
      <c r="AP240" s="247">
        <f>SUMIF($AS$9:$AW$9,AP$9,$AS240:$AW240)</f>
        <v>2386.34</v>
      </c>
      <c r="AQ240" s="247">
        <f t="shared" si="31"/>
        <v>1193.17</v>
      </c>
      <c r="AR240" s="247">
        <f t="shared" si="31"/>
        <v>1193.17</v>
      </c>
      <c r="AS240" s="194"/>
      <c r="AT240" s="754">
        <f>AU240+AV240</f>
        <v>2386.34</v>
      </c>
      <c r="AU240" s="245">
        <f>2386.34/2</f>
        <v>1193.17</v>
      </c>
      <c r="AV240" s="245">
        <f>AU240</f>
        <v>1193.17</v>
      </c>
      <c r="AW240" s="194"/>
      <c r="AX240" s="326"/>
      <c r="AY240" s="2"/>
    </row>
    <row r="241" spans="1:51">
      <c r="A241" s="2"/>
      <c r="B241" s="2"/>
      <c r="C241" s="2"/>
      <c r="D241" s="2"/>
      <c r="E241" s="2"/>
      <c r="F241" s="2"/>
      <c r="G241" s="2"/>
      <c r="H241" s="2"/>
      <c r="I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7"/>
      <c r="AL241" s="150"/>
      <c r="AM241" s="501" t="s">
        <v>584</v>
      </c>
      <c r="AN241" s="478" t="s">
        <v>40</v>
      </c>
      <c r="AO241" s="163" t="s">
        <v>29</v>
      </c>
      <c r="AP241" s="241"/>
      <c r="AQ241" s="247">
        <f>IF(AQ242=0,0,(1000*AQ240/AQ242)/AQ$6)</f>
        <v>0</v>
      </c>
      <c r="AR241" s="247">
        <f>IF(AR242=0,0,(1000*AR240/AR242)/AR$6)</f>
        <v>0</v>
      </c>
      <c r="AS241" s="194"/>
      <c r="AT241" s="241"/>
      <c r="AU241" s="754">
        <f>IF(AU242=0,0,(1000*AU240/AU242)/AU$6)</f>
        <v>0</v>
      </c>
      <c r="AV241" s="754">
        <f>IF(AV242=0,0,(1000*AV240/AV242)/AV$6)</f>
        <v>0</v>
      </c>
      <c r="AW241" s="194"/>
      <c r="AX241" s="326"/>
      <c r="AY241" s="2"/>
    </row>
    <row r="242" spans="1:51" ht="20.399999999999999">
      <c r="A242" s="2"/>
      <c r="B242" s="2"/>
      <c r="C242" s="2"/>
      <c r="D242" s="2"/>
      <c r="E242" s="2"/>
      <c r="F242" s="2"/>
      <c r="G242" s="2"/>
      <c r="H242" s="2"/>
      <c r="I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7"/>
      <c r="AL242" s="150"/>
      <c r="AM242" s="501" t="s">
        <v>585</v>
      </c>
      <c r="AN242" s="475" t="s">
        <v>41</v>
      </c>
      <c r="AO242" s="163" t="s">
        <v>289</v>
      </c>
      <c r="AP242" s="241"/>
      <c r="AQ242" s="247">
        <f t="shared" ref="AQ242:AR244" si="32">SUMIF($AS$9:$AW$9,AQ$9,$AS242:$AW242)</f>
        <v>0</v>
      </c>
      <c r="AR242" s="247">
        <f t="shared" si="32"/>
        <v>0</v>
      </c>
      <c r="AS242" s="194"/>
      <c r="AT242" s="241"/>
      <c r="AU242" s="245"/>
      <c r="AV242" s="245"/>
      <c r="AW242" s="194"/>
      <c r="AX242" s="326"/>
      <c r="AY242" s="2"/>
    </row>
    <row r="243" spans="1:51" ht="20.399999999999999">
      <c r="A243" s="2"/>
      <c r="B243" s="2"/>
      <c r="C243" s="2"/>
      <c r="D243" s="2"/>
      <c r="E243" s="2"/>
      <c r="F243" s="2"/>
      <c r="G243" s="2"/>
      <c r="H243" s="2"/>
      <c r="I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7"/>
      <c r="AL243" s="150"/>
      <c r="AM243" s="501" t="str">
        <f>AM242 &amp; ".0"</f>
        <v>6.4.2.0</v>
      </c>
      <c r="AN243" s="476" t="str">
        <f>"справочно: нормативная " &amp; AN242</f>
        <v>справочно: нормативная численность АУП, относимого на регулируемый вид деятельности</v>
      </c>
      <c r="AO243" s="163" t="s">
        <v>289</v>
      </c>
      <c r="AP243" s="241"/>
      <c r="AQ243" s="247">
        <f t="shared" si="32"/>
        <v>0</v>
      </c>
      <c r="AR243" s="247">
        <f t="shared" si="32"/>
        <v>0</v>
      </c>
      <c r="AS243" s="194"/>
      <c r="AT243" s="241"/>
      <c r="AU243" s="245"/>
      <c r="AV243" s="245"/>
      <c r="AW243" s="194"/>
      <c r="AX243" s="326"/>
      <c r="AY243" s="2"/>
    </row>
    <row r="244" spans="1:51" ht="20.399999999999999">
      <c r="A244" s="2"/>
      <c r="B244" s="2"/>
      <c r="C244" s="2"/>
      <c r="D244" s="2"/>
      <c r="E244" s="2"/>
      <c r="F244" s="2"/>
      <c r="G244" s="2"/>
      <c r="H244" s="2"/>
      <c r="I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7"/>
      <c r="AL244" s="150"/>
      <c r="AM244" s="501" t="s">
        <v>586</v>
      </c>
      <c r="AN244" s="477" t="s">
        <v>764</v>
      </c>
      <c r="AO244" s="163" t="s">
        <v>195</v>
      </c>
      <c r="AP244" s="247">
        <f>SUMIF($AS$9:$AW$9,AP$9,$AS244:$AW244)</f>
        <v>0</v>
      </c>
      <c r="AQ244" s="247">
        <f t="shared" si="32"/>
        <v>0</v>
      </c>
      <c r="AR244" s="247">
        <f t="shared" si="32"/>
        <v>0</v>
      </c>
      <c r="AS244" s="194"/>
      <c r="AT244" s="754">
        <f>AU244+AV244</f>
        <v>0</v>
      </c>
      <c r="AU244" s="245"/>
      <c r="AV244" s="245"/>
      <c r="AW244" s="194"/>
      <c r="AX244" s="326"/>
      <c r="AY244" s="2"/>
    </row>
    <row r="245" spans="1:51" ht="20.399999999999999">
      <c r="A245" s="2"/>
      <c r="B245" s="2"/>
      <c r="C245" s="2"/>
      <c r="D245" s="2"/>
      <c r="E245" s="2"/>
      <c r="F245" s="2"/>
      <c r="G245" s="2"/>
      <c r="H245" s="2"/>
      <c r="I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7"/>
      <c r="AL245" s="150"/>
      <c r="AM245" s="501" t="s">
        <v>587</v>
      </c>
      <c r="AN245" s="478" t="s">
        <v>42</v>
      </c>
      <c r="AO245" s="163" t="s">
        <v>29</v>
      </c>
      <c r="AP245" s="241"/>
      <c r="AQ245" s="247">
        <f>IF(AQ246=0,0,(1000*AQ244/AQ246)/AQ$6)</f>
        <v>0</v>
      </c>
      <c r="AR245" s="247">
        <f>IF(AR246=0,0,(1000*AR244/AR246)/AR$6)</f>
        <v>0</v>
      </c>
      <c r="AS245" s="194"/>
      <c r="AT245" s="241"/>
      <c r="AU245" s="754">
        <f>IF(AU246=0,0,(1000*AU244/AU246)/AU$6)</f>
        <v>0</v>
      </c>
      <c r="AV245" s="754">
        <f>IF(AV246=0,0,(1000*AV244/AV246)/AV$6)</f>
        <v>0</v>
      </c>
      <c r="AW245" s="194"/>
      <c r="AX245" s="326"/>
      <c r="AY245" s="2"/>
    </row>
    <row r="246" spans="1:51" ht="20.399999999999999">
      <c r="A246" s="2"/>
      <c r="B246" s="2"/>
      <c r="C246" s="2"/>
      <c r="D246" s="2"/>
      <c r="E246" s="2"/>
      <c r="F246" s="2"/>
      <c r="G246" s="2"/>
      <c r="H246" s="2"/>
      <c r="I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7"/>
      <c r="AL246" s="150"/>
      <c r="AM246" s="501" t="s">
        <v>588</v>
      </c>
      <c r="AN246" s="475" t="s">
        <v>43</v>
      </c>
      <c r="AO246" s="163" t="s">
        <v>289</v>
      </c>
      <c r="AP246" s="241"/>
      <c r="AQ246" s="247">
        <f t="shared" ref="AQ246:AR248" si="33">SUMIF($AS$9:$AW$9,AQ$9,$AS246:$AW246)</f>
        <v>0</v>
      </c>
      <c r="AR246" s="247">
        <f t="shared" si="33"/>
        <v>0</v>
      </c>
      <c r="AS246" s="194"/>
      <c r="AT246" s="241"/>
      <c r="AU246" s="245"/>
      <c r="AV246" s="245"/>
      <c r="AW246" s="194"/>
      <c r="AX246" s="326"/>
      <c r="AY246" s="2"/>
    </row>
    <row r="247" spans="1:51" ht="30.6">
      <c r="A247" s="2"/>
      <c r="B247" s="2"/>
      <c r="C247" s="2"/>
      <c r="D247" s="2"/>
      <c r="E247" s="2"/>
      <c r="F247" s="2"/>
      <c r="G247" s="2"/>
      <c r="H247" s="2"/>
      <c r="I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7"/>
      <c r="AL247" s="150"/>
      <c r="AM247" s="501" t="str">
        <f>AM246 &amp; ".0"</f>
        <v>6.5.2.0</v>
      </c>
      <c r="AN247" s="476" t="str">
        <f>"справочно: нормативная " &amp; AN246</f>
        <v>справочно: нормативная численность прочего персонала, относимого на регулируемый вид деятельности</v>
      </c>
      <c r="AO247" s="163" t="s">
        <v>289</v>
      </c>
      <c r="AP247" s="241"/>
      <c r="AQ247" s="247">
        <f t="shared" si="33"/>
        <v>0</v>
      </c>
      <c r="AR247" s="247">
        <f t="shared" si="33"/>
        <v>0</v>
      </c>
      <c r="AS247" s="194"/>
      <c r="AT247" s="241"/>
      <c r="AU247" s="245"/>
      <c r="AV247" s="245"/>
      <c r="AW247" s="194"/>
      <c r="AX247" s="326"/>
      <c r="AY247" s="2"/>
    </row>
    <row r="248" spans="1:51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7"/>
      <c r="AL248" s="150"/>
      <c r="AM248" s="490" t="s">
        <v>523</v>
      </c>
      <c r="AN248" s="494" t="s">
        <v>524</v>
      </c>
      <c r="AO248" s="163" t="s">
        <v>195</v>
      </c>
      <c r="AP248" s="247">
        <f>SUMIF($AS$9:$AW$9,AP$9,$AS248:$AW248)</f>
        <v>1560.4598350000001</v>
      </c>
      <c r="AQ248" s="247">
        <f t="shared" si="33"/>
        <v>780.22991750000006</v>
      </c>
      <c r="AR248" s="247">
        <f t="shared" si="33"/>
        <v>780.22991750000006</v>
      </c>
      <c r="AS248" s="194"/>
      <c r="AT248" s="754">
        <f>AU248+AV248</f>
        <v>1560.4598350000001</v>
      </c>
      <c r="AU248" s="754">
        <f>SUM(AU250:AU254)</f>
        <v>780.22991750000006</v>
      </c>
      <c r="AV248" s="754">
        <f>SUM(AV250:AV254)</f>
        <v>780.22991750000006</v>
      </c>
      <c r="AW248" s="194"/>
      <c r="AX248" s="326"/>
      <c r="AY248" s="2"/>
    </row>
    <row r="249" spans="1:51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7"/>
      <c r="AL249" s="150"/>
      <c r="AM249" s="501" t="s">
        <v>763</v>
      </c>
      <c r="AN249" s="477" t="s">
        <v>24</v>
      </c>
      <c r="AO249" s="163" t="s">
        <v>755</v>
      </c>
      <c r="AP249" s="241"/>
      <c r="AQ249" s="241"/>
      <c r="AR249" s="241"/>
      <c r="AS249" s="194"/>
      <c r="AT249" s="241"/>
      <c r="AU249" s="245">
        <v>30.200500000000002</v>
      </c>
      <c r="AV249" s="245">
        <v>30.200500000000002</v>
      </c>
      <c r="AW249" s="194"/>
      <c r="AX249" s="326"/>
      <c r="AY249" s="2"/>
    </row>
    <row r="250" spans="1:51" ht="20.399999999999999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7"/>
      <c r="AL250" s="150"/>
      <c r="AM250" s="501" t="s">
        <v>525</v>
      </c>
      <c r="AN250" s="477" t="s">
        <v>526</v>
      </c>
      <c r="AO250" s="163" t="s">
        <v>195</v>
      </c>
      <c r="AP250" s="247">
        <f t="shared" ref="AP250:AR254" si="34">SUMIF($AS$9:$AW$9,AP$9,$AS250:$AW250)</f>
        <v>421.53555895</v>
      </c>
      <c r="AQ250" s="247">
        <f t="shared" si="34"/>
        <v>210.767779475</v>
      </c>
      <c r="AR250" s="247">
        <f t="shared" si="34"/>
        <v>210.767779475</v>
      </c>
      <c r="AS250" s="194"/>
      <c r="AT250" s="754">
        <f>AU250+AV250</f>
        <v>421.53555895</v>
      </c>
      <c r="AU250" s="245">
        <f>AU222*AU249/100</f>
        <v>210.767779475</v>
      </c>
      <c r="AV250" s="245">
        <f>AV222*AV249/100</f>
        <v>210.767779475</v>
      </c>
      <c r="AW250" s="194"/>
      <c r="AX250" s="326"/>
      <c r="AY250" s="2"/>
    </row>
    <row r="251" spans="1:51" ht="20.399999999999999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7"/>
      <c r="AL251" s="150"/>
      <c r="AM251" s="501" t="s">
        <v>527</v>
      </c>
      <c r="AN251" s="477" t="s">
        <v>528</v>
      </c>
      <c r="AO251" s="163" t="s">
        <v>195</v>
      </c>
      <c r="AP251" s="247">
        <f t="shared" si="34"/>
        <v>418.23766434999999</v>
      </c>
      <c r="AQ251" s="247">
        <f t="shared" si="34"/>
        <v>209.11883217499999</v>
      </c>
      <c r="AR251" s="247">
        <f t="shared" si="34"/>
        <v>209.11883217499999</v>
      </c>
      <c r="AS251" s="194"/>
      <c r="AT251" s="754">
        <f>AU251+AV251</f>
        <v>418.23766434999999</v>
      </c>
      <c r="AU251" s="245">
        <f>AU229*AU249/100</f>
        <v>209.11883217499999</v>
      </c>
      <c r="AV251" s="245">
        <f>AV229*AV249/100</f>
        <v>209.11883217499999</v>
      </c>
      <c r="AW251" s="194"/>
      <c r="AX251" s="326"/>
      <c r="AY251" s="2"/>
    </row>
    <row r="252" spans="1:51" ht="20.399999999999999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7"/>
      <c r="AL252" s="150"/>
      <c r="AM252" s="501" t="s">
        <v>530</v>
      </c>
      <c r="AN252" s="477" t="s">
        <v>531</v>
      </c>
      <c r="AO252" s="163" t="s">
        <v>195</v>
      </c>
      <c r="AP252" s="247">
        <f t="shared" si="34"/>
        <v>0</v>
      </c>
      <c r="AQ252" s="247">
        <f t="shared" si="34"/>
        <v>0</v>
      </c>
      <c r="AR252" s="247">
        <f t="shared" si="34"/>
        <v>0</v>
      </c>
      <c r="AS252" s="194"/>
      <c r="AT252" s="754">
        <f>AU252+AV252</f>
        <v>0</v>
      </c>
      <c r="AU252" s="245">
        <f>AU236*AU249/100</f>
        <v>0</v>
      </c>
      <c r="AV252" s="245">
        <f>AV236*AV249/100</f>
        <v>0</v>
      </c>
      <c r="AW252" s="194"/>
      <c r="AX252" s="326"/>
      <c r="AY252" s="2"/>
    </row>
    <row r="253" spans="1:51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7"/>
      <c r="AL253" s="150"/>
      <c r="AM253" s="501" t="s">
        <v>532</v>
      </c>
      <c r="AN253" s="477" t="s">
        <v>533</v>
      </c>
      <c r="AO253" s="163" t="s">
        <v>195</v>
      </c>
      <c r="AP253" s="247">
        <f t="shared" si="34"/>
        <v>720.68661170000007</v>
      </c>
      <c r="AQ253" s="247">
        <f t="shared" si="34"/>
        <v>360.34330585000004</v>
      </c>
      <c r="AR253" s="247">
        <f t="shared" si="34"/>
        <v>360.34330585000004</v>
      </c>
      <c r="AS253" s="194"/>
      <c r="AT253" s="754">
        <f>AU253+AV253</f>
        <v>720.68661170000007</v>
      </c>
      <c r="AU253" s="245">
        <f>AU240*AU249/100</f>
        <v>360.34330585000004</v>
      </c>
      <c r="AV253" s="245">
        <f>AV240*AV249/100</f>
        <v>360.34330585000004</v>
      </c>
      <c r="AW253" s="194"/>
      <c r="AX253" s="326"/>
      <c r="AY253" s="2"/>
    </row>
    <row r="254" spans="1:51" ht="20.399999999999999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7"/>
      <c r="AL254" s="150"/>
      <c r="AM254" s="501" t="s">
        <v>534</v>
      </c>
      <c r="AN254" s="477" t="s">
        <v>535</v>
      </c>
      <c r="AO254" s="163" t="s">
        <v>195</v>
      </c>
      <c r="AP254" s="247">
        <f t="shared" si="34"/>
        <v>0</v>
      </c>
      <c r="AQ254" s="247">
        <f t="shared" si="34"/>
        <v>0</v>
      </c>
      <c r="AR254" s="247">
        <f t="shared" si="34"/>
        <v>0</v>
      </c>
      <c r="AS254" s="194"/>
      <c r="AT254" s="754">
        <f>AU254+AV254</f>
        <v>0</v>
      </c>
      <c r="AU254" s="245">
        <f>AU244*AU249/100</f>
        <v>0</v>
      </c>
      <c r="AV254" s="245">
        <f>AV244*AV249/100</f>
        <v>0</v>
      </c>
      <c r="AW254" s="194"/>
      <c r="AX254" s="326"/>
      <c r="AY254" s="2"/>
    </row>
    <row r="255" spans="1:51" ht="0.75" hidden="1" customHeight="1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150"/>
      <c r="AM255" s="456"/>
      <c r="AN255" s="472"/>
      <c r="AO255" s="442"/>
      <c r="AP255" s="261"/>
      <c r="AQ255" s="261"/>
      <c r="AR255" s="261"/>
      <c r="AS255" s="194"/>
      <c r="AT255" s="241"/>
      <c r="AU255" s="241"/>
      <c r="AV255" s="241"/>
      <c r="AW255" s="194"/>
      <c r="AX255" s="114"/>
      <c r="AY255" s="2"/>
    </row>
    <row r="256" spans="1:51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150"/>
      <c r="AM256" s="490" t="s">
        <v>536</v>
      </c>
      <c r="AN256" s="494" t="s">
        <v>1145</v>
      </c>
      <c r="AO256" s="163" t="s">
        <v>195</v>
      </c>
      <c r="AP256" s="247">
        <f>SUMIF($AS$9:$AW$9,AP$9,$AS256:$AW256)</f>
        <v>12.69</v>
      </c>
      <c r="AQ256" s="247">
        <f>SUMIF($AS$9:$AW$9,AQ$9,$AS256:$AW256)</f>
        <v>6.3449999999999998</v>
      </c>
      <c r="AR256" s="247">
        <f>SUMIF($AS$9:$AW$9,AR$9,$AS256:$AW256)</f>
        <v>6.3449999999999998</v>
      </c>
      <c r="AS256" s="194"/>
      <c r="AT256" s="754">
        <f t="shared" ref="AT256:AT263" si="35">AU256+AV256</f>
        <v>12.69</v>
      </c>
      <c r="AU256" s="754">
        <f>AU257*AU258</f>
        <v>6.3449999999999998</v>
      </c>
      <c r="AV256" s="754">
        <f>AV257*AV258</f>
        <v>6.3449999999999998</v>
      </c>
      <c r="AW256" s="194"/>
      <c r="AX256" s="326"/>
      <c r="AY256" s="2"/>
    </row>
    <row r="257" spans="1:51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150"/>
      <c r="AM257" s="504" t="s">
        <v>537</v>
      </c>
      <c r="AN257" s="479" t="s">
        <v>247</v>
      </c>
      <c r="AO257" s="163" t="s">
        <v>397</v>
      </c>
      <c r="AP257" s="261"/>
      <c r="AQ257" s="261"/>
      <c r="AR257" s="261"/>
      <c r="AS257" s="194"/>
      <c r="AT257" s="754">
        <f>IF(AT258=0,0,AT256/AT258)</f>
        <v>28.2</v>
      </c>
      <c r="AU257" s="245">
        <v>28.2</v>
      </c>
      <c r="AV257" s="245">
        <f>AU257</f>
        <v>28.2</v>
      </c>
      <c r="AW257" s="194"/>
      <c r="AX257" s="114"/>
      <c r="AY257" s="2"/>
    </row>
    <row r="258" spans="1:51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150"/>
      <c r="AM258" s="504" t="s">
        <v>1146</v>
      </c>
      <c r="AN258" s="479" t="s">
        <v>245</v>
      </c>
      <c r="AO258" s="163" t="s">
        <v>1026</v>
      </c>
      <c r="AP258" s="247">
        <f t="shared" ref="AP258:AR259" si="36">SUMIF($AS$9:$AW$9,AP$9,$AS258:$AW258)</f>
        <v>0.45</v>
      </c>
      <c r="AQ258" s="247">
        <f t="shared" si="36"/>
        <v>0.22500000000000001</v>
      </c>
      <c r="AR258" s="247">
        <f t="shared" si="36"/>
        <v>0.22500000000000001</v>
      </c>
      <c r="AS258" s="194"/>
      <c r="AT258" s="754">
        <f t="shared" si="35"/>
        <v>0.45</v>
      </c>
      <c r="AU258" s="245">
        <f>0.45/2</f>
        <v>0.22500000000000001</v>
      </c>
      <c r="AV258" s="245">
        <f>AU258</f>
        <v>0.22500000000000001</v>
      </c>
      <c r="AW258" s="194"/>
      <c r="AX258" s="326"/>
      <c r="AY258" s="2"/>
    </row>
    <row r="259" spans="1:51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150"/>
      <c r="AM259" s="490" t="s">
        <v>538</v>
      </c>
      <c r="AN259" s="494" t="s">
        <v>1147</v>
      </c>
      <c r="AO259" s="163" t="s">
        <v>195</v>
      </c>
      <c r="AP259" s="247">
        <f t="shared" si="36"/>
        <v>3.44</v>
      </c>
      <c r="AQ259" s="247">
        <f t="shared" si="36"/>
        <v>1.72</v>
      </c>
      <c r="AR259" s="247">
        <f t="shared" si="36"/>
        <v>1.72</v>
      </c>
      <c r="AS259" s="194"/>
      <c r="AT259" s="754">
        <f t="shared" si="35"/>
        <v>3.44</v>
      </c>
      <c r="AU259" s="754">
        <f>AU260*AU261</f>
        <v>1.72</v>
      </c>
      <c r="AV259" s="754">
        <f>AV260*AV261</f>
        <v>1.72</v>
      </c>
      <c r="AW259" s="194"/>
      <c r="AX259" s="326"/>
      <c r="AY259" s="2"/>
    </row>
    <row r="260" spans="1:51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150"/>
      <c r="AM260" s="504" t="s">
        <v>579</v>
      </c>
      <c r="AN260" s="479" t="s">
        <v>247</v>
      </c>
      <c r="AO260" s="163" t="s">
        <v>397</v>
      </c>
      <c r="AP260" s="261"/>
      <c r="AQ260" s="261"/>
      <c r="AR260" s="261"/>
      <c r="AS260" s="194"/>
      <c r="AT260" s="754">
        <f>IF(AT261=0,0,AT259/AT261)</f>
        <v>31.272727272727273</v>
      </c>
      <c r="AU260" s="245">
        <v>31.272727272727273</v>
      </c>
      <c r="AV260" s="245">
        <f>AU260</f>
        <v>31.272727272727273</v>
      </c>
      <c r="AW260" s="194"/>
      <c r="AX260" s="114"/>
      <c r="AY260" s="2"/>
    </row>
    <row r="261" spans="1:51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150"/>
      <c r="AM261" s="504" t="s">
        <v>529</v>
      </c>
      <c r="AN261" s="479" t="s">
        <v>245</v>
      </c>
      <c r="AO261" s="163" t="s">
        <v>1026</v>
      </c>
      <c r="AP261" s="247">
        <f t="shared" ref="AP261:AR263" si="37">SUMIF($AS$9:$AW$9,AP$9,$AS261:$AW261)</f>
        <v>0.11</v>
      </c>
      <c r="AQ261" s="247">
        <f t="shared" si="37"/>
        <v>5.5E-2</v>
      </c>
      <c r="AR261" s="247">
        <f t="shared" si="37"/>
        <v>5.5E-2</v>
      </c>
      <c r="AS261" s="194"/>
      <c r="AT261" s="754">
        <f t="shared" si="35"/>
        <v>0.11</v>
      </c>
      <c r="AU261" s="245">
        <f>0.11/2</f>
        <v>5.5E-2</v>
      </c>
      <c r="AV261" s="245">
        <f>AU261</f>
        <v>5.5E-2</v>
      </c>
      <c r="AW261" s="194"/>
      <c r="AX261" s="326"/>
      <c r="AY261" s="2"/>
    </row>
    <row r="262" spans="1:51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150"/>
      <c r="AM262" s="490" t="s">
        <v>542</v>
      </c>
      <c r="AN262" s="494" t="s">
        <v>1148</v>
      </c>
      <c r="AO262" s="163" t="s">
        <v>195</v>
      </c>
      <c r="AP262" s="247">
        <f t="shared" si="37"/>
        <v>0</v>
      </c>
      <c r="AQ262" s="247">
        <f t="shared" si="37"/>
        <v>0</v>
      </c>
      <c r="AR262" s="247">
        <f t="shared" si="37"/>
        <v>0</v>
      </c>
      <c r="AS262" s="194"/>
      <c r="AT262" s="754">
        <f t="shared" si="35"/>
        <v>0</v>
      </c>
      <c r="AU262" s="245"/>
      <c r="AV262" s="245"/>
      <c r="AW262" s="194"/>
      <c r="AX262" s="326"/>
      <c r="AY262" s="2"/>
    </row>
    <row r="263" spans="1:51" ht="20.399999999999999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150"/>
      <c r="AM263" s="490" t="s">
        <v>328</v>
      </c>
      <c r="AN263" s="494" t="s">
        <v>1149</v>
      </c>
      <c r="AO263" s="443" t="s">
        <v>195</v>
      </c>
      <c r="AP263" s="247">
        <f t="shared" si="37"/>
        <v>0</v>
      </c>
      <c r="AQ263" s="247">
        <f t="shared" si="37"/>
        <v>0</v>
      </c>
      <c r="AR263" s="247">
        <f t="shared" si="37"/>
        <v>0</v>
      </c>
      <c r="AS263" s="194"/>
      <c r="AT263" s="754">
        <f t="shared" si="35"/>
        <v>0</v>
      </c>
      <c r="AU263" s="245"/>
      <c r="AV263" s="245"/>
      <c r="AW263" s="194"/>
      <c r="AX263" s="326"/>
      <c r="AY263" s="2"/>
    </row>
    <row r="264" spans="1:51" ht="0.75" hidden="1" customHeight="1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150"/>
      <c r="AM264" s="500"/>
      <c r="AN264" s="472"/>
      <c r="AO264" s="442"/>
      <c r="AP264" s="261"/>
      <c r="AQ264" s="261"/>
      <c r="AR264" s="261"/>
      <c r="AS264" s="194"/>
      <c r="AT264" s="241"/>
      <c r="AU264" s="241"/>
      <c r="AV264" s="241"/>
      <c r="AW264" s="194"/>
      <c r="AX264" s="114"/>
      <c r="AY264" s="2"/>
    </row>
    <row r="265" spans="1:51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150"/>
      <c r="AM265" s="490" t="s">
        <v>541</v>
      </c>
      <c r="AN265" s="494" t="s">
        <v>1150</v>
      </c>
      <c r="AO265" s="443" t="s">
        <v>195</v>
      </c>
      <c r="AP265" s="247">
        <f t="shared" ref="AP265:AR291" si="38">SUMIF($AS$9:$AW$9,AP$9,$AS265:$AW265)</f>
        <v>969.81994000000009</v>
      </c>
      <c r="AQ265" s="247">
        <f t="shared" si="38"/>
        <v>484.90997000000004</v>
      </c>
      <c r="AR265" s="247">
        <f t="shared" si="38"/>
        <v>484.90997000000004</v>
      </c>
      <c r="AS265" s="194"/>
      <c r="AT265" s="754">
        <f t="shared" ref="AT265:AT291" si="39">AU265+AV265</f>
        <v>969.81994000000009</v>
      </c>
      <c r="AU265" s="754">
        <f>SUM(AU266:AU272)</f>
        <v>484.90997000000004</v>
      </c>
      <c r="AV265" s="754">
        <f>SUM(AV266:AV272)</f>
        <v>484.90997000000004</v>
      </c>
      <c r="AW265" s="194"/>
      <c r="AX265" s="326"/>
      <c r="AY265" s="2"/>
    </row>
    <row r="266" spans="1:51" ht="20.399999999999999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150"/>
      <c r="AM266" s="505" t="str">
        <f>AM265 &amp; ".1"</f>
        <v>12.1</v>
      </c>
      <c r="AN266" s="479" t="s">
        <v>1151</v>
      </c>
      <c r="AO266" s="443" t="s">
        <v>195</v>
      </c>
      <c r="AP266" s="247">
        <f t="shared" si="38"/>
        <v>491.88661000000002</v>
      </c>
      <c r="AQ266" s="247">
        <f t="shared" si="38"/>
        <v>245.94330500000001</v>
      </c>
      <c r="AR266" s="247">
        <f t="shared" si="38"/>
        <v>245.94330500000001</v>
      </c>
      <c r="AS266" s="194"/>
      <c r="AT266" s="754">
        <f t="shared" si="39"/>
        <v>491.88661000000002</v>
      </c>
      <c r="AU266" s="245">
        <f>491.88661/2</f>
        <v>245.94330500000001</v>
      </c>
      <c r="AV266" s="245">
        <f>AU266</f>
        <v>245.94330500000001</v>
      </c>
      <c r="AW266" s="194"/>
      <c r="AX266" s="326"/>
      <c r="AY266" s="2"/>
    </row>
    <row r="267" spans="1:51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150"/>
      <c r="AM267" s="505" t="str">
        <f>AM265 &amp; ".2"</f>
        <v>12.2</v>
      </c>
      <c r="AN267" s="479" t="s">
        <v>1152</v>
      </c>
      <c r="AO267" s="443" t="s">
        <v>195</v>
      </c>
      <c r="AP267" s="247">
        <f t="shared" si="38"/>
        <v>0</v>
      </c>
      <c r="AQ267" s="247">
        <f t="shared" si="38"/>
        <v>0</v>
      </c>
      <c r="AR267" s="247">
        <f t="shared" si="38"/>
        <v>0</v>
      </c>
      <c r="AS267" s="194"/>
      <c r="AT267" s="754">
        <f t="shared" si="39"/>
        <v>0</v>
      </c>
      <c r="AU267" s="245"/>
      <c r="AV267" s="245"/>
      <c r="AW267" s="194"/>
      <c r="AX267" s="326"/>
      <c r="AY267" s="2"/>
    </row>
    <row r="268" spans="1:51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150"/>
      <c r="AM268" s="505" t="str">
        <f>AM265 &amp; ".3"</f>
        <v>12.3</v>
      </c>
      <c r="AN268" s="479" t="s">
        <v>1153</v>
      </c>
      <c r="AO268" s="443" t="s">
        <v>195</v>
      </c>
      <c r="AP268" s="247">
        <f t="shared" si="38"/>
        <v>0</v>
      </c>
      <c r="AQ268" s="247">
        <f t="shared" si="38"/>
        <v>0</v>
      </c>
      <c r="AR268" s="247">
        <f t="shared" si="38"/>
        <v>0</v>
      </c>
      <c r="AS268" s="194"/>
      <c r="AT268" s="754">
        <f t="shared" si="39"/>
        <v>0</v>
      </c>
      <c r="AU268" s="245"/>
      <c r="AV268" s="245"/>
      <c r="AW268" s="194"/>
      <c r="AX268" s="326"/>
      <c r="AY268" s="2"/>
    </row>
    <row r="269" spans="1:51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150"/>
      <c r="AM269" s="505" t="str">
        <f>AM265 &amp; ".4"</f>
        <v>12.4</v>
      </c>
      <c r="AN269" s="479" t="s">
        <v>1154</v>
      </c>
      <c r="AO269" s="443" t="s">
        <v>195</v>
      </c>
      <c r="AP269" s="247">
        <f t="shared" si="38"/>
        <v>477.93333000000001</v>
      </c>
      <c r="AQ269" s="247">
        <f t="shared" si="38"/>
        <v>238.96666500000001</v>
      </c>
      <c r="AR269" s="247">
        <f t="shared" si="38"/>
        <v>238.96666500000001</v>
      </c>
      <c r="AS269" s="194"/>
      <c r="AT269" s="754">
        <f t="shared" si="39"/>
        <v>477.93333000000001</v>
      </c>
      <c r="AU269" s="245">
        <f>477.93333/2</f>
        <v>238.96666500000001</v>
      </c>
      <c r="AV269" s="245">
        <f>AU269</f>
        <v>238.96666500000001</v>
      </c>
      <c r="AW269" s="194"/>
      <c r="AX269" s="326"/>
      <c r="AY269" s="2"/>
    </row>
    <row r="270" spans="1:51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150"/>
      <c r="AM270" s="505" t="str">
        <f>AM265 &amp; ".5"</f>
        <v>12.5</v>
      </c>
      <c r="AN270" s="479" t="s">
        <v>1155</v>
      </c>
      <c r="AO270" s="443" t="s">
        <v>195</v>
      </c>
      <c r="AP270" s="247">
        <f t="shared" si="38"/>
        <v>0</v>
      </c>
      <c r="AQ270" s="247">
        <f t="shared" si="38"/>
        <v>0</v>
      </c>
      <c r="AR270" s="247">
        <f t="shared" si="38"/>
        <v>0</v>
      </c>
      <c r="AS270" s="194"/>
      <c r="AT270" s="754">
        <f t="shared" si="39"/>
        <v>0</v>
      </c>
      <c r="AU270" s="245"/>
      <c r="AV270" s="245"/>
      <c r="AW270" s="194"/>
      <c r="AX270" s="326"/>
      <c r="AY270" s="2"/>
    </row>
    <row r="271" spans="1:51" ht="20.399999999999999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150"/>
      <c r="AM271" s="505" t="str">
        <f>AM265 &amp; ".6"</f>
        <v>12.6</v>
      </c>
      <c r="AN271" s="479" t="s">
        <v>1156</v>
      </c>
      <c r="AO271" s="443" t="s">
        <v>195</v>
      </c>
      <c r="AP271" s="247">
        <f t="shared" si="38"/>
        <v>0</v>
      </c>
      <c r="AQ271" s="247">
        <f t="shared" si="38"/>
        <v>0</v>
      </c>
      <c r="AR271" s="247">
        <f t="shared" si="38"/>
        <v>0</v>
      </c>
      <c r="AS271" s="194"/>
      <c r="AT271" s="754">
        <f t="shared" si="39"/>
        <v>0</v>
      </c>
      <c r="AU271" s="245"/>
      <c r="AV271" s="245"/>
      <c r="AW271" s="194"/>
      <c r="AX271" s="326"/>
      <c r="AY271" s="2"/>
    </row>
    <row r="272" spans="1:51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150"/>
      <c r="AM272" s="505" t="str">
        <f>AM265 &amp; ".7"</f>
        <v>12.7</v>
      </c>
      <c r="AN272" s="479" t="s">
        <v>1157</v>
      </c>
      <c r="AO272" s="443" t="s">
        <v>195</v>
      </c>
      <c r="AP272" s="247">
        <f t="shared" si="38"/>
        <v>0</v>
      </c>
      <c r="AQ272" s="247">
        <f t="shared" si="38"/>
        <v>0</v>
      </c>
      <c r="AR272" s="247">
        <f t="shared" si="38"/>
        <v>0</v>
      </c>
      <c r="AS272" s="194"/>
      <c r="AT272" s="754">
        <f t="shared" si="39"/>
        <v>0</v>
      </c>
      <c r="AU272" s="245"/>
      <c r="AV272" s="245"/>
      <c r="AW272" s="194"/>
      <c r="AX272" s="326"/>
      <c r="AY272" s="2"/>
    </row>
    <row r="273" spans="1:51" ht="20.399999999999999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150"/>
      <c r="AM273" s="490" t="s">
        <v>543</v>
      </c>
      <c r="AN273" s="494" t="s">
        <v>1158</v>
      </c>
      <c r="AO273" s="443" t="s">
        <v>195</v>
      </c>
      <c r="AP273" s="247">
        <f t="shared" si="38"/>
        <v>0</v>
      </c>
      <c r="AQ273" s="247">
        <f t="shared" si="38"/>
        <v>0</v>
      </c>
      <c r="AR273" s="247">
        <f t="shared" si="38"/>
        <v>0</v>
      </c>
      <c r="AS273" s="194"/>
      <c r="AT273" s="754">
        <f t="shared" si="39"/>
        <v>0</v>
      </c>
      <c r="AU273" s="245"/>
      <c r="AV273" s="245"/>
      <c r="AW273" s="194"/>
      <c r="AX273" s="326"/>
      <c r="AY273" s="2"/>
    </row>
    <row r="274" spans="1:51" ht="33" customHeight="1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150"/>
      <c r="AM274" s="490" t="s">
        <v>544</v>
      </c>
      <c r="AN274" s="494" t="s">
        <v>1159</v>
      </c>
      <c r="AO274" s="443" t="s">
        <v>195</v>
      </c>
      <c r="AP274" s="247">
        <f t="shared" si="38"/>
        <v>0</v>
      </c>
      <c r="AQ274" s="247">
        <f t="shared" si="38"/>
        <v>0</v>
      </c>
      <c r="AR274" s="247">
        <f t="shared" si="38"/>
        <v>0</v>
      </c>
      <c r="AS274" s="194"/>
      <c r="AT274" s="754">
        <f t="shared" si="39"/>
        <v>0</v>
      </c>
      <c r="AU274" s="754">
        <f>SUM(AU275,AU276,AU277,AU278)</f>
        <v>0</v>
      </c>
      <c r="AV274" s="754">
        <f>SUM(AV275,AV276,AV277,AV278)</f>
        <v>0</v>
      </c>
      <c r="AW274" s="194"/>
      <c r="AX274" s="326"/>
      <c r="AY274" s="2"/>
    </row>
    <row r="275" spans="1:51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150"/>
      <c r="AM275" s="505" t="str">
        <f>AM274 &amp; ".1"</f>
        <v>14.1</v>
      </c>
      <c r="AN275" s="480" t="s">
        <v>1160</v>
      </c>
      <c r="AO275" s="443" t="s">
        <v>195</v>
      </c>
      <c r="AP275" s="247">
        <f t="shared" si="38"/>
        <v>0</v>
      </c>
      <c r="AQ275" s="247">
        <f t="shared" si="38"/>
        <v>0</v>
      </c>
      <c r="AR275" s="247">
        <f t="shared" si="38"/>
        <v>0</v>
      </c>
      <c r="AS275" s="194"/>
      <c r="AT275" s="754">
        <f t="shared" si="39"/>
        <v>0</v>
      </c>
      <c r="AU275" s="245"/>
      <c r="AV275" s="245"/>
      <c r="AW275" s="194"/>
      <c r="AX275" s="326"/>
      <c r="AY275" s="2"/>
    </row>
    <row r="276" spans="1:51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150"/>
      <c r="AM276" s="505" t="str">
        <f>AM274 &amp; ".2"</f>
        <v>14.2</v>
      </c>
      <c r="AN276" s="481" t="s">
        <v>1161</v>
      </c>
      <c r="AO276" s="443" t="s">
        <v>195</v>
      </c>
      <c r="AP276" s="247">
        <f t="shared" si="38"/>
        <v>0</v>
      </c>
      <c r="AQ276" s="247">
        <f t="shared" si="38"/>
        <v>0</v>
      </c>
      <c r="AR276" s="247">
        <f t="shared" si="38"/>
        <v>0</v>
      </c>
      <c r="AS276" s="194"/>
      <c r="AT276" s="754">
        <f t="shared" si="39"/>
        <v>0</v>
      </c>
      <c r="AU276" s="245"/>
      <c r="AV276" s="245"/>
      <c r="AW276" s="194"/>
      <c r="AX276" s="326"/>
      <c r="AY276" s="2"/>
    </row>
    <row r="277" spans="1:51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150"/>
      <c r="AM277" s="505" t="str">
        <f>AM274 &amp; ".3"</f>
        <v>14.3</v>
      </c>
      <c r="AN277" s="480" t="s">
        <v>1162</v>
      </c>
      <c r="AO277" s="443" t="s">
        <v>195</v>
      </c>
      <c r="AP277" s="247">
        <f t="shared" si="38"/>
        <v>0</v>
      </c>
      <c r="AQ277" s="247">
        <f t="shared" si="38"/>
        <v>0</v>
      </c>
      <c r="AR277" s="247">
        <f t="shared" si="38"/>
        <v>0</v>
      </c>
      <c r="AS277" s="194"/>
      <c r="AT277" s="754">
        <f t="shared" si="39"/>
        <v>0</v>
      </c>
      <c r="AU277" s="245"/>
      <c r="AV277" s="245"/>
      <c r="AW277" s="194"/>
      <c r="AX277" s="326"/>
      <c r="AY277" s="2"/>
    </row>
    <row r="278" spans="1:51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150"/>
      <c r="AM278" s="505" t="str">
        <f>AM274 &amp; ".4"</f>
        <v>14.4</v>
      </c>
      <c r="AN278" s="480" t="s">
        <v>1163</v>
      </c>
      <c r="AO278" s="443" t="s">
        <v>195</v>
      </c>
      <c r="AP278" s="247">
        <f t="shared" si="38"/>
        <v>0</v>
      </c>
      <c r="AQ278" s="247">
        <f t="shared" si="38"/>
        <v>0</v>
      </c>
      <c r="AR278" s="247">
        <f t="shared" si="38"/>
        <v>0</v>
      </c>
      <c r="AS278" s="194"/>
      <c r="AT278" s="754">
        <f t="shared" si="39"/>
        <v>0</v>
      </c>
      <c r="AU278" s="245"/>
      <c r="AV278" s="245"/>
      <c r="AW278" s="194"/>
      <c r="AX278" s="326"/>
      <c r="AY278" s="2"/>
    </row>
    <row r="279" spans="1:51" ht="20.399999999999999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150"/>
      <c r="AM279" s="490" t="s">
        <v>546</v>
      </c>
      <c r="AN279" s="494" t="s">
        <v>1164</v>
      </c>
      <c r="AO279" s="443" t="s">
        <v>195</v>
      </c>
      <c r="AP279" s="247">
        <f t="shared" si="38"/>
        <v>56.71</v>
      </c>
      <c r="AQ279" s="247">
        <f t="shared" si="38"/>
        <v>28.355</v>
      </c>
      <c r="AR279" s="247">
        <f t="shared" si="38"/>
        <v>28.355</v>
      </c>
      <c r="AS279" s="194"/>
      <c r="AT279" s="754">
        <f t="shared" si="39"/>
        <v>56.71</v>
      </c>
      <c r="AU279" s="754">
        <f>SUM(AU280:AU291)</f>
        <v>28.355</v>
      </c>
      <c r="AV279" s="754">
        <f>SUM(AV280:AV291)</f>
        <v>28.355</v>
      </c>
      <c r="AW279" s="194"/>
      <c r="AX279" s="326"/>
      <c r="AY279" s="2"/>
    </row>
    <row r="280" spans="1:51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150"/>
      <c r="AM280" s="505" t="str">
        <f>AM279 &amp; ".1"</f>
        <v>15.1</v>
      </c>
      <c r="AN280" s="482" t="s">
        <v>1165</v>
      </c>
      <c r="AO280" s="443" t="s">
        <v>195</v>
      </c>
      <c r="AP280" s="247">
        <f t="shared" si="38"/>
        <v>0</v>
      </c>
      <c r="AQ280" s="247">
        <f t="shared" si="38"/>
        <v>0</v>
      </c>
      <c r="AR280" s="247">
        <f t="shared" si="38"/>
        <v>0</v>
      </c>
      <c r="AS280" s="194"/>
      <c r="AT280" s="754">
        <f t="shared" si="39"/>
        <v>0</v>
      </c>
      <c r="AU280" s="245"/>
      <c r="AV280" s="245"/>
      <c r="AW280" s="194"/>
      <c r="AX280" s="326"/>
      <c r="AY280" s="2"/>
    </row>
    <row r="281" spans="1:51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150"/>
      <c r="AM281" s="505" t="str">
        <f>AM279 &amp; ".2"</f>
        <v>15.2</v>
      </c>
      <c r="AN281" s="482" t="s">
        <v>1166</v>
      </c>
      <c r="AO281" s="443" t="s">
        <v>195</v>
      </c>
      <c r="AP281" s="247">
        <f t="shared" si="38"/>
        <v>0</v>
      </c>
      <c r="AQ281" s="247">
        <f t="shared" si="38"/>
        <v>0</v>
      </c>
      <c r="AR281" s="247">
        <f t="shared" si="38"/>
        <v>0</v>
      </c>
      <c r="AS281" s="194"/>
      <c r="AT281" s="754">
        <f t="shared" si="39"/>
        <v>0</v>
      </c>
      <c r="AU281" s="245"/>
      <c r="AV281" s="245"/>
      <c r="AW281" s="194"/>
      <c r="AX281" s="326"/>
      <c r="AY281" s="2"/>
    </row>
    <row r="282" spans="1:51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150"/>
      <c r="AM282" s="505" t="str">
        <f>AM279 &amp; ".3"</f>
        <v>15.3</v>
      </c>
      <c r="AN282" s="482" t="s">
        <v>1167</v>
      </c>
      <c r="AO282" s="443" t="s">
        <v>195</v>
      </c>
      <c r="AP282" s="247">
        <f t="shared" si="38"/>
        <v>0</v>
      </c>
      <c r="AQ282" s="247">
        <f t="shared" si="38"/>
        <v>0</v>
      </c>
      <c r="AR282" s="247">
        <f t="shared" si="38"/>
        <v>0</v>
      </c>
      <c r="AS282" s="194"/>
      <c r="AT282" s="754">
        <f t="shared" si="39"/>
        <v>0</v>
      </c>
      <c r="AU282" s="245"/>
      <c r="AV282" s="245"/>
      <c r="AW282" s="194"/>
      <c r="AX282" s="326"/>
      <c r="AY282" s="2"/>
    </row>
    <row r="283" spans="1:51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150"/>
      <c r="AM283" s="505" t="str">
        <f>AM279 &amp; ".4"</f>
        <v>15.4</v>
      </c>
      <c r="AN283" s="483" t="s">
        <v>593</v>
      </c>
      <c r="AO283" s="443" t="s">
        <v>195</v>
      </c>
      <c r="AP283" s="247">
        <f t="shared" si="38"/>
        <v>0</v>
      </c>
      <c r="AQ283" s="247">
        <f t="shared" si="38"/>
        <v>0</v>
      </c>
      <c r="AR283" s="247">
        <f t="shared" si="38"/>
        <v>0</v>
      </c>
      <c r="AS283" s="194"/>
      <c r="AT283" s="754">
        <f t="shared" si="39"/>
        <v>0</v>
      </c>
      <c r="AU283" s="245"/>
      <c r="AV283" s="245"/>
      <c r="AW283" s="194"/>
      <c r="AX283" s="326"/>
      <c r="AY283" s="2"/>
    </row>
    <row r="284" spans="1:51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150"/>
      <c r="AM284" s="505" t="str">
        <f>AM279 &amp; ".5"</f>
        <v>15.5</v>
      </c>
      <c r="AN284" s="483" t="s">
        <v>594</v>
      </c>
      <c r="AO284" s="163" t="s">
        <v>195</v>
      </c>
      <c r="AP284" s="247">
        <f t="shared" si="38"/>
        <v>0</v>
      </c>
      <c r="AQ284" s="247">
        <f t="shared" si="38"/>
        <v>0</v>
      </c>
      <c r="AR284" s="247">
        <f t="shared" si="38"/>
        <v>0</v>
      </c>
      <c r="AS284" s="194"/>
      <c r="AT284" s="754">
        <f t="shared" si="39"/>
        <v>0</v>
      </c>
      <c r="AU284" s="245"/>
      <c r="AV284" s="245"/>
      <c r="AW284" s="194"/>
      <c r="AX284" s="326"/>
      <c r="AY284" s="2"/>
    </row>
    <row r="285" spans="1:51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150"/>
      <c r="AM285" s="505" t="str">
        <f>AM279 &amp; ".6"</f>
        <v>15.6</v>
      </c>
      <c r="AN285" s="483" t="s">
        <v>595</v>
      </c>
      <c r="AO285" s="163" t="s">
        <v>195</v>
      </c>
      <c r="AP285" s="247">
        <f t="shared" si="38"/>
        <v>0</v>
      </c>
      <c r="AQ285" s="247">
        <f t="shared" si="38"/>
        <v>0</v>
      </c>
      <c r="AR285" s="247">
        <f t="shared" si="38"/>
        <v>0</v>
      </c>
      <c r="AS285" s="194"/>
      <c r="AT285" s="754">
        <f t="shared" si="39"/>
        <v>0</v>
      </c>
      <c r="AU285" s="245"/>
      <c r="AV285" s="245"/>
      <c r="AW285" s="194"/>
      <c r="AX285" s="326"/>
      <c r="AY285" s="2"/>
    </row>
    <row r="286" spans="1:51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150"/>
      <c r="AM286" s="505" t="str">
        <f>AM279 &amp; ".7"</f>
        <v>15.7</v>
      </c>
      <c r="AN286" s="483" t="s">
        <v>596</v>
      </c>
      <c r="AO286" s="163" t="s">
        <v>195</v>
      </c>
      <c r="AP286" s="247">
        <f t="shared" si="38"/>
        <v>0</v>
      </c>
      <c r="AQ286" s="247">
        <f t="shared" si="38"/>
        <v>0</v>
      </c>
      <c r="AR286" s="247">
        <f t="shared" si="38"/>
        <v>0</v>
      </c>
      <c r="AS286" s="194"/>
      <c r="AT286" s="754">
        <f t="shared" si="39"/>
        <v>0</v>
      </c>
      <c r="AU286" s="245"/>
      <c r="AV286" s="245"/>
      <c r="AW286" s="194"/>
      <c r="AX286" s="326"/>
      <c r="AY286" s="2"/>
    </row>
    <row r="287" spans="1:51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150"/>
      <c r="AM287" s="505" t="str">
        <f>AM279 &amp; ".8"</f>
        <v>15.8</v>
      </c>
      <c r="AN287" s="482" t="s">
        <v>1168</v>
      </c>
      <c r="AO287" s="163" t="s">
        <v>195</v>
      </c>
      <c r="AP287" s="247">
        <f t="shared" si="38"/>
        <v>0</v>
      </c>
      <c r="AQ287" s="247">
        <f t="shared" si="38"/>
        <v>0</v>
      </c>
      <c r="AR287" s="247">
        <f t="shared" si="38"/>
        <v>0</v>
      </c>
      <c r="AS287" s="194"/>
      <c r="AT287" s="754">
        <f t="shared" si="39"/>
        <v>0</v>
      </c>
      <c r="AU287" s="245"/>
      <c r="AV287" s="245"/>
      <c r="AW287" s="194"/>
      <c r="AX287" s="326"/>
      <c r="AY287" s="2"/>
    </row>
    <row r="288" spans="1:51" ht="20.399999999999999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150"/>
      <c r="AM288" s="505" t="str">
        <f>AM279 &amp; ".9"</f>
        <v>15.9</v>
      </c>
      <c r="AN288" s="483" t="s">
        <v>599</v>
      </c>
      <c r="AO288" s="163" t="s">
        <v>195</v>
      </c>
      <c r="AP288" s="247">
        <f t="shared" si="38"/>
        <v>0</v>
      </c>
      <c r="AQ288" s="247">
        <f t="shared" si="38"/>
        <v>0</v>
      </c>
      <c r="AR288" s="247">
        <f t="shared" si="38"/>
        <v>0</v>
      </c>
      <c r="AS288" s="194"/>
      <c r="AT288" s="754">
        <f t="shared" si="39"/>
        <v>0</v>
      </c>
      <c r="AU288" s="245"/>
      <c r="AV288" s="245"/>
      <c r="AW288" s="194"/>
      <c r="AX288" s="326"/>
      <c r="AY288" s="2"/>
    </row>
    <row r="289" spans="1:51">
      <c r="A289" s="2"/>
      <c r="B289" s="2"/>
      <c r="C289" s="2"/>
      <c r="D289" s="2"/>
      <c r="E289" s="2"/>
      <c r="F289" s="2"/>
      <c r="G289" s="2"/>
      <c r="H289" s="2"/>
      <c r="I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150"/>
      <c r="AM289" s="505" t="str">
        <f>AM279 &amp; ".10"</f>
        <v>15.10</v>
      </c>
      <c r="AN289" s="483" t="s">
        <v>600</v>
      </c>
      <c r="AO289" s="163" t="s">
        <v>195</v>
      </c>
      <c r="AP289" s="247">
        <f t="shared" si="38"/>
        <v>0</v>
      </c>
      <c r="AQ289" s="247">
        <f t="shared" si="38"/>
        <v>0</v>
      </c>
      <c r="AR289" s="247">
        <f t="shared" si="38"/>
        <v>0</v>
      </c>
      <c r="AS289" s="194"/>
      <c r="AT289" s="754">
        <f t="shared" si="39"/>
        <v>0</v>
      </c>
      <c r="AU289" s="245"/>
      <c r="AV289" s="245"/>
      <c r="AW289" s="194"/>
      <c r="AX289" s="326"/>
      <c r="AY289" s="2"/>
    </row>
    <row r="290" spans="1:51" ht="20.399999999999999">
      <c r="A290" s="2"/>
      <c r="B290" s="2"/>
      <c r="C290" s="2"/>
      <c r="D290" s="2"/>
      <c r="E290" s="2"/>
      <c r="F290" s="2"/>
      <c r="G290" s="2"/>
      <c r="H290" s="2"/>
      <c r="I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150"/>
      <c r="AM290" s="505" t="str">
        <f>AM279 &amp; ".11"</f>
        <v>15.11</v>
      </c>
      <c r="AN290" s="483" t="s">
        <v>631</v>
      </c>
      <c r="AO290" s="163" t="s">
        <v>195</v>
      </c>
      <c r="AP290" s="247">
        <f t="shared" si="38"/>
        <v>0</v>
      </c>
      <c r="AQ290" s="247">
        <f t="shared" si="38"/>
        <v>0</v>
      </c>
      <c r="AR290" s="247">
        <f t="shared" si="38"/>
        <v>0</v>
      </c>
      <c r="AS290" s="194"/>
      <c r="AT290" s="754">
        <f t="shared" si="39"/>
        <v>0</v>
      </c>
      <c r="AU290" s="245"/>
      <c r="AV290" s="245"/>
      <c r="AW290" s="194"/>
      <c r="AX290" s="326"/>
      <c r="AY290" s="2"/>
    </row>
    <row r="291" spans="1:51">
      <c r="A291" s="2"/>
      <c r="B291" s="2"/>
      <c r="C291" s="2"/>
      <c r="D291" s="2"/>
      <c r="E291" s="2"/>
      <c r="F291" s="2"/>
      <c r="G291" s="2"/>
      <c r="H291" s="2"/>
      <c r="I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150"/>
      <c r="AM291" s="505" t="str">
        <f>AM279 &amp; ".12"</f>
        <v>15.12</v>
      </c>
      <c r="AN291" s="482" t="s">
        <v>1169</v>
      </c>
      <c r="AO291" s="443" t="s">
        <v>195</v>
      </c>
      <c r="AP291" s="247">
        <f t="shared" si="38"/>
        <v>56.71</v>
      </c>
      <c r="AQ291" s="247">
        <f t="shared" si="38"/>
        <v>28.355</v>
      </c>
      <c r="AR291" s="247">
        <f t="shared" si="38"/>
        <v>28.355</v>
      </c>
      <c r="AS291" s="194"/>
      <c r="AT291" s="754">
        <f t="shared" si="39"/>
        <v>56.71</v>
      </c>
      <c r="AU291" s="245">
        <f>56.71/2</f>
        <v>28.355</v>
      </c>
      <c r="AV291" s="245">
        <f>AU291</f>
        <v>28.355</v>
      </c>
      <c r="AW291" s="194"/>
      <c r="AX291" s="326"/>
      <c r="AY291" s="2"/>
    </row>
    <row r="292" spans="1:51" ht="0.75" hidden="1" customHeight="1">
      <c r="A292" s="2"/>
      <c r="B292" s="2"/>
      <c r="C292" s="2"/>
      <c r="D292" s="2"/>
      <c r="E292" s="2"/>
      <c r="F292" s="2"/>
      <c r="G292" s="2"/>
      <c r="H292" s="2"/>
      <c r="I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150"/>
      <c r="AM292" s="506"/>
      <c r="AN292" s="507"/>
      <c r="AO292" s="444"/>
      <c r="AP292" s="261"/>
      <c r="AQ292" s="261"/>
      <c r="AR292" s="261"/>
      <c r="AS292" s="194"/>
      <c r="AT292" s="241"/>
      <c r="AU292" s="241"/>
      <c r="AV292" s="241"/>
      <c r="AW292" s="194"/>
      <c r="AX292" s="114"/>
      <c r="AY292" s="2"/>
    </row>
    <row r="293" spans="1:51">
      <c r="A293" s="2"/>
      <c r="B293" s="2"/>
      <c r="C293" s="2"/>
      <c r="D293" s="2"/>
      <c r="E293" s="2"/>
      <c r="F293" s="2"/>
      <c r="G293" s="2"/>
      <c r="H293" s="2"/>
      <c r="I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150"/>
      <c r="AM293" s="570" t="s">
        <v>2103</v>
      </c>
      <c r="AN293" s="494" t="s">
        <v>1010</v>
      </c>
      <c r="AO293" s="163" t="s">
        <v>195</v>
      </c>
      <c r="AP293" s="247">
        <f t="shared" ref="AP293:AR312" si="40">SUMIF($AS$9:$AW$9,AP$9,$AS293:$AW293)</f>
        <v>0</v>
      </c>
      <c r="AQ293" s="247">
        <f t="shared" si="40"/>
        <v>0</v>
      </c>
      <c r="AR293" s="247">
        <f t="shared" si="40"/>
        <v>0</v>
      </c>
      <c r="AS293" s="194"/>
      <c r="AT293" s="754">
        <f t="shared" ref="AT293:AT329" si="41">AU293+AV293</f>
        <v>0</v>
      </c>
      <c r="AU293" s="754">
        <f>SUM(AU294:AU296)</f>
        <v>0</v>
      </c>
      <c r="AV293" s="754">
        <f>SUM(AV294:AV296)</f>
        <v>0</v>
      </c>
      <c r="AW293" s="194"/>
      <c r="AX293" s="326"/>
      <c r="AY293" s="2"/>
    </row>
    <row r="294" spans="1:51">
      <c r="A294" s="2"/>
      <c r="B294" s="2"/>
      <c r="C294" s="2"/>
      <c r="D294" s="2"/>
      <c r="E294" s="2"/>
      <c r="F294" s="2"/>
      <c r="G294" s="2"/>
      <c r="H294" s="2"/>
      <c r="I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150"/>
      <c r="AM294" s="516" t="s">
        <v>2104</v>
      </c>
      <c r="AN294" s="546" t="s">
        <v>2100</v>
      </c>
      <c r="AO294" s="163" t="s">
        <v>195</v>
      </c>
      <c r="AP294" s="247">
        <f t="shared" si="40"/>
        <v>0</v>
      </c>
      <c r="AQ294" s="247">
        <f t="shared" si="40"/>
        <v>0</v>
      </c>
      <c r="AR294" s="247">
        <f t="shared" si="40"/>
        <v>0</v>
      </c>
      <c r="AS294" s="194"/>
      <c r="AT294" s="754">
        <f t="shared" si="41"/>
        <v>0</v>
      </c>
      <c r="AU294" s="245"/>
      <c r="AV294" s="245"/>
      <c r="AW294" s="194"/>
      <c r="AX294" s="326"/>
      <c r="AY294" s="2"/>
    </row>
    <row r="295" spans="1:51">
      <c r="A295" s="2"/>
      <c r="B295" s="2"/>
      <c r="C295" s="2"/>
      <c r="D295" s="2"/>
      <c r="E295" s="2"/>
      <c r="F295" s="2"/>
      <c r="G295" s="2"/>
      <c r="H295" s="2"/>
      <c r="I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150"/>
      <c r="AM295" s="516" t="s">
        <v>2105</v>
      </c>
      <c r="AN295" s="546" t="s">
        <v>2101</v>
      </c>
      <c r="AO295" s="163" t="s">
        <v>195</v>
      </c>
      <c r="AP295" s="247">
        <f t="shared" si="40"/>
        <v>0</v>
      </c>
      <c r="AQ295" s="247">
        <f t="shared" si="40"/>
        <v>0</v>
      </c>
      <c r="AR295" s="247">
        <f t="shared" si="40"/>
        <v>0</v>
      </c>
      <c r="AS295" s="194"/>
      <c r="AT295" s="754">
        <f t="shared" si="41"/>
        <v>0</v>
      </c>
      <c r="AU295" s="245"/>
      <c r="AV295" s="245"/>
      <c r="AW295" s="194"/>
      <c r="AX295" s="326"/>
      <c r="AY295" s="2"/>
    </row>
    <row r="296" spans="1:51">
      <c r="A296" s="2"/>
      <c r="B296" s="2"/>
      <c r="C296" s="2"/>
      <c r="D296" s="2"/>
      <c r="E296" s="2"/>
      <c r="F296" s="2"/>
      <c r="G296" s="2"/>
      <c r="H296" s="2"/>
      <c r="I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150"/>
      <c r="AM296" s="516" t="s">
        <v>2106</v>
      </c>
      <c r="AN296" s="546" t="s">
        <v>1025</v>
      </c>
      <c r="AO296" s="163" t="s">
        <v>195</v>
      </c>
      <c r="AP296" s="247">
        <f t="shared" si="40"/>
        <v>0</v>
      </c>
      <c r="AQ296" s="247">
        <f t="shared" si="40"/>
        <v>0</v>
      </c>
      <c r="AR296" s="247">
        <f t="shared" si="40"/>
        <v>0</v>
      </c>
      <c r="AS296" s="194"/>
      <c r="AT296" s="754">
        <f t="shared" si="41"/>
        <v>0</v>
      </c>
      <c r="AU296" s="245"/>
      <c r="AV296" s="245"/>
      <c r="AW296" s="194"/>
      <c r="AX296" s="326"/>
      <c r="AY296" s="2"/>
    </row>
    <row r="297" spans="1:51">
      <c r="A297" s="2"/>
      <c r="B297" s="2"/>
      <c r="C297" s="2"/>
      <c r="D297" s="2"/>
      <c r="E297" s="2"/>
      <c r="F297" s="2"/>
      <c r="G297" s="2"/>
      <c r="H297" s="2"/>
      <c r="I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150"/>
      <c r="AM297" s="490" t="s">
        <v>551</v>
      </c>
      <c r="AN297" s="494" t="s">
        <v>1170</v>
      </c>
      <c r="AO297" s="443" t="s">
        <v>195</v>
      </c>
      <c r="AP297" s="247">
        <f t="shared" si="40"/>
        <v>0</v>
      </c>
      <c r="AQ297" s="247">
        <f t="shared" si="40"/>
        <v>0</v>
      </c>
      <c r="AR297" s="247">
        <f t="shared" si="40"/>
        <v>0</v>
      </c>
      <c r="AS297" s="194"/>
      <c r="AT297" s="754">
        <f t="shared" si="41"/>
        <v>0</v>
      </c>
      <c r="AU297" s="245"/>
      <c r="AV297" s="245"/>
      <c r="AW297" s="194"/>
      <c r="AX297" s="326"/>
      <c r="AY297" s="2"/>
    </row>
    <row r="298" spans="1:51">
      <c r="A298" s="2"/>
      <c r="B298" s="2"/>
      <c r="C298" s="2"/>
      <c r="D298" s="2"/>
      <c r="E298" s="2"/>
      <c r="F298" s="2"/>
      <c r="G298" s="2"/>
      <c r="H298" s="2"/>
      <c r="I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150"/>
      <c r="AM298" s="490" t="s">
        <v>552</v>
      </c>
      <c r="AN298" s="494" t="s">
        <v>1171</v>
      </c>
      <c r="AO298" s="443" t="s">
        <v>195</v>
      </c>
      <c r="AP298" s="247">
        <f t="shared" si="40"/>
        <v>0</v>
      </c>
      <c r="AQ298" s="247">
        <f t="shared" si="40"/>
        <v>0</v>
      </c>
      <c r="AR298" s="247">
        <f t="shared" si="40"/>
        <v>0</v>
      </c>
      <c r="AS298" s="194"/>
      <c r="AT298" s="754">
        <f t="shared" si="41"/>
        <v>0</v>
      </c>
      <c r="AU298" s="245"/>
      <c r="AV298" s="245"/>
      <c r="AW298" s="194"/>
      <c r="AX298" s="326"/>
      <c r="AY298" s="2"/>
    </row>
    <row r="299" spans="1:51" ht="20.399999999999999">
      <c r="A299" s="2"/>
      <c r="B299" s="2"/>
      <c r="C299" s="2"/>
      <c r="D299" s="2"/>
      <c r="E299" s="2"/>
      <c r="F299" s="2"/>
      <c r="G299" s="2"/>
      <c r="H299" s="2"/>
      <c r="I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150"/>
      <c r="AM299" s="490" t="s">
        <v>553</v>
      </c>
      <c r="AN299" s="494" t="s">
        <v>1172</v>
      </c>
      <c r="AO299" s="443" t="s">
        <v>195</v>
      </c>
      <c r="AP299" s="247">
        <f t="shared" si="40"/>
        <v>0</v>
      </c>
      <c r="AQ299" s="247">
        <f t="shared" si="40"/>
        <v>0</v>
      </c>
      <c r="AR299" s="247">
        <f t="shared" si="40"/>
        <v>0</v>
      </c>
      <c r="AS299" s="194"/>
      <c r="AT299" s="754">
        <f t="shared" si="41"/>
        <v>0</v>
      </c>
      <c r="AU299" s="245"/>
      <c r="AV299" s="245"/>
      <c r="AW299" s="194"/>
      <c r="AX299" s="326"/>
      <c r="AY299" s="2"/>
    </row>
    <row r="300" spans="1:51">
      <c r="A300" s="2"/>
      <c r="B300" s="2"/>
      <c r="C300" s="2"/>
      <c r="D300" s="2"/>
      <c r="E300" s="2"/>
      <c r="F300" s="2"/>
      <c r="G300" s="2"/>
      <c r="H300" s="2"/>
      <c r="I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150"/>
      <c r="AM300" s="490" t="s">
        <v>603</v>
      </c>
      <c r="AN300" s="494" t="s">
        <v>1173</v>
      </c>
      <c r="AO300" s="443" t="s">
        <v>195</v>
      </c>
      <c r="AP300" s="247">
        <f t="shared" si="40"/>
        <v>0</v>
      </c>
      <c r="AQ300" s="247">
        <f t="shared" si="40"/>
        <v>0</v>
      </c>
      <c r="AR300" s="247">
        <f t="shared" si="40"/>
        <v>0</v>
      </c>
      <c r="AS300" s="194"/>
      <c r="AT300" s="754">
        <f t="shared" si="41"/>
        <v>0</v>
      </c>
      <c r="AU300" s="245"/>
      <c r="AV300" s="245"/>
      <c r="AW300" s="194"/>
      <c r="AX300" s="326"/>
      <c r="AY300" s="2"/>
    </row>
    <row r="301" spans="1:51">
      <c r="A301" s="2"/>
      <c r="B301" s="2"/>
      <c r="C301" s="2"/>
      <c r="D301" s="2"/>
      <c r="E301" s="2"/>
      <c r="F301" s="2"/>
      <c r="G301" s="2"/>
      <c r="H301" s="2"/>
      <c r="I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150"/>
      <c r="AM301" s="490" t="s">
        <v>606</v>
      </c>
      <c r="AN301" s="494" t="s">
        <v>1174</v>
      </c>
      <c r="AO301" s="443" t="s">
        <v>195</v>
      </c>
      <c r="AP301" s="247">
        <f t="shared" si="40"/>
        <v>2992.9964421507998</v>
      </c>
      <c r="AQ301" s="247">
        <f t="shared" si="40"/>
        <v>1580.8732210753999</v>
      </c>
      <c r="AR301" s="247">
        <f t="shared" si="40"/>
        <v>1412.1232210753999</v>
      </c>
      <c r="AS301" s="194"/>
      <c r="AT301" s="754">
        <f t="shared" si="41"/>
        <v>2992.9964421507998</v>
      </c>
      <c r="AU301" s="754">
        <f>SUM(AU302,AU303)</f>
        <v>1580.8732210753999</v>
      </c>
      <c r="AV301" s="754">
        <f>SUM(AV302,AV303)</f>
        <v>1412.1232210753999</v>
      </c>
      <c r="AW301" s="194"/>
      <c r="AX301" s="326"/>
      <c r="AY301" s="2"/>
    </row>
    <row r="302" spans="1:51">
      <c r="A302" s="2"/>
      <c r="B302" s="2"/>
      <c r="C302" s="2"/>
      <c r="D302" s="2"/>
      <c r="E302" s="2"/>
      <c r="F302" s="2"/>
      <c r="G302" s="2"/>
      <c r="H302" s="2"/>
      <c r="I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150"/>
      <c r="AM302" s="505" t="str">
        <f>AM301 &amp; ".1"</f>
        <v>20.1</v>
      </c>
      <c r="AN302" s="484" t="s">
        <v>939</v>
      </c>
      <c r="AO302" s="443" t="s">
        <v>195</v>
      </c>
      <c r="AP302" s="247">
        <f t="shared" si="40"/>
        <v>2824.2464421507998</v>
      </c>
      <c r="AQ302" s="247">
        <f t="shared" si="40"/>
        <v>1412.1232210753999</v>
      </c>
      <c r="AR302" s="247">
        <f t="shared" si="40"/>
        <v>1412.1232210753999</v>
      </c>
      <c r="AS302" s="194"/>
      <c r="AT302" s="754">
        <f t="shared" si="41"/>
        <v>2824.2464421507998</v>
      </c>
      <c r="AU302" s="245">
        <f>2824.2464421508/2</f>
        <v>1412.1232210753999</v>
      </c>
      <c r="AV302" s="245">
        <f>AU302</f>
        <v>1412.1232210753999</v>
      </c>
      <c r="AW302" s="194"/>
      <c r="AX302" s="326"/>
      <c r="AY302" s="2"/>
    </row>
    <row r="303" spans="1:51">
      <c r="A303" s="2"/>
      <c r="B303" s="2"/>
      <c r="C303" s="2"/>
      <c r="D303" s="2"/>
      <c r="E303" s="2"/>
      <c r="F303" s="2"/>
      <c r="G303" s="2"/>
      <c r="H303" s="2"/>
      <c r="I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150"/>
      <c r="AM303" s="505" t="str">
        <f>AM301 &amp; ".2"</f>
        <v>20.2</v>
      </c>
      <c r="AN303" s="484" t="s">
        <v>1175</v>
      </c>
      <c r="AO303" s="443" t="s">
        <v>195</v>
      </c>
      <c r="AP303" s="247">
        <f t="shared" si="40"/>
        <v>168.75</v>
      </c>
      <c r="AQ303" s="247">
        <f t="shared" si="40"/>
        <v>168.75</v>
      </c>
      <c r="AR303" s="247">
        <f t="shared" si="40"/>
        <v>0</v>
      </c>
      <c r="AS303" s="194"/>
      <c r="AT303" s="754">
        <f t="shared" si="41"/>
        <v>168.75</v>
      </c>
      <c r="AU303" s="245">
        <v>168.75</v>
      </c>
      <c r="AV303" s="245"/>
      <c r="AW303" s="194"/>
      <c r="AX303" s="326"/>
      <c r="AY303" s="2"/>
    </row>
    <row r="304" spans="1:51" ht="20.399999999999999">
      <c r="A304" s="2"/>
      <c r="B304" s="2"/>
      <c r="C304" s="2"/>
      <c r="D304" s="2"/>
      <c r="E304" s="2"/>
      <c r="F304" s="2"/>
      <c r="G304" s="2"/>
      <c r="H304" s="2"/>
      <c r="I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150"/>
      <c r="AM304" s="490" t="s">
        <v>607</v>
      </c>
      <c r="AN304" s="494" t="s">
        <v>1176</v>
      </c>
      <c r="AO304" s="443" t="s">
        <v>195</v>
      </c>
      <c r="AP304" s="247">
        <f t="shared" si="40"/>
        <v>0</v>
      </c>
      <c r="AQ304" s="247">
        <f t="shared" si="40"/>
        <v>0</v>
      </c>
      <c r="AR304" s="247">
        <f t="shared" si="40"/>
        <v>0</v>
      </c>
      <c r="AS304" s="194"/>
      <c r="AT304" s="754">
        <f t="shared" si="41"/>
        <v>0</v>
      </c>
      <c r="AU304" s="245"/>
      <c r="AV304" s="245"/>
      <c r="AW304" s="194"/>
      <c r="AX304" s="326"/>
      <c r="AY304" s="2"/>
    </row>
    <row r="305" spans="1:51">
      <c r="A305" s="2"/>
      <c r="B305" s="2"/>
      <c r="C305" s="2"/>
      <c r="D305" s="2"/>
      <c r="E305" s="2"/>
      <c r="F305" s="2"/>
      <c r="G305" s="2"/>
      <c r="H305" s="2"/>
      <c r="I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150"/>
      <c r="AM305" s="490" t="s">
        <v>608</v>
      </c>
      <c r="AN305" s="494" t="s">
        <v>1177</v>
      </c>
      <c r="AO305" s="443" t="s">
        <v>195</v>
      </c>
      <c r="AP305" s="247">
        <f t="shared" si="40"/>
        <v>0</v>
      </c>
      <c r="AQ305" s="247">
        <f t="shared" si="40"/>
        <v>0</v>
      </c>
      <c r="AR305" s="247">
        <f t="shared" si="40"/>
        <v>0</v>
      </c>
      <c r="AS305" s="194"/>
      <c r="AT305" s="754">
        <f t="shared" si="41"/>
        <v>0</v>
      </c>
      <c r="AU305" s="754">
        <f>SUM(AU306,AU307)</f>
        <v>0</v>
      </c>
      <c r="AV305" s="754">
        <f>SUM(AV306,AV307)</f>
        <v>0</v>
      </c>
      <c r="AW305" s="194"/>
      <c r="AX305" s="326"/>
      <c r="AY305" s="2"/>
    </row>
    <row r="306" spans="1:51">
      <c r="A306" s="2"/>
      <c r="B306" s="2"/>
      <c r="C306" s="2"/>
      <c r="D306" s="2"/>
      <c r="E306" s="2"/>
      <c r="F306" s="2"/>
      <c r="G306" s="2"/>
      <c r="H306" s="2"/>
      <c r="I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150"/>
      <c r="AM306" s="505" t="str">
        <f>AM305 &amp; ".1"</f>
        <v>22.1</v>
      </c>
      <c r="AN306" s="485" t="s">
        <v>1178</v>
      </c>
      <c r="AO306" s="443" t="s">
        <v>195</v>
      </c>
      <c r="AP306" s="247">
        <f t="shared" si="40"/>
        <v>0</v>
      </c>
      <c r="AQ306" s="247">
        <f t="shared" si="40"/>
        <v>0</v>
      </c>
      <c r="AR306" s="247">
        <f t="shared" si="40"/>
        <v>0</v>
      </c>
      <c r="AS306" s="194"/>
      <c r="AT306" s="754">
        <f t="shared" si="41"/>
        <v>0</v>
      </c>
      <c r="AU306" s="245"/>
      <c r="AV306" s="245"/>
      <c r="AW306" s="194"/>
      <c r="AX306" s="326"/>
      <c r="AY306" s="2"/>
    </row>
    <row r="307" spans="1:51">
      <c r="A307" s="2"/>
      <c r="B307" s="2"/>
      <c r="C307" s="2"/>
      <c r="D307" s="2"/>
      <c r="E307" s="2"/>
      <c r="F307" s="2"/>
      <c r="G307" s="2"/>
      <c r="H307" s="2"/>
      <c r="I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150"/>
      <c r="AM307" s="505" t="str">
        <f>AM305 &amp; ".2"</f>
        <v>22.2</v>
      </c>
      <c r="AN307" s="485" t="s">
        <v>1179</v>
      </c>
      <c r="AO307" s="443" t="s">
        <v>195</v>
      </c>
      <c r="AP307" s="247">
        <f t="shared" si="40"/>
        <v>0</v>
      </c>
      <c r="AQ307" s="247">
        <f t="shared" si="40"/>
        <v>0</v>
      </c>
      <c r="AR307" s="247">
        <f t="shared" si="40"/>
        <v>0</v>
      </c>
      <c r="AS307" s="194"/>
      <c r="AT307" s="754">
        <f t="shared" si="41"/>
        <v>0</v>
      </c>
      <c r="AU307" s="245"/>
      <c r="AV307" s="245"/>
      <c r="AW307" s="194"/>
      <c r="AX307" s="326"/>
      <c r="AY307" s="2"/>
    </row>
    <row r="308" spans="1:51">
      <c r="A308" s="2"/>
      <c r="B308" s="2"/>
      <c r="C308" s="2"/>
      <c r="D308" s="2"/>
      <c r="E308" s="2"/>
      <c r="F308" s="2"/>
      <c r="G308" s="2"/>
      <c r="H308" s="2"/>
      <c r="I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150"/>
      <c r="AM308" s="490" t="s">
        <v>280</v>
      </c>
      <c r="AN308" s="494" t="s">
        <v>1011</v>
      </c>
      <c r="AO308" s="443" t="s">
        <v>195</v>
      </c>
      <c r="AP308" s="247">
        <f t="shared" si="40"/>
        <v>0</v>
      </c>
      <c r="AQ308" s="247">
        <f t="shared" si="40"/>
        <v>0</v>
      </c>
      <c r="AR308" s="247">
        <f t="shared" si="40"/>
        <v>0</v>
      </c>
      <c r="AS308" s="194"/>
      <c r="AT308" s="754">
        <f t="shared" si="41"/>
        <v>0</v>
      </c>
      <c r="AU308" s="245"/>
      <c r="AV308" s="245"/>
      <c r="AW308" s="194"/>
      <c r="AX308" s="326"/>
      <c r="AY308" s="2"/>
    </row>
    <row r="309" spans="1:51">
      <c r="A309" s="2"/>
      <c r="B309" s="2"/>
      <c r="C309" s="2"/>
      <c r="D309" s="2"/>
      <c r="E309" s="2"/>
      <c r="F309" s="2"/>
      <c r="G309" s="2"/>
      <c r="H309" s="2"/>
      <c r="I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150"/>
      <c r="AM309" s="490" t="s">
        <v>281</v>
      </c>
      <c r="AN309" s="494" t="s">
        <v>1180</v>
      </c>
      <c r="AO309" s="443" t="s">
        <v>195</v>
      </c>
      <c r="AP309" s="247">
        <f t="shared" si="40"/>
        <v>0</v>
      </c>
      <c r="AQ309" s="247">
        <f t="shared" si="40"/>
        <v>0</v>
      </c>
      <c r="AR309" s="247">
        <f t="shared" si="40"/>
        <v>0</v>
      </c>
      <c r="AS309" s="194"/>
      <c r="AT309" s="754">
        <f t="shared" si="41"/>
        <v>0</v>
      </c>
      <c r="AU309" s="754">
        <f>SUM(AU310,AU311,AU312)</f>
        <v>0</v>
      </c>
      <c r="AV309" s="754">
        <f>SUM(AV310,AV311,AV312)</f>
        <v>0</v>
      </c>
      <c r="AW309" s="194"/>
      <c r="AX309" s="326"/>
      <c r="AY309" s="2"/>
    </row>
    <row r="310" spans="1:51">
      <c r="A310" s="2"/>
      <c r="B310" s="2"/>
      <c r="C310" s="2"/>
      <c r="D310" s="2"/>
      <c r="E310" s="2"/>
      <c r="F310" s="2"/>
      <c r="G310" s="2"/>
      <c r="H310" s="2"/>
      <c r="I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150"/>
      <c r="AM310" s="505" t="str">
        <f>AM309 &amp; ".1"</f>
        <v>24.1</v>
      </c>
      <c r="AN310" s="485" t="s">
        <v>1181</v>
      </c>
      <c r="AO310" s="443" t="s">
        <v>195</v>
      </c>
      <c r="AP310" s="247">
        <f t="shared" si="40"/>
        <v>0</v>
      </c>
      <c r="AQ310" s="247">
        <f t="shared" si="40"/>
        <v>0</v>
      </c>
      <c r="AR310" s="247">
        <f t="shared" si="40"/>
        <v>0</v>
      </c>
      <c r="AS310" s="194"/>
      <c r="AT310" s="754">
        <f t="shared" si="41"/>
        <v>0</v>
      </c>
      <c r="AU310" s="245"/>
      <c r="AV310" s="245"/>
      <c r="AW310" s="194"/>
      <c r="AX310" s="326"/>
      <c r="AY310" s="2"/>
    </row>
    <row r="311" spans="1:51" ht="30.6">
      <c r="A311" s="2"/>
      <c r="B311" s="2"/>
      <c r="C311" s="2"/>
      <c r="D311" s="2"/>
      <c r="E311" s="2"/>
      <c r="F311" s="2"/>
      <c r="G311" s="2"/>
      <c r="H311" s="2"/>
      <c r="I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150"/>
      <c r="AM311" s="505" t="str">
        <f>AM309 &amp; ".2"</f>
        <v>24.2</v>
      </c>
      <c r="AN311" s="485" t="s">
        <v>1182</v>
      </c>
      <c r="AO311" s="443" t="s">
        <v>195</v>
      </c>
      <c r="AP311" s="247">
        <f t="shared" si="40"/>
        <v>0</v>
      </c>
      <c r="AQ311" s="247">
        <f t="shared" si="40"/>
        <v>0</v>
      </c>
      <c r="AR311" s="247">
        <f t="shared" si="40"/>
        <v>0</v>
      </c>
      <c r="AS311" s="194"/>
      <c r="AT311" s="754">
        <f t="shared" si="41"/>
        <v>0</v>
      </c>
      <c r="AU311" s="245"/>
      <c r="AV311" s="245"/>
      <c r="AW311" s="194"/>
      <c r="AX311" s="326"/>
      <c r="AY311" s="2"/>
    </row>
    <row r="312" spans="1:51" ht="30.6">
      <c r="A312" s="2"/>
      <c r="B312" s="2"/>
      <c r="C312" s="2"/>
      <c r="D312" s="2"/>
      <c r="E312" s="2"/>
      <c r="F312" s="2"/>
      <c r="G312" s="2"/>
      <c r="H312" s="2"/>
      <c r="I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150"/>
      <c r="AM312" s="505" t="str">
        <f>AM309 &amp; ".3"</f>
        <v>24.3</v>
      </c>
      <c r="AN312" s="485" t="s">
        <v>1183</v>
      </c>
      <c r="AO312" s="443" t="s">
        <v>195</v>
      </c>
      <c r="AP312" s="247">
        <f t="shared" si="40"/>
        <v>0</v>
      </c>
      <c r="AQ312" s="247">
        <f t="shared" si="40"/>
        <v>0</v>
      </c>
      <c r="AR312" s="247">
        <f t="shared" si="40"/>
        <v>0</v>
      </c>
      <c r="AS312" s="194"/>
      <c r="AT312" s="754">
        <f t="shared" si="41"/>
        <v>0</v>
      </c>
      <c r="AU312" s="245"/>
      <c r="AV312" s="245"/>
      <c r="AW312" s="194"/>
      <c r="AX312" s="326"/>
      <c r="AY312" s="2"/>
    </row>
    <row r="313" spans="1:51" ht="20.399999999999999">
      <c r="A313" s="2"/>
      <c r="B313" s="2"/>
      <c r="C313" s="2"/>
      <c r="D313" s="2"/>
      <c r="E313" s="2"/>
      <c r="F313" s="2"/>
      <c r="G313" s="2"/>
      <c r="H313" s="2"/>
      <c r="I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150"/>
      <c r="AM313" s="490" t="s">
        <v>1027</v>
      </c>
      <c r="AN313" s="494" t="s">
        <v>1184</v>
      </c>
      <c r="AO313" s="443" t="s">
        <v>195</v>
      </c>
      <c r="AP313" s="247">
        <f t="shared" ref="AP313:AR329" si="42">SUMIF($AS$9:$AW$9,AP$9,$AS313:$AW313)</f>
        <v>183.76673</v>
      </c>
      <c r="AQ313" s="247">
        <f t="shared" si="42"/>
        <v>91.883364999999998</v>
      </c>
      <c r="AR313" s="247">
        <f t="shared" si="42"/>
        <v>91.883364999999998</v>
      </c>
      <c r="AS313" s="194"/>
      <c r="AT313" s="754">
        <f t="shared" si="41"/>
        <v>183.76673</v>
      </c>
      <c r="AU313" s="754">
        <f>SUM(AU314:AU317)</f>
        <v>91.883364999999998</v>
      </c>
      <c r="AV313" s="754">
        <f>SUM(AV314:AV317)</f>
        <v>91.883364999999998</v>
      </c>
      <c r="AW313" s="194"/>
      <c r="AX313" s="326"/>
      <c r="AY313" s="2"/>
    </row>
    <row r="314" spans="1:51" ht="40.799999999999997">
      <c r="A314" s="2"/>
      <c r="B314" s="2"/>
      <c r="C314" s="2"/>
      <c r="D314" s="2"/>
      <c r="E314" s="2"/>
      <c r="F314" s="2"/>
      <c r="G314" s="2"/>
      <c r="H314" s="2"/>
      <c r="I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150"/>
      <c r="AM314" s="505" t="str">
        <f>AM313 &amp; ".1"</f>
        <v>25.1</v>
      </c>
      <c r="AN314" s="486" t="s">
        <v>1185</v>
      </c>
      <c r="AO314" s="443" t="s">
        <v>195</v>
      </c>
      <c r="AP314" s="247">
        <f t="shared" si="42"/>
        <v>0.42496</v>
      </c>
      <c r="AQ314" s="247">
        <f t="shared" si="42"/>
        <v>0.21248</v>
      </c>
      <c r="AR314" s="247">
        <f t="shared" si="42"/>
        <v>0.21248</v>
      </c>
      <c r="AS314" s="194"/>
      <c r="AT314" s="754">
        <f t="shared" si="41"/>
        <v>0.42496</v>
      </c>
      <c r="AU314" s="245">
        <v>0.21248</v>
      </c>
      <c r="AV314" s="245">
        <v>0.21248</v>
      </c>
      <c r="AW314" s="194"/>
      <c r="AX314" s="326"/>
      <c r="AY314" s="2"/>
    </row>
    <row r="315" spans="1:51">
      <c r="A315" s="2"/>
      <c r="B315" s="2"/>
      <c r="C315" s="2"/>
      <c r="D315" s="2"/>
      <c r="E315" s="2"/>
      <c r="F315" s="2"/>
      <c r="G315" s="2"/>
      <c r="H315" s="2"/>
      <c r="I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150"/>
      <c r="AM315" s="505" t="str">
        <f>AM313 &amp; ".2"</f>
        <v>25.2</v>
      </c>
      <c r="AN315" s="486" t="s">
        <v>1186</v>
      </c>
      <c r="AO315" s="443" t="s">
        <v>195</v>
      </c>
      <c r="AP315" s="247">
        <f t="shared" si="42"/>
        <v>0</v>
      </c>
      <c r="AQ315" s="247">
        <f t="shared" si="42"/>
        <v>0</v>
      </c>
      <c r="AR315" s="247">
        <f t="shared" si="42"/>
        <v>0</v>
      </c>
      <c r="AS315" s="194"/>
      <c r="AT315" s="754">
        <f t="shared" si="41"/>
        <v>0</v>
      </c>
      <c r="AU315" s="245"/>
      <c r="AV315" s="245"/>
      <c r="AW315" s="194"/>
      <c r="AX315" s="326"/>
      <c r="AY315" s="2"/>
    </row>
    <row r="316" spans="1:51">
      <c r="A316" s="2"/>
      <c r="B316" s="2"/>
      <c r="C316" s="2"/>
      <c r="D316" s="2"/>
      <c r="E316" s="2"/>
      <c r="F316" s="2"/>
      <c r="G316" s="2"/>
      <c r="H316" s="2"/>
      <c r="I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150"/>
      <c r="AM316" s="505" t="str">
        <f>AM313 &amp; ".3"</f>
        <v>25.3</v>
      </c>
      <c r="AN316" s="486" t="s">
        <v>1187</v>
      </c>
      <c r="AO316" s="443" t="s">
        <v>195</v>
      </c>
      <c r="AP316" s="247">
        <f t="shared" si="42"/>
        <v>21.04</v>
      </c>
      <c r="AQ316" s="247">
        <f t="shared" si="42"/>
        <v>10.52</v>
      </c>
      <c r="AR316" s="247">
        <f t="shared" si="42"/>
        <v>10.52</v>
      </c>
      <c r="AS316" s="194"/>
      <c r="AT316" s="754">
        <f t="shared" si="41"/>
        <v>21.04</v>
      </c>
      <c r="AU316" s="245">
        <f>21.04/2</f>
        <v>10.52</v>
      </c>
      <c r="AV316" s="245">
        <f>AU316</f>
        <v>10.52</v>
      </c>
      <c r="AW316" s="194"/>
      <c r="AX316" s="326"/>
      <c r="AY316" s="2"/>
    </row>
    <row r="317" spans="1:51">
      <c r="A317" s="2"/>
      <c r="B317" s="2"/>
      <c r="C317" s="2"/>
      <c r="D317" s="2"/>
      <c r="E317" s="2"/>
      <c r="F317" s="2"/>
      <c r="G317" s="2"/>
      <c r="H317" s="2"/>
      <c r="I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150"/>
      <c r="AM317" s="505" t="str">
        <f>AM313 &amp; ".4"</f>
        <v>25.4</v>
      </c>
      <c r="AN317" s="485" t="s">
        <v>1188</v>
      </c>
      <c r="AO317" s="443" t="s">
        <v>195</v>
      </c>
      <c r="AP317" s="247">
        <f t="shared" si="42"/>
        <v>162.30177</v>
      </c>
      <c r="AQ317" s="247">
        <f t="shared" si="42"/>
        <v>81.150885000000002</v>
      </c>
      <c r="AR317" s="247">
        <f t="shared" si="42"/>
        <v>81.150885000000002</v>
      </c>
      <c r="AS317" s="194"/>
      <c r="AT317" s="754">
        <f t="shared" si="41"/>
        <v>162.30177</v>
      </c>
      <c r="AU317" s="754">
        <f>SUM(AU318:AU322)</f>
        <v>81.150885000000002</v>
      </c>
      <c r="AV317" s="754">
        <f>SUM(AV318:AV322)</f>
        <v>81.150885000000002</v>
      </c>
      <c r="AW317" s="194"/>
      <c r="AX317" s="326"/>
      <c r="AY317" s="2"/>
    </row>
    <row r="318" spans="1:51">
      <c r="A318" s="2"/>
      <c r="B318" s="2"/>
      <c r="C318" s="2"/>
      <c r="D318" s="2"/>
      <c r="E318" s="2"/>
      <c r="F318" s="2"/>
      <c r="G318" s="2"/>
      <c r="H318" s="2"/>
      <c r="I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150"/>
      <c r="AM318" s="505" t="str">
        <f>AM317 &amp; ".1"</f>
        <v>25.4.1</v>
      </c>
      <c r="AN318" s="487" t="s">
        <v>1189</v>
      </c>
      <c r="AO318" s="443" t="s">
        <v>195</v>
      </c>
      <c r="AP318" s="247">
        <f t="shared" si="42"/>
        <v>87.567949999999996</v>
      </c>
      <c r="AQ318" s="247">
        <f t="shared" si="42"/>
        <v>43.783974999999998</v>
      </c>
      <c r="AR318" s="247">
        <f t="shared" si="42"/>
        <v>43.783974999999998</v>
      </c>
      <c r="AS318" s="194"/>
      <c r="AT318" s="754">
        <f t="shared" si="41"/>
        <v>87.567949999999996</v>
      </c>
      <c r="AU318" s="245">
        <f>87.56795/2</f>
        <v>43.783974999999998</v>
      </c>
      <c r="AV318" s="245">
        <f>AU318</f>
        <v>43.783974999999998</v>
      </c>
      <c r="AW318" s="194"/>
      <c r="AX318" s="326"/>
      <c r="AY318" s="2"/>
    </row>
    <row r="319" spans="1:51">
      <c r="A319" s="2"/>
      <c r="B319" s="2"/>
      <c r="C319" s="2"/>
      <c r="D319" s="2"/>
      <c r="E319" s="2"/>
      <c r="F319" s="2"/>
      <c r="G319" s="2"/>
      <c r="H319" s="2"/>
      <c r="I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150"/>
      <c r="AM319" s="505" t="str">
        <f>AM317 &amp; ".2"</f>
        <v>25.4.2</v>
      </c>
      <c r="AN319" s="487" t="s">
        <v>1190</v>
      </c>
      <c r="AO319" s="443" t="s">
        <v>195</v>
      </c>
      <c r="AP319" s="247">
        <f t="shared" si="42"/>
        <v>62.426209999999998</v>
      </c>
      <c r="AQ319" s="247">
        <f t="shared" si="42"/>
        <v>31.213104999999999</v>
      </c>
      <c r="AR319" s="247">
        <f t="shared" si="42"/>
        <v>31.213104999999999</v>
      </c>
      <c r="AS319" s="194"/>
      <c r="AT319" s="754">
        <f t="shared" si="41"/>
        <v>62.426209999999998</v>
      </c>
      <c r="AU319" s="245">
        <f>62.42621/2</f>
        <v>31.213104999999999</v>
      </c>
      <c r="AV319" s="245">
        <f>AU319</f>
        <v>31.213104999999999</v>
      </c>
      <c r="AW319" s="194"/>
      <c r="AX319" s="326"/>
      <c r="AY319" s="2"/>
    </row>
    <row r="320" spans="1:51">
      <c r="A320" s="2"/>
      <c r="B320" s="2"/>
      <c r="C320" s="2"/>
      <c r="D320" s="2"/>
      <c r="E320" s="2"/>
      <c r="F320" s="2"/>
      <c r="G320" s="2"/>
      <c r="H320" s="2"/>
      <c r="I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150"/>
      <c r="AM320" s="505" t="str">
        <f>AM317 &amp; ".3"</f>
        <v>25.4.3</v>
      </c>
      <c r="AN320" s="487" t="s">
        <v>1191</v>
      </c>
      <c r="AO320" s="443" t="s">
        <v>195</v>
      </c>
      <c r="AP320" s="247">
        <f t="shared" si="42"/>
        <v>12.30761</v>
      </c>
      <c r="AQ320" s="247">
        <f t="shared" si="42"/>
        <v>6.1538050000000002</v>
      </c>
      <c r="AR320" s="247">
        <f t="shared" si="42"/>
        <v>6.1538050000000002</v>
      </c>
      <c r="AS320" s="194"/>
      <c r="AT320" s="754">
        <f t="shared" si="41"/>
        <v>12.30761</v>
      </c>
      <c r="AU320" s="245">
        <f>12.30761/2</f>
        <v>6.1538050000000002</v>
      </c>
      <c r="AV320" s="245">
        <f>AU320</f>
        <v>6.1538050000000002</v>
      </c>
      <c r="AW320" s="194"/>
      <c r="AX320" s="326"/>
      <c r="AY320" s="2"/>
    </row>
    <row r="321" spans="1:51">
      <c r="A321" s="2"/>
      <c r="B321" s="2"/>
      <c r="C321" s="2"/>
      <c r="D321" s="2"/>
      <c r="E321" s="2"/>
      <c r="F321" s="2"/>
      <c r="G321" s="2"/>
      <c r="H321" s="2"/>
      <c r="I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150"/>
      <c r="AM321" s="505" t="str">
        <f>AM317 &amp; ".4"</f>
        <v>25.4.4</v>
      </c>
      <c r="AN321" s="487" t="s">
        <v>597</v>
      </c>
      <c r="AO321" s="443" t="s">
        <v>195</v>
      </c>
      <c r="AP321" s="247">
        <f t="shared" si="42"/>
        <v>0</v>
      </c>
      <c r="AQ321" s="247">
        <f t="shared" si="42"/>
        <v>0</v>
      </c>
      <c r="AR321" s="247">
        <f t="shared" si="42"/>
        <v>0</v>
      </c>
      <c r="AS321" s="194"/>
      <c r="AT321" s="754">
        <f t="shared" si="41"/>
        <v>0</v>
      </c>
      <c r="AU321" s="245"/>
      <c r="AV321" s="245"/>
      <c r="AW321" s="194"/>
      <c r="AX321" s="326"/>
      <c r="AY321" s="2"/>
    </row>
    <row r="322" spans="1:51">
      <c r="A322" s="2"/>
      <c r="B322" s="2"/>
      <c r="C322" s="2"/>
      <c r="D322" s="2"/>
      <c r="E322" s="2"/>
      <c r="F322" s="2"/>
      <c r="G322" s="2"/>
      <c r="H322" s="2"/>
      <c r="I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150"/>
      <c r="AM322" s="505" t="str">
        <f>AM317 &amp; ".5"</f>
        <v>25.4.5</v>
      </c>
      <c r="AN322" s="487" t="s">
        <v>1192</v>
      </c>
      <c r="AO322" s="443" t="s">
        <v>195</v>
      </c>
      <c r="AP322" s="247">
        <f t="shared" si="42"/>
        <v>0</v>
      </c>
      <c r="AQ322" s="247">
        <f t="shared" si="42"/>
        <v>0</v>
      </c>
      <c r="AR322" s="247">
        <f t="shared" si="42"/>
        <v>0</v>
      </c>
      <c r="AS322" s="194"/>
      <c r="AT322" s="754">
        <f t="shared" si="41"/>
        <v>0</v>
      </c>
      <c r="AU322" s="245"/>
      <c r="AV322" s="245"/>
      <c r="AW322" s="194"/>
      <c r="AX322" s="326"/>
      <c r="AY322" s="2"/>
    </row>
    <row r="323" spans="1:51">
      <c r="A323" s="2"/>
      <c r="B323" s="2"/>
      <c r="C323" s="2"/>
      <c r="D323" s="2"/>
      <c r="E323" s="2"/>
      <c r="F323" s="2"/>
      <c r="G323" s="2"/>
      <c r="H323" s="2"/>
      <c r="I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150"/>
      <c r="AM323" s="490" t="s">
        <v>1028</v>
      </c>
      <c r="AN323" s="494" t="s">
        <v>1193</v>
      </c>
      <c r="AO323" s="443" t="s">
        <v>195</v>
      </c>
      <c r="AP323" s="247">
        <f t="shared" si="42"/>
        <v>0</v>
      </c>
      <c r="AQ323" s="247">
        <f t="shared" si="42"/>
        <v>0</v>
      </c>
      <c r="AR323" s="247">
        <f t="shared" si="42"/>
        <v>0</v>
      </c>
      <c r="AS323" s="194"/>
      <c r="AT323" s="754">
        <f t="shared" si="41"/>
        <v>0</v>
      </c>
      <c r="AU323" s="245"/>
      <c r="AV323" s="245"/>
      <c r="AW323" s="194"/>
      <c r="AX323" s="326"/>
      <c r="AY323" s="2"/>
    </row>
    <row r="324" spans="1:51">
      <c r="A324" s="2"/>
      <c r="B324" s="2"/>
      <c r="C324" s="2"/>
      <c r="D324" s="2"/>
      <c r="E324" s="2"/>
      <c r="F324" s="2"/>
      <c r="G324" s="2"/>
      <c r="H324" s="2"/>
      <c r="I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150"/>
      <c r="AM324" s="490" t="s">
        <v>1029</v>
      </c>
      <c r="AN324" s="494" t="s">
        <v>1194</v>
      </c>
      <c r="AO324" s="443" t="s">
        <v>195</v>
      </c>
      <c r="AP324" s="247">
        <f t="shared" si="42"/>
        <v>1163.26</v>
      </c>
      <c r="AQ324" s="247">
        <f t="shared" si="42"/>
        <v>581.63</v>
      </c>
      <c r="AR324" s="247">
        <f t="shared" si="42"/>
        <v>581.63</v>
      </c>
      <c r="AS324" s="194"/>
      <c r="AT324" s="754">
        <f t="shared" si="41"/>
        <v>1163.26</v>
      </c>
      <c r="AU324" s="754">
        <f>SUM(AU325:AU326)</f>
        <v>581.63</v>
      </c>
      <c r="AV324" s="754">
        <f>SUM(AV325:AV326)</f>
        <v>581.63</v>
      </c>
      <c r="AW324" s="194"/>
      <c r="AX324" s="326"/>
      <c r="AY324" s="2"/>
    </row>
    <row r="325" spans="1:51">
      <c r="A325" s="2"/>
      <c r="B325" s="2"/>
      <c r="C325" s="2"/>
      <c r="D325" s="2"/>
      <c r="E325" s="2"/>
      <c r="F325" s="2"/>
      <c r="G325" s="2"/>
      <c r="H325" s="2"/>
      <c r="I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150"/>
      <c r="AM325" s="505" t="str">
        <f>AM324 &amp; ".1"</f>
        <v>27.1</v>
      </c>
      <c r="AN325" s="488" t="s">
        <v>1195</v>
      </c>
      <c r="AO325" s="443" t="s">
        <v>195</v>
      </c>
      <c r="AP325" s="247">
        <f t="shared" si="42"/>
        <v>1163.26</v>
      </c>
      <c r="AQ325" s="247">
        <f t="shared" si="42"/>
        <v>581.63</v>
      </c>
      <c r="AR325" s="247">
        <f t="shared" si="42"/>
        <v>581.63</v>
      </c>
      <c r="AS325" s="194"/>
      <c r="AT325" s="754">
        <f t="shared" si="41"/>
        <v>1163.26</v>
      </c>
      <c r="AU325" s="245">
        <f>1163.26/2</f>
        <v>581.63</v>
      </c>
      <c r="AV325" s="245">
        <f>AU325</f>
        <v>581.63</v>
      </c>
      <c r="AW325" s="194"/>
      <c r="AX325" s="326"/>
      <c r="AY325" s="2"/>
    </row>
    <row r="326" spans="1:51" ht="20.399999999999999">
      <c r="A326" s="2"/>
      <c r="B326" s="2"/>
      <c r="C326" s="2"/>
      <c r="D326" s="2"/>
      <c r="E326" s="2"/>
      <c r="F326" s="2"/>
      <c r="G326" s="2"/>
      <c r="H326" s="2"/>
      <c r="I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150"/>
      <c r="AM326" s="505" t="str">
        <f>AM324 &amp; ".2"</f>
        <v>27.2</v>
      </c>
      <c r="AN326" s="488" t="s">
        <v>1196</v>
      </c>
      <c r="AO326" s="443" t="s">
        <v>195</v>
      </c>
      <c r="AP326" s="247">
        <f t="shared" si="42"/>
        <v>0</v>
      </c>
      <c r="AQ326" s="247">
        <f t="shared" si="42"/>
        <v>0</v>
      </c>
      <c r="AR326" s="247">
        <f t="shared" si="42"/>
        <v>0</v>
      </c>
      <c r="AS326" s="194"/>
      <c r="AT326" s="754">
        <f t="shared" si="41"/>
        <v>0</v>
      </c>
      <c r="AU326" s="245"/>
      <c r="AV326" s="245"/>
      <c r="AW326" s="194"/>
      <c r="AX326" s="326"/>
      <c r="AY326" s="2"/>
    </row>
    <row r="327" spans="1:51" ht="20.399999999999999">
      <c r="A327" s="2"/>
      <c r="B327" s="2"/>
      <c r="C327" s="2"/>
      <c r="D327" s="2"/>
      <c r="E327" s="2"/>
      <c r="F327" s="2"/>
      <c r="G327" s="2"/>
      <c r="H327" s="2"/>
      <c r="I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150"/>
      <c r="AM327" s="490" t="s">
        <v>1135</v>
      </c>
      <c r="AN327" s="494" t="s">
        <v>1197</v>
      </c>
      <c r="AO327" s="443" t="s">
        <v>195</v>
      </c>
      <c r="AP327" s="247">
        <f t="shared" si="42"/>
        <v>0</v>
      </c>
      <c r="AQ327" s="247">
        <f t="shared" si="42"/>
        <v>0</v>
      </c>
      <c r="AR327" s="247">
        <f t="shared" si="42"/>
        <v>0</v>
      </c>
      <c r="AS327" s="194"/>
      <c r="AT327" s="754">
        <f t="shared" si="41"/>
        <v>0</v>
      </c>
      <c r="AU327" s="245"/>
      <c r="AV327" s="245"/>
      <c r="AW327" s="194"/>
      <c r="AX327" s="326"/>
      <c r="AY327" s="2"/>
    </row>
    <row r="328" spans="1:51">
      <c r="A328" s="2"/>
      <c r="B328" s="2"/>
      <c r="C328" s="2"/>
      <c r="D328" s="2"/>
      <c r="E328" s="2"/>
      <c r="F328" s="2"/>
      <c r="G328" s="2"/>
      <c r="H328" s="2"/>
      <c r="I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150"/>
      <c r="AM328" s="490" t="s">
        <v>1136</v>
      </c>
      <c r="AN328" s="494" t="s">
        <v>1134</v>
      </c>
      <c r="AO328" s="443" t="s">
        <v>195</v>
      </c>
      <c r="AP328" s="247">
        <f t="shared" si="42"/>
        <v>0</v>
      </c>
      <c r="AQ328" s="247">
        <f t="shared" si="42"/>
        <v>0</v>
      </c>
      <c r="AR328" s="247">
        <f t="shared" si="42"/>
        <v>0</v>
      </c>
      <c r="AS328" s="194"/>
      <c r="AT328" s="754">
        <f t="shared" si="41"/>
        <v>0</v>
      </c>
      <c r="AU328" s="245"/>
      <c r="AV328" s="245"/>
      <c r="AW328" s="194"/>
      <c r="AX328" s="326"/>
      <c r="AY328" s="2"/>
    </row>
    <row r="329" spans="1:51" ht="12" thickBot="1">
      <c r="A329" s="2"/>
      <c r="B329" s="2"/>
      <c r="C329" s="2"/>
      <c r="D329" s="2"/>
      <c r="E329" s="2"/>
      <c r="F329" s="2"/>
      <c r="G329" s="2"/>
      <c r="H329" s="2"/>
      <c r="I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150"/>
      <c r="AM329" s="490" t="s">
        <v>628</v>
      </c>
      <c r="AN329" s="494" t="s">
        <v>1015</v>
      </c>
      <c r="AO329" s="443" t="s">
        <v>195</v>
      </c>
      <c r="AP329" s="247">
        <f t="shared" si="42"/>
        <v>0</v>
      </c>
      <c r="AQ329" s="247">
        <f t="shared" si="42"/>
        <v>0</v>
      </c>
      <c r="AR329" s="247">
        <f t="shared" si="42"/>
        <v>0</v>
      </c>
      <c r="AS329" s="194"/>
      <c r="AT329" s="754">
        <f t="shared" si="41"/>
        <v>0</v>
      </c>
      <c r="AU329" s="245"/>
      <c r="AV329" s="245"/>
      <c r="AW329" s="194"/>
      <c r="AX329" s="326"/>
      <c r="AY329" s="2"/>
    </row>
    <row r="330" spans="1:51" ht="0.75" hidden="1" customHeight="1">
      <c r="A330" s="2"/>
      <c r="B330" s="2"/>
      <c r="C330" s="2"/>
      <c r="D330" s="2"/>
      <c r="E330" s="2"/>
      <c r="F330" s="2"/>
      <c r="G330" s="2"/>
      <c r="H330" s="2"/>
      <c r="I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150"/>
      <c r="AM330" s="506"/>
      <c r="AN330" s="507"/>
      <c r="AO330" s="444"/>
      <c r="AP330" s="261"/>
      <c r="AQ330" s="261"/>
      <c r="AR330" s="261"/>
      <c r="AS330" s="194"/>
      <c r="AT330" s="270"/>
      <c r="AU330" s="270"/>
      <c r="AV330" s="270"/>
      <c r="AW330" s="194"/>
      <c r="AX330" s="114"/>
      <c r="AY330" s="2"/>
    </row>
    <row r="331" spans="1:51" ht="24" customHeight="1" thickTop="1" thickBot="1">
      <c r="A331" s="2"/>
      <c r="B331" s="2"/>
      <c r="C331" s="2"/>
      <c r="D331" s="2"/>
      <c r="E331" s="2"/>
      <c r="F331" s="2"/>
      <c r="G331" s="2"/>
      <c r="H331" s="2"/>
      <c r="I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150"/>
      <c r="AM331" s="570" t="s">
        <v>2124</v>
      </c>
      <c r="AN331" s="494" t="s">
        <v>545</v>
      </c>
      <c r="AO331" s="163" t="s">
        <v>195</v>
      </c>
      <c r="AP331" s="247">
        <f>SUMIF($AS$9:$AW$9,AP$9,$AS331:$AW331)</f>
        <v>20924.730102929279</v>
      </c>
      <c r="AQ331" s="247">
        <f>SUMIF($AS$9:$AW$9,AQ$9,$AS331:$AW331)</f>
        <v>10546.74005146464</v>
      </c>
      <c r="AR331" s="247">
        <f>SUMIF($AS$9:$AW$9,AR$9,$AS331:$AW331)</f>
        <v>10377.99005146464</v>
      </c>
      <c r="AS331" s="194"/>
      <c r="AT331" s="521">
        <f>AU331+AV331</f>
        <v>20924.730102929279</v>
      </c>
      <c r="AU331" s="521">
        <f>SUM(AU36,AU90,AU216,AU248,AU256,AU259,AU262,AU263,AU265,AU273,AU274,AU279,AU297,AU298,AU299,AU300,AU301,AU304,AU305,AU308,AU309,AU313,AU323,AU324,AU327,AU328,AU329)</f>
        <v>10546.74005146464</v>
      </c>
      <c r="AV331" s="521">
        <f>SUM(AV36,AV90,AV216,AV248,AV256,AV259,AV262,AV263,AV265,AV273,AV274,AV279,AV297,AV298,AV299,AV300,AV301,AV304,AV305,AV308,AV309,AV313,AV323,AV324,AV327,AV328,AV329)</f>
        <v>10377.99005146464</v>
      </c>
      <c r="AW331" s="194"/>
      <c r="AX331" s="326"/>
      <c r="AY331" s="2"/>
    </row>
    <row r="332" spans="1:51" ht="0.75" hidden="1" customHeight="1" thickTop="1" thickBot="1">
      <c r="A332" s="2"/>
      <c r="B332" s="2"/>
      <c r="C332" s="2"/>
      <c r="D332" s="2"/>
      <c r="E332" s="2"/>
      <c r="F332" s="2"/>
      <c r="G332" s="2"/>
      <c r="H332" s="2"/>
      <c r="I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150"/>
      <c r="AM332" s="508"/>
      <c r="AN332" s="472"/>
      <c r="AO332" s="166"/>
      <c r="AP332" s="261"/>
      <c r="AQ332" s="261"/>
      <c r="AR332" s="261"/>
      <c r="AS332" s="194"/>
      <c r="AT332" s="243"/>
      <c r="AU332" s="243"/>
      <c r="AV332" s="243"/>
      <c r="AW332" s="194"/>
      <c r="AX332" s="114"/>
      <c r="AY332" s="2"/>
    </row>
    <row r="333" spans="1:51" ht="24" customHeight="1" thickTop="1" thickBot="1">
      <c r="A333" s="2"/>
      <c r="B333" s="2"/>
      <c r="C333" s="2"/>
      <c r="D333" s="2"/>
      <c r="E333" s="2"/>
      <c r="F333" s="2"/>
      <c r="G333" s="2"/>
      <c r="H333" s="2"/>
      <c r="I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150"/>
      <c r="AM333" s="570" t="s">
        <v>2123</v>
      </c>
      <c r="AN333" s="494" t="s">
        <v>2122</v>
      </c>
      <c r="AO333" s="163" t="s">
        <v>195</v>
      </c>
      <c r="AP333" s="247">
        <f>SUMIF($AS$9:$AW$9,AP$9,$AS333:$AW333)</f>
        <v>7253.8416095417015</v>
      </c>
      <c r="AQ333" s="247">
        <f>SUMIF($AS$9:$AW$9,AQ$9,$AS333:$AW333)</f>
        <v>3641.0773943075728</v>
      </c>
      <c r="AR333" s="247">
        <f>SUMIF($AS$9:$AW$9,AR$9,$AS333:$AW333)</f>
        <v>3612.7642152341291</v>
      </c>
      <c r="AS333" s="194"/>
      <c r="AT333" s="521">
        <f>AU333+AV333</f>
        <v>7253.8416095417015</v>
      </c>
      <c r="AU333" s="521">
        <f>AU331*AU$372</f>
        <v>3641.0773943075728</v>
      </c>
      <c r="AV333" s="521">
        <f>AV331*AV$372</f>
        <v>3612.7642152341291</v>
      </c>
      <c r="AW333" s="194"/>
      <c r="AX333" s="326"/>
      <c r="AY333" s="2"/>
    </row>
    <row r="334" spans="1:51" ht="0.75" hidden="1" customHeight="1" thickTop="1" thickBot="1">
      <c r="A334" s="2"/>
      <c r="B334" s="2"/>
      <c r="C334" s="2"/>
      <c r="D334" s="2"/>
      <c r="E334" s="2"/>
      <c r="F334" s="2"/>
      <c r="G334" s="2"/>
      <c r="H334" s="2"/>
      <c r="I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150"/>
      <c r="AM334" s="508"/>
      <c r="AN334" s="472"/>
      <c r="AO334" s="166"/>
      <c r="AP334" s="261"/>
      <c r="AQ334" s="261"/>
      <c r="AR334" s="261"/>
      <c r="AS334" s="194"/>
      <c r="AT334" s="243"/>
      <c r="AU334" s="243"/>
      <c r="AV334" s="243"/>
      <c r="AW334" s="194"/>
      <c r="AX334" s="114"/>
      <c r="AY334" s="2"/>
    </row>
    <row r="335" spans="1:51" ht="24" customHeight="1" thickTop="1">
      <c r="A335" s="2"/>
      <c r="B335" s="2"/>
      <c r="C335" s="2"/>
      <c r="D335" s="2"/>
      <c r="E335" s="2"/>
      <c r="F335" s="2"/>
      <c r="G335" s="2"/>
      <c r="H335" s="2"/>
      <c r="I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150"/>
      <c r="AM335" s="513" t="s">
        <v>2119</v>
      </c>
      <c r="AN335" s="513" t="s">
        <v>2131</v>
      </c>
      <c r="AO335" s="443" t="s">
        <v>195</v>
      </c>
      <c r="AP335" s="247">
        <f t="shared" ref="AP335:AR336" si="43">SUMIF($AS$9:$AW$9,AP$9,$AS335:$AW335)</f>
        <v>0</v>
      </c>
      <c r="AQ335" s="247">
        <f t="shared" si="43"/>
        <v>0</v>
      </c>
      <c r="AR335" s="247">
        <f t="shared" si="43"/>
        <v>0</v>
      </c>
      <c r="AS335" s="194"/>
      <c r="AT335" s="754">
        <f>AU335+AV335</f>
        <v>0</v>
      </c>
      <c r="AU335" s="245"/>
      <c r="AV335" s="245"/>
      <c r="AW335" s="194"/>
      <c r="AX335" s="326"/>
      <c r="AY335" s="2"/>
    </row>
    <row r="336" spans="1:51" ht="24" customHeight="1">
      <c r="A336" s="2"/>
      <c r="B336" s="2"/>
      <c r="C336" s="2"/>
      <c r="D336" s="2"/>
      <c r="E336" s="2"/>
      <c r="F336" s="2"/>
      <c r="G336" s="2"/>
      <c r="H336" s="2"/>
      <c r="I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150"/>
      <c r="AM336" s="514" t="s">
        <v>641</v>
      </c>
      <c r="AN336" s="515" t="s">
        <v>598</v>
      </c>
      <c r="AO336" s="443" t="s">
        <v>195</v>
      </c>
      <c r="AP336" s="247">
        <f t="shared" si="43"/>
        <v>3041.4416081382947</v>
      </c>
      <c r="AQ336" s="247">
        <f t="shared" si="43"/>
        <v>2228.9180548579006</v>
      </c>
      <c r="AR336" s="247">
        <f t="shared" si="43"/>
        <v>812.52355328039403</v>
      </c>
      <c r="AS336" s="194"/>
      <c r="AT336" s="754">
        <f>AU336+AV336</f>
        <v>3041.4416081382947</v>
      </c>
      <c r="AU336" s="754">
        <f>SUM(AU338:AU341)</f>
        <v>2228.9180548579006</v>
      </c>
      <c r="AV336" s="754">
        <f>SUM(AV338:AV341)</f>
        <v>812.52355328039403</v>
      </c>
      <c r="AW336" s="194"/>
      <c r="AX336" s="326"/>
      <c r="AY336" s="2"/>
    </row>
    <row r="337" spans="1:51" ht="0.75" hidden="1" customHeight="1">
      <c r="A337" s="2"/>
      <c r="B337" s="2"/>
      <c r="C337" s="2"/>
      <c r="D337" s="2"/>
      <c r="E337" s="2"/>
      <c r="F337" s="2"/>
      <c r="G337" s="2"/>
      <c r="H337" s="2"/>
      <c r="I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150"/>
      <c r="AM337" s="508"/>
      <c r="AN337" s="472"/>
      <c r="AO337" s="166"/>
      <c r="AP337" s="261"/>
      <c r="AQ337" s="261"/>
      <c r="AR337" s="261"/>
      <c r="AS337" s="194"/>
      <c r="AT337" s="241"/>
      <c r="AU337" s="241"/>
      <c r="AV337" s="241"/>
      <c r="AW337" s="194"/>
      <c r="AX337" s="114"/>
      <c r="AY337" s="2"/>
    </row>
    <row r="338" spans="1:51" ht="20.399999999999999">
      <c r="A338" s="2"/>
      <c r="B338" s="2"/>
      <c r="C338" s="2"/>
      <c r="D338" s="2"/>
      <c r="E338" s="2"/>
      <c r="F338" s="2"/>
      <c r="G338" s="2"/>
      <c r="H338" s="2"/>
      <c r="I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150"/>
      <c r="AM338" s="558" t="s">
        <v>2127</v>
      </c>
      <c r="AN338" s="467" t="s">
        <v>547</v>
      </c>
      <c r="AO338" s="445" t="s">
        <v>195</v>
      </c>
      <c r="AP338" s="247">
        <f t="shared" ref="AP338:AR341" si="44">SUMIF($AS$9:$AW$9,AP$9,$AS338:$AW338)</f>
        <v>3041.4416081382947</v>
      </c>
      <c r="AQ338" s="247">
        <f t="shared" si="44"/>
        <v>2228.9180548579006</v>
      </c>
      <c r="AR338" s="247">
        <f t="shared" si="44"/>
        <v>812.52355328039403</v>
      </c>
      <c r="AS338" s="194"/>
      <c r="AT338" s="754">
        <f>AU338+AV338</f>
        <v>3041.4416081382947</v>
      </c>
      <c r="AU338" s="245">
        <v>2228.9180548579006</v>
      </c>
      <c r="AV338" s="245">
        <v>812.52355328039403</v>
      </c>
      <c r="AW338" s="194"/>
      <c r="AX338" s="326"/>
      <c r="AY338" s="2"/>
    </row>
    <row r="339" spans="1:51">
      <c r="A339" s="2"/>
      <c r="B339" s="2"/>
      <c r="C339" s="2"/>
      <c r="D339" s="2"/>
      <c r="E339" s="2"/>
      <c r="F339" s="2"/>
      <c r="G339" s="2"/>
      <c r="H339" s="2"/>
      <c r="I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150"/>
      <c r="AM339" s="558" t="s">
        <v>2128</v>
      </c>
      <c r="AN339" s="467" t="s">
        <v>548</v>
      </c>
      <c r="AO339" s="445" t="s">
        <v>195</v>
      </c>
      <c r="AP339" s="247">
        <f t="shared" si="44"/>
        <v>0</v>
      </c>
      <c r="AQ339" s="247">
        <f t="shared" si="44"/>
        <v>0</v>
      </c>
      <c r="AR339" s="247">
        <f t="shared" si="44"/>
        <v>0</v>
      </c>
      <c r="AS339" s="194"/>
      <c r="AT339" s="754">
        <f>AU339+AV339</f>
        <v>0</v>
      </c>
      <c r="AU339" s="245"/>
      <c r="AV339" s="245"/>
      <c r="AW339" s="194"/>
      <c r="AX339" s="326"/>
      <c r="AY339" s="2"/>
    </row>
    <row r="340" spans="1:51">
      <c r="A340" s="2"/>
      <c r="B340" s="2"/>
      <c r="C340" s="2"/>
      <c r="D340" s="2"/>
      <c r="E340" s="2"/>
      <c r="F340" s="2"/>
      <c r="G340" s="2"/>
      <c r="H340" s="2"/>
      <c r="I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150"/>
      <c r="AM340" s="558" t="s">
        <v>2129</v>
      </c>
      <c r="AN340" s="467" t="s">
        <v>549</v>
      </c>
      <c r="AO340" s="445" t="s">
        <v>195</v>
      </c>
      <c r="AP340" s="247">
        <f t="shared" si="44"/>
        <v>0</v>
      </c>
      <c r="AQ340" s="247">
        <f t="shared" si="44"/>
        <v>0</v>
      </c>
      <c r="AR340" s="247">
        <f t="shared" si="44"/>
        <v>0</v>
      </c>
      <c r="AS340" s="194"/>
      <c r="AT340" s="754">
        <f>AU340+AV340</f>
        <v>0</v>
      </c>
      <c r="AU340" s="245"/>
      <c r="AV340" s="245"/>
      <c r="AW340" s="194"/>
      <c r="AX340" s="326"/>
      <c r="AY340" s="2"/>
    </row>
    <row r="341" spans="1:51" ht="12" thickBot="1">
      <c r="A341" s="2"/>
      <c r="B341" s="2"/>
      <c r="C341" s="2"/>
      <c r="D341" s="2"/>
      <c r="E341" s="2"/>
      <c r="F341" s="2"/>
      <c r="G341" s="2"/>
      <c r="H341" s="2"/>
      <c r="I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150"/>
      <c r="AM341" s="558" t="s">
        <v>2130</v>
      </c>
      <c r="AN341" s="467" t="s">
        <v>550</v>
      </c>
      <c r="AO341" s="445" t="s">
        <v>195</v>
      </c>
      <c r="AP341" s="247">
        <f t="shared" si="44"/>
        <v>0</v>
      </c>
      <c r="AQ341" s="247">
        <f t="shared" si="44"/>
        <v>0</v>
      </c>
      <c r="AR341" s="247">
        <f t="shared" si="44"/>
        <v>0</v>
      </c>
      <c r="AS341" s="194"/>
      <c r="AT341" s="754">
        <f>AU341+AV341</f>
        <v>0</v>
      </c>
      <c r="AU341" s="245"/>
      <c r="AV341" s="245"/>
      <c r="AW341" s="194"/>
      <c r="AX341" s="326"/>
      <c r="AY341" s="2"/>
    </row>
    <row r="342" spans="1:51" ht="0.75" hidden="1" customHeight="1">
      <c r="A342" s="2"/>
      <c r="B342" s="2"/>
      <c r="C342" s="2"/>
      <c r="D342" s="2"/>
      <c r="E342" s="2"/>
      <c r="F342" s="2"/>
      <c r="G342" s="2"/>
      <c r="H342" s="2"/>
      <c r="I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150"/>
      <c r="AM342" s="511"/>
      <c r="AN342" s="512"/>
      <c r="AO342" s="446"/>
      <c r="AP342" s="261"/>
      <c r="AQ342" s="261"/>
      <c r="AR342" s="261"/>
      <c r="AS342" s="194"/>
      <c r="AT342" s="241"/>
      <c r="AU342" s="241"/>
      <c r="AV342" s="241"/>
      <c r="AW342" s="194"/>
      <c r="AX342" s="114"/>
      <c r="AY342" s="2"/>
    </row>
    <row r="343" spans="1:51" ht="0.75" hidden="1" customHeight="1" thickTop="1" thickBot="1">
      <c r="A343" s="2"/>
      <c r="B343" s="2"/>
      <c r="C343" s="2"/>
      <c r="D343" s="2"/>
      <c r="E343" s="2"/>
      <c r="F343" s="2"/>
      <c r="G343" s="2"/>
      <c r="H343" s="2"/>
      <c r="I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150"/>
      <c r="AM343" s="511"/>
      <c r="AN343" s="512"/>
      <c r="AO343" s="446"/>
      <c r="AP343" s="261"/>
      <c r="AQ343" s="261"/>
      <c r="AR343" s="261"/>
      <c r="AS343" s="194"/>
      <c r="AT343" s="241"/>
      <c r="AU343" s="241"/>
      <c r="AV343" s="241"/>
      <c r="AW343" s="194"/>
      <c r="AX343" s="114"/>
      <c r="AY343" s="2"/>
    </row>
    <row r="344" spans="1:51" ht="0.75" hidden="1" customHeight="1" thickTop="1" thickBot="1">
      <c r="A344" s="2"/>
      <c r="B344" s="2"/>
      <c r="C344" s="2"/>
      <c r="D344" s="2"/>
      <c r="E344" s="2"/>
      <c r="F344" s="2"/>
      <c r="G344" s="2"/>
      <c r="H344" s="2"/>
      <c r="I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150"/>
      <c r="AM344" s="511"/>
      <c r="AN344" s="512"/>
      <c r="AO344" s="446"/>
      <c r="AP344" s="261"/>
      <c r="AQ344" s="261"/>
      <c r="AR344" s="261"/>
      <c r="AS344" s="194"/>
      <c r="AT344" s="241"/>
      <c r="AU344" s="241"/>
      <c r="AV344" s="241"/>
      <c r="AW344" s="194"/>
      <c r="AX344" s="114"/>
      <c r="AY344" s="2"/>
    </row>
    <row r="345" spans="1:51" ht="0.75" hidden="1" customHeight="1" thickTop="1" thickBot="1">
      <c r="A345" s="2"/>
      <c r="B345" s="2"/>
      <c r="C345" s="2"/>
      <c r="D345" s="2"/>
      <c r="E345" s="2"/>
      <c r="F345" s="2"/>
      <c r="G345" s="2"/>
      <c r="H345" s="2"/>
      <c r="I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150"/>
      <c r="AM345" s="511"/>
      <c r="AN345" s="512"/>
      <c r="AO345" s="446"/>
      <c r="AP345" s="261"/>
      <c r="AQ345" s="261"/>
      <c r="AR345" s="261"/>
      <c r="AS345" s="194"/>
      <c r="AT345" s="241"/>
      <c r="AU345" s="241"/>
      <c r="AV345" s="241"/>
      <c r="AW345" s="194"/>
      <c r="AX345" s="114"/>
      <c r="AY345" s="2"/>
    </row>
    <row r="346" spans="1:51" ht="0.75" hidden="1" customHeight="1" thickTop="1" thickBot="1">
      <c r="A346" s="2"/>
      <c r="B346" s="2"/>
      <c r="C346" s="2"/>
      <c r="D346" s="2"/>
      <c r="E346" s="2"/>
      <c r="F346" s="2"/>
      <c r="G346" s="2"/>
      <c r="H346" s="2"/>
      <c r="I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150"/>
      <c r="AM346" s="511"/>
      <c r="AN346" s="512"/>
      <c r="AO346" s="446"/>
      <c r="AP346" s="261"/>
      <c r="AQ346" s="261"/>
      <c r="AR346" s="261"/>
      <c r="AS346" s="194"/>
      <c r="AT346" s="241"/>
      <c r="AU346" s="241"/>
      <c r="AV346" s="241"/>
      <c r="AW346" s="194"/>
      <c r="AX346" s="114"/>
      <c r="AY346" s="2"/>
    </row>
    <row r="347" spans="1:51" ht="0.75" hidden="1" customHeight="1" thickTop="1" thickBot="1">
      <c r="A347" s="2"/>
      <c r="B347" s="2"/>
      <c r="C347" s="2"/>
      <c r="D347" s="2"/>
      <c r="E347" s="2"/>
      <c r="F347" s="2"/>
      <c r="G347" s="2"/>
      <c r="H347" s="2"/>
      <c r="I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150"/>
      <c r="AM347" s="511"/>
      <c r="AN347" s="512"/>
      <c r="AO347" s="446"/>
      <c r="AP347" s="261"/>
      <c r="AQ347" s="261"/>
      <c r="AR347" s="261"/>
      <c r="AS347" s="194"/>
      <c r="AT347" s="241"/>
      <c r="AU347" s="241"/>
      <c r="AV347" s="241"/>
      <c r="AW347" s="194"/>
      <c r="AX347" s="114"/>
      <c r="AY347" s="2"/>
    </row>
    <row r="348" spans="1:51" ht="0.75" hidden="1" customHeight="1" thickTop="1" thickBot="1">
      <c r="A348" s="2"/>
      <c r="B348" s="2"/>
      <c r="C348" s="2"/>
      <c r="D348" s="2"/>
      <c r="E348" s="2"/>
      <c r="F348" s="2"/>
      <c r="G348" s="2"/>
      <c r="H348" s="2"/>
      <c r="I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150"/>
      <c r="AM348" s="511"/>
      <c r="AN348" s="512"/>
      <c r="AO348" s="446"/>
      <c r="AP348" s="261"/>
      <c r="AQ348" s="261"/>
      <c r="AR348" s="261"/>
      <c r="AS348" s="194"/>
      <c r="AT348" s="241"/>
      <c r="AU348" s="241"/>
      <c r="AV348" s="241"/>
      <c r="AW348" s="194"/>
      <c r="AX348" s="114"/>
      <c r="AY348" s="2"/>
    </row>
    <row r="349" spans="1:51" ht="0.75" hidden="1" customHeight="1" thickTop="1" thickBot="1">
      <c r="A349" s="2"/>
      <c r="B349" s="2"/>
      <c r="C349" s="2"/>
      <c r="D349" s="2"/>
      <c r="E349" s="2"/>
      <c r="F349" s="2"/>
      <c r="G349" s="2"/>
      <c r="H349" s="2"/>
      <c r="I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150"/>
      <c r="AM349" s="511"/>
      <c r="AN349" s="512"/>
      <c r="AO349" s="446"/>
      <c r="AP349" s="261"/>
      <c r="AQ349" s="261"/>
      <c r="AR349" s="261"/>
      <c r="AS349" s="194"/>
      <c r="AT349" s="241"/>
      <c r="AU349" s="241"/>
      <c r="AV349" s="241"/>
      <c r="AW349" s="194"/>
      <c r="AX349" s="114"/>
      <c r="AY349" s="2"/>
    </row>
    <row r="350" spans="1:51" ht="24" customHeight="1" thickTop="1" thickBot="1">
      <c r="A350" s="2"/>
      <c r="B350" s="2"/>
      <c r="C350" s="2"/>
      <c r="D350" s="2"/>
      <c r="E350" s="2"/>
      <c r="F350" s="2"/>
      <c r="G350" s="2"/>
      <c r="H350" s="2"/>
      <c r="I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150"/>
      <c r="AM350" s="570" t="s">
        <v>2132</v>
      </c>
      <c r="AN350" s="494" t="s">
        <v>2133</v>
      </c>
      <c r="AO350" s="163" t="s">
        <v>195</v>
      </c>
      <c r="AP350" s="247">
        <f>SUMIF($AS$9:$AW$9,AP$9,$AS350:$AW350)</f>
        <v>23966.171711067575</v>
      </c>
      <c r="AQ350" s="247">
        <f>SUMIF($AS$9:$AW$9,AQ$9,$AS350:$AW350)</f>
        <v>12775.65810632254</v>
      </c>
      <c r="AR350" s="247">
        <f>SUMIF($AS$9:$AW$9,AR$9,$AS350:$AW350)</f>
        <v>11190.513604745034</v>
      </c>
      <c r="AS350" s="194"/>
      <c r="AT350" s="521">
        <f>AU350+AV350</f>
        <v>23966.171711067575</v>
      </c>
      <c r="AU350" s="521">
        <f>AU331+AU336</f>
        <v>12775.65810632254</v>
      </c>
      <c r="AV350" s="521">
        <f>AV331+AV336</f>
        <v>11190.513604745034</v>
      </c>
      <c r="AW350" s="194"/>
      <c r="AX350" s="326"/>
      <c r="AY350" s="2"/>
    </row>
    <row r="351" spans="1:51" ht="0.75" hidden="1" customHeight="1" thickTop="1" thickBot="1">
      <c r="A351" s="2"/>
      <c r="B351" s="2"/>
      <c r="C351" s="2"/>
      <c r="D351" s="2"/>
      <c r="E351" s="2"/>
      <c r="F351" s="2"/>
      <c r="G351" s="2"/>
      <c r="H351" s="2"/>
      <c r="I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150"/>
      <c r="AM351" s="511"/>
      <c r="AN351" s="512"/>
      <c r="AO351" s="446"/>
      <c r="AP351" s="261"/>
      <c r="AQ351" s="261"/>
      <c r="AR351" s="261"/>
      <c r="AS351" s="194"/>
      <c r="AT351" s="241"/>
      <c r="AU351" s="241"/>
      <c r="AV351" s="241"/>
      <c r="AW351" s="194"/>
      <c r="AX351" s="114"/>
      <c r="AY351" s="2"/>
    </row>
    <row r="352" spans="1:51" ht="0.75" hidden="1" customHeight="1" thickTop="1">
      <c r="A352" s="2"/>
      <c r="B352" s="2"/>
      <c r="C352" s="2"/>
      <c r="D352" s="2"/>
      <c r="E352" s="2"/>
      <c r="F352" s="2"/>
      <c r="G352" s="2"/>
      <c r="H352" s="2"/>
      <c r="I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150"/>
      <c r="AM352" s="511"/>
      <c r="AN352" s="512"/>
      <c r="AO352" s="446"/>
      <c r="AP352" s="261"/>
      <c r="AQ352" s="261"/>
      <c r="AR352" s="261"/>
      <c r="AS352" s="194"/>
      <c r="AT352" s="241"/>
      <c r="AU352" s="241"/>
      <c r="AV352" s="241"/>
      <c r="AW352" s="194"/>
      <c r="AX352" s="114"/>
      <c r="AY352" s="2"/>
    </row>
    <row r="353" spans="1:51" ht="0.75" hidden="1" customHeight="1" thickTop="1">
      <c r="A353" s="2"/>
      <c r="B353" s="2"/>
      <c r="C353" s="2"/>
      <c r="D353" s="2"/>
      <c r="E353" s="2"/>
      <c r="F353" s="2"/>
      <c r="G353" s="2"/>
      <c r="H353" s="2"/>
      <c r="I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150"/>
      <c r="AM353" s="511"/>
      <c r="AN353" s="512"/>
      <c r="AO353" s="446"/>
      <c r="AP353" s="261"/>
      <c r="AQ353" s="261"/>
      <c r="AR353" s="261"/>
      <c r="AS353" s="194"/>
      <c r="AT353" s="241"/>
      <c r="AU353" s="241"/>
      <c r="AV353" s="241"/>
      <c r="AW353" s="194"/>
      <c r="AX353" s="114"/>
      <c r="AY353" s="2"/>
    </row>
    <row r="354" spans="1:51" ht="0.75" hidden="1" customHeight="1" thickTop="1">
      <c r="A354" s="2"/>
      <c r="B354" s="2"/>
      <c r="C354" s="2"/>
      <c r="D354" s="2"/>
      <c r="E354" s="2"/>
      <c r="F354" s="2"/>
      <c r="G354" s="2"/>
      <c r="H354" s="2"/>
      <c r="I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150"/>
      <c r="AM354" s="511"/>
      <c r="AN354" s="512"/>
      <c r="AO354" s="446"/>
      <c r="AP354" s="261"/>
      <c r="AQ354" s="261"/>
      <c r="AR354" s="261"/>
      <c r="AS354" s="194"/>
      <c r="AT354" s="241"/>
      <c r="AU354" s="241"/>
      <c r="AV354" s="241"/>
      <c r="AW354" s="194"/>
      <c r="AX354" s="114"/>
      <c r="AY354" s="2"/>
    </row>
    <row r="355" spans="1:51" ht="0.75" hidden="1" customHeight="1" thickTop="1">
      <c r="A355" s="2"/>
      <c r="B355" s="2"/>
      <c r="C355" s="2"/>
      <c r="D355" s="2"/>
      <c r="E355" s="2"/>
      <c r="F355" s="2"/>
      <c r="G355" s="2"/>
      <c r="H355" s="2"/>
      <c r="I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150"/>
      <c r="AM355" s="511"/>
      <c r="AN355" s="512"/>
      <c r="AO355" s="446"/>
      <c r="AP355" s="261"/>
      <c r="AQ355" s="261"/>
      <c r="AR355" s="261"/>
      <c r="AS355" s="194"/>
      <c r="AT355" s="241"/>
      <c r="AU355" s="241"/>
      <c r="AV355" s="241"/>
      <c r="AW355" s="194"/>
      <c r="AX355" s="114"/>
      <c r="AY355" s="2"/>
    </row>
    <row r="356" spans="1:51" ht="0.75" hidden="1" customHeight="1" thickTop="1">
      <c r="A356" s="2"/>
      <c r="B356" s="2"/>
      <c r="C356" s="2"/>
      <c r="D356" s="2"/>
      <c r="E356" s="2"/>
      <c r="F356" s="2"/>
      <c r="G356" s="2"/>
      <c r="H356" s="2"/>
      <c r="I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150"/>
      <c r="AM356" s="511"/>
      <c r="AN356" s="512"/>
      <c r="AO356" s="446"/>
      <c r="AP356" s="261"/>
      <c r="AQ356" s="261"/>
      <c r="AR356" s="261"/>
      <c r="AS356" s="194"/>
      <c r="AT356" s="241"/>
      <c r="AU356" s="241"/>
      <c r="AV356" s="241"/>
      <c r="AW356" s="194"/>
      <c r="AX356" s="114"/>
      <c r="AY356" s="2"/>
    </row>
    <row r="357" spans="1:51" ht="0.75" hidden="1" customHeight="1" thickTop="1">
      <c r="A357" s="2"/>
      <c r="B357" s="2"/>
      <c r="C357" s="2"/>
      <c r="D357" s="2"/>
      <c r="E357" s="2"/>
      <c r="F357" s="2"/>
      <c r="G357" s="2"/>
      <c r="H357" s="2"/>
      <c r="I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150"/>
      <c r="AM357" s="511"/>
      <c r="AN357" s="512"/>
      <c r="AO357" s="446"/>
      <c r="AP357" s="261"/>
      <c r="AQ357" s="261"/>
      <c r="AR357" s="261"/>
      <c r="AS357" s="194"/>
      <c r="AT357" s="241"/>
      <c r="AU357" s="241"/>
      <c r="AV357" s="241"/>
      <c r="AW357" s="194"/>
      <c r="AX357" s="114"/>
      <c r="AY357" s="2"/>
    </row>
    <row r="358" spans="1:51" ht="0.75" hidden="1" customHeight="1" thickTop="1">
      <c r="A358" s="2"/>
      <c r="B358" s="2"/>
      <c r="C358" s="2"/>
      <c r="D358" s="2"/>
      <c r="E358" s="2"/>
      <c r="F358" s="2"/>
      <c r="G358" s="2"/>
      <c r="H358" s="2"/>
      <c r="I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150"/>
      <c r="AM358" s="511"/>
      <c r="AN358" s="512"/>
      <c r="AO358" s="446"/>
      <c r="AP358" s="261"/>
      <c r="AQ358" s="261"/>
      <c r="AR358" s="261"/>
      <c r="AS358" s="194"/>
      <c r="AT358" s="241"/>
      <c r="AU358" s="241"/>
      <c r="AV358" s="241"/>
      <c r="AW358" s="194"/>
      <c r="AX358" s="114"/>
      <c r="AY358" s="2"/>
    </row>
    <row r="359" spans="1:51" ht="0.75" hidden="1" customHeight="1" thickTop="1">
      <c r="A359" s="2"/>
      <c r="B359" s="2"/>
      <c r="C359" s="2"/>
      <c r="D359" s="2"/>
      <c r="E359" s="2"/>
      <c r="F359" s="2"/>
      <c r="G359" s="2"/>
      <c r="H359" s="2"/>
      <c r="I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150"/>
      <c r="AM359" s="511"/>
      <c r="AN359" s="512"/>
      <c r="AO359" s="446"/>
      <c r="AP359" s="261"/>
      <c r="AQ359" s="261"/>
      <c r="AR359" s="261"/>
      <c r="AS359" s="194"/>
      <c r="AT359" s="241"/>
      <c r="AU359" s="241"/>
      <c r="AV359" s="241"/>
      <c r="AW359" s="194"/>
      <c r="AX359" s="114"/>
      <c r="AY359" s="2"/>
    </row>
    <row r="360" spans="1:51" ht="0.75" hidden="1" customHeight="1" thickTop="1">
      <c r="A360" s="2"/>
      <c r="B360" s="2"/>
      <c r="C360" s="2"/>
      <c r="D360" s="2"/>
      <c r="E360" s="2"/>
      <c r="F360" s="2"/>
      <c r="G360" s="2"/>
      <c r="H360" s="2"/>
      <c r="I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150"/>
      <c r="AM360" s="511"/>
      <c r="AN360" s="512"/>
      <c r="AO360" s="446"/>
      <c r="AP360" s="261"/>
      <c r="AQ360" s="261"/>
      <c r="AR360" s="261"/>
      <c r="AS360" s="194"/>
      <c r="AT360" s="241"/>
      <c r="AU360" s="241"/>
      <c r="AV360" s="241"/>
      <c r="AW360" s="194"/>
      <c r="AX360" s="114"/>
      <c r="AY360" s="2"/>
    </row>
    <row r="361" spans="1:51" ht="0.75" hidden="1" customHeight="1" thickTop="1">
      <c r="A361" s="2"/>
      <c r="B361" s="2"/>
      <c r="C361" s="2"/>
      <c r="D361" s="2"/>
      <c r="E361" s="2"/>
      <c r="F361" s="2"/>
      <c r="G361" s="2"/>
      <c r="H361" s="2"/>
      <c r="I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150"/>
      <c r="AM361" s="511"/>
      <c r="AN361" s="512"/>
      <c r="AO361" s="446"/>
      <c r="AP361" s="261"/>
      <c r="AQ361" s="261"/>
      <c r="AR361" s="261"/>
      <c r="AS361" s="194"/>
      <c r="AT361" s="241"/>
      <c r="AU361" s="241"/>
      <c r="AV361" s="241"/>
      <c r="AW361" s="194"/>
      <c r="AX361" s="114"/>
      <c r="AY361" s="2"/>
    </row>
    <row r="362" spans="1:51" ht="0.75" hidden="1" customHeight="1" thickTop="1">
      <c r="A362" s="2"/>
      <c r="B362" s="2"/>
      <c r="C362" s="2"/>
      <c r="D362" s="2"/>
      <c r="E362" s="2"/>
      <c r="F362" s="2"/>
      <c r="G362" s="2"/>
      <c r="H362" s="2"/>
      <c r="I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150"/>
      <c r="AM362" s="511"/>
      <c r="AN362" s="512"/>
      <c r="AO362" s="446"/>
      <c r="AP362" s="261"/>
      <c r="AQ362" s="261"/>
      <c r="AR362" s="261"/>
      <c r="AS362" s="194"/>
      <c r="AT362" s="241"/>
      <c r="AU362" s="241"/>
      <c r="AV362" s="241"/>
      <c r="AW362" s="194"/>
      <c r="AX362" s="114"/>
      <c r="AY362" s="2"/>
    </row>
    <row r="363" spans="1:51" ht="0.75" hidden="1" customHeight="1" thickTop="1">
      <c r="A363" s="2"/>
      <c r="B363" s="2"/>
      <c r="C363" s="2"/>
      <c r="D363" s="2"/>
      <c r="E363" s="2"/>
      <c r="F363" s="2"/>
      <c r="G363" s="2"/>
      <c r="H363" s="2"/>
      <c r="I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150"/>
      <c r="AM363" s="511"/>
      <c r="AN363" s="512"/>
      <c r="AO363" s="446"/>
      <c r="AP363" s="261"/>
      <c r="AQ363" s="261"/>
      <c r="AR363" s="261"/>
      <c r="AS363" s="194"/>
      <c r="AT363" s="241"/>
      <c r="AU363" s="241"/>
      <c r="AV363" s="241"/>
      <c r="AW363" s="194"/>
      <c r="AX363" s="114"/>
      <c r="AY363" s="2"/>
    </row>
    <row r="364" spans="1:51" ht="0.75" hidden="1" customHeight="1" thickTop="1">
      <c r="A364" s="2"/>
      <c r="B364" s="2"/>
      <c r="C364" s="2"/>
      <c r="D364" s="2"/>
      <c r="E364" s="2"/>
      <c r="F364" s="2"/>
      <c r="G364" s="2"/>
      <c r="H364" s="2"/>
      <c r="I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150"/>
      <c r="AM364" s="511"/>
      <c r="AN364" s="512"/>
      <c r="AO364" s="446"/>
      <c r="AP364" s="261"/>
      <c r="AQ364" s="261"/>
      <c r="AR364" s="261"/>
      <c r="AS364" s="194"/>
      <c r="AT364" s="241"/>
      <c r="AU364" s="241"/>
      <c r="AV364" s="241"/>
      <c r="AW364" s="194"/>
      <c r="AX364" s="114"/>
      <c r="AY364" s="2"/>
    </row>
    <row r="365" spans="1:51" ht="0.75" hidden="1" customHeight="1" thickTop="1">
      <c r="A365" s="2"/>
      <c r="B365" s="2"/>
      <c r="C365" s="2"/>
      <c r="D365" s="2"/>
      <c r="E365" s="2"/>
      <c r="F365" s="2"/>
      <c r="G365" s="2"/>
      <c r="H365" s="2"/>
      <c r="I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150"/>
      <c r="AM365" s="511"/>
      <c r="AN365" s="512"/>
      <c r="AO365" s="446"/>
      <c r="AP365" s="261"/>
      <c r="AQ365" s="261"/>
      <c r="AR365" s="261"/>
      <c r="AS365" s="194"/>
      <c r="AT365" s="241"/>
      <c r="AU365" s="241"/>
      <c r="AV365" s="241"/>
      <c r="AW365" s="194"/>
      <c r="AX365" s="114"/>
      <c r="AY365" s="2"/>
    </row>
    <row r="366" spans="1:51" ht="0.75" hidden="1" customHeight="1" thickTop="1">
      <c r="A366" s="2"/>
      <c r="B366" s="2"/>
      <c r="C366" s="2"/>
      <c r="D366" s="2"/>
      <c r="E366" s="2"/>
      <c r="F366" s="2"/>
      <c r="G366" s="2"/>
      <c r="H366" s="2"/>
      <c r="I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150"/>
      <c r="AM366" s="511"/>
      <c r="AN366" s="512"/>
      <c r="AO366" s="446"/>
      <c r="AP366" s="261"/>
      <c r="AQ366" s="261"/>
      <c r="AR366" s="261"/>
      <c r="AS366" s="194"/>
      <c r="AT366" s="241"/>
      <c r="AU366" s="241"/>
      <c r="AV366" s="241"/>
      <c r="AW366" s="194"/>
      <c r="AX366" s="114"/>
      <c r="AY366" s="2"/>
    </row>
    <row r="367" spans="1:51" ht="0.75" hidden="1" customHeight="1" thickTop="1">
      <c r="A367" s="2"/>
      <c r="B367" s="2"/>
      <c r="C367" s="2"/>
      <c r="D367" s="2"/>
      <c r="E367" s="2"/>
      <c r="F367" s="2"/>
      <c r="G367" s="2"/>
      <c r="H367" s="2"/>
      <c r="I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150"/>
      <c r="AM367" s="511"/>
      <c r="AN367" s="512"/>
      <c r="AO367" s="446"/>
      <c r="AP367" s="261"/>
      <c r="AQ367" s="261"/>
      <c r="AR367" s="261"/>
      <c r="AS367" s="194"/>
      <c r="AT367" s="241"/>
      <c r="AU367" s="241"/>
      <c r="AV367" s="241"/>
      <c r="AW367" s="194"/>
      <c r="AX367" s="114"/>
      <c r="AY367" s="2"/>
    </row>
    <row r="368" spans="1:51" ht="0.75" hidden="1" customHeight="1" thickTop="1">
      <c r="A368" s="2"/>
      <c r="B368" s="2"/>
      <c r="C368" s="2"/>
      <c r="D368" s="2"/>
      <c r="E368" s="2"/>
      <c r="F368" s="2"/>
      <c r="G368" s="2"/>
      <c r="H368" s="2"/>
      <c r="I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150"/>
      <c r="AM368" s="511"/>
      <c r="AN368" s="512"/>
      <c r="AO368" s="446"/>
      <c r="AP368" s="261"/>
      <c r="AQ368" s="261"/>
      <c r="AR368" s="261"/>
      <c r="AS368" s="194"/>
      <c r="AT368" s="241"/>
      <c r="AU368" s="241"/>
      <c r="AV368" s="241"/>
      <c r="AW368" s="194"/>
      <c r="AX368" s="114"/>
      <c r="AY368" s="2"/>
    </row>
    <row r="369" spans="1:51" ht="0.75" hidden="1" customHeight="1" thickTop="1">
      <c r="A369" s="2"/>
      <c r="B369" s="2"/>
      <c r="C369" s="2"/>
      <c r="D369" s="2"/>
      <c r="E369" s="2"/>
      <c r="F369" s="2"/>
      <c r="G369" s="2"/>
      <c r="H369" s="2"/>
      <c r="I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150"/>
      <c r="AM369" s="511"/>
      <c r="AN369" s="512"/>
      <c r="AO369" s="446"/>
      <c r="AP369" s="261"/>
      <c r="AQ369" s="261"/>
      <c r="AR369" s="261"/>
      <c r="AS369" s="194"/>
      <c r="AT369" s="241"/>
      <c r="AU369" s="241"/>
      <c r="AV369" s="241"/>
      <c r="AW369" s="194"/>
      <c r="AX369" s="114"/>
      <c r="AY369" s="2"/>
    </row>
    <row r="370" spans="1:51" ht="48.75" customHeight="1" thickTop="1">
      <c r="A370" s="2"/>
      <c r="B370" s="2"/>
      <c r="C370" s="2"/>
      <c r="D370" s="2"/>
      <c r="E370" s="2"/>
      <c r="F370" s="2"/>
      <c r="G370" s="2"/>
      <c r="H370" s="2"/>
      <c r="I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150"/>
      <c r="AM370" s="516" t="s">
        <v>1056</v>
      </c>
      <c r="AN370" s="489" t="s">
        <v>2296</v>
      </c>
      <c r="AO370" s="163" t="s">
        <v>149</v>
      </c>
      <c r="AP370" s="247">
        <f t="shared" ref="AP370:AR371" si="45">SUMIF($AS$9:$AW$9,AP$9,$AS370:$AW370)</f>
        <v>6688.4749999999995</v>
      </c>
      <c r="AQ370" s="247">
        <f t="shared" si="45"/>
        <v>3827.16</v>
      </c>
      <c r="AR370" s="247">
        <f t="shared" si="45"/>
        <v>2861.3149999999996</v>
      </c>
      <c r="AS370" s="194"/>
      <c r="AT370" s="754">
        <f>AU370+AV370</f>
        <v>6688.4749999999995</v>
      </c>
      <c r="AU370" s="262">
        <f>SUMIF(БПр!$BA$131:$BA$160,AU$17 &amp; ".0-" &amp; AU$9,БПр!$M$131:$M$160)-SUMIF(БПр!$BA$131:$BA$160,AU$17 &amp; ".0-" &amp; AU$9,БПр!$Q$131:$Q$160)-SUMIF(БПр!$BA$131:$BA$160,AU$17 &amp; ".0-" &amp; AU$9,БПр!$V$131:$V$160)+SUMIF(БПр!$BA$131:$BA$160,AU$17 &amp; ".0-" &amp; AU$9,БПр!$AO$131:$AO$160)+SUMIF(БТр!$BA$131:$BA$160,AU$17 &amp; ".0-" &amp; AU$9,БТр!$M$131:$M$160)</f>
        <v>3827.16</v>
      </c>
      <c r="AV370" s="262">
        <f>SUMIF(БПр!$BA$131:$BA$160,AV$17 &amp; ".0-" &amp; AV$9,БПр!$M$131:$M$160)-SUMIF(БПр!$BA$131:$BA$160,AV$17 &amp; ".0-" &amp; AV$9,БПр!$Q$131:$Q$160)-SUMIF(БПр!$BA$131:$BA$160,AV$17 &amp; ".0-" &amp; AV$9,БПр!$V$131:$V$160)+SUMIF(БПр!$BA$131:$BA$160,AV$17 &amp; ".0-" &amp; AV$9,БПр!$AO$131:$AO$160)+SUMIF(БТр!$BA$131:$BA$160,AV$17 &amp; ".0-" &amp; AV$9,БТр!$M$131:$M$160)</f>
        <v>2861.3149999999996</v>
      </c>
      <c r="AW370" s="194"/>
      <c r="AX370" s="326"/>
      <c r="AY370" s="2"/>
    </row>
    <row r="371" spans="1:51" ht="48.75" customHeight="1">
      <c r="A371" s="2"/>
      <c r="B371" s="2"/>
      <c r="C371" s="2"/>
      <c r="D371" s="2"/>
      <c r="E371" s="2"/>
      <c r="F371" s="2"/>
      <c r="G371" s="2"/>
      <c r="H371" s="2"/>
      <c r="I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150"/>
      <c r="AM371" s="516" t="s">
        <v>1057</v>
      </c>
      <c r="AN371" s="519" t="s">
        <v>2139</v>
      </c>
      <c r="AO371" s="163" t="s">
        <v>149</v>
      </c>
      <c r="AP371" s="247">
        <f t="shared" si="45"/>
        <v>2317.335</v>
      </c>
      <c r="AQ371" s="247">
        <f t="shared" si="45"/>
        <v>1321.26</v>
      </c>
      <c r="AR371" s="247">
        <f t="shared" si="45"/>
        <v>996.07499999999993</v>
      </c>
      <c r="AS371" s="194"/>
      <c r="AT371" s="754">
        <f>AU371+AV371</f>
        <v>2317.335</v>
      </c>
      <c r="AU371" s="262">
        <f>SUMIF(БПр!$BA$131:$BA$160,AU$17 &amp; ".0-" &amp; AU$9,БПр!$R$131:$R$160)+SUMIF(БПр!$BA$131:$BA$160,AU$17 &amp; ".0-" &amp; AU$9,БПр!$S$131:$S$160)+SUMIF(БПр!$BA$131:$BA$160,AU$17 &amp; ".0-" &amp; AU$9,БПр!$T$131:$T$160)+SUMIF(БПр!$BA$131:$BA$160,AU$17 &amp; ".0-" &amp; AU$9,БПр!$U$131:$U$160)+SUMIF(БПр!$BA$131:$BA$160,AU$17 &amp; ".0-" &amp; AU$9,БПр!$AT$131:$AT$160)+SUMIF(БПр!$BA$131:$BA$160,AU$17 &amp; ".0-" &amp; AU$9,БПр!$AU$131:$AU$160)+SUMIF(БТр!$BA$131:$BA$160,AU$17 &amp; ".0-" &amp; AU$9,БТр!$Q$131:$Q$160)+SUMIF(БТр!$BA$131:$BA$160,AU$17 &amp; ".0-" &amp; AU$9,БТр!$R$131:$R$160)+SUMIF(БТр!$BA$131:$BA$160,AU$17 &amp; ".0-" &amp; AU$9,БТр!$S$131:$S$160)+SUMIF(БТр!$BA$131:$BA$160,AU$17 &amp; ".0-" &amp; AU$9,БТр!$T$131:$T$160)</f>
        <v>1321.26</v>
      </c>
      <c r="AV371" s="262">
        <f>SUMIF(БПр!$BA$131:$BA$160,AV$17 &amp; ".0-" &amp; AV$9,БПр!$R$131:$R$160)+SUMIF(БПр!$BA$131:$BA$160,AV$17 &amp; ".0-" &amp; AV$9,БПр!$S$131:$S$160)+SUMIF(БПр!$BA$131:$BA$160,AV$17 &amp; ".0-" &amp; AV$9,БПр!$T$131:$T$160)+SUMIF(БПр!$BA$131:$BA$160,AV$17 &amp; ".0-" &amp; AV$9,БПр!$U$131:$U$160)+SUMIF(БПр!$BA$131:$BA$160,AV$17 &amp; ".0-" &amp; AV$9,БПр!$AT$131:$AT$160)+SUMIF(БПр!$BA$131:$BA$160,AV$17 &amp; ".0-" &amp; AV$9,БПр!$AU$131:$AU$160)+SUMIF(БТр!$BA$131:$BA$160,AV$17 &amp; ".0-" &amp; AV$9,БТр!$Q$131:$Q$160)+SUMIF(БТр!$BA$131:$BA$160,AV$17 &amp; ".0-" &amp; AV$9,БТр!$R$131:$R$160)+SUMIF(БТр!$BA$131:$BA$160,AV$17 &amp; ".0-" &amp; AV$9,БТр!$S$131:$S$160)+SUMIF(БТр!$BA$131:$BA$160,AV$17 &amp; ".0-" &amp; AV$9,БТр!$T$131:$T$160)</f>
        <v>996.07499999999993</v>
      </c>
      <c r="AW371" s="194"/>
      <c r="AX371" s="326"/>
      <c r="AY371" s="2"/>
    </row>
    <row r="372" spans="1:51">
      <c r="A372" s="2"/>
      <c r="B372" s="2"/>
      <c r="C372" s="2"/>
      <c r="D372" s="2"/>
      <c r="E372" s="2"/>
      <c r="F372" s="2"/>
      <c r="G372" s="2"/>
      <c r="H372" s="2"/>
      <c r="I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150"/>
      <c r="AM372" s="516" t="s">
        <v>1058</v>
      </c>
      <c r="AN372" s="489" t="s">
        <v>312</v>
      </c>
      <c r="AO372" s="163"/>
      <c r="AP372" s="247">
        <f>IF(AP370=0,0,AP371/AP370)</f>
        <v>0.34646687025069245</v>
      </c>
      <c r="AQ372" s="247">
        <f>IF(AQ370=0,0,AQ371/AQ370)</f>
        <v>0.34523249615903179</v>
      </c>
      <c r="AR372" s="247">
        <f>IF(AR370=0,0,AR371/AR370)</f>
        <v>0.34811791082072407</v>
      </c>
      <c r="AS372" s="194"/>
      <c r="AT372" s="754">
        <f>IF(AT370=0,0,AT371/AT370)</f>
        <v>0.34646687025069245</v>
      </c>
      <c r="AU372" s="754">
        <f>IF(AU370=0,0,AU371/AU370)</f>
        <v>0.34523249615903179</v>
      </c>
      <c r="AV372" s="754">
        <f>IF(AV370=0,0,AV371/AV370)</f>
        <v>0.34811791082072407</v>
      </c>
      <c r="AW372" s="194"/>
      <c r="AX372" s="114"/>
      <c r="AY372" s="2"/>
    </row>
    <row r="373" spans="1:51" ht="48.75" customHeight="1">
      <c r="A373" s="2"/>
      <c r="B373" s="2"/>
      <c r="C373" s="2"/>
      <c r="D373" s="2"/>
      <c r="E373" s="2"/>
      <c r="F373" s="2"/>
      <c r="G373" s="2"/>
      <c r="H373" s="2"/>
      <c r="I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150"/>
      <c r="AM373" s="516" t="s">
        <v>1059</v>
      </c>
      <c r="AN373" s="594" t="s">
        <v>2138</v>
      </c>
      <c r="AO373" s="163" t="s">
        <v>149</v>
      </c>
      <c r="AP373" s="247">
        <f>SUMIF($AS$9:$AW$9,AP$9,$AS373:$AW373)</f>
        <v>2317.335</v>
      </c>
      <c r="AQ373" s="247">
        <f>SUMIF($AS$9:$AW$9,AQ$9,$AS373:$AW373)</f>
        <v>1321.26</v>
      </c>
      <c r="AR373" s="247">
        <f>SUMIF($AS$9:$AW$9,AR$9,$AS373:$AW373)</f>
        <v>996.07499999999993</v>
      </c>
      <c r="AS373" s="194"/>
      <c r="AT373" s="754">
        <f>AU373+AV373</f>
        <v>2317.335</v>
      </c>
      <c r="AU373" s="262">
        <f>SUMIF(БПр!$BA$131:$BA$160,AU$17 &amp; ".0-" &amp; AU$9,БПр!$R$131:$R$160)+SUMIF(БПр!$BA$131:$BA$160,AU$17 &amp; ".0-" &amp; AU$9,БПр!$S$131:$S$160)+SUMIF(БПр!$BA$131:$BA$160,AU$17 &amp; ".0-" &amp; AU$9,БПр!$T$131:$T$160)+SUMIF(БПр!$BA$131:$BA$160,AU$17 &amp; ".0-" &amp; AU$9,БПр!$AU$131:$AU$160)+SUMIF(БТр!$BA$131:$BA$160,AU$17 &amp; ".0-" &amp; AU$9,БТр!$R$131:$R$160)+SUMIF(БТр!$BA$131:$BA$160,AU$17 &amp; ".0-" &amp; AU$9,БТр!$S$131:$S$160)+SUMIF(БТр!$BA$131:$BA$160,AU$17 &amp; ".0-" &amp; AU$9,БТр!$T$131:$T$160)</f>
        <v>1321.26</v>
      </c>
      <c r="AV373" s="262">
        <f>SUMIF(БПр!$BA$131:$BA$160,AV$17 &amp; ".0-" &amp; AV$9,БПр!$R$131:$R$160)+SUMIF(БПр!$BA$131:$BA$160,AV$17 &amp; ".0-" &amp; AV$9,БПр!$S$131:$S$160)+SUMIF(БПр!$BA$131:$BA$160,AV$17 &amp; ".0-" &amp; AV$9,БПр!$T$131:$T$160)+SUMIF(БПр!$BA$131:$BA$160,AV$17 &amp; ".0-" &amp; AV$9,БПр!$AU$131:$AU$160)+SUMIF(БТр!$BA$131:$BA$160,AV$17 &amp; ".0-" &amp; AV$9,БТр!$R$131:$R$160)+SUMIF(БТр!$BA$131:$BA$160,AV$17 &amp; ".0-" &amp; AV$9,БТр!$S$131:$S$160)+SUMIF(БТр!$BA$131:$BA$160,AV$17 &amp; ".0-" &amp; AV$9,БТр!$T$131:$T$160)</f>
        <v>996.07499999999993</v>
      </c>
      <c r="AW373" s="194"/>
      <c r="AX373" s="326"/>
      <c r="AY373" s="2"/>
    </row>
    <row r="374" spans="1:51" ht="0.75" hidden="1" customHeight="1">
      <c r="A374" s="2"/>
      <c r="B374" s="2"/>
      <c r="C374" s="2"/>
      <c r="D374" s="2"/>
      <c r="E374" s="2"/>
      <c r="F374" s="2"/>
      <c r="G374" s="2"/>
      <c r="H374" s="2"/>
      <c r="I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150"/>
      <c r="AM374" s="511"/>
      <c r="AN374" s="595"/>
      <c r="AO374" s="446"/>
      <c r="AP374" s="261"/>
      <c r="AQ374" s="261"/>
      <c r="AR374" s="261"/>
      <c r="AS374" s="194"/>
      <c r="AT374" s="241"/>
      <c r="AU374" s="241"/>
      <c r="AV374" s="241"/>
      <c r="AW374" s="194"/>
      <c r="AX374" s="114"/>
      <c r="AY374" s="2"/>
    </row>
    <row r="375" spans="1:51">
      <c r="A375" s="2"/>
      <c r="B375" s="2"/>
      <c r="C375" s="2"/>
      <c r="D375" s="2"/>
      <c r="E375" s="2"/>
      <c r="F375" s="2"/>
      <c r="G375" s="2"/>
      <c r="H375" s="2"/>
      <c r="I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150"/>
      <c r="AM375" s="516" t="s">
        <v>1143</v>
      </c>
      <c r="AN375" s="494" t="s">
        <v>629</v>
      </c>
      <c r="AO375" s="163" t="s">
        <v>755</v>
      </c>
      <c r="AP375" s="414">
        <f>IF(AP331=0,0,(AP336-AP335)/AP331*100)</f>
        <v>14.535153348107077</v>
      </c>
      <c r="AQ375" s="414">
        <f>IF(AQ331=0,0,(AQ336-AQ335)/AQ331*100)</f>
        <v>21.133715669311183</v>
      </c>
      <c r="AR375" s="414">
        <f>IF(AR331=0,0,(AR336-AR335)/AR331*100)</f>
        <v>7.8292959354467975</v>
      </c>
      <c r="AS375" s="194"/>
      <c r="AT375" s="414">
        <f>IF(AT331=0,0,(AT336-AT335)/AT331*100)</f>
        <v>14.535153348107077</v>
      </c>
      <c r="AU375" s="414">
        <f>IF(AU331=0,0,(AU336-AU335)/AU331*100)</f>
        <v>21.133715669311183</v>
      </c>
      <c r="AV375" s="414">
        <f>IF(AV331=0,0,(AV336-AV335)/AV331*100)</f>
        <v>7.8292959354467975</v>
      </c>
      <c r="AW375" s="194"/>
      <c r="AX375" s="114"/>
      <c r="AY375" s="2"/>
    </row>
    <row r="376" spans="1:51" ht="0.75" hidden="1" customHeight="1">
      <c r="A376" s="2"/>
      <c r="B376" s="2"/>
      <c r="C376" s="2"/>
      <c r="D376" s="2"/>
      <c r="E376" s="2"/>
      <c r="F376" s="2"/>
      <c r="G376" s="2"/>
      <c r="H376" s="2"/>
      <c r="I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150"/>
      <c r="AM376" s="511"/>
      <c r="AN376" s="512"/>
      <c r="AO376" s="446"/>
      <c r="AP376" s="261"/>
      <c r="AQ376" s="261"/>
      <c r="AR376" s="261"/>
      <c r="AS376" s="194"/>
      <c r="AT376" s="241"/>
      <c r="AU376" s="241"/>
      <c r="AV376" s="241"/>
      <c r="AW376" s="194"/>
      <c r="AX376" s="114"/>
      <c r="AY376" s="2"/>
    </row>
    <row r="377" spans="1:51" ht="35.25" customHeight="1">
      <c r="A377" s="2"/>
      <c r="B377" s="2"/>
      <c r="C377" s="2"/>
      <c r="D377" s="2"/>
      <c r="E377" s="2"/>
      <c r="F377" s="2"/>
      <c r="G377" s="2"/>
      <c r="H377" s="2"/>
      <c r="I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150"/>
      <c r="AM377" s="516" t="s">
        <v>2491</v>
      </c>
      <c r="AN377" s="494" t="s">
        <v>2481</v>
      </c>
      <c r="AO377" s="163" t="s">
        <v>195</v>
      </c>
      <c r="AP377" s="247">
        <f t="shared" ref="AP377:AP392" si="46">AQ377+AR377</f>
        <v>0</v>
      </c>
      <c r="AQ377" s="247">
        <f>SUM(AQ378,AQ379,AQ382,AQ386,AQ391,AQ392)</f>
        <v>0</v>
      </c>
      <c r="AR377" s="247">
        <f>SUM(AR378,AR379,AR382,AR386,AR391,AR392)</f>
        <v>0</v>
      </c>
      <c r="AS377" s="194"/>
      <c r="AT377" s="241"/>
      <c r="AU377" s="241"/>
      <c r="AV377" s="241"/>
      <c r="AW377" s="194"/>
      <c r="AX377" s="114"/>
      <c r="AY377" s="2"/>
    </row>
    <row r="378" spans="1:51" ht="24" customHeight="1">
      <c r="A378" s="2"/>
      <c r="B378" s="2"/>
      <c r="C378" s="2"/>
      <c r="D378" s="2"/>
      <c r="E378" s="2"/>
      <c r="F378" s="2"/>
      <c r="G378" s="2"/>
      <c r="H378" s="2"/>
      <c r="I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150"/>
      <c r="AM378" s="516" t="s">
        <v>2496</v>
      </c>
      <c r="AN378" s="657" t="s">
        <v>2482</v>
      </c>
      <c r="AO378" s="163" t="s">
        <v>195</v>
      </c>
      <c r="AP378" s="247">
        <f t="shared" si="46"/>
        <v>0</v>
      </c>
      <c r="AQ378" s="245"/>
      <c r="AR378" s="245"/>
      <c r="AS378" s="194"/>
      <c r="AT378" s="241"/>
      <c r="AU378" s="241"/>
      <c r="AV378" s="241"/>
      <c r="AW378" s="194"/>
      <c r="AX378" s="114"/>
      <c r="AY378" s="2"/>
    </row>
    <row r="379" spans="1:51">
      <c r="A379" s="2"/>
      <c r="B379" s="2"/>
      <c r="C379" s="2"/>
      <c r="D379" s="2"/>
      <c r="E379" s="2"/>
      <c r="F379" s="2"/>
      <c r="G379" s="2"/>
      <c r="H379" s="2"/>
      <c r="I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150"/>
      <c r="AM379" s="516" t="s">
        <v>2497</v>
      </c>
      <c r="AN379" s="657" t="s">
        <v>2483</v>
      </c>
      <c r="AO379" s="163" t="s">
        <v>195</v>
      </c>
      <c r="AP379" s="247">
        <f t="shared" si="46"/>
        <v>0</v>
      </c>
      <c r="AQ379" s="247">
        <f>SUM(AQ380:AQ381)</f>
        <v>0</v>
      </c>
      <c r="AR379" s="247">
        <f>SUM(AR380:AR381)</f>
        <v>0</v>
      </c>
      <c r="AS379" s="194"/>
      <c r="AT379" s="241"/>
      <c r="AU379" s="241"/>
      <c r="AV379" s="241"/>
      <c r="AW379" s="194"/>
      <c r="AX379" s="114"/>
      <c r="AY379" s="2"/>
    </row>
    <row r="380" spans="1:51" ht="24" customHeight="1">
      <c r="A380" s="2"/>
      <c r="B380" s="2"/>
      <c r="C380" s="2"/>
      <c r="D380" s="2"/>
      <c r="E380" s="2"/>
      <c r="F380" s="2"/>
      <c r="G380" s="2"/>
      <c r="H380" s="2"/>
      <c r="I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150"/>
      <c r="AM380" s="516" t="s">
        <v>2499</v>
      </c>
      <c r="AN380" s="655" t="s">
        <v>2484</v>
      </c>
      <c r="AO380" s="163" t="s">
        <v>195</v>
      </c>
      <c r="AP380" s="247">
        <f t="shared" si="46"/>
        <v>0</v>
      </c>
      <c r="AQ380" s="245"/>
      <c r="AR380" s="245"/>
      <c r="AS380" s="194"/>
      <c r="AT380" s="241"/>
      <c r="AU380" s="241"/>
      <c r="AV380" s="241"/>
      <c r="AW380" s="194"/>
      <c r="AX380" s="114"/>
      <c r="AY380" s="2"/>
    </row>
    <row r="381" spans="1:51" ht="45" customHeight="1">
      <c r="A381" s="2"/>
      <c r="B381" s="2"/>
      <c r="C381" s="2"/>
      <c r="D381" s="2"/>
      <c r="E381" s="2"/>
      <c r="F381" s="2"/>
      <c r="G381" s="2"/>
      <c r="H381" s="2"/>
      <c r="I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150"/>
      <c r="AM381" s="516" t="s">
        <v>2500</v>
      </c>
      <c r="AN381" s="655" t="s">
        <v>2485</v>
      </c>
      <c r="AO381" s="163" t="s">
        <v>195</v>
      </c>
      <c r="AP381" s="247">
        <f t="shared" si="46"/>
        <v>0</v>
      </c>
      <c r="AQ381" s="245"/>
      <c r="AR381" s="245"/>
      <c r="AS381" s="194"/>
      <c r="AT381" s="241"/>
      <c r="AU381" s="241"/>
      <c r="AV381" s="241"/>
      <c r="AW381" s="194"/>
      <c r="AX381" s="114"/>
      <c r="AY381" s="2"/>
    </row>
    <row r="382" spans="1:51" ht="24" customHeight="1">
      <c r="A382" s="2"/>
      <c r="B382" s="2"/>
      <c r="C382" s="2"/>
      <c r="D382" s="2"/>
      <c r="E382" s="2"/>
      <c r="F382" s="2"/>
      <c r="G382" s="2"/>
      <c r="H382" s="2"/>
      <c r="I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150"/>
      <c r="AM382" s="516" t="s">
        <v>2498</v>
      </c>
      <c r="AN382" s="657" t="s">
        <v>2486</v>
      </c>
      <c r="AO382" s="163" t="s">
        <v>195</v>
      </c>
      <c r="AP382" s="247">
        <f t="shared" si="46"/>
        <v>0</v>
      </c>
      <c r="AQ382" s="247">
        <f>SUM(AQ383:AQ385)</f>
        <v>0</v>
      </c>
      <c r="AR382" s="247">
        <f>SUM(AR383:AR385)</f>
        <v>0</v>
      </c>
      <c r="AS382" s="194"/>
      <c r="AT382" s="241"/>
      <c r="AU382" s="241"/>
      <c r="AV382" s="241"/>
      <c r="AW382" s="194"/>
      <c r="AX382" s="114"/>
      <c r="AY382" s="2"/>
    </row>
    <row r="383" spans="1:51">
      <c r="A383" s="2"/>
      <c r="B383" s="2"/>
      <c r="C383" s="2"/>
      <c r="D383" s="2"/>
      <c r="E383" s="2"/>
      <c r="F383" s="2"/>
      <c r="G383" s="2"/>
      <c r="H383" s="2"/>
      <c r="I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150"/>
      <c r="AM383" s="516" t="s">
        <v>2501</v>
      </c>
      <c r="AN383" s="655" t="s">
        <v>2337</v>
      </c>
      <c r="AO383" s="163" t="s">
        <v>195</v>
      </c>
      <c r="AP383" s="247">
        <f t="shared" si="46"/>
        <v>0</v>
      </c>
      <c r="AQ383" s="245"/>
      <c r="AR383" s="245"/>
      <c r="AS383" s="194"/>
      <c r="AT383" s="241"/>
      <c r="AU383" s="241"/>
      <c r="AV383" s="241"/>
      <c r="AW383" s="194"/>
      <c r="AX383" s="114"/>
      <c r="AY383" s="2"/>
    </row>
    <row r="384" spans="1:51">
      <c r="A384" s="2"/>
      <c r="B384" s="2"/>
      <c r="C384" s="2"/>
      <c r="D384" s="2"/>
      <c r="E384" s="2"/>
      <c r="F384" s="2"/>
      <c r="G384" s="2"/>
      <c r="H384" s="2"/>
      <c r="I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150"/>
      <c r="AM384" s="516" t="s">
        <v>2502</v>
      </c>
      <c r="AN384" s="655" t="s">
        <v>2487</v>
      </c>
      <c r="AO384" s="163" t="s">
        <v>195</v>
      </c>
      <c r="AP384" s="247">
        <f t="shared" si="46"/>
        <v>0</v>
      </c>
      <c r="AQ384" s="245"/>
      <c r="AR384" s="245"/>
      <c r="AS384" s="194"/>
      <c r="AT384" s="241"/>
      <c r="AU384" s="241"/>
      <c r="AV384" s="241"/>
      <c r="AW384" s="194"/>
      <c r="AX384" s="114"/>
      <c r="AY384" s="2"/>
    </row>
    <row r="385" spans="1:51">
      <c r="A385" s="2"/>
      <c r="B385" s="2"/>
      <c r="C385" s="2"/>
      <c r="D385" s="2"/>
      <c r="E385" s="2"/>
      <c r="F385" s="2"/>
      <c r="G385" s="2"/>
      <c r="H385" s="2"/>
      <c r="I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150"/>
      <c r="AM385" s="516" t="s">
        <v>2503</v>
      </c>
      <c r="AN385" s="655" t="s">
        <v>2488</v>
      </c>
      <c r="AO385" s="163" t="s">
        <v>195</v>
      </c>
      <c r="AP385" s="247">
        <f t="shared" si="46"/>
        <v>0</v>
      </c>
      <c r="AQ385" s="245"/>
      <c r="AR385" s="245"/>
      <c r="AS385" s="194"/>
      <c r="AT385" s="241"/>
      <c r="AU385" s="241"/>
      <c r="AV385" s="241"/>
      <c r="AW385" s="194"/>
      <c r="AX385" s="114"/>
      <c r="AY385" s="2"/>
    </row>
    <row r="386" spans="1:51" ht="24" customHeight="1">
      <c r="A386" s="2"/>
      <c r="B386" s="2"/>
      <c r="C386" s="2"/>
      <c r="D386" s="2"/>
      <c r="E386" s="2"/>
      <c r="F386" s="2"/>
      <c r="G386" s="2"/>
      <c r="H386" s="2"/>
      <c r="I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150"/>
      <c r="AM386" s="516" t="s">
        <v>2504</v>
      </c>
      <c r="AN386" s="657" t="s">
        <v>2494</v>
      </c>
      <c r="AO386" s="163" t="s">
        <v>195</v>
      </c>
      <c r="AP386" s="247">
        <f t="shared" si="46"/>
        <v>0</v>
      </c>
      <c r="AQ386" s="247">
        <f>SUM(AQ387:AQ390)</f>
        <v>0</v>
      </c>
      <c r="AR386" s="247">
        <f>SUM(AR387:AR390)</f>
        <v>0</v>
      </c>
      <c r="AS386" s="194"/>
      <c r="AT386" s="241"/>
      <c r="AU386" s="241"/>
      <c r="AV386" s="241"/>
      <c r="AW386" s="194"/>
      <c r="AX386" s="114"/>
      <c r="AY386" s="2"/>
    </row>
    <row r="387" spans="1:51">
      <c r="A387" s="2"/>
      <c r="B387" s="2"/>
      <c r="C387" s="2"/>
      <c r="D387" s="2"/>
      <c r="E387" s="2"/>
      <c r="F387" s="2"/>
      <c r="G387" s="2"/>
      <c r="H387" s="2"/>
      <c r="I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150"/>
      <c r="AM387" s="516" t="s">
        <v>2505</v>
      </c>
      <c r="AN387" s="655" t="s">
        <v>2340</v>
      </c>
      <c r="AO387" s="163" t="s">
        <v>195</v>
      </c>
      <c r="AP387" s="247">
        <f t="shared" si="46"/>
        <v>0</v>
      </c>
      <c r="AQ387" s="245"/>
      <c r="AR387" s="245"/>
      <c r="AS387" s="194"/>
      <c r="AT387" s="241"/>
      <c r="AU387" s="241"/>
      <c r="AV387" s="241"/>
      <c r="AW387" s="194"/>
      <c r="AX387" s="114"/>
      <c r="AY387" s="2"/>
    </row>
    <row r="388" spans="1:51">
      <c r="A388" s="2"/>
      <c r="B388" s="2"/>
      <c r="C388" s="2"/>
      <c r="D388" s="2"/>
      <c r="E388" s="2"/>
      <c r="F388" s="2"/>
      <c r="G388" s="2"/>
      <c r="H388" s="2"/>
      <c r="I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150"/>
      <c r="AM388" s="516" t="s">
        <v>2506</v>
      </c>
      <c r="AN388" s="655" t="s">
        <v>2339</v>
      </c>
      <c r="AO388" s="163" t="s">
        <v>195</v>
      </c>
      <c r="AP388" s="247">
        <f t="shared" si="46"/>
        <v>0</v>
      </c>
      <c r="AQ388" s="245"/>
      <c r="AR388" s="245"/>
      <c r="AS388" s="194"/>
      <c r="AT388" s="241"/>
      <c r="AU388" s="241"/>
      <c r="AV388" s="241"/>
      <c r="AW388" s="194"/>
      <c r="AX388" s="114"/>
      <c r="AY388" s="2"/>
    </row>
    <row r="389" spans="1:51">
      <c r="A389" s="2"/>
      <c r="B389" s="2"/>
      <c r="C389" s="2"/>
      <c r="D389" s="2"/>
      <c r="E389" s="2"/>
      <c r="F389" s="2"/>
      <c r="G389" s="2"/>
      <c r="H389" s="2"/>
      <c r="I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150"/>
      <c r="AM389" s="516" t="s">
        <v>2507</v>
      </c>
      <c r="AN389" s="655" t="s">
        <v>2495</v>
      </c>
      <c r="AO389" s="163" t="s">
        <v>195</v>
      </c>
      <c r="AP389" s="247">
        <f t="shared" si="46"/>
        <v>0</v>
      </c>
      <c r="AQ389" s="245"/>
      <c r="AR389" s="245"/>
      <c r="AS389" s="194"/>
      <c r="AT389" s="241"/>
      <c r="AU389" s="241"/>
      <c r="AV389" s="241"/>
      <c r="AW389" s="194"/>
      <c r="AX389" s="114"/>
      <c r="AY389" s="2"/>
    </row>
    <row r="390" spans="1:51">
      <c r="A390" s="2"/>
      <c r="B390" s="2"/>
      <c r="C390" s="2"/>
      <c r="D390" s="2"/>
      <c r="E390" s="2"/>
      <c r="F390" s="2"/>
      <c r="G390" s="2"/>
      <c r="H390" s="2"/>
      <c r="I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150"/>
      <c r="AM390" s="516" t="s">
        <v>2508</v>
      </c>
      <c r="AN390" s="656" t="s">
        <v>2489</v>
      </c>
      <c r="AO390" s="163" t="s">
        <v>195</v>
      </c>
      <c r="AP390" s="247">
        <f t="shared" si="46"/>
        <v>0</v>
      </c>
      <c r="AQ390" s="245"/>
      <c r="AR390" s="245"/>
      <c r="AS390" s="194"/>
      <c r="AT390" s="241"/>
      <c r="AU390" s="241"/>
      <c r="AV390" s="241"/>
      <c r="AW390" s="194"/>
      <c r="AX390" s="114"/>
      <c r="AY390" s="2"/>
    </row>
    <row r="391" spans="1:51">
      <c r="A391" s="2"/>
      <c r="B391" s="2"/>
      <c r="C391" s="2"/>
      <c r="D391" s="2"/>
      <c r="E391" s="2"/>
      <c r="F391" s="2"/>
      <c r="G391" s="2"/>
      <c r="H391" s="2"/>
      <c r="I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150"/>
      <c r="AM391" s="516" t="s">
        <v>2509</v>
      </c>
      <c r="AN391" s="654" t="s">
        <v>2490</v>
      </c>
      <c r="AO391" s="163" t="s">
        <v>195</v>
      </c>
      <c r="AP391" s="247">
        <f t="shared" si="46"/>
        <v>0</v>
      </c>
      <c r="AQ391" s="245"/>
      <c r="AR391" s="245"/>
      <c r="AS391" s="194"/>
      <c r="AT391" s="241"/>
      <c r="AU391" s="241"/>
      <c r="AV391" s="241"/>
      <c r="AW391" s="194"/>
      <c r="AX391" s="114"/>
      <c r="AY391" s="2"/>
    </row>
    <row r="392" spans="1:51">
      <c r="A392" s="2"/>
      <c r="B392" s="2"/>
      <c r="C392" s="2"/>
      <c r="D392" s="2"/>
      <c r="E392" s="2"/>
      <c r="F392" s="2"/>
      <c r="G392" s="2"/>
      <c r="H392" s="2"/>
      <c r="I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150"/>
      <c r="AM392" s="516" t="s">
        <v>2510</v>
      </c>
      <c r="AN392" s="658" t="s">
        <v>1025</v>
      </c>
      <c r="AO392" s="163" t="s">
        <v>195</v>
      </c>
      <c r="AP392" s="247">
        <f t="shared" si="46"/>
        <v>0</v>
      </c>
      <c r="AQ392" s="245"/>
      <c r="AR392" s="245"/>
      <c r="AS392" s="194"/>
      <c r="AT392" s="241"/>
      <c r="AU392" s="241"/>
      <c r="AV392" s="241"/>
      <c r="AW392" s="194"/>
      <c r="AX392" s="114"/>
      <c r="AY392" s="2"/>
    </row>
    <row r="393" spans="1:51" ht="0.75" hidden="1" customHeight="1">
      <c r="A393" s="2"/>
      <c r="B393" s="2"/>
      <c r="C393" s="2"/>
      <c r="D393" s="2"/>
      <c r="E393" s="2"/>
      <c r="F393" s="2"/>
      <c r="G393" s="2"/>
      <c r="H393" s="2"/>
      <c r="I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150"/>
      <c r="AM393" s="511"/>
      <c r="AN393" s="512"/>
      <c r="AO393" s="446"/>
      <c r="AP393" s="261"/>
      <c r="AQ393" s="261"/>
      <c r="AR393" s="261"/>
      <c r="AS393" s="194"/>
      <c r="AT393" s="241"/>
      <c r="AU393" s="241"/>
      <c r="AV393" s="241"/>
      <c r="AW393" s="194"/>
      <c r="AX393" s="114"/>
      <c r="AY393" s="2"/>
    </row>
    <row r="394" spans="1:51" ht="48.75" customHeight="1">
      <c r="A394" s="2"/>
      <c r="B394" s="2"/>
      <c r="C394" s="2"/>
      <c r="D394" s="2"/>
      <c r="E394" s="2"/>
      <c r="F394" s="2"/>
      <c r="G394" s="2"/>
      <c r="H394" s="2"/>
      <c r="I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150"/>
      <c r="AM394" s="516" t="s">
        <v>2526</v>
      </c>
      <c r="AN394" s="659" t="str">
        <f>AN377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(за исключением ИП, которые утверждены в соответствии с КС): по данным мониторинга SUMMARY.INV.WARM.12.2024</v>
      </c>
      <c r="AO394" s="163" t="s">
        <v>195</v>
      </c>
      <c r="AP394" s="590"/>
      <c r="AQ394" s="241"/>
      <c r="AR394" s="241"/>
      <c r="AS394" s="194"/>
      <c r="AT394" s="241"/>
      <c r="AU394" s="241"/>
      <c r="AV394" s="241"/>
      <c r="AW394" s="194"/>
      <c r="AX394" s="114"/>
      <c r="AY394" s="2"/>
    </row>
    <row r="395" spans="1:51" ht="0.75" hidden="1" customHeight="1">
      <c r="A395" s="2"/>
      <c r="B395" s="2"/>
      <c r="C395" s="2"/>
      <c r="D395" s="2"/>
      <c r="E395" s="2"/>
      <c r="F395" s="2"/>
      <c r="G395" s="2"/>
      <c r="H395" s="2"/>
      <c r="I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150"/>
      <c r="AM395" s="511"/>
      <c r="AN395" s="512"/>
      <c r="AO395" s="446"/>
      <c r="AP395" s="261"/>
      <c r="AQ395" s="261"/>
      <c r="AR395" s="261"/>
      <c r="AS395" s="194"/>
      <c r="AT395" s="241"/>
      <c r="AU395" s="241"/>
      <c r="AV395" s="241"/>
      <c r="AW395" s="194"/>
      <c r="AX395" s="114"/>
      <c r="AY395" s="2"/>
    </row>
    <row r="396" spans="1:51" ht="0.75" hidden="1" customHeight="1">
      <c r="A396" s="2"/>
      <c r="B396" s="2"/>
      <c r="C396" s="2"/>
      <c r="D396" s="2"/>
      <c r="E396" s="2"/>
      <c r="F396" s="2"/>
      <c r="G396" s="2"/>
      <c r="H396" s="2"/>
      <c r="I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150"/>
      <c r="AM396" s="511"/>
      <c r="AN396" s="512"/>
      <c r="AO396" s="446"/>
      <c r="AP396" s="261"/>
      <c r="AQ396" s="261"/>
      <c r="AR396" s="261"/>
      <c r="AS396" s="194"/>
      <c r="AT396" s="241"/>
      <c r="AU396" s="241"/>
      <c r="AV396" s="241"/>
      <c r="AW396" s="194"/>
      <c r="AX396" s="114"/>
      <c r="AY396" s="2"/>
    </row>
    <row r="397" spans="1:51" ht="35.25" customHeight="1">
      <c r="A397" s="2"/>
      <c r="B397" s="2"/>
      <c r="C397" s="2"/>
      <c r="D397" s="2"/>
      <c r="E397" s="2"/>
      <c r="F397" s="2"/>
      <c r="G397" s="2"/>
      <c r="H397" s="2"/>
      <c r="I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150"/>
      <c r="AM397" s="516" t="s">
        <v>2492</v>
      </c>
      <c r="AN397" s="494" t="s">
        <v>2493</v>
      </c>
      <c r="AO397" s="163" t="s">
        <v>195</v>
      </c>
      <c r="AP397" s="247">
        <f t="shared" ref="AP397:AP412" si="47">AQ397+AR397</f>
        <v>0</v>
      </c>
      <c r="AQ397" s="247">
        <f>SUM(AQ398,AQ399,AQ402,AQ406,AQ411,AQ412)</f>
        <v>0</v>
      </c>
      <c r="AR397" s="247">
        <f>SUM(AR398,AR399,AR402,AR406,AR411,AR412)</f>
        <v>0</v>
      </c>
      <c r="AS397" s="194"/>
      <c r="AT397" s="241"/>
      <c r="AU397" s="241"/>
      <c r="AV397" s="241"/>
      <c r="AW397" s="194"/>
      <c r="AX397" s="114"/>
      <c r="AY397" s="2"/>
    </row>
    <row r="398" spans="1:51" ht="24" customHeight="1">
      <c r="A398" s="2"/>
      <c r="B398" s="2"/>
      <c r="C398" s="2"/>
      <c r="D398" s="2"/>
      <c r="E398" s="2"/>
      <c r="F398" s="2"/>
      <c r="G398" s="2"/>
      <c r="H398" s="2"/>
      <c r="I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150"/>
      <c r="AM398" s="516" t="s">
        <v>2511</v>
      </c>
      <c r="AN398" s="657" t="s">
        <v>2482</v>
      </c>
      <c r="AO398" s="163" t="s">
        <v>195</v>
      </c>
      <c r="AP398" s="247">
        <f t="shared" si="47"/>
        <v>0</v>
      </c>
      <c r="AQ398" s="245"/>
      <c r="AR398" s="245"/>
      <c r="AS398" s="194"/>
      <c r="AT398" s="241"/>
      <c r="AU398" s="241"/>
      <c r="AV398" s="241"/>
      <c r="AW398" s="194"/>
      <c r="AX398" s="114"/>
      <c r="AY398" s="2"/>
    </row>
    <row r="399" spans="1:51">
      <c r="A399" s="2"/>
      <c r="B399" s="2"/>
      <c r="C399" s="2"/>
      <c r="D399" s="2"/>
      <c r="E399" s="2"/>
      <c r="F399" s="2"/>
      <c r="G399" s="2"/>
      <c r="H399" s="2"/>
      <c r="I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150"/>
      <c r="AM399" s="516" t="s">
        <v>2512</v>
      </c>
      <c r="AN399" s="657" t="s">
        <v>2483</v>
      </c>
      <c r="AO399" s="163" t="s">
        <v>195</v>
      </c>
      <c r="AP399" s="247">
        <f t="shared" si="47"/>
        <v>0</v>
      </c>
      <c r="AQ399" s="247">
        <f>SUM(AQ400:AQ401)</f>
        <v>0</v>
      </c>
      <c r="AR399" s="247">
        <f>SUM(AR400:AR401)</f>
        <v>0</v>
      </c>
      <c r="AS399" s="194"/>
      <c r="AT399" s="241"/>
      <c r="AU399" s="241"/>
      <c r="AV399" s="241"/>
      <c r="AW399" s="194"/>
      <c r="AX399" s="114"/>
      <c r="AY399" s="2"/>
    </row>
    <row r="400" spans="1:51" ht="24" customHeight="1">
      <c r="A400" s="2"/>
      <c r="B400" s="2"/>
      <c r="C400" s="2"/>
      <c r="D400" s="2"/>
      <c r="E400" s="2"/>
      <c r="F400" s="2"/>
      <c r="G400" s="2"/>
      <c r="H400" s="2"/>
      <c r="I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150"/>
      <c r="AM400" s="516" t="s">
        <v>2513</v>
      </c>
      <c r="AN400" s="655" t="s">
        <v>2484</v>
      </c>
      <c r="AO400" s="163" t="s">
        <v>195</v>
      </c>
      <c r="AP400" s="247">
        <f t="shared" si="47"/>
        <v>0</v>
      </c>
      <c r="AQ400" s="245"/>
      <c r="AR400" s="245"/>
      <c r="AS400" s="194"/>
      <c r="AT400" s="241"/>
      <c r="AU400" s="241"/>
      <c r="AV400" s="241"/>
      <c r="AW400" s="194"/>
      <c r="AX400" s="114"/>
      <c r="AY400" s="2"/>
    </row>
    <row r="401" spans="1:51" ht="45" customHeight="1">
      <c r="A401" s="2"/>
      <c r="B401" s="2"/>
      <c r="C401" s="2"/>
      <c r="D401" s="2"/>
      <c r="E401" s="2"/>
      <c r="F401" s="2"/>
      <c r="G401" s="2"/>
      <c r="H401" s="2"/>
      <c r="I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150"/>
      <c r="AM401" s="516" t="s">
        <v>2514</v>
      </c>
      <c r="AN401" s="655" t="s">
        <v>2485</v>
      </c>
      <c r="AO401" s="163" t="s">
        <v>195</v>
      </c>
      <c r="AP401" s="247">
        <f t="shared" si="47"/>
        <v>0</v>
      </c>
      <c r="AQ401" s="245"/>
      <c r="AR401" s="245"/>
      <c r="AS401" s="194"/>
      <c r="AT401" s="241"/>
      <c r="AU401" s="241"/>
      <c r="AV401" s="241"/>
      <c r="AW401" s="194"/>
      <c r="AX401" s="114"/>
      <c r="AY401" s="2"/>
    </row>
    <row r="402" spans="1:51" ht="24" customHeight="1">
      <c r="A402" s="2"/>
      <c r="B402" s="2"/>
      <c r="C402" s="2"/>
      <c r="D402" s="2"/>
      <c r="E402" s="2"/>
      <c r="F402" s="2"/>
      <c r="G402" s="2"/>
      <c r="H402" s="2"/>
      <c r="I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150"/>
      <c r="AM402" s="516" t="s">
        <v>2515</v>
      </c>
      <c r="AN402" s="657" t="s">
        <v>2486</v>
      </c>
      <c r="AO402" s="163" t="s">
        <v>195</v>
      </c>
      <c r="AP402" s="247">
        <f t="shared" si="47"/>
        <v>0</v>
      </c>
      <c r="AQ402" s="247">
        <f>SUM(AQ403:AQ405)</f>
        <v>0</v>
      </c>
      <c r="AR402" s="247">
        <f>SUM(AR403:AR405)</f>
        <v>0</v>
      </c>
      <c r="AS402" s="194"/>
      <c r="AT402" s="241"/>
      <c r="AU402" s="241"/>
      <c r="AV402" s="241"/>
      <c r="AW402" s="194"/>
      <c r="AX402" s="114"/>
      <c r="AY402" s="2"/>
    </row>
    <row r="403" spans="1:51">
      <c r="A403" s="2"/>
      <c r="B403" s="2"/>
      <c r="C403" s="2"/>
      <c r="D403" s="2"/>
      <c r="E403" s="2"/>
      <c r="F403" s="2"/>
      <c r="G403" s="2"/>
      <c r="H403" s="2"/>
      <c r="I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150"/>
      <c r="AM403" s="516" t="s">
        <v>2516</v>
      </c>
      <c r="AN403" s="655" t="s">
        <v>2337</v>
      </c>
      <c r="AO403" s="163" t="s">
        <v>195</v>
      </c>
      <c r="AP403" s="247">
        <f t="shared" si="47"/>
        <v>0</v>
      </c>
      <c r="AQ403" s="245"/>
      <c r="AR403" s="245"/>
      <c r="AS403" s="194"/>
      <c r="AT403" s="241"/>
      <c r="AU403" s="241"/>
      <c r="AV403" s="241"/>
      <c r="AW403" s="194"/>
      <c r="AX403" s="114"/>
      <c r="AY403" s="2"/>
    </row>
    <row r="404" spans="1:51">
      <c r="A404" s="2"/>
      <c r="B404" s="2"/>
      <c r="C404" s="2"/>
      <c r="D404" s="2"/>
      <c r="E404" s="2"/>
      <c r="F404" s="2"/>
      <c r="G404" s="2"/>
      <c r="H404" s="2"/>
      <c r="I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150"/>
      <c r="AM404" s="516" t="s">
        <v>2517</v>
      </c>
      <c r="AN404" s="655" t="s">
        <v>2487</v>
      </c>
      <c r="AO404" s="163" t="s">
        <v>195</v>
      </c>
      <c r="AP404" s="247">
        <f t="shared" si="47"/>
        <v>0</v>
      </c>
      <c r="AQ404" s="245"/>
      <c r="AR404" s="245"/>
      <c r="AS404" s="194"/>
      <c r="AT404" s="241"/>
      <c r="AU404" s="241"/>
      <c r="AV404" s="241"/>
      <c r="AW404" s="194"/>
      <c r="AX404" s="114"/>
      <c r="AY404" s="2"/>
    </row>
    <row r="405" spans="1:51">
      <c r="A405" s="2"/>
      <c r="B405" s="2"/>
      <c r="C405" s="2"/>
      <c r="D405" s="2"/>
      <c r="E405" s="2"/>
      <c r="F405" s="2"/>
      <c r="G405" s="2"/>
      <c r="H405" s="2"/>
      <c r="I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150"/>
      <c r="AM405" s="516" t="s">
        <v>2518</v>
      </c>
      <c r="AN405" s="655" t="s">
        <v>2488</v>
      </c>
      <c r="AO405" s="163" t="s">
        <v>195</v>
      </c>
      <c r="AP405" s="247">
        <f t="shared" si="47"/>
        <v>0</v>
      </c>
      <c r="AQ405" s="245"/>
      <c r="AR405" s="245"/>
      <c r="AS405" s="194"/>
      <c r="AT405" s="241"/>
      <c r="AU405" s="241"/>
      <c r="AV405" s="241"/>
      <c r="AW405" s="194"/>
      <c r="AX405" s="114"/>
      <c r="AY405" s="2"/>
    </row>
    <row r="406" spans="1:51" ht="24" customHeight="1">
      <c r="A406" s="2"/>
      <c r="B406" s="2"/>
      <c r="C406" s="2"/>
      <c r="D406" s="2"/>
      <c r="E406" s="2"/>
      <c r="F406" s="2"/>
      <c r="G406" s="2"/>
      <c r="H406" s="2"/>
      <c r="I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150"/>
      <c r="AM406" s="516" t="s">
        <v>2519</v>
      </c>
      <c r="AN406" s="657" t="s">
        <v>2494</v>
      </c>
      <c r="AO406" s="163" t="s">
        <v>195</v>
      </c>
      <c r="AP406" s="247">
        <f t="shared" si="47"/>
        <v>0</v>
      </c>
      <c r="AQ406" s="247">
        <f>SUM(AQ407:AQ410)</f>
        <v>0</v>
      </c>
      <c r="AR406" s="247">
        <f>SUM(AR407:AR410)</f>
        <v>0</v>
      </c>
      <c r="AS406" s="194"/>
      <c r="AT406" s="241"/>
      <c r="AU406" s="241"/>
      <c r="AV406" s="241"/>
      <c r="AW406" s="194"/>
      <c r="AX406" s="114"/>
      <c r="AY406" s="2"/>
    </row>
    <row r="407" spans="1:51">
      <c r="A407" s="2"/>
      <c r="B407" s="2"/>
      <c r="C407" s="2"/>
      <c r="D407" s="2"/>
      <c r="E407" s="2"/>
      <c r="F407" s="2"/>
      <c r="G407" s="2"/>
      <c r="H407" s="2"/>
      <c r="I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150"/>
      <c r="AM407" s="516" t="s">
        <v>2520</v>
      </c>
      <c r="AN407" s="655" t="s">
        <v>2340</v>
      </c>
      <c r="AO407" s="163" t="s">
        <v>195</v>
      </c>
      <c r="AP407" s="247">
        <f t="shared" si="47"/>
        <v>0</v>
      </c>
      <c r="AQ407" s="245"/>
      <c r="AR407" s="245"/>
      <c r="AS407" s="194"/>
      <c r="AT407" s="241"/>
      <c r="AU407" s="241"/>
      <c r="AV407" s="241"/>
      <c r="AW407" s="194"/>
      <c r="AX407" s="114"/>
      <c r="AY407" s="2"/>
    </row>
    <row r="408" spans="1:51">
      <c r="A408" s="2"/>
      <c r="B408" s="2"/>
      <c r="C408" s="2"/>
      <c r="D408" s="2"/>
      <c r="E408" s="2"/>
      <c r="F408" s="2"/>
      <c r="G408" s="2"/>
      <c r="H408" s="2"/>
      <c r="I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150"/>
      <c r="AM408" s="516" t="s">
        <v>2521</v>
      </c>
      <c r="AN408" s="655" t="s">
        <v>2339</v>
      </c>
      <c r="AO408" s="163" t="s">
        <v>195</v>
      </c>
      <c r="AP408" s="247">
        <f t="shared" si="47"/>
        <v>0</v>
      </c>
      <c r="AQ408" s="245"/>
      <c r="AR408" s="245"/>
      <c r="AS408" s="194"/>
      <c r="AT408" s="241"/>
      <c r="AU408" s="241"/>
      <c r="AV408" s="241"/>
      <c r="AW408" s="194"/>
      <c r="AX408" s="114"/>
      <c r="AY408" s="2"/>
    </row>
    <row r="409" spans="1:51">
      <c r="A409" s="2"/>
      <c r="B409" s="2"/>
      <c r="C409" s="2"/>
      <c r="D409" s="2"/>
      <c r="E409" s="2"/>
      <c r="F409" s="2"/>
      <c r="G409" s="2"/>
      <c r="H409" s="2"/>
      <c r="I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150"/>
      <c r="AM409" s="516" t="s">
        <v>2522</v>
      </c>
      <c r="AN409" s="655" t="s">
        <v>2495</v>
      </c>
      <c r="AO409" s="163" t="s">
        <v>195</v>
      </c>
      <c r="AP409" s="247">
        <f t="shared" si="47"/>
        <v>0</v>
      </c>
      <c r="AQ409" s="245"/>
      <c r="AR409" s="245"/>
      <c r="AS409" s="194"/>
      <c r="AT409" s="241"/>
      <c r="AU409" s="241"/>
      <c r="AV409" s="241"/>
      <c r="AW409" s="194"/>
      <c r="AX409" s="114"/>
      <c r="AY409" s="2"/>
    </row>
    <row r="410" spans="1:51">
      <c r="A410" s="2"/>
      <c r="B410" s="2"/>
      <c r="C410" s="2"/>
      <c r="D410" s="2"/>
      <c r="E410" s="2"/>
      <c r="F410" s="2"/>
      <c r="G410" s="2"/>
      <c r="H410" s="2"/>
      <c r="I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150"/>
      <c r="AM410" s="516" t="s">
        <v>2523</v>
      </c>
      <c r="AN410" s="656" t="s">
        <v>2489</v>
      </c>
      <c r="AO410" s="163" t="s">
        <v>195</v>
      </c>
      <c r="AP410" s="247">
        <f t="shared" si="47"/>
        <v>0</v>
      </c>
      <c r="AQ410" s="245"/>
      <c r="AR410" s="245"/>
      <c r="AS410" s="194"/>
      <c r="AT410" s="241"/>
      <c r="AU410" s="241"/>
      <c r="AV410" s="241"/>
      <c r="AW410" s="194"/>
      <c r="AX410" s="114"/>
      <c r="AY410" s="2"/>
    </row>
    <row r="411" spans="1:51">
      <c r="A411" s="2"/>
      <c r="B411" s="2"/>
      <c r="C411" s="2"/>
      <c r="D411" s="2"/>
      <c r="E411" s="2"/>
      <c r="F411" s="2"/>
      <c r="G411" s="2"/>
      <c r="H411" s="2"/>
      <c r="I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150"/>
      <c r="AM411" s="516" t="s">
        <v>2524</v>
      </c>
      <c r="AN411" s="654" t="s">
        <v>2490</v>
      </c>
      <c r="AO411" s="163" t="s">
        <v>195</v>
      </c>
      <c r="AP411" s="247">
        <f t="shared" si="47"/>
        <v>0</v>
      </c>
      <c r="AQ411" s="245"/>
      <c r="AR411" s="245"/>
      <c r="AS411" s="194"/>
      <c r="AT411" s="241"/>
      <c r="AU411" s="241"/>
      <c r="AV411" s="241"/>
      <c r="AW411" s="194"/>
      <c r="AX411" s="114"/>
      <c r="AY411" s="2"/>
    </row>
    <row r="412" spans="1:51">
      <c r="A412" s="2"/>
      <c r="B412" s="2"/>
      <c r="C412" s="2"/>
      <c r="D412" s="2"/>
      <c r="E412" s="2"/>
      <c r="F412" s="2"/>
      <c r="G412" s="2"/>
      <c r="H412" s="2"/>
      <c r="I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150"/>
      <c r="AM412" s="516" t="s">
        <v>2525</v>
      </c>
      <c r="AN412" s="658" t="s">
        <v>1025</v>
      </c>
      <c r="AO412" s="163" t="s">
        <v>195</v>
      </c>
      <c r="AP412" s="247">
        <f t="shared" si="47"/>
        <v>0</v>
      </c>
      <c r="AQ412" s="245"/>
      <c r="AR412" s="245"/>
      <c r="AS412" s="194"/>
      <c r="AT412" s="241"/>
      <c r="AU412" s="241"/>
      <c r="AV412" s="241"/>
      <c r="AW412" s="194"/>
      <c r="AX412" s="114"/>
      <c r="AY412" s="2"/>
    </row>
    <row r="413" spans="1:51" ht="0.75" hidden="1" customHeight="1">
      <c r="A413" s="2"/>
      <c r="B413" s="2"/>
      <c r="C413" s="2"/>
      <c r="D413" s="2"/>
      <c r="E413" s="2"/>
      <c r="F413" s="2"/>
      <c r="G413" s="2"/>
      <c r="H413" s="2"/>
      <c r="I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150"/>
      <c r="AM413" s="511"/>
      <c r="AN413" s="512"/>
      <c r="AO413" s="446"/>
      <c r="AP413" s="261"/>
      <c r="AQ413" s="261"/>
      <c r="AR413" s="261"/>
      <c r="AS413" s="194"/>
      <c r="AT413" s="241"/>
      <c r="AU413" s="241"/>
      <c r="AV413" s="241"/>
      <c r="AW413" s="194"/>
      <c r="AX413" s="114"/>
      <c r="AY413" s="2"/>
    </row>
    <row r="414" spans="1:51" ht="48.75" customHeight="1">
      <c r="A414" s="2"/>
      <c r="B414" s="2"/>
      <c r="C414" s="2"/>
      <c r="D414" s="2"/>
      <c r="E414" s="2"/>
      <c r="F414" s="2"/>
      <c r="G414" s="2"/>
      <c r="H414" s="2"/>
      <c r="I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150"/>
      <c r="AM414" s="516" t="s">
        <v>2527</v>
      </c>
      <c r="AN414" s="659" t="str">
        <f>AN397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(ИП, которые утверждены в соответствии с КС): по данным мониторинга SUMMARY.INV.WARM.12.2024</v>
      </c>
      <c r="AO414" s="163" t="s">
        <v>195</v>
      </c>
      <c r="AP414" s="590"/>
      <c r="AQ414" s="241"/>
      <c r="AR414" s="241"/>
      <c r="AS414" s="194"/>
      <c r="AT414" s="241"/>
      <c r="AU414" s="241"/>
      <c r="AV414" s="241"/>
      <c r="AW414" s="194"/>
      <c r="AX414" s="114"/>
      <c r="AY414" s="2"/>
    </row>
    <row r="415" spans="1:51" ht="0.75" hidden="1" customHeight="1">
      <c r="A415" s="2"/>
      <c r="B415" s="2"/>
      <c r="C415" s="2"/>
      <c r="D415" s="2"/>
      <c r="E415" s="2"/>
      <c r="F415" s="2"/>
      <c r="G415" s="2"/>
      <c r="H415" s="2"/>
      <c r="I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150"/>
      <c r="AM415" s="511"/>
      <c r="AN415" s="512"/>
      <c r="AO415" s="446"/>
      <c r="AP415" s="261"/>
      <c r="AQ415" s="261"/>
      <c r="AR415" s="261"/>
      <c r="AS415" s="194"/>
      <c r="AT415" s="241"/>
      <c r="AU415" s="241"/>
      <c r="AV415" s="241"/>
      <c r="AW415" s="194"/>
      <c r="AX415" s="114"/>
      <c r="AY415" s="2"/>
    </row>
    <row r="416" spans="1:51" ht="0.75" hidden="1" customHeight="1">
      <c r="A416" s="2"/>
      <c r="B416" s="2"/>
      <c r="C416" s="2"/>
      <c r="D416" s="2"/>
      <c r="E416" s="2"/>
      <c r="F416" s="2"/>
      <c r="G416" s="2"/>
      <c r="H416" s="2"/>
      <c r="I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150"/>
      <c r="AM416" s="511"/>
      <c r="AN416" s="512"/>
      <c r="AO416" s="446"/>
      <c r="AP416" s="261"/>
      <c r="AQ416" s="261"/>
      <c r="AR416" s="261"/>
      <c r="AS416" s="194"/>
      <c r="AT416" s="241"/>
      <c r="AU416" s="241"/>
      <c r="AV416" s="241"/>
      <c r="AW416" s="194"/>
      <c r="AX416" s="114"/>
      <c r="AY416" s="2"/>
    </row>
    <row r="417" spans="1:51" ht="18" customHeight="1">
      <c r="A417" s="2"/>
      <c r="B417" s="2"/>
      <c r="C417" s="2"/>
      <c r="D417" s="2"/>
      <c r="E417" s="2"/>
      <c r="F417" s="2"/>
      <c r="G417" s="2"/>
      <c r="H417" s="2"/>
      <c r="I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150"/>
      <c r="AM417" s="501"/>
      <c r="AN417" s="633" t="s">
        <v>2295</v>
      </c>
      <c r="AO417" s="632" t="s">
        <v>1300</v>
      </c>
      <c r="AP417" s="261"/>
      <c r="AQ417" s="261"/>
      <c r="AR417" s="261"/>
      <c r="AS417" s="194"/>
      <c r="AT417" s="241"/>
      <c r="AU417" s="241"/>
      <c r="AV417" s="241"/>
      <c r="AW417" s="194"/>
      <c r="AX417" s="114"/>
      <c r="AY417" s="2"/>
    </row>
    <row r="418" spans="1:51" ht="24" customHeight="1">
      <c r="A418" s="2"/>
      <c r="B418" s="2"/>
      <c r="C418" s="2"/>
      <c r="D418" s="2"/>
      <c r="E418" s="2"/>
      <c r="F418" s="2"/>
      <c r="G418" s="2"/>
      <c r="H418" s="2"/>
      <c r="I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150"/>
      <c r="AM418" s="501" t="s">
        <v>1144</v>
      </c>
      <c r="AN418" s="494" t="s">
        <v>2125</v>
      </c>
      <c r="AO418" s="163" t="s">
        <v>195</v>
      </c>
      <c r="AP418" s="247">
        <f t="shared" ref="AP418:AR421" si="48">SUMIF($AS$9:$AW$9,AP$9,$AS418:$AW418)</f>
        <v>0</v>
      </c>
      <c r="AQ418" s="247">
        <f t="shared" si="48"/>
        <v>0</v>
      </c>
      <c r="AR418" s="247">
        <f t="shared" si="48"/>
        <v>0</v>
      </c>
      <c r="AS418" s="194"/>
      <c r="AT418" s="263">
        <f>AU418+AV418</f>
        <v>0</v>
      </c>
      <c r="AU418" s="263">
        <f>AU419-(AU333+AU336-AU335)</f>
        <v>0</v>
      </c>
      <c r="AV418" s="263">
        <f>AV419-(AV333+AV336-AV335)</f>
        <v>0</v>
      </c>
      <c r="AW418" s="194"/>
      <c r="AX418" s="326"/>
      <c r="AY418" s="2"/>
    </row>
    <row r="419" spans="1:51" ht="24" customHeight="1">
      <c r="A419" s="2"/>
      <c r="B419" s="2"/>
      <c r="C419" s="2"/>
      <c r="D419" s="2"/>
      <c r="E419" s="2"/>
      <c r="F419" s="2"/>
      <c r="G419" s="2"/>
      <c r="H419" s="2"/>
      <c r="I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150"/>
      <c r="AM419" s="503" t="str">
        <f>AM418 &amp; ".0.1"</f>
        <v>D.0.1</v>
      </c>
      <c r="AN419" s="497" t="s">
        <v>2120</v>
      </c>
      <c r="AO419" s="163" t="s">
        <v>195</v>
      </c>
      <c r="AP419" s="247">
        <f t="shared" si="48"/>
        <v>10295.283217679997</v>
      </c>
      <c r="AQ419" s="247">
        <f t="shared" si="48"/>
        <v>5869.9954491654735</v>
      </c>
      <c r="AR419" s="247">
        <f t="shared" si="48"/>
        <v>4425.2877685145231</v>
      </c>
      <c r="AS419" s="194"/>
      <c r="AT419" s="754">
        <f>AU419+AV419</f>
        <v>10295.283217679997</v>
      </c>
      <c r="AU419" s="754">
        <f>AU421+AU424+AU427+AU430+AU433+AU434</f>
        <v>5869.9954491654735</v>
      </c>
      <c r="AV419" s="754">
        <f>AV421+AV424+AV427+AV430+AV433+AV434</f>
        <v>4425.2877685145231</v>
      </c>
      <c r="AW419" s="194"/>
      <c r="AX419" s="326"/>
      <c r="AY419" s="2"/>
    </row>
    <row r="420" spans="1:51" ht="21" customHeight="1">
      <c r="A420" s="2"/>
      <c r="B420" s="2"/>
      <c r="C420" s="2"/>
      <c r="D420" s="2"/>
      <c r="E420" s="2"/>
      <c r="F420" s="2"/>
      <c r="G420" s="2"/>
      <c r="H420" s="2"/>
      <c r="I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150"/>
      <c r="AM420" s="503" t="str">
        <f>AM418 &amp; ".0.2"</f>
        <v>D.0.2</v>
      </c>
      <c r="AN420" s="520" t="s">
        <v>44</v>
      </c>
      <c r="AO420" s="163" t="s">
        <v>149</v>
      </c>
      <c r="AP420" s="247">
        <f t="shared" si="48"/>
        <v>2317.335</v>
      </c>
      <c r="AQ420" s="247">
        <f t="shared" si="48"/>
        <v>1321.26</v>
      </c>
      <c r="AR420" s="247">
        <f t="shared" si="48"/>
        <v>996.07499999999993</v>
      </c>
      <c r="AS420" s="194"/>
      <c r="AT420" s="754">
        <f>AU420+AV420</f>
        <v>2317.335</v>
      </c>
      <c r="AU420" s="754">
        <f>AU423+AU426+AU429+AU432</f>
        <v>1321.26</v>
      </c>
      <c r="AV420" s="754">
        <f>AV423+AV426+AV429+AV432</f>
        <v>996.07499999999993</v>
      </c>
      <c r="AW420" s="194"/>
      <c r="AX420" s="2"/>
      <c r="AY420" s="2"/>
    </row>
    <row r="421" spans="1:51" ht="20.399999999999999">
      <c r="A421" s="2"/>
      <c r="B421" s="2"/>
      <c r="C421" s="2"/>
      <c r="D421" s="2"/>
      <c r="E421" s="2"/>
      <c r="F421" s="2"/>
      <c r="G421" s="2"/>
      <c r="H421" s="2"/>
      <c r="I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150"/>
      <c r="AM421" s="503" t="str">
        <f>AM418 &amp; ".1"</f>
        <v>D.1</v>
      </c>
      <c r="AN421" s="497" t="s">
        <v>45</v>
      </c>
      <c r="AO421" s="163" t="s">
        <v>195</v>
      </c>
      <c r="AP421" s="247">
        <f t="shared" si="48"/>
        <v>0</v>
      </c>
      <c r="AQ421" s="247">
        <f t="shared" si="48"/>
        <v>0</v>
      </c>
      <c r="AR421" s="247">
        <f t="shared" si="48"/>
        <v>0</v>
      </c>
      <c r="AS421" s="194"/>
      <c r="AT421" s="754">
        <f>AU421+AV421</f>
        <v>0</v>
      </c>
      <c r="AU421" s="754">
        <f>AU422*AU423/1000</f>
        <v>0</v>
      </c>
      <c r="AV421" s="754">
        <f>AV422*AV423/1000</f>
        <v>0</v>
      </c>
      <c r="AW421" s="194"/>
      <c r="AX421" s="2"/>
      <c r="AY421" s="2"/>
    </row>
    <row r="422" spans="1:51">
      <c r="A422" s="2"/>
      <c r="B422" s="2"/>
      <c r="C422" s="2"/>
      <c r="D422" s="2"/>
      <c r="E422" s="2"/>
      <c r="F422" s="2"/>
      <c r="G422" s="2"/>
      <c r="H422" s="2"/>
      <c r="I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150"/>
      <c r="AM422" s="501" t="str">
        <f>AM421 &amp; ".1"</f>
        <v>D.1.1</v>
      </c>
      <c r="AN422" s="596" t="s">
        <v>398</v>
      </c>
      <c r="AO422" s="163" t="s">
        <v>288</v>
      </c>
      <c r="AP422" s="244">
        <f>IF(AP423=0,0,AP421*1000/AP423)</f>
        <v>0</v>
      </c>
      <c r="AQ422" s="244">
        <f>IF(AQ423=0,0,AQ421*1000/AQ423)</f>
        <v>0</v>
      </c>
      <c r="AR422" s="244">
        <f>IF(AR423=0,0,AR421*1000/AR423)</f>
        <v>0</v>
      </c>
      <c r="AS422" s="194"/>
      <c r="AT422" s="244">
        <f>IF(AT423=0,0,AT421*1000/AT423)</f>
        <v>0</v>
      </c>
      <c r="AU422" s="680"/>
      <c r="AV422" s="680"/>
      <c r="AW422" s="194"/>
      <c r="AX422" s="2"/>
      <c r="AY422" s="2"/>
    </row>
    <row r="423" spans="1:51">
      <c r="A423" s="2"/>
      <c r="B423" s="2"/>
      <c r="C423" s="2"/>
      <c r="D423" s="2"/>
      <c r="E423" s="2"/>
      <c r="F423" s="2"/>
      <c r="G423" s="2"/>
      <c r="H423" s="2"/>
      <c r="I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150"/>
      <c r="AM423" s="501" t="str">
        <f>AM421 &amp; ".2"</f>
        <v>D.1.2</v>
      </c>
      <c r="AN423" s="596" t="s">
        <v>283</v>
      </c>
      <c r="AO423" s="163" t="s">
        <v>149</v>
      </c>
      <c r="AP423" s="247">
        <f t="shared" ref="AP423:AR424" si="49">SUMIF($AS$9:$AW$9,AP$9,$AS423:$AW423)</f>
        <v>0</v>
      </c>
      <c r="AQ423" s="247">
        <f t="shared" si="49"/>
        <v>0</v>
      </c>
      <c r="AR423" s="247">
        <f t="shared" si="49"/>
        <v>0</v>
      </c>
      <c r="AS423" s="194"/>
      <c r="AT423" s="754">
        <f>AU423+AV423</f>
        <v>0</v>
      </c>
      <c r="AU423" s="262">
        <f>SUMIF(БПр!$BA$131:$BA$160,AU$17 &amp; ".0-" &amp; AU$9,БПр!$U$131:$U$160)+SUMIF(БПр!$BA$131:$BA$160,AU$17 &amp; ".0-" &amp; AU$9,БПр!$AT$131:$AT$160)+IF(AU$16&amp;"::"&amp;VDET="TRANSPORT::руб/Гкал/час в мес::Передача",IF(SUMIF(БТр!$BA$131:$BA$160,AU$17 &amp; ".0-" &amp; AU$9,БТр!$Q$131:$Q$160)=0,0,SUMIF(БТр!$BB$131:$BB$160,AU$17 &amp; ".0.YEAR",БТр!$I$131:$I$160))*AU$6,SUMIF(БТр!$BA$131:$BA$160,AU$17 &amp; ".0-" &amp; AU$9,БТр!$Q$131:$Q$160))</f>
        <v>0</v>
      </c>
      <c r="AV423" s="262">
        <f>SUMIF(БПр!$BA$131:$BA$160,AV$17 &amp; ".0-" &amp; AV$9,БПр!$U$131:$U$160)+SUMIF(БПр!$BA$131:$BA$160,AV$17 &amp; ".0-" &amp; AV$9,БПр!$AT$131:$AT$160)+IF(AV$16&amp;"::"&amp;VDET="TRANSPORT::руб/Гкал/час в мес::Передача",IF(SUMIF(БТр!$BA$131:$BA$160,AV$17 &amp; ".0-" &amp; AV$9,БТр!$Q$131:$Q$160)=0,0,SUMIF(БТр!$BB$131:$BB$160,AV$17 &amp; ".0.YEAR",БТр!$I$131:$I$160))*AV$6,SUMIF(БТр!$BA$131:$BA$160,AV$17 &amp; ".0-" &amp; AV$9,БТр!$Q$131:$Q$160))</f>
        <v>0</v>
      </c>
      <c r="AW423" s="194"/>
      <c r="AX423" s="2"/>
      <c r="AY423" s="2"/>
    </row>
    <row r="424" spans="1:51">
      <c r="A424" s="2"/>
      <c r="B424" s="2"/>
      <c r="C424" s="2"/>
      <c r="D424" s="2"/>
      <c r="E424" s="2"/>
      <c r="F424" s="2"/>
      <c r="G424" s="2"/>
      <c r="H424" s="2"/>
      <c r="I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150"/>
      <c r="AM424" s="503" t="str">
        <f>AM418 &amp; ".2"</f>
        <v>D.2</v>
      </c>
      <c r="AN424" s="497" t="s">
        <v>161</v>
      </c>
      <c r="AO424" s="163" t="s">
        <v>195</v>
      </c>
      <c r="AP424" s="247">
        <f t="shared" si="49"/>
        <v>821.96196663522073</v>
      </c>
      <c r="AQ424" s="247">
        <f t="shared" si="49"/>
        <v>281.69545089519556</v>
      </c>
      <c r="AR424" s="247">
        <f t="shared" si="49"/>
        <v>540.26651574002517</v>
      </c>
      <c r="AS424" s="194"/>
      <c r="AT424" s="754">
        <f>AU424+AV424</f>
        <v>821.96196663522073</v>
      </c>
      <c r="AU424" s="754">
        <f>AU425*AU426/1000</f>
        <v>281.69545089519556</v>
      </c>
      <c r="AV424" s="754">
        <f>AV425*AV426/1000</f>
        <v>540.26651574002517</v>
      </c>
      <c r="AW424" s="194"/>
      <c r="AX424" s="2"/>
      <c r="AY424" s="2"/>
    </row>
    <row r="425" spans="1:51">
      <c r="A425" s="2"/>
      <c r="B425" s="2"/>
      <c r="C425" s="2"/>
      <c r="D425" s="2"/>
      <c r="E425" s="2"/>
      <c r="F425" s="2"/>
      <c r="G425" s="2"/>
      <c r="H425" s="2"/>
      <c r="I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150"/>
      <c r="AM425" s="501" t="str">
        <f>AM424 &amp; ".1"</f>
        <v>D.2.1</v>
      </c>
      <c r="AN425" s="596" t="s">
        <v>398</v>
      </c>
      <c r="AO425" s="163" t="s">
        <v>288</v>
      </c>
      <c r="AP425" s="244">
        <f>IF(AP426=0,0,AP424*1000/AP426)</f>
        <v>4442.7254659684486</v>
      </c>
      <c r="AQ425" s="244">
        <f>IF(AQ426=0,0,AQ424*1000/AQ426)</f>
        <v>4442.7254659684495</v>
      </c>
      <c r="AR425" s="244">
        <f>IF(AR426=0,0,AR424*1000/AR426)</f>
        <v>4442.7254659684495</v>
      </c>
      <c r="AS425" s="194"/>
      <c r="AT425" s="244">
        <f>IF(AT426=0,0,AT424*1000/AT426)</f>
        <v>4442.7254659684486</v>
      </c>
      <c r="AU425" s="680">
        <v>4442.7254659684495</v>
      </c>
      <c r="AV425" s="680">
        <v>4442.7254659684495</v>
      </c>
      <c r="AW425" s="194"/>
      <c r="AX425" s="2"/>
      <c r="AY425" s="2"/>
    </row>
    <row r="426" spans="1:51">
      <c r="A426" s="2"/>
      <c r="B426" s="2"/>
      <c r="C426" s="2"/>
      <c r="D426" s="2"/>
      <c r="E426" s="2"/>
      <c r="F426" s="2"/>
      <c r="G426" s="2"/>
      <c r="H426" s="2"/>
      <c r="I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150"/>
      <c r="AM426" s="501" t="str">
        <f>AM424 &amp; ".2"</f>
        <v>D.2.2</v>
      </c>
      <c r="AN426" s="596" t="s">
        <v>283</v>
      </c>
      <c r="AO426" s="163" t="s">
        <v>149</v>
      </c>
      <c r="AP426" s="247">
        <f t="shared" ref="AP426:AR427" si="50">SUMIF($AS$9:$AW$9,AP$9,$AS426:$AW426)</f>
        <v>185.01300000000001</v>
      </c>
      <c r="AQ426" s="247">
        <f t="shared" si="50"/>
        <v>63.406000000000006</v>
      </c>
      <c r="AR426" s="247">
        <f t="shared" si="50"/>
        <v>121.607</v>
      </c>
      <c r="AS426" s="194"/>
      <c r="AT426" s="754">
        <f>AU426+AV426</f>
        <v>185.01300000000001</v>
      </c>
      <c r="AU426" s="262">
        <f>SUMIF(БПр!$BA$131:$BA$160,AU$17 &amp; ".0-" &amp; AU$9,БПр!$R$131:$R$160)+SUMIF(БПр!$BA$131:$BA$160,AU$17 &amp; ".0-" &amp; AU$9,БПр!$AV$131:$AV$160)+IF(AU$16&amp;"::"&amp;VDET="TRANSPORT::руб/Гкал/час в мес::Передача",IF(SUMIF(БТр!$BA$131:$BA$160,AU$17 &amp; ".0-" &amp; AU$9,БТр!$R$131:$R$160)=0,0,SUMIF(БТр!$BB$131:$BB$160,AU$17 &amp; ".0.YEAR",БТр!$I$131:$I$160))*AU$6,SUMIF(БТр!$BA$131:$BA$160,AU$17 &amp; ".0-" &amp; AU$9,БТр!$R$131:$R$160))</f>
        <v>63.406000000000006</v>
      </c>
      <c r="AV426" s="262">
        <f>SUMIF(БПр!$BA$131:$BA$160,AV$17 &amp; ".0-" &amp; AV$9,БПр!$R$131:$R$160)+SUMIF(БПр!$BA$131:$BA$160,AV$17 &amp; ".0-" &amp; AV$9,БПр!$AV$131:$AV$160)+IF(AV$16&amp;"::"&amp;VDET="TRANSPORT::руб/Гкал/час в мес::Передача",IF(SUMIF(БТр!$BA$131:$BA$160,AV$17 &amp; ".0-" &amp; AV$9,БТр!$R$131:$R$160)=0,0,SUMIF(БТр!$BB$131:$BB$160,AV$17 &amp; ".0.YEAR",БТр!$I$131:$I$160))*AV$6,SUMIF(БТр!$BA$131:$BA$160,AV$17 &amp; ".0-" &amp; AV$9,БТр!$R$131:$R$160))</f>
        <v>121.607</v>
      </c>
      <c r="AW426" s="194"/>
      <c r="AX426" s="2"/>
      <c r="AY426" s="2"/>
    </row>
    <row r="427" spans="1:51">
      <c r="A427" s="2"/>
      <c r="B427" s="2"/>
      <c r="C427" s="2"/>
      <c r="D427" s="2"/>
      <c r="E427" s="2"/>
      <c r="F427" s="2"/>
      <c r="G427" s="2"/>
      <c r="H427" s="2"/>
      <c r="I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150"/>
      <c r="AM427" s="503" t="str">
        <f>AM418 &amp; ".3"</f>
        <v>D.3</v>
      </c>
      <c r="AN427" s="497" t="s">
        <v>162</v>
      </c>
      <c r="AO427" s="163" t="s">
        <v>195</v>
      </c>
      <c r="AP427" s="247">
        <f t="shared" si="50"/>
        <v>0</v>
      </c>
      <c r="AQ427" s="247">
        <f t="shared" si="50"/>
        <v>0</v>
      </c>
      <c r="AR427" s="247">
        <f t="shared" si="50"/>
        <v>0</v>
      </c>
      <c r="AS427" s="194"/>
      <c r="AT427" s="754">
        <f>AU427+AV427</f>
        <v>0</v>
      </c>
      <c r="AU427" s="754">
        <f>AU428*AU429/1000</f>
        <v>0</v>
      </c>
      <c r="AV427" s="754">
        <f>AV428*AV429/1000</f>
        <v>0</v>
      </c>
      <c r="AW427" s="194"/>
      <c r="AX427" s="2"/>
      <c r="AY427" s="2"/>
    </row>
    <row r="428" spans="1:51">
      <c r="A428" s="2"/>
      <c r="B428" s="2"/>
      <c r="C428" s="2"/>
      <c r="D428" s="2"/>
      <c r="E428" s="2"/>
      <c r="F428" s="2"/>
      <c r="G428" s="2"/>
      <c r="H428" s="2"/>
      <c r="I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150"/>
      <c r="AM428" s="501" t="str">
        <f>AM427 &amp; ".1"</f>
        <v>D.3.1</v>
      </c>
      <c r="AN428" s="596" t="s">
        <v>398</v>
      </c>
      <c r="AO428" s="163" t="s">
        <v>288</v>
      </c>
      <c r="AP428" s="244">
        <f>IF(AP429=0,0,AP427*1000/AP429)</f>
        <v>0</v>
      </c>
      <c r="AQ428" s="244">
        <f>IF(AQ429=0,0,AQ427*1000/AQ429)</f>
        <v>0</v>
      </c>
      <c r="AR428" s="244">
        <f>IF(AR429=0,0,AR427*1000/AR429)</f>
        <v>0</v>
      </c>
      <c r="AS428" s="194"/>
      <c r="AT428" s="244">
        <f>IF(AT429=0,0,AT427*1000/AT429)</f>
        <v>0</v>
      </c>
      <c r="AU428" s="680"/>
      <c r="AV428" s="680"/>
      <c r="AW428" s="194"/>
      <c r="AX428" s="2"/>
      <c r="AY428" s="2"/>
    </row>
    <row r="429" spans="1:51">
      <c r="A429" s="2"/>
      <c r="B429" s="2"/>
      <c r="C429" s="2"/>
      <c r="D429" s="2"/>
      <c r="E429" s="2"/>
      <c r="F429" s="2"/>
      <c r="G429" s="2"/>
      <c r="H429" s="2"/>
      <c r="I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150"/>
      <c r="AM429" s="501" t="str">
        <f>AM427 &amp; ".2"</f>
        <v>D.3.2</v>
      </c>
      <c r="AN429" s="596" t="s">
        <v>283</v>
      </c>
      <c r="AO429" s="163" t="s">
        <v>149</v>
      </c>
      <c r="AP429" s="247">
        <f t="shared" ref="AP429:AR430" si="51">SUMIF($AS$9:$AW$9,AP$9,$AS429:$AW429)</f>
        <v>0</v>
      </c>
      <c r="AQ429" s="247">
        <f t="shared" si="51"/>
        <v>0</v>
      </c>
      <c r="AR429" s="247">
        <f t="shared" si="51"/>
        <v>0</v>
      </c>
      <c r="AS429" s="194"/>
      <c r="AT429" s="754">
        <f>AU429+AV429</f>
        <v>0</v>
      </c>
      <c r="AU429" s="262">
        <f>SUMIF(БПр!$BA$131:$BA$160,AU$17 &amp; ".0-" &amp; AU$9,БПр!$S$131:$S$160)+SUMIF(БПр!$BA$131:$BA$160,AU$17 &amp; ".0-" &amp; AU$9,БПр!$AW$131:$AW$160)+IF(AU$16&amp;"::"&amp;VDET="TRANSPORT::руб/Гкал/час в мес::Передача",IF(SUMIF(БТр!$BA$131:$BA$160,AU$17 &amp; ".0-" &amp; AU$9,БТр!$S$131:$S$160)=0,0,SUMIF(БТр!$BB$131:$BB$160,AU$17 &amp; ".0.YEAR",БТр!$I$131:$I$160))*AU$6,SUMIF(БТр!$BA$131:$BA$160,AU$17 &amp; ".0-" &amp; AU$9,БТр!$S$131:$S$160))</f>
        <v>0</v>
      </c>
      <c r="AV429" s="262">
        <f>SUMIF(БПр!$BA$131:$BA$160,AV$17 &amp; ".0-" &amp; AV$9,БПр!$S$131:$S$160)+SUMIF(БПр!$BA$131:$BA$160,AV$17 &amp; ".0-" &amp; AV$9,БПр!$AW$131:$AW$160)+IF(AV$16&amp;"::"&amp;VDET="TRANSPORT::руб/Гкал/час в мес::Передача",IF(SUMIF(БТр!$BA$131:$BA$160,AV$17 &amp; ".0-" &amp; AV$9,БТр!$S$131:$S$160)=0,0,SUMIF(БТр!$BB$131:$BB$160,AV$17 &amp; ".0.YEAR",БТр!$I$131:$I$160))*AV$6,SUMIF(БТр!$BA$131:$BA$160,AV$17 &amp; ".0-" &amp; AV$9,БТр!$S$131:$S$160))</f>
        <v>0</v>
      </c>
      <c r="AW429" s="194"/>
      <c r="AX429" s="2"/>
      <c r="AY429" s="2"/>
    </row>
    <row r="430" spans="1:51">
      <c r="A430" s="2"/>
      <c r="B430" s="2"/>
      <c r="C430" s="2"/>
      <c r="D430" s="2"/>
      <c r="E430" s="2"/>
      <c r="F430" s="2"/>
      <c r="G430" s="2"/>
      <c r="H430" s="2"/>
      <c r="I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150"/>
      <c r="AM430" s="503" t="str">
        <f>AM418 &amp; ".4"</f>
        <v>D.4</v>
      </c>
      <c r="AN430" s="497" t="s">
        <v>169</v>
      </c>
      <c r="AO430" s="163" t="s">
        <v>195</v>
      </c>
      <c r="AP430" s="247">
        <f t="shared" si="51"/>
        <v>9473.3212510447756</v>
      </c>
      <c r="AQ430" s="247">
        <f t="shared" si="51"/>
        <v>5588.2999982702777</v>
      </c>
      <c r="AR430" s="247">
        <f t="shared" si="51"/>
        <v>3885.021252774498</v>
      </c>
      <c r="AS430" s="194"/>
      <c r="AT430" s="754">
        <f>AU430+AV430</f>
        <v>9473.3212510447756</v>
      </c>
      <c r="AU430" s="754">
        <f>AU431*AU432/1000</f>
        <v>5588.2999982702777</v>
      </c>
      <c r="AV430" s="754">
        <f>AV431*AV432/1000</f>
        <v>3885.021252774498</v>
      </c>
      <c r="AW430" s="194"/>
      <c r="AX430" s="2"/>
      <c r="AY430" s="2"/>
    </row>
    <row r="431" spans="1:51">
      <c r="A431" s="2"/>
      <c r="B431" s="2"/>
      <c r="C431" s="2"/>
      <c r="D431" s="2"/>
      <c r="E431" s="2"/>
      <c r="F431" s="2"/>
      <c r="G431" s="2"/>
      <c r="H431" s="2"/>
      <c r="I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150"/>
      <c r="AM431" s="501" t="str">
        <f>AM430 &amp; ".1"</f>
        <v>D.4.1</v>
      </c>
      <c r="AN431" s="596" t="s">
        <v>398</v>
      </c>
      <c r="AO431" s="163" t="s">
        <v>288</v>
      </c>
      <c r="AP431" s="244">
        <f>IF(AP432=0,0,AP430*1000/AP432)</f>
        <v>4442.7254659684495</v>
      </c>
      <c r="AQ431" s="244">
        <f>IF(AQ432=0,0,AQ430*1000/AQ432)</f>
        <v>4442.7254659684495</v>
      </c>
      <c r="AR431" s="244">
        <f>IF(AR432=0,0,AR430*1000/AR432)</f>
        <v>4442.7254659684495</v>
      </c>
      <c r="AS431" s="194"/>
      <c r="AT431" s="244">
        <f>IF(AT432=0,0,AT430*1000/AT432)</f>
        <v>4442.7254659684495</v>
      </c>
      <c r="AU431" s="680">
        <v>4442.7254659684495</v>
      </c>
      <c r="AV431" s="680">
        <v>4442.7254659684495</v>
      </c>
      <c r="AW431" s="194"/>
      <c r="AX431" s="2"/>
      <c r="AY431" s="2"/>
    </row>
    <row r="432" spans="1:51">
      <c r="A432" s="2"/>
      <c r="B432" s="2"/>
      <c r="C432" s="2"/>
      <c r="D432" s="2"/>
      <c r="E432" s="2"/>
      <c r="F432" s="2"/>
      <c r="G432" s="2"/>
      <c r="H432" s="2"/>
      <c r="I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150"/>
      <c r="AM432" s="501" t="str">
        <f>AM430 &amp; ".2"</f>
        <v>D.4.2</v>
      </c>
      <c r="AN432" s="596" t="s">
        <v>283</v>
      </c>
      <c r="AO432" s="163" t="s">
        <v>149</v>
      </c>
      <c r="AP432" s="247">
        <f t="shared" ref="AP432:AR434" si="52">SUMIF($AS$9:$AW$9,AP$9,$AS432:$AW432)</f>
        <v>2132.3220000000001</v>
      </c>
      <c r="AQ432" s="247">
        <f t="shared" si="52"/>
        <v>1257.854</v>
      </c>
      <c r="AR432" s="247">
        <f t="shared" si="52"/>
        <v>874.46799999999996</v>
      </c>
      <c r="AS432" s="194"/>
      <c r="AT432" s="754">
        <f>AU432+AV432</f>
        <v>2132.3220000000001</v>
      </c>
      <c r="AU432" s="262">
        <f>SUMIF(БПр!$BA$131:$BA$160,AU$17 &amp; ".0-" &amp; AU$9,БПр!$T$131:$T$160)+SUMIF(БПр!$BA$131:$BA$160,AU$17 &amp; ".0-" &amp; AU$9,БПр!$AX$131:$AX$160)+IF(AU$16&amp;"::"&amp;VDET="TRANSPORT::руб/Гкал/час в мес::Передача",IF(SUMIF(БТр!$BA$131:$BA$160,AU$17 &amp; ".0-" &amp; AU$9,БТр!$T$131:$T$160)=0,0,SUMIF(БТр!$BB$131:$BB$160,AU$17 &amp; ".0.YEAR",БТр!$I$131:$I$160))*AU$6,SUMIF(БТр!$BA$131:$BA$160,AU$17 &amp; ".0-" &amp; AU$9,БТр!$T$131:$T$160))</f>
        <v>1257.854</v>
      </c>
      <c r="AV432" s="262">
        <f>SUMIF(БПр!$BA$131:$BA$160,AV$17 &amp; ".0-" &amp; AV$9,БПр!$T$131:$T$160)+SUMIF(БПр!$BA$131:$BA$160,AV$17 &amp; ".0-" &amp; AV$9,БПр!$AX$131:$AX$160)+IF(AV$16&amp;"::"&amp;VDET="TRANSPORT::руб/Гкал/час в мес::Передача",IF(SUMIF(БТр!$BA$131:$BA$160,AV$17 &amp; ".0-" &amp; AV$9,БТр!$T$131:$T$160)=0,0,SUMIF(БТр!$BB$131:$BB$160,AV$17 &amp; ".0.YEAR",БТр!$I$131:$I$160))*AV$6,SUMIF(БТр!$BA$131:$BA$160,AV$17 &amp; ".0-" &amp; AV$9,БТр!$T$131:$T$160))</f>
        <v>874.46799999999996</v>
      </c>
      <c r="AW432" s="194"/>
      <c r="AX432" s="2"/>
      <c r="AY432" s="2"/>
    </row>
    <row r="433" spans="1:51">
      <c r="A433" s="2"/>
      <c r="B433" s="2"/>
      <c r="C433" s="2"/>
      <c r="D433" s="2"/>
      <c r="E433" s="2"/>
      <c r="F433" s="2"/>
      <c r="G433" s="2"/>
      <c r="H433" s="2"/>
      <c r="I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150"/>
      <c r="AM433" s="620" t="str">
        <f>AM418 &amp; ".5"</f>
        <v>D.5</v>
      </c>
      <c r="AN433" s="621" t="s">
        <v>2121</v>
      </c>
      <c r="AO433" s="616" t="s">
        <v>195</v>
      </c>
      <c r="AP433" s="253">
        <f t="shared" si="52"/>
        <v>0</v>
      </c>
      <c r="AQ433" s="253">
        <f t="shared" si="52"/>
        <v>0</v>
      </c>
      <c r="AR433" s="253">
        <f t="shared" si="52"/>
        <v>0</v>
      </c>
      <c r="AS433" s="194"/>
      <c r="AT433" s="754">
        <f>AU433+AV433</f>
        <v>0</v>
      </c>
      <c r="AU433" s="245"/>
      <c r="AV433" s="245"/>
      <c r="AW433" s="194"/>
      <c r="AX433" s="2"/>
      <c r="AY433" s="2"/>
    </row>
    <row r="434" spans="1:51" ht="20.399999999999999">
      <c r="A434" s="2"/>
      <c r="B434" s="2"/>
      <c r="C434" s="2"/>
      <c r="D434" s="2"/>
      <c r="E434" s="2"/>
      <c r="F434" s="2"/>
      <c r="G434" s="2"/>
      <c r="H434" s="2"/>
      <c r="I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150"/>
      <c r="AM434" s="503" t="str">
        <f>AM418 &amp; ".6"</f>
        <v>D.6</v>
      </c>
      <c r="AN434" s="628" t="s">
        <v>2175</v>
      </c>
      <c r="AO434" s="163" t="s">
        <v>195</v>
      </c>
      <c r="AP434" s="247">
        <f t="shared" si="52"/>
        <v>0</v>
      </c>
      <c r="AQ434" s="247">
        <f t="shared" si="52"/>
        <v>0</v>
      </c>
      <c r="AR434" s="247">
        <f t="shared" si="52"/>
        <v>0</v>
      </c>
      <c r="AS434" s="223"/>
      <c r="AT434" s="754">
        <f>AU434+AV434</f>
        <v>0</v>
      </c>
      <c r="AU434" s="245"/>
      <c r="AV434" s="245"/>
      <c r="AW434" s="194"/>
      <c r="AX434" s="2"/>
      <c r="AY434" s="2"/>
    </row>
    <row r="435" spans="1:51" ht="0.75" hidden="1" customHeight="1">
      <c r="A435" s="2"/>
      <c r="B435" s="2"/>
      <c r="C435" s="2"/>
      <c r="D435" s="2"/>
      <c r="E435" s="2"/>
      <c r="F435" s="2"/>
      <c r="G435" s="2"/>
      <c r="H435" s="2"/>
      <c r="I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150"/>
      <c r="AM435" s="500"/>
      <c r="AN435" s="622"/>
      <c r="AO435" s="166"/>
      <c r="AP435" s="242"/>
      <c r="AQ435" s="242"/>
      <c r="AR435" s="242"/>
      <c r="AS435" s="223"/>
      <c r="AT435" s="241"/>
      <c r="AU435" s="241"/>
      <c r="AV435" s="241"/>
      <c r="AW435" s="194"/>
      <c r="AX435" s="2"/>
      <c r="AY435" s="2"/>
    </row>
    <row r="436" spans="1:51" ht="0.75" hidden="1" customHeight="1">
      <c r="A436" s="2"/>
      <c r="B436" s="2"/>
      <c r="C436" s="2"/>
      <c r="D436" s="2"/>
      <c r="E436" s="2"/>
      <c r="F436" s="2"/>
      <c r="G436" s="2"/>
      <c r="H436" s="2"/>
      <c r="I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150"/>
      <c r="AM436" s="500"/>
      <c r="AN436" s="622"/>
      <c r="AO436" s="166"/>
      <c r="AP436" s="242"/>
      <c r="AQ436" s="242"/>
      <c r="AR436" s="242"/>
      <c r="AS436" s="223"/>
      <c r="AT436" s="241"/>
      <c r="AU436" s="241"/>
      <c r="AV436" s="241"/>
      <c r="AW436" s="194"/>
      <c r="AX436" s="2"/>
      <c r="AY436" s="2"/>
    </row>
    <row r="437" spans="1:51" ht="0.75" hidden="1" customHeight="1">
      <c r="A437" s="2"/>
      <c r="B437" s="2"/>
      <c r="C437" s="2"/>
      <c r="D437" s="2"/>
      <c r="E437" s="2"/>
      <c r="F437" s="2"/>
      <c r="G437" s="2"/>
      <c r="H437" s="2"/>
      <c r="I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150"/>
      <c r="AM437" s="500"/>
      <c r="AN437" s="622"/>
      <c r="AO437" s="166"/>
      <c r="AP437" s="242"/>
      <c r="AQ437" s="242"/>
      <c r="AR437" s="242"/>
      <c r="AS437" s="223"/>
      <c r="AT437" s="241"/>
      <c r="AU437" s="241"/>
      <c r="AV437" s="241"/>
      <c r="AW437" s="194"/>
      <c r="AX437" s="2"/>
      <c r="AY437" s="2"/>
    </row>
    <row r="438" spans="1:51" ht="0.75" hidden="1" customHeight="1">
      <c r="A438" s="2"/>
      <c r="B438" s="2"/>
      <c r="C438" s="2"/>
      <c r="D438" s="2"/>
      <c r="E438" s="2"/>
      <c r="F438" s="2"/>
      <c r="G438" s="2"/>
      <c r="H438" s="2"/>
      <c r="I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150"/>
      <c r="AM438" s="500"/>
      <c r="AN438" s="622"/>
      <c r="AO438" s="166"/>
      <c r="AP438" s="242"/>
      <c r="AQ438" s="242"/>
      <c r="AR438" s="242"/>
      <c r="AS438" s="223"/>
      <c r="AT438" s="241"/>
      <c r="AU438" s="241"/>
      <c r="AV438" s="241"/>
      <c r="AW438" s="194"/>
      <c r="AX438" s="2"/>
      <c r="AY438" s="2"/>
    </row>
    <row r="439" spans="1:51" ht="0.75" hidden="1" customHeight="1">
      <c r="A439" s="2"/>
      <c r="B439" s="2"/>
      <c r="C439" s="2"/>
      <c r="D439" s="2"/>
      <c r="E439" s="2"/>
      <c r="F439" s="2"/>
      <c r="G439" s="2"/>
      <c r="H439" s="2"/>
      <c r="I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150"/>
      <c r="AM439" s="500"/>
      <c r="AN439" s="622"/>
      <c r="AO439" s="166"/>
      <c r="AP439" s="242"/>
      <c r="AQ439" s="242"/>
      <c r="AR439" s="242"/>
      <c r="AS439" s="223"/>
      <c r="AT439" s="241"/>
      <c r="AU439" s="241"/>
      <c r="AV439" s="241"/>
      <c r="AW439" s="194"/>
      <c r="AX439" s="2"/>
      <c r="AY439" s="2"/>
    </row>
    <row r="440" spans="1:51" ht="0.75" hidden="1" customHeight="1">
      <c r="A440" s="2"/>
      <c r="B440" s="2"/>
      <c r="C440" s="2"/>
      <c r="D440" s="2"/>
      <c r="E440" s="2"/>
      <c r="F440" s="2"/>
      <c r="G440" s="2"/>
      <c r="H440" s="2"/>
      <c r="I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150"/>
      <c r="AM440" s="500"/>
      <c r="AN440" s="622"/>
      <c r="AO440" s="166"/>
      <c r="AP440" s="242"/>
      <c r="AQ440" s="242"/>
      <c r="AR440" s="242"/>
      <c r="AS440" s="223"/>
      <c r="AT440" s="241"/>
      <c r="AU440" s="241"/>
      <c r="AV440" s="241"/>
      <c r="AW440" s="194"/>
      <c r="AX440" s="2"/>
      <c r="AY440" s="2"/>
    </row>
    <row r="441" spans="1:51">
      <c r="A441" s="2"/>
      <c r="B441" s="2"/>
      <c r="C441" s="2"/>
      <c r="D441" s="2"/>
      <c r="E441" s="2"/>
      <c r="F441" s="2"/>
      <c r="G441" s="2"/>
      <c r="H441" s="2"/>
      <c r="I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150"/>
      <c r="AM441" s="623"/>
      <c r="AN441" s="627" t="s">
        <v>2261</v>
      </c>
      <c r="AO441" s="166"/>
      <c r="AP441" s="261"/>
      <c r="AQ441" s="261"/>
      <c r="AR441" s="261"/>
      <c r="AS441" s="223"/>
      <c r="AT441" s="241"/>
      <c r="AU441" s="241"/>
      <c r="AV441" s="241"/>
      <c r="AW441" s="194"/>
      <c r="AX441" s="2"/>
      <c r="AY441" s="2"/>
    </row>
    <row r="442" spans="1:51">
      <c r="A442" s="2"/>
      <c r="B442" s="2"/>
      <c r="C442" s="2"/>
      <c r="D442" s="2"/>
      <c r="E442" s="2"/>
      <c r="F442" s="2"/>
      <c r="G442" s="2"/>
      <c r="H442" s="2"/>
      <c r="I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150"/>
      <c r="AM442" s="623"/>
      <c r="AN442" s="627" t="s">
        <v>787</v>
      </c>
      <c r="AO442" s="166"/>
      <c r="AP442" s="261"/>
      <c r="AQ442" s="261"/>
      <c r="AR442" s="261"/>
      <c r="AS442" s="223"/>
      <c r="AT442" s="241"/>
      <c r="AU442" s="241"/>
      <c r="AV442" s="241"/>
      <c r="AW442" s="194"/>
      <c r="AX442" s="2"/>
      <c r="AY442" s="2"/>
    </row>
    <row r="443" spans="1:51" ht="20.399999999999999">
      <c r="A443" s="2"/>
      <c r="B443" s="2"/>
      <c r="C443" s="2"/>
      <c r="D443" s="2"/>
      <c r="E443" s="2"/>
      <c r="F443" s="2"/>
      <c r="G443" s="2"/>
      <c r="H443" s="2"/>
      <c r="I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150"/>
      <c r="AM443" s="624"/>
      <c r="AN443" s="503" t="str">
        <f>"Стоимость основных средств, относимых на источники производства " &amp; RESOURCE_IDENTIFIER</f>
        <v>Стоимость основных средств, относимых на источники производства ТЭ</v>
      </c>
      <c r="AO443" s="163" t="s">
        <v>195</v>
      </c>
      <c r="AP443" s="245">
        <v>20444.72</v>
      </c>
      <c r="AQ443" s="261"/>
      <c r="AR443" s="261"/>
      <c r="AS443" s="223"/>
      <c r="AT443" s="241"/>
      <c r="AU443" s="241"/>
      <c r="AV443" s="241"/>
      <c r="AW443" s="194"/>
      <c r="AX443" s="2"/>
      <c r="AY443" s="2"/>
    </row>
    <row r="444" spans="1:51">
      <c r="A444" s="2"/>
      <c r="B444" s="2"/>
      <c r="C444" s="2"/>
      <c r="D444" s="2"/>
      <c r="E444" s="2"/>
      <c r="F444" s="2"/>
      <c r="G444" s="2"/>
      <c r="H444" s="2"/>
      <c r="I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150"/>
      <c r="AM444" s="624"/>
      <c r="AN444" s="503" t="s">
        <v>2262</v>
      </c>
      <c r="AO444" s="163" t="s">
        <v>755</v>
      </c>
      <c r="AP444" s="245">
        <v>43</v>
      </c>
      <c r="AQ444" s="261"/>
      <c r="AR444" s="261"/>
      <c r="AS444" s="223"/>
      <c r="AT444" s="241"/>
      <c r="AU444" s="241"/>
      <c r="AV444" s="241"/>
      <c r="AW444" s="194"/>
      <c r="AX444" s="2"/>
      <c r="AY444" s="2"/>
    </row>
    <row r="445" spans="1:51">
      <c r="A445" s="2"/>
      <c r="B445" s="2"/>
      <c r="C445" s="2"/>
      <c r="D445" s="2"/>
      <c r="E445" s="2"/>
      <c r="F445" s="2"/>
      <c r="G445" s="2"/>
      <c r="H445" s="2"/>
      <c r="I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150"/>
      <c r="AM445" s="623"/>
      <c r="AN445" s="627" t="s">
        <v>130</v>
      </c>
      <c r="AO445" s="166"/>
      <c r="AP445" s="261"/>
      <c r="AQ445" s="261"/>
      <c r="AR445" s="261"/>
      <c r="AS445" s="223"/>
      <c r="AT445" s="241"/>
      <c r="AU445" s="241"/>
      <c r="AV445" s="241"/>
      <c r="AW445" s="194"/>
      <c r="AX445" s="2"/>
      <c r="AY445" s="2"/>
    </row>
    <row r="446" spans="1:51">
      <c r="A446" s="2"/>
      <c r="B446" s="2"/>
      <c r="C446" s="2"/>
      <c r="D446" s="2"/>
      <c r="E446" s="2"/>
      <c r="F446" s="2"/>
      <c r="G446" s="2"/>
      <c r="H446" s="2"/>
      <c r="I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150"/>
      <c r="AM446" s="624"/>
      <c r="AN446" s="503" t="str">
        <f>"Стоимость основных средств, относимых на передачу " &amp; RESOURCE_IDENTIFIER</f>
        <v>Стоимость основных средств, относимых на передачу ТЭ</v>
      </c>
      <c r="AO446" s="163" t="s">
        <v>195</v>
      </c>
      <c r="AP446" s="245">
        <v>70.948999999999998</v>
      </c>
      <c r="AQ446" s="261"/>
      <c r="AR446" s="261"/>
      <c r="AS446" s="223"/>
      <c r="AT446" s="241"/>
      <c r="AU446" s="241"/>
      <c r="AV446" s="241"/>
      <c r="AW446" s="194"/>
      <c r="AX446" s="2"/>
      <c r="AY446" s="2"/>
    </row>
    <row r="447" spans="1:51">
      <c r="A447" s="2"/>
      <c r="B447" s="2"/>
      <c r="C447" s="2"/>
      <c r="D447" s="2"/>
      <c r="E447" s="2"/>
      <c r="F447" s="2"/>
      <c r="G447" s="2"/>
      <c r="H447" s="2"/>
      <c r="I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150"/>
      <c r="AM447" s="624"/>
      <c r="AN447" s="503" t="s">
        <v>2277</v>
      </c>
      <c r="AO447" s="163" t="s">
        <v>2267</v>
      </c>
      <c r="AP447" s="245">
        <v>1.413</v>
      </c>
      <c r="AQ447" s="261"/>
      <c r="AR447" s="261"/>
      <c r="AS447" s="223"/>
      <c r="AT447" s="241"/>
      <c r="AU447" s="241"/>
      <c r="AV447" s="241"/>
      <c r="AW447" s="194"/>
      <c r="AX447" s="2"/>
      <c r="AY447" s="2"/>
    </row>
    <row r="448" spans="1:51">
      <c r="A448" s="2"/>
      <c r="B448" s="2"/>
      <c r="C448" s="2"/>
      <c r="D448" s="2"/>
      <c r="E448" s="2"/>
      <c r="F448" s="2"/>
      <c r="G448" s="2"/>
      <c r="H448" s="2"/>
      <c r="I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150"/>
      <c r="AM448" s="624"/>
      <c r="AN448" s="503" t="s">
        <v>2268</v>
      </c>
      <c r="AO448" s="163" t="s">
        <v>2267</v>
      </c>
      <c r="AP448" s="245">
        <v>0.96084000000000014</v>
      </c>
      <c r="AQ448" s="261"/>
      <c r="AR448" s="261"/>
      <c r="AS448" s="223"/>
      <c r="AT448" s="241"/>
      <c r="AU448" s="241"/>
      <c r="AV448" s="241"/>
      <c r="AW448" s="194"/>
      <c r="AX448" s="2"/>
      <c r="AY448" s="2"/>
    </row>
    <row r="449" spans="1:51">
      <c r="A449" s="2"/>
      <c r="B449" s="2"/>
      <c r="C449" s="2"/>
      <c r="D449" s="2"/>
      <c r="E449" s="2"/>
      <c r="F449" s="2"/>
      <c r="G449" s="2"/>
      <c r="H449" s="2"/>
      <c r="I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150"/>
      <c r="AM449" s="623"/>
      <c r="AN449" s="627" t="s">
        <v>788</v>
      </c>
      <c r="AO449" s="166"/>
      <c r="AP449" s="261"/>
      <c r="AQ449" s="261"/>
      <c r="AR449" s="261"/>
      <c r="AS449" s="223"/>
      <c r="AT449" s="241"/>
      <c r="AU449" s="241"/>
      <c r="AV449" s="241"/>
      <c r="AW449" s="194"/>
      <c r="AX449" s="2"/>
      <c r="AY449" s="2"/>
    </row>
    <row r="450" spans="1:51" ht="20.399999999999999">
      <c r="A450" s="2"/>
      <c r="B450" s="2"/>
      <c r="C450" s="2"/>
      <c r="D450" s="2"/>
      <c r="E450" s="2"/>
      <c r="F450" s="2"/>
      <c r="G450" s="2"/>
      <c r="H450" s="2"/>
      <c r="I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150"/>
      <c r="AM450" s="624"/>
      <c r="AN450" s="503" t="s">
        <v>2274</v>
      </c>
      <c r="AO450" s="163" t="s">
        <v>149</v>
      </c>
      <c r="AP450" s="245">
        <v>257</v>
      </c>
      <c r="AQ450" s="261"/>
      <c r="AR450" s="261"/>
      <c r="AS450" s="223"/>
      <c r="AT450" s="241"/>
      <c r="AU450" s="241"/>
      <c r="AV450" s="241"/>
      <c r="AW450" s="194"/>
      <c r="AX450" s="2"/>
      <c r="AY450" s="2"/>
    </row>
    <row r="451" spans="1:51">
      <c r="A451" s="2"/>
      <c r="B451" s="2"/>
      <c r="C451" s="2"/>
      <c r="D451" s="2"/>
      <c r="E451" s="2"/>
      <c r="F451" s="2"/>
      <c r="G451" s="2"/>
      <c r="H451" s="2"/>
      <c r="I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150"/>
      <c r="AM451" s="624"/>
      <c r="AN451" s="503" t="s">
        <v>2270</v>
      </c>
      <c r="AO451" s="163" t="s">
        <v>2271</v>
      </c>
      <c r="AP451" s="625">
        <v>0</v>
      </c>
      <c r="AQ451" s="261"/>
      <c r="AR451" s="261"/>
      <c r="AS451" s="223"/>
      <c r="AT451" s="241"/>
      <c r="AU451" s="241"/>
      <c r="AV451" s="241"/>
      <c r="AW451" s="194"/>
      <c r="AX451" s="2"/>
      <c r="AY451" s="2"/>
    </row>
    <row r="452" spans="1:51">
      <c r="A452" s="2"/>
      <c r="B452" s="2"/>
      <c r="C452" s="2"/>
      <c r="D452" s="2"/>
      <c r="E452" s="2"/>
      <c r="F452" s="2"/>
      <c r="G452" s="2"/>
      <c r="H452" s="2"/>
      <c r="I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150"/>
      <c r="AM452" s="624"/>
      <c r="AN452" s="503" t="s">
        <v>2272</v>
      </c>
      <c r="AO452" s="163" t="s">
        <v>2273</v>
      </c>
      <c r="AP452" s="625">
        <v>16</v>
      </c>
      <c r="AQ452" s="261"/>
      <c r="AR452" s="261"/>
      <c r="AS452" s="223"/>
      <c r="AT452" s="241"/>
      <c r="AU452" s="241"/>
      <c r="AV452" s="241"/>
      <c r="AW452" s="194"/>
      <c r="AX452" s="2"/>
      <c r="AY452" s="2"/>
    </row>
    <row r="453" spans="1:51" ht="0.75" hidden="1" customHeight="1">
      <c r="A453" s="2"/>
      <c r="B453" s="2"/>
      <c r="C453" s="2"/>
      <c r="D453" s="2"/>
      <c r="E453" s="2"/>
      <c r="F453" s="2"/>
      <c r="G453" s="2"/>
      <c r="H453" s="2"/>
      <c r="I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150"/>
      <c r="AM453" s="500"/>
      <c r="AN453" s="622"/>
      <c r="AO453" s="166"/>
      <c r="AP453" s="242"/>
      <c r="AQ453" s="242"/>
      <c r="AR453" s="242"/>
      <c r="AS453" s="223"/>
      <c r="AT453" s="241"/>
      <c r="AU453" s="241"/>
      <c r="AV453" s="241"/>
      <c r="AW453" s="194"/>
      <c r="AX453" s="2"/>
      <c r="AY453" s="2"/>
    </row>
    <row r="454" spans="1:51" ht="0.75" hidden="1" customHeight="1">
      <c r="A454" s="2"/>
      <c r="B454" s="2"/>
      <c r="C454" s="2"/>
      <c r="D454" s="2"/>
      <c r="E454" s="2"/>
      <c r="F454" s="2"/>
      <c r="G454" s="2"/>
      <c r="H454" s="2"/>
      <c r="I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150"/>
      <c r="AM454" s="500"/>
      <c r="AN454" s="622"/>
      <c r="AO454" s="166"/>
      <c r="AP454" s="242"/>
      <c r="AQ454" s="242"/>
      <c r="AR454" s="242"/>
      <c r="AS454" s="223"/>
      <c r="AT454" s="241"/>
      <c r="AU454" s="241"/>
      <c r="AV454" s="241"/>
      <c r="AW454" s="194"/>
      <c r="AX454" s="2"/>
      <c r="AY454" s="2"/>
    </row>
    <row r="455" spans="1:51" ht="0.75" hidden="1" customHeight="1">
      <c r="A455" s="2"/>
      <c r="B455" s="2"/>
      <c r="C455" s="2"/>
      <c r="D455" s="2"/>
      <c r="E455" s="2"/>
      <c r="F455" s="2"/>
      <c r="G455" s="2"/>
      <c r="H455" s="2"/>
      <c r="I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150"/>
      <c r="AM455" s="500"/>
      <c r="AN455" s="622"/>
      <c r="AO455" s="166"/>
      <c r="AP455" s="242"/>
      <c r="AQ455" s="242"/>
      <c r="AR455" s="242"/>
      <c r="AS455" s="223"/>
      <c r="AT455" s="241"/>
      <c r="AU455" s="241"/>
      <c r="AV455" s="241"/>
      <c r="AW455" s="194"/>
      <c r="AX455" s="2"/>
      <c r="AY455" s="2"/>
    </row>
    <row r="456" spans="1:51" ht="0.75" hidden="1" customHeight="1">
      <c r="A456" s="2"/>
      <c r="B456" s="2"/>
      <c r="C456" s="2"/>
      <c r="D456" s="2"/>
      <c r="E456" s="2"/>
      <c r="F456" s="2"/>
      <c r="G456" s="2"/>
      <c r="H456" s="2"/>
      <c r="I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150"/>
      <c r="AM456" s="500"/>
      <c r="AN456" s="622"/>
      <c r="AO456" s="166"/>
      <c r="AP456" s="242"/>
      <c r="AQ456" s="242"/>
      <c r="AR456" s="242"/>
      <c r="AS456" s="223"/>
      <c r="AT456" s="241"/>
      <c r="AU456" s="241"/>
      <c r="AV456" s="241"/>
      <c r="AW456" s="194"/>
      <c r="AX456" s="2"/>
      <c r="AY456" s="2"/>
    </row>
    <row r="457" spans="1:51" ht="0.75" hidden="1" customHeight="1">
      <c r="A457" s="2"/>
      <c r="B457" s="2"/>
      <c r="C457" s="2"/>
      <c r="D457" s="2"/>
      <c r="E457" s="2"/>
      <c r="F457" s="2"/>
      <c r="G457" s="2"/>
      <c r="H457" s="2"/>
      <c r="I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150"/>
      <c r="AM457" s="500"/>
      <c r="AN457" s="622"/>
      <c r="AO457" s="166"/>
      <c r="AP457" s="242"/>
      <c r="AQ457" s="242"/>
      <c r="AR457" s="242"/>
      <c r="AS457" s="223"/>
      <c r="AT457" s="241"/>
      <c r="AU457" s="241"/>
      <c r="AV457" s="241"/>
      <c r="AW457" s="194"/>
      <c r="AX457" s="2"/>
      <c r="AY457" s="2"/>
    </row>
    <row r="458" spans="1:51" ht="0.75" hidden="1" customHeight="1">
      <c r="A458" s="2"/>
      <c r="B458" s="2"/>
      <c r="C458" s="2"/>
      <c r="D458" s="2"/>
      <c r="E458" s="2"/>
      <c r="F458" s="2"/>
      <c r="G458" s="2"/>
      <c r="H458" s="2"/>
      <c r="I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150"/>
      <c r="AM458" s="500"/>
      <c r="AN458" s="622"/>
      <c r="AO458" s="166"/>
      <c r="AP458" s="242"/>
      <c r="AQ458" s="242"/>
      <c r="AR458" s="242"/>
      <c r="AS458" s="223"/>
      <c r="AT458" s="241"/>
      <c r="AU458" s="241"/>
      <c r="AV458" s="241"/>
      <c r="AW458" s="194"/>
      <c r="AX458" s="2"/>
      <c r="AY458" s="2"/>
    </row>
    <row r="459" spans="1:51" ht="0.75" hidden="1" customHeight="1">
      <c r="A459" s="2"/>
      <c r="B459" s="2"/>
      <c r="C459" s="2"/>
      <c r="D459" s="2"/>
      <c r="E459" s="2"/>
      <c r="F459" s="2"/>
      <c r="G459" s="2"/>
      <c r="H459" s="2"/>
      <c r="I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150"/>
      <c r="AM459" s="500"/>
      <c r="AN459" s="622"/>
      <c r="AO459" s="166"/>
      <c r="AP459" s="242"/>
      <c r="AQ459" s="242"/>
      <c r="AR459" s="242"/>
      <c r="AS459" s="223"/>
      <c r="AT459" s="241"/>
      <c r="AU459" s="241"/>
      <c r="AV459" s="241"/>
      <c r="AW459" s="194"/>
      <c r="AX459" s="2"/>
      <c r="AY459" s="2"/>
    </row>
    <row r="460" spans="1:51" ht="0.75" hidden="1" customHeight="1">
      <c r="A460" s="2"/>
      <c r="B460" s="2"/>
      <c r="C460" s="2"/>
      <c r="D460" s="2"/>
      <c r="E460" s="2"/>
      <c r="F460" s="2"/>
      <c r="G460" s="2"/>
      <c r="H460" s="2"/>
      <c r="I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150"/>
      <c r="AM460" s="500"/>
      <c r="AN460" s="622"/>
      <c r="AO460" s="166"/>
      <c r="AP460" s="242"/>
      <c r="AQ460" s="242"/>
      <c r="AR460" s="242"/>
      <c r="AS460" s="223"/>
      <c r="AT460" s="241"/>
      <c r="AU460" s="241"/>
      <c r="AV460" s="241"/>
      <c r="AW460" s="194"/>
      <c r="AX460" s="2"/>
      <c r="AY460" s="2"/>
    </row>
    <row r="461" spans="1:51" ht="11.25" customHeight="1">
      <c r="A461" s="2"/>
      <c r="B461" s="2"/>
      <c r="C461" s="2"/>
      <c r="D461" s="2"/>
      <c r="E461" s="2"/>
      <c r="F461" s="2"/>
      <c r="G461" s="2"/>
      <c r="H461" s="2"/>
      <c r="I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150"/>
      <c r="AM461" s="509" t="s">
        <v>3002</v>
      </c>
      <c r="AN461" s="736" t="s">
        <v>3003</v>
      </c>
      <c r="AO461" s="443" t="s">
        <v>195</v>
      </c>
      <c r="AP461" s="688">
        <f t="shared" ref="AP461:AR463" si="53">SUMIF($AS$9:$AW$9,AP$9,$AS461:$AW461)</f>
        <v>0</v>
      </c>
      <c r="AQ461" s="688">
        <f t="shared" si="53"/>
        <v>0</v>
      </c>
      <c r="AR461" s="688">
        <f t="shared" si="53"/>
        <v>0</v>
      </c>
      <c r="AS461" s="223"/>
      <c r="AT461" s="256">
        <f>AU461+AV461</f>
        <v>0</v>
      </c>
      <c r="AU461" s="245"/>
      <c r="AV461" s="245"/>
      <c r="AW461" s="194"/>
      <c r="AX461" s="2"/>
      <c r="AY461" s="2"/>
    </row>
    <row r="462" spans="1:51" ht="11.25" customHeight="1">
      <c r="A462" s="2"/>
      <c r="B462" s="2"/>
      <c r="C462" s="2"/>
      <c r="D462" s="2"/>
      <c r="E462" s="2"/>
      <c r="F462" s="2"/>
      <c r="G462" s="2"/>
      <c r="H462" s="2"/>
      <c r="I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150"/>
      <c r="AM462" s="510" t="str">
        <f>AM461 &amp; ".1"</f>
        <v>Э.1.1.1</v>
      </c>
      <c r="AN462" s="737" t="s">
        <v>3004</v>
      </c>
      <c r="AO462" s="443" t="s">
        <v>195</v>
      </c>
      <c r="AP462" s="688">
        <f t="shared" si="53"/>
        <v>0</v>
      </c>
      <c r="AQ462" s="688">
        <f t="shared" si="53"/>
        <v>0</v>
      </c>
      <c r="AR462" s="688">
        <f t="shared" si="53"/>
        <v>0</v>
      </c>
      <c r="AS462" s="223"/>
      <c r="AT462" s="256">
        <f>AU462+AV462</f>
        <v>0</v>
      </c>
      <c r="AU462" s="245"/>
      <c r="AV462" s="245"/>
      <c r="AW462" s="194"/>
      <c r="AX462" s="2"/>
      <c r="AY462" s="2"/>
    </row>
    <row r="463" spans="1:51" ht="11.25" customHeight="1">
      <c r="A463" s="2"/>
      <c r="B463" s="2"/>
      <c r="C463" s="2"/>
      <c r="D463" s="2"/>
      <c r="E463" s="2"/>
      <c r="F463" s="2"/>
      <c r="G463" s="2"/>
      <c r="H463" s="2"/>
      <c r="I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150"/>
      <c r="AM463" s="509" t="s">
        <v>3005</v>
      </c>
      <c r="AN463" s="736" t="s">
        <v>3006</v>
      </c>
      <c r="AO463" s="443" t="s">
        <v>195</v>
      </c>
      <c r="AP463" s="688">
        <f t="shared" si="53"/>
        <v>0</v>
      </c>
      <c r="AQ463" s="688">
        <f t="shared" si="53"/>
        <v>0</v>
      </c>
      <c r="AR463" s="688">
        <f t="shared" si="53"/>
        <v>0</v>
      </c>
      <c r="AS463" s="223"/>
      <c r="AT463" s="256">
        <f>AU463+AV463</f>
        <v>0</v>
      </c>
      <c r="AU463" s="245"/>
      <c r="AV463" s="245"/>
      <c r="AW463" s="194"/>
      <c r="AX463" s="2"/>
      <c r="AY463" s="2"/>
    </row>
    <row r="464" spans="1:51" ht="0.75" hidden="1" customHeight="1">
      <c r="A464" s="2"/>
      <c r="B464" s="2"/>
      <c r="C464" s="2"/>
      <c r="D464" s="2"/>
      <c r="E464" s="2"/>
      <c r="F464" s="2"/>
      <c r="G464" s="2"/>
      <c r="H464" s="2"/>
      <c r="I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150"/>
      <c r="AM464" s="500"/>
      <c r="AN464" s="472"/>
      <c r="AO464" s="442"/>
      <c r="AP464" s="242"/>
      <c r="AQ464" s="242"/>
      <c r="AR464" s="242"/>
      <c r="AS464" s="223"/>
      <c r="AT464" s="241"/>
      <c r="AU464" s="241"/>
      <c r="AV464" s="241"/>
      <c r="AW464" s="194"/>
      <c r="AX464" s="2"/>
      <c r="AY464" s="2"/>
    </row>
    <row r="465" spans="1:51" ht="11.25" customHeight="1">
      <c r="A465" s="2"/>
      <c r="B465" s="2"/>
      <c r="C465" s="2"/>
      <c r="D465" s="2"/>
      <c r="E465" s="2"/>
      <c r="F465" s="2"/>
      <c r="G465" s="2"/>
      <c r="H465" s="2"/>
      <c r="I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150"/>
      <c r="AM465" s="509" t="s">
        <v>3007</v>
      </c>
      <c r="AN465" s="736" t="s">
        <v>3008</v>
      </c>
      <c r="AO465" s="687" t="s">
        <v>195</v>
      </c>
      <c r="AP465" s="688">
        <f t="shared" ref="AP465:AR480" si="54">SUMIF($AS$9:$AW$9,AP$9,$AS465:$AW465)</f>
        <v>0</v>
      </c>
      <c r="AQ465" s="688">
        <f t="shared" si="54"/>
        <v>0</v>
      </c>
      <c r="AR465" s="688">
        <f t="shared" si="54"/>
        <v>0</v>
      </c>
      <c r="AS465" s="223"/>
      <c r="AT465" s="256">
        <f t="shared" ref="AT465:AT480" si="55">AU465+AV465</f>
        <v>0</v>
      </c>
      <c r="AU465" s="245"/>
      <c r="AV465" s="245"/>
      <c r="AW465" s="194"/>
      <c r="AX465" s="2"/>
      <c r="AY465" s="2"/>
    </row>
    <row r="466" spans="1:51" ht="11.25" customHeight="1">
      <c r="A466" s="2"/>
      <c r="B466" s="2"/>
      <c r="C466" s="2"/>
      <c r="D466" s="2"/>
      <c r="E466" s="2"/>
      <c r="F466" s="2"/>
      <c r="G466" s="2"/>
      <c r="H466" s="2"/>
      <c r="I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150"/>
      <c r="AM466" s="510" t="str">
        <f>AM465 &amp; ".1"</f>
        <v>Э.1.3.1</v>
      </c>
      <c r="AN466" s="737" t="s">
        <v>3004</v>
      </c>
      <c r="AO466" s="687" t="s">
        <v>195</v>
      </c>
      <c r="AP466" s="688">
        <f t="shared" si="54"/>
        <v>0</v>
      </c>
      <c r="AQ466" s="688">
        <f t="shared" si="54"/>
        <v>0</v>
      </c>
      <c r="AR466" s="688">
        <f t="shared" si="54"/>
        <v>0</v>
      </c>
      <c r="AS466" s="223"/>
      <c r="AT466" s="256">
        <f t="shared" si="55"/>
        <v>0</v>
      </c>
      <c r="AU466" s="245"/>
      <c r="AV466" s="245"/>
      <c r="AW466" s="194"/>
      <c r="AX466" s="2"/>
      <c r="AY466" s="2"/>
    </row>
    <row r="467" spans="1:51" ht="11.25" customHeight="1">
      <c r="A467" s="2"/>
      <c r="B467" s="2"/>
      <c r="C467" s="2"/>
      <c r="D467" s="2"/>
      <c r="E467" s="2"/>
      <c r="F467" s="2"/>
      <c r="G467" s="2"/>
      <c r="H467" s="2"/>
      <c r="I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150"/>
      <c r="AM467" s="509" t="s">
        <v>3009</v>
      </c>
      <c r="AN467" s="736" t="s">
        <v>3010</v>
      </c>
      <c r="AO467" s="687" t="s">
        <v>195</v>
      </c>
      <c r="AP467" s="688">
        <f t="shared" si="54"/>
        <v>0</v>
      </c>
      <c r="AQ467" s="688">
        <f t="shared" si="54"/>
        <v>0</v>
      </c>
      <c r="AR467" s="688">
        <f t="shared" si="54"/>
        <v>0</v>
      </c>
      <c r="AS467" s="223"/>
      <c r="AT467" s="256">
        <f t="shared" si="55"/>
        <v>0</v>
      </c>
      <c r="AU467" s="245"/>
      <c r="AV467" s="245"/>
      <c r="AW467" s="194"/>
      <c r="AX467" s="2"/>
      <c r="AY467" s="2"/>
    </row>
    <row r="468" spans="1:51" ht="11.25" customHeight="1">
      <c r="A468" s="2"/>
      <c r="B468" s="2"/>
      <c r="C468" s="2"/>
      <c r="D468" s="2"/>
      <c r="E468" s="2"/>
      <c r="F468" s="2"/>
      <c r="G468" s="2"/>
      <c r="H468" s="2"/>
      <c r="I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150"/>
      <c r="AM468" s="510" t="str">
        <f>AM467 &amp; ".1"</f>
        <v>Э.1.4.1</v>
      </c>
      <c r="AN468" s="737" t="s">
        <v>3004</v>
      </c>
      <c r="AO468" s="687" t="s">
        <v>195</v>
      </c>
      <c r="AP468" s="688">
        <f t="shared" si="54"/>
        <v>0</v>
      </c>
      <c r="AQ468" s="688">
        <f t="shared" si="54"/>
        <v>0</v>
      </c>
      <c r="AR468" s="688">
        <f t="shared" si="54"/>
        <v>0</v>
      </c>
      <c r="AS468" s="223"/>
      <c r="AT468" s="256">
        <f t="shared" si="55"/>
        <v>0</v>
      </c>
      <c r="AU468" s="245"/>
      <c r="AV468" s="245"/>
      <c r="AW468" s="194"/>
      <c r="AX468" s="2"/>
      <c r="AY468" s="2"/>
    </row>
    <row r="469" spans="1:51" ht="11.25" customHeight="1">
      <c r="A469" s="2"/>
      <c r="B469" s="2"/>
      <c r="C469" s="2"/>
      <c r="D469" s="2"/>
      <c r="E469" s="2"/>
      <c r="F469" s="2"/>
      <c r="G469" s="2"/>
      <c r="H469" s="2"/>
      <c r="I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150"/>
      <c r="AM469" s="509" t="s">
        <v>3011</v>
      </c>
      <c r="AN469" s="736" t="s">
        <v>3012</v>
      </c>
      <c r="AO469" s="687" t="s">
        <v>195</v>
      </c>
      <c r="AP469" s="688">
        <f t="shared" si="54"/>
        <v>0</v>
      </c>
      <c r="AQ469" s="688">
        <f t="shared" si="54"/>
        <v>0</v>
      </c>
      <c r="AR469" s="688">
        <f t="shared" si="54"/>
        <v>0</v>
      </c>
      <c r="AS469" s="223"/>
      <c r="AT469" s="256">
        <f t="shared" si="55"/>
        <v>0</v>
      </c>
      <c r="AU469" s="245"/>
      <c r="AV469" s="245"/>
      <c r="AW469" s="194"/>
      <c r="AX469" s="2"/>
      <c r="AY469" s="2"/>
    </row>
    <row r="470" spans="1:51" ht="11.25" customHeight="1">
      <c r="A470" s="2"/>
      <c r="B470" s="2"/>
      <c r="C470" s="2"/>
      <c r="D470" s="2"/>
      <c r="E470" s="2"/>
      <c r="F470" s="2"/>
      <c r="G470" s="2"/>
      <c r="H470" s="2"/>
      <c r="I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150"/>
      <c r="AM470" s="510" t="str">
        <f>AM469 &amp; ".1"</f>
        <v>Э.1.5.1</v>
      </c>
      <c r="AN470" s="737" t="s">
        <v>3004</v>
      </c>
      <c r="AO470" s="687" t="s">
        <v>195</v>
      </c>
      <c r="AP470" s="688">
        <f t="shared" si="54"/>
        <v>0</v>
      </c>
      <c r="AQ470" s="688">
        <f t="shared" si="54"/>
        <v>0</v>
      </c>
      <c r="AR470" s="688">
        <f t="shared" si="54"/>
        <v>0</v>
      </c>
      <c r="AS470" s="223"/>
      <c r="AT470" s="256">
        <f t="shared" si="55"/>
        <v>0</v>
      </c>
      <c r="AU470" s="245"/>
      <c r="AV470" s="245"/>
      <c r="AW470" s="194"/>
      <c r="AX470" s="2"/>
      <c r="AY470" s="2"/>
    </row>
    <row r="471" spans="1:51" ht="11.25" customHeight="1">
      <c r="A471" s="2"/>
      <c r="B471" s="2"/>
      <c r="C471" s="2"/>
      <c r="D471" s="2"/>
      <c r="E471" s="2"/>
      <c r="F471" s="2"/>
      <c r="G471" s="2"/>
      <c r="H471" s="2"/>
      <c r="I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150"/>
      <c r="AM471" s="509" t="s">
        <v>3013</v>
      </c>
      <c r="AN471" s="736" t="s">
        <v>3014</v>
      </c>
      <c r="AO471" s="687" t="s">
        <v>195</v>
      </c>
      <c r="AP471" s="688">
        <f t="shared" si="54"/>
        <v>0</v>
      </c>
      <c r="AQ471" s="688">
        <f t="shared" si="54"/>
        <v>0</v>
      </c>
      <c r="AR471" s="688">
        <f t="shared" si="54"/>
        <v>0</v>
      </c>
      <c r="AS471" s="223"/>
      <c r="AT471" s="256">
        <f t="shared" si="55"/>
        <v>0</v>
      </c>
      <c r="AU471" s="245"/>
      <c r="AV471" s="245"/>
      <c r="AW471" s="194"/>
      <c r="AX471" s="2"/>
      <c r="AY471" s="2"/>
    </row>
    <row r="472" spans="1:51" ht="11.25" customHeight="1">
      <c r="A472" s="2"/>
      <c r="B472" s="2"/>
      <c r="C472" s="2"/>
      <c r="D472" s="2"/>
      <c r="E472" s="2"/>
      <c r="F472" s="2"/>
      <c r="G472" s="2"/>
      <c r="H472" s="2"/>
      <c r="I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150"/>
      <c r="AM472" s="510" t="str">
        <f>AM471 &amp; ".1"</f>
        <v>Э.1.6.1</v>
      </c>
      <c r="AN472" s="737" t="s">
        <v>3004</v>
      </c>
      <c r="AO472" s="687" t="s">
        <v>195</v>
      </c>
      <c r="AP472" s="688">
        <f t="shared" si="54"/>
        <v>0</v>
      </c>
      <c r="AQ472" s="688">
        <f t="shared" si="54"/>
        <v>0</v>
      </c>
      <c r="AR472" s="688">
        <f t="shared" si="54"/>
        <v>0</v>
      </c>
      <c r="AS472" s="223"/>
      <c r="AT472" s="256">
        <f t="shared" si="55"/>
        <v>0</v>
      </c>
      <c r="AU472" s="245"/>
      <c r="AV472" s="245"/>
      <c r="AW472" s="194"/>
      <c r="AX472" s="2"/>
      <c r="AY472" s="2"/>
    </row>
    <row r="473" spans="1:51" ht="11.25" customHeight="1">
      <c r="A473" s="2"/>
      <c r="B473" s="2"/>
      <c r="C473" s="2"/>
      <c r="D473" s="2"/>
      <c r="E473" s="2"/>
      <c r="F473" s="2"/>
      <c r="G473" s="2"/>
      <c r="H473" s="2"/>
      <c r="I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150"/>
      <c r="AM473" s="509" t="s">
        <v>3015</v>
      </c>
      <c r="AN473" s="736" t="s">
        <v>3016</v>
      </c>
      <c r="AO473" s="687" t="s">
        <v>195</v>
      </c>
      <c r="AP473" s="688">
        <f t="shared" si="54"/>
        <v>0</v>
      </c>
      <c r="AQ473" s="688">
        <f t="shared" si="54"/>
        <v>0</v>
      </c>
      <c r="AR473" s="688">
        <f t="shared" si="54"/>
        <v>0</v>
      </c>
      <c r="AS473" s="223"/>
      <c r="AT473" s="256">
        <f t="shared" si="55"/>
        <v>0</v>
      </c>
      <c r="AU473" s="245"/>
      <c r="AV473" s="245"/>
      <c r="AW473" s="194"/>
      <c r="AX473" s="2"/>
      <c r="AY473" s="2"/>
    </row>
    <row r="474" spans="1:51" ht="11.25" customHeight="1">
      <c r="A474" s="2"/>
      <c r="B474" s="2"/>
      <c r="C474" s="2"/>
      <c r="D474" s="2"/>
      <c r="E474" s="2"/>
      <c r="F474" s="2"/>
      <c r="G474" s="2"/>
      <c r="H474" s="2"/>
      <c r="I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150"/>
      <c r="AM474" s="510" t="str">
        <f>AM473 &amp; ".1"</f>
        <v>Э.1.7.1</v>
      </c>
      <c r="AN474" s="737" t="s">
        <v>3004</v>
      </c>
      <c r="AO474" s="687" t="s">
        <v>195</v>
      </c>
      <c r="AP474" s="688">
        <f t="shared" si="54"/>
        <v>0</v>
      </c>
      <c r="AQ474" s="688">
        <f t="shared" si="54"/>
        <v>0</v>
      </c>
      <c r="AR474" s="688">
        <f t="shared" si="54"/>
        <v>0</v>
      </c>
      <c r="AS474" s="223"/>
      <c r="AT474" s="256">
        <f t="shared" si="55"/>
        <v>0</v>
      </c>
      <c r="AU474" s="245"/>
      <c r="AV474" s="245"/>
      <c r="AW474" s="194"/>
      <c r="AX474" s="2"/>
      <c r="AY474" s="2"/>
    </row>
    <row r="475" spans="1:51" ht="11.25" customHeight="1">
      <c r="A475" s="2"/>
      <c r="B475" s="2"/>
      <c r="C475" s="2"/>
      <c r="D475" s="2"/>
      <c r="E475" s="2"/>
      <c r="F475" s="2"/>
      <c r="G475" s="2"/>
      <c r="H475" s="2"/>
      <c r="I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150"/>
      <c r="AM475" s="509" t="s">
        <v>3017</v>
      </c>
      <c r="AN475" s="736" t="s">
        <v>3018</v>
      </c>
      <c r="AO475" s="687" t="s">
        <v>195</v>
      </c>
      <c r="AP475" s="688">
        <f t="shared" si="54"/>
        <v>0</v>
      </c>
      <c r="AQ475" s="688">
        <f t="shared" si="54"/>
        <v>0</v>
      </c>
      <c r="AR475" s="688">
        <f t="shared" si="54"/>
        <v>0</v>
      </c>
      <c r="AS475" s="223"/>
      <c r="AT475" s="256">
        <f t="shared" si="55"/>
        <v>0</v>
      </c>
      <c r="AU475" s="245"/>
      <c r="AV475" s="245"/>
      <c r="AW475" s="194"/>
      <c r="AX475" s="2"/>
      <c r="AY475" s="2"/>
    </row>
    <row r="476" spans="1:51" ht="11.25" customHeight="1">
      <c r="A476" s="2"/>
      <c r="B476" s="2"/>
      <c r="C476" s="2"/>
      <c r="D476" s="2"/>
      <c r="E476" s="2"/>
      <c r="F476" s="2"/>
      <c r="G476" s="2"/>
      <c r="H476" s="2"/>
      <c r="I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150"/>
      <c r="AM476" s="510" t="str">
        <f>AM475 &amp; ".1"</f>
        <v>Э.1.8.1</v>
      </c>
      <c r="AN476" s="737" t="s">
        <v>3004</v>
      </c>
      <c r="AO476" s="687" t="s">
        <v>195</v>
      </c>
      <c r="AP476" s="688">
        <f t="shared" si="54"/>
        <v>0</v>
      </c>
      <c r="AQ476" s="688">
        <f t="shared" si="54"/>
        <v>0</v>
      </c>
      <c r="AR476" s="688">
        <f t="shared" si="54"/>
        <v>0</v>
      </c>
      <c r="AS476" s="223"/>
      <c r="AT476" s="256">
        <f t="shared" si="55"/>
        <v>0</v>
      </c>
      <c r="AU476" s="245"/>
      <c r="AV476" s="245"/>
      <c r="AW476" s="194"/>
      <c r="AX476" s="2"/>
      <c r="AY476" s="2"/>
    </row>
    <row r="477" spans="1:51" ht="11.25" customHeight="1">
      <c r="A477" s="2"/>
      <c r="B477" s="2"/>
      <c r="C477" s="2"/>
      <c r="D477" s="2"/>
      <c r="E477" s="2"/>
      <c r="F477" s="2"/>
      <c r="G477" s="2"/>
      <c r="H477" s="2"/>
      <c r="I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150"/>
      <c r="AM477" s="509" t="s">
        <v>3019</v>
      </c>
      <c r="AN477" s="736" t="s">
        <v>3020</v>
      </c>
      <c r="AO477" s="687" t="s">
        <v>195</v>
      </c>
      <c r="AP477" s="688">
        <f t="shared" si="54"/>
        <v>0</v>
      </c>
      <c r="AQ477" s="688">
        <f t="shared" si="54"/>
        <v>0</v>
      </c>
      <c r="AR477" s="688">
        <f t="shared" si="54"/>
        <v>0</v>
      </c>
      <c r="AS477" s="223"/>
      <c r="AT477" s="256">
        <f t="shared" si="55"/>
        <v>0</v>
      </c>
      <c r="AU477" s="245"/>
      <c r="AV477" s="245"/>
      <c r="AW477" s="194"/>
      <c r="AX477" s="2"/>
      <c r="AY477" s="2"/>
    </row>
    <row r="478" spans="1:51" ht="11.25" customHeight="1">
      <c r="A478" s="2"/>
      <c r="B478" s="2"/>
      <c r="C478" s="2"/>
      <c r="D478" s="2"/>
      <c r="E478" s="2"/>
      <c r="F478" s="2"/>
      <c r="G478" s="2"/>
      <c r="H478" s="2"/>
      <c r="I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150"/>
      <c r="AM478" s="510" t="str">
        <f>AM477 &amp; ".1"</f>
        <v>Э.1.9.1</v>
      </c>
      <c r="AN478" s="737" t="s">
        <v>3004</v>
      </c>
      <c r="AO478" s="687" t="s">
        <v>195</v>
      </c>
      <c r="AP478" s="688">
        <f t="shared" si="54"/>
        <v>0</v>
      </c>
      <c r="AQ478" s="688">
        <f t="shared" si="54"/>
        <v>0</v>
      </c>
      <c r="AR478" s="688">
        <f t="shared" si="54"/>
        <v>0</v>
      </c>
      <c r="AS478" s="223"/>
      <c r="AT478" s="256">
        <f t="shared" si="55"/>
        <v>0</v>
      </c>
      <c r="AU478" s="245"/>
      <c r="AV478" s="245"/>
      <c r="AW478" s="194"/>
      <c r="AX478" s="2"/>
      <c r="AY478" s="2"/>
    </row>
    <row r="479" spans="1:51" ht="35.25" customHeight="1">
      <c r="A479" s="2"/>
      <c r="B479" s="2"/>
      <c r="C479" s="2"/>
      <c r="D479" s="2"/>
      <c r="E479" s="2"/>
      <c r="F479" s="2"/>
      <c r="G479" s="2"/>
      <c r="H479" s="2"/>
      <c r="I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150"/>
      <c r="AM479" s="509" t="s">
        <v>3021</v>
      </c>
      <c r="AN479" s="738" t="str">
        <f>"Экономия инвестиционных расходов, сложившаяся в " &amp; PERIOD &amp; " году, предусмотренная в абзаце 6 пункта 66 Основ ценообразования"</f>
        <v>Экономия инвестиционных расходов, сложившаяся в 2024 году, предусмотренная в абзаце 6 пункта 66 Основ ценообразования</v>
      </c>
      <c r="AO479" s="687" t="s">
        <v>195</v>
      </c>
      <c r="AP479" s="688">
        <f t="shared" si="54"/>
        <v>0</v>
      </c>
      <c r="AQ479" s="688">
        <f t="shared" si="54"/>
        <v>0</v>
      </c>
      <c r="AR479" s="688">
        <f t="shared" si="54"/>
        <v>0</v>
      </c>
      <c r="AS479" s="223"/>
      <c r="AT479" s="256">
        <f t="shared" si="55"/>
        <v>0</v>
      </c>
      <c r="AU479" s="245">
        <v>0</v>
      </c>
      <c r="AV479" s="245">
        <v>0</v>
      </c>
      <c r="AW479" s="194"/>
      <c r="AX479" s="2"/>
      <c r="AY479" s="2"/>
    </row>
    <row r="480" spans="1:51" ht="24" customHeight="1">
      <c r="A480" s="2"/>
      <c r="B480" s="2"/>
      <c r="C480" s="2"/>
      <c r="D480" s="2"/>
      <c r="E480" s="2"/>
      <c r="F480" s="2"/>
      <c r="G480" s="2"/>
      <c r="H480" s="2"/>
      <c r="I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150"/>
      <c r="AM480" s="509" t="s">
        <v>3022</v>
      </c>
      <c r="AN480" s="739" t="s">
        <v>3023</v>
      </c>
      <c r="AO480" s="687" t="s">
        <v>195</v>
      </c>
      <c r="AP480" s="688">
        <f t="shared" si="54"/>
        <v>0</v>
      </c>
      <c r="AQ480" s="688">
        <f t="shared" si="54"/>
        <v>0</v>
      </c>
      <c r="AR480" s="688">
        <f t="shared" si="54"/>
        <v>0</v>
      </c>
      <c r="AS480" s="223"/>
      <c r="AT480" s="256">
        <f t="shared" si="55"/>
        <v>0</v>
      </c>
      <c r="AU480" s="245"/>
      <c r="AV480" s="245"/>
      <c r="AW480" s="194"/>
      <c r="AX480" s="2"/>
      <c r="AY480" s="2"/>
    </row>
    <row r="481" spans="1:51" ht="24" customHeight="1">
      <c r="A481" s="2"/>
      <c r="B481" s="2"/>
      <c r="C481" s="2"/>
      <c r="D481" s="2"/>
      <c r="E481" s="2"/>
      <c r="F481" s="2"/>
      <c r="G481" s="2"/>
      <c r="H481" s="2"/>
      <c r="I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150"/>
      <c r="AM481" s="509" t="s">
        <v>3024</v>
      </c>
      <c r="AN481" s="739" t="s">
        <v>3023</v>
      </c>
      <c r="AO481" s="687" t="s">
        <v>755</v>
      </c>
      <c r="AP481" s="242"/>
      <c r="AQ481" s="242"/>
      <c r="AR481" s="242"/>
      <c r="AS481" s="223"/>
      <c r="AT481" s="245"/>
      <c r="AU481" s="245"/>
      <c r="AV481" s="245"/>
      <c r="AW481" s="194"/>
      <c r="AX481" s="2"/>
      <c r="AY481" s="2"/>
    </row>
    <row r="482" spans="1:51" ht="11.25" customHeight="1">
      <c r="A482" s="2"/>
      <c r="B482" s="2"/>
      <c r="C482" s="2"/>
      <c r="D482" s="2"/>
      <c r="E482" s="2"/>
      <c r="F482" s="2"/>
      <c r="G482" s="2"/>
      <c r="H482" s="2"/>
      <c r="I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150"/>
      <c r="AM482" s="509" t="s">
        <v>3025</v>
      </c>
      <c r="AN482" s="739" t="s">
        <v>3026</v>
      </c>
      <c r="AO482" s="687" t="s">
        <v>195</v>
      </c>
      <c r="AP482" s="688">
        <f>SUMIF($AS$9:$AW$9,AP$9,$AS482:$AW482)</f>
        <v>0</v>
      </c>
      <c r="AQ482" s="688">
        <f>SUMIF($AS$9:$AW$9,AQ$9,$AS482:$AW482)</f>
        <v>0</v>
      </c>
      <c r="AR482" s="688">
        <f>SUMIF($AS$9:$AW$9,AR$9,$AS482:$AW482)</f>
        <v>0</v>
      </c>
      <c r="AS482" s="223"/>
      <c r="AT482" s="754">
        <f>AT479-AT480</f>
        <v>0</v>
      </c>
      <c r="AU482" s="754">
        <f>AU479-AU480</f>
        <v>0</v>
      </c>
      <c r="AV482" s="754">
        <f>AV479-AV480</f>
        <v>0</v>
      </c>
      <c r="AW482" s="194"/>
      <c r="AX482" s="2"/>
      <c r="AY482" s="2"/>
    </row>
    <row r="483" spans="1:51" ht="11.25" customHeight="1">
      <c r="A483" s="2"/>
      <c r="B483" s="2"/>
      <c r="C483" s="2"/>
      <c r="D483" s="2"/>
      <c r="E483" s="2"/>
      <c r="F483" s="2"/>
      <c r="G483" s="2"/>
      <c r="H483" s="2"/>
      <c r="I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150"/>
      <c r="AM483" s="509" t="s">
        <v>3027</v>
      </c>
      <c r="AN483" s="739" t="s">
        <v>3026</v>
      </c>
      <c r="AO483" s="687" t="s">
        <v>755</v>
      </c>
      <c r="AP483" s="242"/>
      <c r="AQ483" s="242"/>
      <c r="AR483" s="242"/>
      <c r="AS483" s="223"/>
      <c r="AT483" s="245"/>
      <c r="AU483" s="245"/>
      <c r="AV483" s="245"/>
      <c r="AW483" s="194"/>
      <c r="AX483" s="2"/>
      <c r="AY483" s="2"/>
    </row>
    <row r="484" spans="1:51" ht="11.25" customHeight="1">
      <c r="A484" s="2"/>
      <c r="B484" s="2"/>
      <c r="C484" s="2"/>
      <c r="D484" s="2"/>
      <c r="E484" s="2"/>
      <c r="F484" s="2"/>
      <c r="G484" s="2"/>
      <c r="H484" s="2"/>
      <c r="I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150"/>
      <c r="AM484" s="510" t="str">
        <f>AM479 &amp; ".1"</f>
        <v>Э.1.10.1</v>
      </c>
      <c r="AN484" s="737" t="s">
        <v>3004</v>
      </c>
      <c r="AO484" s="687" t="s">
        <v>195</v>
      </c>
      <c r="AP484" s="688">
        <f t="shared" ref="AP484:AR486" si="56">SUMIF($AS$9:$AW$9,AP$9,$AS484:$AW484)</f>
        <v>0</v>
      </c>
      <c r="AQ484" s="688">
        <f t="shared" si="56"/>
        <v>0</v>
      </c>
      <c r="AR484" s="688">
        <f t="shared" si="56"/>
        <v>0</v>
      </c>
      <c r="AS484" s="223"/>
      <c r="AT484" s="256">
        <f>AU484+AV484</f>
        <v>0</v>
      </c>
      <c r="AU484" s="245"/>
      <c r="AV484" s="245"/>
      <c r="AW484" s="194"/>
      <c r="AX484" s="2"/>
      <c r="AY484" s="2"/>
    </row>
    <row r="485" spans="1:51" ht="35.25" customHeight="1">
      <c r="A485" s="2"/>
      <c r="B485" s="2"/>
      <c r="C485" s="2"/>
      <c r="D485" s="2"/>
      <c r="E485" s="2"/>
      <c r="F485" s="2"/>
      <c r="G485" s="2"/>
      <c r="H485" s="2"/>
      <c r="I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150"/>
      <c r="AM485" s="509" t="s">
        <v>3028</v>
      </c>
      <c r="AN485" s="738" t="str">
        <f>"Экономия инвестиционных расходов, сложившаяся в " &amp; PERIOD &amp; " году, предусмотренная в абзаце 7 пункта 66 Основ ценообразования"</f>
        <v>Экономия инвестиционных расходов, сложившаяся в 2024 году, предусмотренная в абзаце 7 пункта 66 Основ ценообразования</v>
      </c>
      <c r="AO485" s="687" t="s">
        <v>195</v>
      </c>
      <c r="AP485" s="688">
        <f t="shared" si="56"/>
        <v>0</v>
      </c>
      <c r="AQ485" s="688">
        <f t="shared" si="56"/>
        <v>0</v>
      </c>
      <c r="AR485" s="688">
        <f t="shared" si="56"/>
        <v>0</v>
      </c>
      <c r="AS485" s="223"/>
      <c r="AT485" s="256">
        <f>AU485+AV485</f>
        <v>0</v>
      </c>
      <c r="AU485" s="245">
        <v>0</v>
      </c>
      <c r="AV485" s="245">
        <v>0</v>
      </c>
      <c r="AW485" s="194"/>
      <c r="AX485" s="2"/>
      <c r="AY485" s="2"/>
    </row>
    <row r="486" spans="1:51" ht="11.25" customHeight="1">
      <c r="A486" s="2"/>
      <c r="B486" s="2"/>
      <c r="C486" s="2"/>
      <c r="D486" s="2"/>
      <c r="E486" s="2"/>
      <c r="F486" s="2"/>
      <c r="G486" s="2"/>
      <c r="H486" s="2"/>
      <c r="I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150"/>
      <c r="AM486" s="510" t="str">
        <f>AM485 &amp; ".1"</f>
        <v>Э.1.11.1</v>
      </c>
      <c r="AN486" s="737" t="s">
        <v>3004</v>
      </c>
      <c r="AO486" s="687" t="s">
        <v>195</v>
      </c>
      <c r="AP486" s="688">
        <f t="shared" si="56"/>
        <v>0</v>
      </c>
      <c r="AQ486" s="688">
        <f t="shared" si="56"/>
        <v>0</v>
      </c>
      <c r="AR486" s="688">
        <f t="shared" si="56"/>
        <v>0</v>
      </c>
      <c r="AS486" s="223"/>
      <c r="AT486" s="256">
        <f>AU486+AV486</f>
        <v>0</v>
      </c>
      <c r="AU486" s="245"/>
      <c r="AV486" s="245"/>
      <c r="AW486" s="194"/>
      <c r="AX486" s="2"/>
      <c r="AY486" s="2"/>
    </row>
    <row r="487" spans="1:51" ht="0.75" hidden="1" customHeight="1">
      <c r="A487" s="2"/>
      <c r="B487" s="2"/>
      <c r="C487" s="2"/>
      <c r="D487" s="2"/>
      <c r="E487" s="2"/>
      <c r="F487" s="2"/>
      <c r="G487" s="2"/>
      <c r="H487" s="2"/>
      <c r="I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150"/>
      <c r="AM487" s="500"/>
      <c r="AN487" s="622"/>
      <c r="AO487" s="166"/>
      <c r="AP487" s="242"/>
      <c r="AQ487" s="242"/>
      <c r="AR487" s="242"/>
      <c r="AS487" s="223"/>
      <c r="AT487" s="241"/>
      <c r="AU487" s="241"/>
      <c r="AV487" s="241"/>
      <c r="AW487" s="194"/>
      <c r="AX487" s="2"/>
      <c r="AY487" s="2"/>
    </row>
    <row r="488" spans="1:51" ht="0.75" hidden="1" customHeight="1">
      <c r="A488" s="2"/>
      <c r="B488" s="2"/>
      <c r="C488" s="2"/>
      <c r="D488" s="2"/>
      <c r="E488" s="2"/>
      <c r="F488" s="2"/>
      <c r="G488" s="2"/>
      <c r="H488" s="2"/>
      <c r="I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150"/>
      <c r="AM488" s="500"/>
      <c r="AN488" s="622"/>
      <c r="AO488" s="166"/>
      <c r="AP488" s="242"/>
      <c r="AQ488" s="242"/>
      <c r="AR488" s="242"/>
      <c r="AS488" s="223"/>
      <c r="AT488" s="241"/>
      <c r="AU488" s="241"/>
      <c r="AV488" s="241"/>
      <c r="AW488" s="194"/>
      <c r="AX488" s="2"/>
      <c r="AY488" s="2"/>
    </row>
    <row r="489" spans="1:51" ht="0.75" hidden="1" customHeight="1">
      <c r="A489" s="2"/>
      <c r="B489" s="2"/>
      <c r="C489" s="2"/>
      <c r="D489" s="2"/>
      <c r="E489" s="2"/>
      <c r="F489" s="2"/>
      <c r="G489" s="2"/>
      <c r="H489" s="2"/>
      <c r="I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150"/>
      <c r="AM489" s="500"/>
      <c r="AN489" s="622"/>
      <c r="AO489" s="166"/>
      <c r="AP489" s="242"/>
      <c r="AQ489" s="242"/>
      <c r="AR489" s="242"/>
      <c r="AS489" s="223"/>
      <c r="AT489" s="241"/>
      <c r="AU489" s="241"/>
      <c r="AV489" s="241"/>
      <c r="AW489" s="194"/>
      <c r="AX489" s="2"/>
      <c r="AY489" s="2"/>
    </row>
    <row r="490" spans="1:51" ht="0.75" hidden="1" customHeight="1">
      <c r="A490" s="2"/>
      <c r="B490" s="2"/>
      <c r="C490" s="2"/>
      <c r="D490" s="2"/>
      <c r="E490" s="2"/>
      <c r="F490" s="2"/>
      <c r="G490" s="2"/>
      <c r="H490" s="2"/>
      <c r="I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150"/>
      <c r="AM490" s="500"/>
      <c r="AN490" s="622"/>
      <c r="AO490" s="166"/>
      <c r="AP490" s="242"/>
      <c r="AQ490" s="242"/>
      <c r="AR490" s="242"/>
      <c r="AS490" s="223"/>
      <c r="AT490" s="241"/>
      <c r="AU490" s="241"/>
      <c r="AV490" s="241"/>
      <c r="AW490" s="194"/>
      <c r="AX490" s="2"/>
      <c r="AY490" s="2"/>
    </row>
    <row r="491" spans="1:51" ht="0.75" hidden="1" customHeight="1">
      <c r="A491" s="2"/>
      <c r="B491" s="2"/>
      <c r="C491" s="2"/>
      <c r="D491" s="2"/>
      <c r="E491" s="2"/>
      <c r="F491" s="2"/>
      <c r="G491" s="2"/>
      <c r="H491" s="2"/>
      <c r="I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150"/>
      <c r="AM491" s="500"/>
      <c r="AN491" s="622"/>
      <c r="AO491" s="166"/>
      <c r="AP491" s="242"/>
      <c r="AQ491" s="242"/>
      <c r="AR491" s="242"/>
      <c r="AS491" s="223"/>
      <c r="AT491" s="241"/>
      <c r="AU491" s="241"/>
      <c r="AV491" s="241"/>
      <c r="AW491" s="194"/>
      <c r="AX491" s="2"/>
      <c r="AY491" s="2"/>
    </row>
    <row r="492" spans="1:51">
      <c r="A492" s="2"/>
      <c r="B492" s="2"/>
      <c r="C492" s="2"/>
      <c r="D492" s="2"/>
      <c r="E492" s="2"/>
      <c r="F492" s="2"/>
      <c r="G492" s="2"/>
      <c r="H492" s="2"/>
      <c r="I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0"/>
      <c r="AM492" s="26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</row>
    <row r="493" spans="1:51">
      <c r="A493" s="2"/>
      <c r="B493" s="2"/>
      <c r="C493" s="2"/>
      <c r="D493" s="2"/>
      <c r="E493" s="2"/>
      <c r="F493" s="2"/>
      <c r="G493" s="2"/>
      <c r="H493" s="2"/>
      <c r="I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0"/>
      <c r="AM493" s="26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</row>
    <row r="494" spans="1:51">
      <c r="A494" s="2"/>
      <c r="B494" s="2"/>
      <c r="C494" s="2"/>
      <c r="D494" s="2"/>
      <c r="E494" s="2"/>
      <c r="F494" s="2"/>
      <c r="G494" s="2"/>
      <c r="H494" s="2"/>
      <c r="I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0"/>
      <c r="AM494" s="26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</row>
    <row r="495" spans="1:51">
      <c r="A495" s="2"/>
      <c r="B495" s="2"/>
      <c r="C495" s="2"/>
      <c r="D495" s="2"/>
      <c r="E495" s="2"/>
      <c r="F495" s="2"/>
      <c r="G495" s="2"/>
      <c r="H495" s="2"/>
      <c r="I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0"/>
      <c r="AM495" s="26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</row>
    <row r="496" spans="1:51">
      <c r="A496" s="2"/>
      <c r="B496" s="2"/>
      <c r="C496" s="2"/>
      <c r="D496" s="2"/>
      <c r="E496" s="2"/>
      <c r="F496" s="2"/>
      <c r="G496" s="2"/>
      <c r="H496" s="2"/>
      <c r="I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0"/>
      <c r="AM496" s="26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</row>
  </sheetData>
  <sheetProtection algorithmName="SHA-512" hashValue="/KI+IOh/UTtcuBCTX/w+6d1g0qfoiXZOiuQL3ocTcNAy8na/kWSnHUGKGRsFKLxYqZGwQDMPTZzJmApeH714bA==" saltValue="kRzfhmJz37Yggj1bBbrYZw==" spinCount="100000" sheet="1" objects="1" scenarios="1" formatColumns="0" formatRows="0"/>
  <mergeCells count="12">
    <mergeCell ref="AM13:AN14"/>
    <mergeCell ref="AP14:AR14"/>
    <mergeCell ref="AM19:AM20"/>
    <mergeCell ref="AN19:AN20"/>
    <mergeCell ref="AO19:AO20"/>
    <mergeCell ref="AP19:AR20"/>
    <mergeCell ref="AT22:AV22"/>
    <mergeCell ref="AT14:AV14"/>
    <mergeCell ref="AT18:AV18"/>
    <mergeCell ref="AT19:AV19"/>
    <mergeCell ref="AT20:AV20"/>
    <mergeCell ref="AT21:AV21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AN302:AN303">
      <formula1>900</formula1>
    </dataValidation>
  </dataValidations>
  <pageMargins left="0.7" right="0.7" top="0.75" bottom="0.75" header="0.3" footer="0.3"/>
  <drawing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EAT_FUEL">
    <tabColor rgb="FFFFFF00"/>
    <outlinePr summaryBelow="0"/>
  </sheetPr>
  <dimension ref="A1:AX1215"/>
  <sheetViews>
    <sheetView showGridLines="0" zoomScale="90" zoomScaleNormal="90" workbookViewId="0">
      <pane xSplit="44" ySplit="35" topLeftCell="AS1098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 activeCell="AU1106" sqref="AU1106"/>
    </sheetView>
  </sheetViews>
  <sheetFormatPr defaultRowHeight="11.4"/>
  <cols>
    <col min="1" max="31" width="2.75" hidden="1" customWidth="1"/>
    <col min="32" max="32" width="12.75" hidden="1" customWidth="1"/>
    <col min="33" max="36" width="2.75" hidden="1" customWidth="1"/>
    <col min="37" max="37" width="2.75" customWidth="1"/>
    <col min="38" max="38" width="2.75" hidden="1" customWidth="1"/>
    <col min="39" max="39" width="13.75" customWidth="1"/>
    <col min="40" max="40" width="48.75" customWidth="1"/>
    <col min="41" max="41" width="12.75" style="186" customWidth="1"/>
    <col min="42" max="44" width="12.75" customWidth="1"/>
    <col min="45" max="45" width="0.125" hidden="1" customWidth="1"/>
    <col min="46" max="48" width="12.75" customWidth="1"/>
    <col min="49" max="49" width="0.125" hidden="1" customWidth="1"/>
    <col min="50" max="51" width="2.625" customWidth="1"/>
  </cols>
  <sheetData>
    <row r="1" spans="1:50" s="2" customFormat="1" ht="12" hidden="1" customHeight="1">
      <c r="J1"/>
      <c r="AL1" s="20"/>
      <c r="AM1" s="26"/>
    </row>
    <row r="2" spans="1:50" s="2" customFormat="1" ht="12" hidden="1" customHeight="1">
      <c r="J2"/>
      <c r="AL2" s="20"/>
      <c r="AM2" s="26"/>
    </row>
    <row r="3" spans="1:50" s="2" customFormat="1" ht="12" hidden="1" customHeight="1">
      <c r="J3"/>
      <c r="AL3" s="20"/>
      <c r="AM3" s="26"/>
      <c r="AT3"/>
      <c r="AU3"/>
      <c r="AV3"/>
    </row>
    <row r="4" spans="1:50" s="2" customFormat="1" ht="12" hidden="1" customHeight="1">
      <c r="J4"/>
      <c r="AL4" s="20"/>
      <c r="AM4" s="26"/>
      <c r="AT4"/>
      <c r="AU4"/>
      <c r="AV4"/>
    </row>
    <row r="5" spans="1:50" s="2" customFormat="1" ht="12" hidden="1" customHeight="1">
      <c r="J5"/>
      <c r="AL5" s="20"/>
      <c r="AM5" s="26"/>
      <c r="AT5" s="689"/>
      <c r="AU5" s="689"/>
      <c r="AV5" s="689"/>
    </row>
    <row r="6" spans="1:50" s="2" customFormat="1" ht="12" hidden="1" customHeight="1">
      <c r="J6"/>
      <c r="AL6" s="20"/>
      <c r="AM6" s="26"/>
      <c r="AP6" s="157">
        <v>12</v>
      </c>
      <c r="AQ6" s="157">
        <v>6</v>
      </c>
      <c r="AR6" s="157">
        <v>6</v>
      </c>
      <c r="AT6" s="689">
        <v>12</v>
      </c>
      <c r="AU6" s="689">
        <v>6</v>
      </c>
      <c r="AV6" s="689">
        <v>6</v>
      </c>
    </row>
    <row r="7" spans="1:50" s="2" customFormat="1" ht="12" hidden="1" customHeight="1">
      <c r="J7"/>
      <c r="AL7" s="20"/>
      <c r="AM7" s="26"/>
      <c r="AP7" s="157"/>
      <c r="AQ7" s="157"/>
      <c r="AR7" s="157"/>
      <c r="AT7" s="690"/>
      <c r="AU7" s="690"/>
      <c r="AV7" s="690"/>
    </row>
    <row r="8" spans="1:50" s="114" customFormat="1" ht="12" hidden="1" customHeight="1">
      <c r="J8" s="169"/>
      <c r="AL8" s="170"/>
      <c r="AM8" s="171"/>
      <c r="AP8" s="172"/>
      <c r="AQ8" s="172"/>
      <c r="AR8" s="172"/>
      <c r="AT8" s="691"/>
      <c r="AU8" s="691"/>
      <c r="AV8" s="691"/>
    </row>
    <row r="9" spans="1:50" s="144" customFormat="1" ht="12" customHeight="1">
      <c r="A9" s="148"/>
      <c r="J9" s="155"/>
      <c r="AL9" s="148"/>
      <c r="AM9" s="156"/>
      <c r="AP9" s="143" t="s">
        <v>275</v>
      </c>
      <c r="AQ9" s="143" t="s">
        <v>194</v>
      </c>
      <c r="AR9" s="143" t="s">
        <v>609</v>
      </c>
      <c r="AT9" s="4" t="s">
        <v>275</v>
      </c>
      <c r="AU9" s="4" t="s">
        <v>194</v>
      </c>
      <c r="AV9" s="4" t="s">
        <v>609</v>
      </c>
    </row>
    <row r="10" spans="1:50" s="144" customFormat="1" ht="12" customHeight="1">
      <c r="J10" s="155"/>
      <c r="AL10" s="148"/>
      <c r="AM10" s="156"/>
      <c r="AP10" s="143"/>
      <c r="AQ10" s="143"/>
      <c r="AR10" s="143"/>
      <c r="AS10" s="144" t="s">
        <v>276</v>
      </c>
      <c r="AT10" s="692"/>
      <c r="AU10" s="692"/>
      <c r="AV10" s="692"/>
      <c r="AW10" s="144" t="s">
        <v>277</v>
      </c>
    </row>
    <row r="11" spans="1:50" s="144" customFormat="1" ht="12" customHeight="1">
      <c r="J11" s="155"/>
      <c r="AL11" s="148"/>
      <c r="AM11" s="156"/>
      <c r="AP11" s="143" t="s">
        <v>275</v>
      </c>
      <c r="AQ11" s="143" t="s">
        <v>194</v>
      </c>
      <c r="AR11" s="143" t="s">
        <v>609</v>
      </c>
      <c r="AT11" s="4" t="s">
        <v>275</v>
      </c>
      <c r="AU11" s="4" t="s">
        <v>194</v>
      </c>
      <c r="AV11" s="4" t="s">
        <v>609</v>
      </c>
    </row>
    <row r="12" spans="1:50" s="144" customFormat="1" ht="12" customHeight="1">
      <c r="J12" s="155"/>
      <c r="AL12" s="148"/>
      <c r="AM12" s="157"/>
      <c r="AN12" s="71" t="s">
        <v>2117</v>
      </c>
      <c r="AO12" s="71"/>
      <c r="AP12" s="143"/>
      <c r="AQ12" s="143"/>
      <c r="AR12" s="143"/>
      <c r="AT12" s="690"/>
      <c r="AU12" s="690"/>
      <c r="AV12" s="690"/>
    </row>
    <row r="13" spans="1:50" s="2" customFormat="1" ht="27" customHeight="1">
      <c r="A13" s="2" t="s">
        <v>589</v>
      </c>
      <c r="J13"/>
      <c r="AL13" s="20"/>
      <c r="AM13" s="998" t="s">
        <v>2134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214" t="s">
        <v>20</v>
      </c>
      <c r="AU13" s="214" t="s">
        <v>273</v>
      </c>
      <c r="AV13" s="214" t="s">
        <v>274</v>
      </c>
      <c r="AW13" s="168"/>
    </row>
    <row r="14" spans="1:50" s="2" customFormat="1" ht="27" hidden="1" customHeight="1">
      <c r="J14"/>
      <c r="AL14" s="20"/>
      <c r="AM14" s="998"/>
      <c r="AN14" s="999"/>
      <c r="AO14" s="164"/>
      <c r="AP14" s="1000"/>
      <c r="AQ14" s="984"/>
      <c r="AR14" s="984"/>
      <c r="AS14" s="168"/>
      <c r="AT14" s="919"/>
      <c r="AU14" s="920"/>
      <c r="AV14" s="920"/>
      <c r="AW14" s="168"/>
      <c r="AX14" s="9"/>
    </row>
    <row r="15" spans="1:50" s="2" customFormat="1" ht="12" hidden="1" customHeight="1">
      <c r="J15"/>
      <c r="AL15" s="20"/>
      <c r="AM15" s="26"/>
      <c r="AP15" s="167"/>
      <c r="AQ15" s="167"/>
      <c r="AR15" s="167"/>
      <c r="AT15" s="693" t="str">
        <f>AT17 &amp; "_" &amp; AT9</f>
        <v>1_Y</v>
      </c>
      <c r="AU15" s="693" t="str">
        <f>AU17 &amp; "_" &amp; AU9</f>
        <v>1_I</v>
      </c>
      <c r="AV15" s="693" t="str">
        <f>AV17 &amp; "_" &amp; AV9</f>
        <v>1_II</v>
      </c>
    </row>
    <row r="16" spans="1:50" s="67" customFormat="1" ht="12" hidden="1" customHeight="1">
      <c r="J16" s="66"/>
      <c r="AL16" s="76"/>
      <c r="AS16" s="65"/>
      <c r="AT16" s="158"/>
      <c r="AU16" s="158"/>
      <c r="AV16" s="158"/>
      <c r="AW16" s="65"/>
      <c r="AX16" s="65"/>
    </row>
    <row r="17" spans="10:50" s="148" customFormat="1" ht="12" hidden="1" customHeight="1"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693">
        <f>AT19</f>
        <v>1</v>
      </c>
      <c r="AU17" s="693">
        <f>AT19</f>
        <v>1</v>
      </c>
      <c r="AV17" s="693">
        <f>AT19</f>
        <v>1</v>
      </c>
      <c r="AW17" s="154"/>
      <c r="AX17" s="151"/>
    </row>
    <row r="18" spans="10:50" s="2" customFormat="1" ht="12" hidden="1" customHeight="1">
      <c r="J18"/>
      <c r="AL18" s="44"/>
      <c r="AM18" s="146"/>
      <c r="AN18" s="68"/>
      <c r="AO18" s="68"/>
      <c r="AT18" s="923" t="s">
        <v>134</v>
      </c>
      <c r="AU18" s="923"/>
      <c r="AV18" s="923"/>
      <c r="AW18" s="2" t="s">
        <v>135</v>
      </c>
    </row>
    <row r="19" spans="10:50" s="2" customFormat="1" ht="12" customHeight="1">
      <c r="J19"/>
      <c r="AK19" s="27"/>
      <c r="AL19" s="47"/>
      <c r="AM19" s="925" t="s">
        <v>104</v>
      </c>
      <c r="AN19" s="1001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919">
        <v>1</v>
      </c>
      <c r="AU19" s="920"/>
      <c r="AV19" s="924"/>
      <c r="AW19" s="161"/>
      <c r="AX19" s="61"/>
    </row>
    <row r="20" spans="10:50" s="2" customFormat="1" ht="24" customHeight="1">
      <c r="J20"/>
      <c r="AK20" s="27"/>
      <c r="AL20" s="47"/>
      <c r="AM20" s="925"/>
      <c r="AN20" s="1002"/>
      <c r="AO20" s="912"/>
      <c r="AP20" s="1003"/>
      <c r="AQ20" s="1004"/>
      <c r="AR20" s="1004"/>
      <c r="AS20" s="174"/>
      <c r="AT20" s="914" t="str">
        <f>IF('Список территорий'!$I$16="","Не определено",'Список территорий'!$G$16 &amp; " / " &amp; 'Список территорий'!$H$16 &amp; " / " &amp; 'Список территорий'!$I$16)</f>
        <v>город Нижний Новгород / город Нижний Новгород / 22701000</v>
      </c>
      <c r="AU20" s="915"/>
      <c r="AV20" s="915"/>
      <c r="AW20" s="161"/>
      <c r="AX20" s="61"/>
    </row>
    <row r="21" spans="10:50" s="2" customFormat="1" ht="11.25" customHeight="1">
      <c r="J21"/>
      <c r="AK21" s="27"/>
      <c r="AL21" s="47"/>
      <c r="AM21" s="600"/>
      <c r="AN21" s="176" t="s">
        <v>197</v>
      </c>
      <c r="AO21" s="177"/>
      <c r="AP21" s="178"/>
      <c r="AQ21" s="179"/>
      <c r="AR21" s="179"/>
      <c r="AS21" s="174"/>
      <c r="AT21" s="914" t="str">
        <f>IF('Список территорий'!$M$16="","Не определено",'Список территорий'!$M$16)</f>
        <v>да</v>
      </c>
      <c r="AU21" s="915"/>
      <c r="AV21" s="915"/>
      <c r="AW21" s="161"/>
      <c r="AX21" s="61"/>
    </row>
    <row r="22" spans="10:50" s="2" customFormat="1" ht="21.75" customHeight="1">
      <c r="J22"/>
      <c r="AK22" s="27"/>
      <c r="AL22" s="47"/>
      <c r="AM22" s="175"/>
      <c r="AN22" s="176" t="s">
        <v>2084</v>
      </c>
      <c r="AO22" s="192"/>
      <c r="AP22" s="731"/>
      <c r="AQ22" s="731"/>
      <c r="AR22" s="731"/>
      <c r="AS22" s="174"/>
      <c r="AT22" s="921" t="s">
        <v>15025</v>
      </c>
      <c r="AU22" s="922"/>
      <c r="AV22" s="922"/>
      <c r="AW22" s="161"/>
      <c r="AX22" s="61"/>
    </row>
    <row r="23" spans="10:50" s="45" customFormat="1" ht="0.75" hidden="1" customHeight="1">
      <c r="AL23" s="124"/>
      <c r="AM23" s="126"/>
      <c r="AN23" s="126"/>
      <c r="AO23" s="732"/>
      <c r="AP23" s="733"/>
      <c r="AQ23" s="733"/>
      <c r="AR23" s="733"/>
      <c r="AS23" s="174"/>
      <c r="AT23" s="115"/>
      <c r="AU23" s="115"/>
      <c r="AV23" s="115"/>
      <c r="AW23" s="161"/>
      <c r="AX23" s="61"/>
    </row>
    <row r="24" spans="10:50" s="45" customFormat="1" ht="0.75" hidden="1" customHeight="1">
      <c r="AL24" s="124"/>
      <c r="AM24" s="126"/>
      <c r="AN24" s="126"/>
      <c r="AO24" s="732"/>
      <c r="AP24" s="733"/>
      <c r="AQ24" s="733"/>
      <c r="AR24" s="733"/>
      <c r="AS24" s="174"/>
      <c r="AT24" s="115"/>
      <c r="AU24" s="115"/>
      <c r="AV24" s="115"/>
      <c r="AW24" s="161"/>
      <c r="AX24" s="61"/>
    </row>
    <row r="25" spans="10:50" s="45" customFormat="1" ht="0.75" hidden="1" customHeight="1">
      <c r="AL25" s="124"/>
      <c r="AM25" s="126"/>
      <c r="AN25" s="126"/>
      <c r="AO25" s="732"/>
      <c r="AP25" s="733"/>
      <c r="AQ25" s="733"/>
      <c r="AR25" s="733"/>
      <c r="AS25" s="174"/>
      <c r="AT25" s="115"/>
      <c r="AU25" s="115"/>
      <c r="AV25" s="115"/>
      <c r="AW25" s="161"/>
      <c r="AX25" s="61"/>
    </row>
    <row r="26" spans="10:50" s="45" customFormat="1" ht="0.75" hidden="1" customHeight="1">
      <c r="AL26" s="124"/>
      <c r="AM26" s="126"/>
      <c r="AN26" s="126"/>
      <c r="AO26" s="732"/>
      <c r="AP26" s="733"/>
      <c r="AQ26" s="733"/>
      <c r="AR26" s="733"/>
      <c r="AS26" s="174"/>
      <c r="AT26" s="115"/>
      <c r="AU26" s="115"/>
      <c r="AV26" s="115"/>
      <c r="AW26" s="161"/>
      <c r="AX26" s="61"/>
    </row>
    <row r="27" spans="10:50" s="45" customFormat="1" ht="0.75" hidden="1" customHeight="1">
      <c r="AL27" s="124"/>
      <c r="AM27" s="126"/>
      <c r="AN27" s="126"/>
      <c r="AO27" s="732"/>
      <c r="AP27" s="733"/>
      <c r="AQ27" s="733"/>
      <c r="AR27" s="733"/>
      <c r="AS27" s="174"/>
      <c r="AT27" s="115"/>
      <c r="AU27" s="115"/>
      <c r="AV27" s="115"/>
      <c r="AW27" s="161"/>
      <c r="AX27" s="61"/>
    </row>
    <row r="28" spans="10:50" s="45" customFormat="1" ht="0.75" hidden="1" customHeight="1">
      <c r="AL28" s="124"/>
      <c r="AM28" s="126"/>
      <c r="AN28" s="126"/>
      <c r="AO28" s="732"/>
      <c r="AP28" s="733"/>
      <c r="AQ28" s="733"/>
      <c r="AR28" s="733"/>
      <c r="AS28" s="174"/>
      <c r="AT28" s="115"/>
      <c r="AU28" s="115"/>
      <c r="AV28" s="115"/>
      <c r="AW28" s="161"/>
      <c r="AX28" s="61"/>
    </row>
    <row r="29" spans="10:50" s="45" customFormat="1" ht="0.75" hidden="1" customHeight="1">
      <c r="AL29" s="124"/>
      <c r="AM29" s="126"/>
      <c r="AN29" s="126"/>
      <c r="AO29" s="732"/>
      <c r="AP29" s="733"/>
      <c r="AQ29" s="733"/>
      <c r="AR29" s="733"/>
      <c r="AS29" s="174"/>
      <c r="AT29" s="115"/>
      <c r="AU29" s="115"/>
      <c r="AV29" s="115"/>
      <c r="AW29" s="161"/>
      <c r="AX29" s="61"/>
    </row>
    <row r="30" spans="10:50" s="45" customFormat="1" ht="0.75" hidden="1" customHeight="1">
      <c r="AL30" s="124"/>
      <c r="AM30" s="126"/>
      <c r="AN30" s="126"/>
      <c r="AO30" s="732"/>
      <c r="AP30" s="733"/>
      <c r="AQ30" s="733"/>
      <c r="AR30" s="733"/>
      <c r="AS30" s="174"/>
      <c r="AT30" s="115"/>
      <c r="AU30" s="115"/>
      <c r="AV30" s="115"/>
      <c r="AW30" s="161"/>
      <c r="AX30" s="61"/>
    </row>
    <row r="31" spans="10:50" s="45" customFormat="1" ht="0.75" hidden="1" customHeight="1">
      <c r="AL31" s="124"/>
      <c r="AM31" s="126"/>
      <c r="AN31" s="126"/>
      <c r="AO31" s="732"/>
      <c r="AP31" s="733"/>
      <c r="AQ31" s="733"/>
      <c r="AR31" s="733"/>
      <c r="AS31" s="174"/>
      <c r="AT31" s="115"/>
      <c r="AU31" s="115"/>
      <c r="AV31" s="115"/>
      <c r="AW31" s="161"/>
      <c r="AX31" s="61"/>
    </row>
    <row r="32" spans="10:50" s="45" customFormat="1" ht="0.75" hidden="1" customHeight="1">
      <c r="AL32" s="124"/>
      <c r="AM32" s="126"/>
      <c r="AN32" s="126"/>
      <c r="AO32" s="732"/>
      <c r="AP32" s="733"/>
      <c r="AQ32" s="733"/>
      <c r="AR32" s="733"/>
      <c r="AS32" s="174"/>
      <c r="AT32" s="115"/>
      <c r="AU32" s="115"/>
      <c r="AV32" s="115"/>
      <c r="AW32" s="161"/>
      <c r="AX32" s="61"/>
    </row>
    <row r="33" spans="32:50" s="45" customFormat="1" ht="0.75" hidden="1" customHeight="1">
      <c r="AL33" s="124"/>
      <c r="AM33" s="126"/>
      <c r="AN33" s="126"/>
      <c r="AO33" s="732"/>
      <c r="AP33" s="733"/>
      <c r="AQ33" s="733"/>
      <c r="AR33" s="733"/>
      <c r="AS33" s="174"/>
      <c r="AT33" s="115"/>
      <c r="AU33" s="115"/>
      <c r="AV33" s="115"/>
      <c r="AW33" s="161"/>
      <c r="AX33" s="61"/>
    </row>
    <row r="34" spans="32:50" s="45" customFormat="1" ht="0.75" hidden="1" customHeight="1">
      <c r="AL34" s="124"/>
      <c r="AM34" s="126"/>
      <c r="AN34" s="126"/>
      <c r="AO34" s="732"/>
      <c r="AP34" s="733"/>
      <c r="AQ34" s="733"/>
      <c r="AR34" s="733"/>
      <c r="AS34" s="174"/>
      <c r="AT34" s="115"/>
      <c r="AU34" s="115"/>
      <c r="AV34" s="115"/>
      <c r="AW34" s="161"/>
      <c r="AX34" s="61"/>
    </row>
    <row r="35" spans="32:50" s="45" customFormat="1" ht="0.75" hidden="1" customHeight="1">
      <c r="AL35" s="124"/>
      <c r="AM35" s="126"/>
      <c r="AN35" s="126"/>
      <c r="AO35" s="734"/>
      <c r="AP35" s="735"/>
      <c r="AQ35" s="735"/>
      <c r="AR35" s="735"/>
      <c r="AS35" s="174"/>
      <c r="AT35" s="115"/>
      <c r="AU35" s="115"/>
      <c r="AV35" s="115"/>
      <c r="AW35" s="161"/>
      <c r="AX35" s="61"/>
    </row>
    <row r="36" spans="32:50" ht="36" customHeight="1">
      <c r="AF36" s="115"/>
      <c r="AL36" s="36"/>
      <c r="AM36" s="490" t="s">
        <v>166</v>
      </c>
      <c r="AN36" s="463" t="s">
        <v>3000</v>
      </c>
      <c r="AO36" s="695" t="s">
        <v>195</v>
      </c>
      <c r="AP36" s="686">
        <f t="shared" ref="AP36:AR55" si="0">SUMIF($AS$9:$AW$9,AP$9,$AS36:$AW36)</f>
        <v>7522.3671557784783</v>
      </c>
      <c r="AQ36" s="686">
        <f t="shared" si="0"/>
        <v>3761.1835778892391</v>
      </c>
      <c r="AR36" s="686">
        <f t="shared" si="0"/>
        <v>3761.1835778892391</v>
      </c>
      <c r="AS36" s="563"/>
      <c r="AT36" s="263">
        <f>SUM(AT37,AT41:AT46,AT47,AT52,AT59,AT60,AT78:AT87)</f>
        <v>7522.3671557784783</v>
      </c>
      <c r="AU36" s="263">
        <f>SUM(AU37,AU41:AU46,AU47,AU52,AU59,AU60,AU78:AU87)</f>
        <v>3761.1835778892391</v>
      </c>
      <c r="AV36" s="263">
        <f>SUM(AV37,AV41:AV46,AV47,AV52,AV59,AV60,AV78:AV87)</f>
        <v>3761.1835778892391</v>
      </c>
      <c r="AW36" s="194"/>
      <c r="AX36" s="169"/>
    </row>
    <row r="37" spans="32:50" ht="11.25" customHeight="1">
      <c r="AF37" s="413" t="s">
        <v>1328</v>
      </c>
      <c r="AL37" s="36"/>
      <c r="AM37" s="696" t="s">
        <v>1376</v>
      </c>
      <c r="AN37" s="697" t="s">
        <v>1304</v>
      </c>
      <c r="AO37" s="189" t="s">
        <v>195</v>
      </c>
      <c r="AP37" s="256">
        <f t="shared" si="0"/>
        <v>7522.3671557784783</v>
      </c>
      <c r="AQ37" s="256">
        <f t="shared" si="0"/>
        <v>3761.1835778892391</v>
      </c>
      <c r="AR37" s="256">
        <f t="shared" si="0"/>
        <v>3761.1835778892391</v>
      </c>
      <c r="AS37" s="190"/>
      <c r="AT37" s="183">
        <f>SUM(AT38:AT40)</f>
        <v>7522.3671557784783</v>
      </c>
      <c r="AU37" s="183">
        <f>SUM(AU38:AU40)</f>
        <v>3761.1835778892391</v>
      </c>
      <c r="AV37" s="183">
        <f>SUM(AV38:AV40)</f>
        <v>3761.1835778892391</v>
      </c>
      <c r="AW37" s="194"/>
      <c r="AX37" s="169"/>
    </row>
    <row r="38" spans="32:50" ht="11.25" customHeight="1">
      <c r="AF38" s="413" t="s">
        <v>1329</v>
      </c>
      <c r="AL38" s="36"/>
      <c r="AM38" s="696" t="s">
        <v>1377</v>
      </c>
      <c r="AN38" s="699" t="s">
        <v>713</v>
      </c>
      <c r="AO38" s="189" t="s">
        <v>195</v>
      </c>
      <c r="AP38" s="686">
        <f t="shared" si="0"/>
        <v>7522.3671557784783</v>
      </c>
      <c r="AQ38" s="686">
        <f t="shared" si="0"/>
        <v>3761.1835778892391</v>
      </c>
      <c r="AR38" s="686">
        <f t="shared" si="0"/>
        <v>3761.1835778892391</v>
      </c>
      <c r="AS38" s="190"/>
      <c r="AT38" s="240">
        <f>AT474+AT543+AT551+AT559</f>
        <v>7522.3671557784783</v>
      </c>
      <c r="AU38" s="240">
        <f>AU474+AU543+AU551+AU559</f>
        <v>3761.1835778892391</v>
      </c>
      <c r="AV38" s="240">
        <f>AV474+AV543+AV551+AV559</f>
        <v>3761.1835778892391</v>
      </c>
      <c r="AW38" s="194"/>
      <c r="AX38" s="169"/>
    </row>
    <row r="39" spans="32:50" ht="11.25" customHeight="1">
      <c r="AF39" s="413" t="s">
        <v>1330</v>
      </c>
      <c r="AL39" s="36"/>
      <c r="AM39" s="696" t="s">
        <v>1378</v>
      </c>
      <c r="AN39" s="699" t="s">
        <v>715</v>
      </c>
      <c r="AO39" s="189" t="s">
        <v>195</v>
      </c>
      <c r="AP39" s="686">
        <f t="shared" si="0"/>
        <v>0</v>
      </c>
      <c r="AQ39" s="686">
        <f t="shared" si="0"/>
        <v>0</v>
      </c>
      <c r="AR39" s="686">
        <f t="shared" si="0"/>
        <v>0</v>
      </c>
      <c r="AS39" s="190"/>
      <c r="AT39" s="462"/>
      <c r="AU39" s="462"/>
      <c r="AV39" s="462"/>
      <c r="AW39" s="194"/>
      <c r="AX39" s="169"/>
    </row>
    <row r="40" spans="32:50" ht="11.25" customHeight="1">
      <c r="AF40" s="413" t="s">
        <v>1331</v>
      </c>
      <c r="AL40" s="36"/>
      <c r="AM40" s="696" t="s">
        <v>1379</v>
      </c>
      <c r="AN40" s="699" t="s">
        <v>716</v>
      </c>
      <c r="AO40" s="189" t="s">
        <v>195</v>
      </c>
      <c r="AP40" s="686">
        <f t="shared" si="0"/>
        <v>0</v>
      </c>
      <c r="AQ40" s="686">
        <f t="shared" si="0"/>
        <v>0</v>
      </c>
      <c r="AR40" s="686">
        <f t="shared" si="0"/>
        <v>0</v>
      </c>
      <c r="AS40" s="190"/>
      <c r="AT40" s="462"/>
      <c r="AU40" s="462"/>
      <c r="AV40" s="462"/>
      <c r="AW40" s="194"/>
      <c r="AX40" s="169"/>
    </row>
    <row r="41" spans="32:50" ht="11.25" customHeight="1">
      <c r="AF41" s="413" t="s">
        <v>1340</v>
      </c>
      <c r="AL41" s="36"/>
      <c r="AM41" s="696" t="s">
        <v>1380</v>
      </c>
      <c r="AN41" s="700" t="s">
        <v>1305</v>
      </c>
      <c r="AO41" s="189" t="s">
        <v>195</v>
      </c>
      <c r="AP41" s="686">
        <f t="shared" si="0"/>
        <v>0</v>
      </c>
      <c r="AQ41" s="686">
        <f t="shared" si="0"/>
        <v>0</v>
      </c>
      <c r="AR41" s="686">
        <f t="shared" si="0"/>
        <v>0</v>
      </c>
      <c r="AS41" s="190"/>
      <c r="AT41" s="462"/>
      <c r="AU41" s="462"/>
      <c r="AV41" s="462"/>
      <c r="AW41" s="194"/>
      <c r="AX41" s="169"/>
    </row>
    <row r="42" spans="32:50" ht="11.25" customHeight="1">
      <c r="AF42" s="413" t="s">
        <v>1341</v>
      </c>
      <c r="AL42" s="36"/>
      <c r="AM42" s="696" t="s">
        <v>1381</v>
      </c>
      <c r="AN42" s="700" t="s">
        <v>1306</v>
      </c>
      <c r="AO42" s="189" t="s">
        <v>195</v>
      </c>
      <c r="AP42" s="686">
        <f t="shared" si="0"/>
        <v>0</v>
      </c>
      <c r="AQ42" s="686">
        <f t="shared" si="0"/>
        <v>0</v>
      </c>
      <c r="AR42" s="686">
        <f t="shared" si="0"/>
        <v>0</v>
      </c>
      <c r="AS42" s="190"/>
      <c r="AT42" s="462"/>
      <c r="AU42" s="462"/>
      <c r="AV42" s="462"/>
      <c r="AW42" s="194"/>
      <c r="AX42" s="169"/>
    </row>
    <row r="43" spans="32:50" ht="11.25" customHeight="1">
      <c r="AF43" s="413" t="s">
        <v>1342</v>
      </c>
      <c r="AL43" s="36"/>
      <c r="AM43" s="696" t="s">
        <v>1382</v>
      </c>
      <c r="AN43" s="700" t="s">
        <v>1307</v>
      </c>
      <c r="AO43" s="189" t="s">
        <v>195</v>
      </c>
      <c r="AP43" s="686">
        <f t="shared" si="0"/>
        <v>0</v>
      </c>
      <c r="AQ43" s="686">
        <f t="shared" si="0"/>
        <v>0</v>
      </c>
      <c r="AR43" s="686">
        <f t="shared" si="0"/>
        <v>0</v>
      </c>
      <c r="AS43" s="190"/>
      <c r="AT43" s="462"/>
      <c r="AU43" s="462"/>
      <c r="AV43" s="462"/>
      <c r="AW43" s="194"/>
      <c r="AX43" s="169"/>
    </row>
    <row r="44" spans="32:50" ht="11.25" customHeight="1">
      <c r="AF44" s="413" t="s">
        <v>1339</v>
      </c>
      <c r="AL44" s="36"/>
      <c r="AM44" s="696" t="s">
        <v>1383</v>
      </c>
      <c r="AN44" s="700" t="s">
        <v>1308</v>
      </c>
      <c r="AO44" s="189" t="s">
        <v>195</v>
      </c>
      <c r="AP44" s="686">
        <f t="shared" si="0"/>
        <v>0</v>
      </c>
      <c r="AQ44" s="686">
        <f t="shared" si="0"/>
        <v>0</v>
      </c>
      <c r="AR44" s="686">
        <f t="shared" si="0"/>
        <v>0</v>
      </c>
      <c r="AS44" s="190"/>
      <c r="AT44" s="462"/>
      <c r="AU44" s="462"/>
      <c r="AV44" s="462"/>
      <c r="AW44" s="194"/>
      <c r="AX44" s="169"/>
    </row>
    <row r="45" spans="32:50" ht="11.25" customHeight="1">
      <c r="AF45" s="413" t="s">
        <v>1332</v>
      </c>
      <c r="AL45" s="36"/>
      <c r="AM45" s="696" t="s">
        <v>1384</v>
      </c>
      <c r="AN45" s="701" t="s">
        <v>684</v>
      </c>
      <c r="AO45" s="189" t="s">
        <v>195</v>
      </c>
      <c r="AP45" s="686">
        <f t="shared" si="0"/>
        <v>0</v>
      </c>
      <c r="AQ45" s="686">
        <f t="shared" si="0"/>
        <v>0</v>
      </c>
      <c r="AR45" s="686">
        <f t="shared" si="0"/>
        <v>0</v>
      </c>
      <c r="AS45" s="190"/>
      <c r="AT45" s="462"/>
      <c r="AU45" s="462"/>
      <c r="AV45" s="462"/>
      <c r="AW45" s="194"/>
      <c r="AX45" s="169"/>
    </row>
    <row r="46" spans="32:50" ht="11.25" customHeight="1">
      <c r="AF46" s="413" t="s">
        <v>1333</v>
      </c>
      <c r="AL46" s="36"/>
      <c r="AM46" s="696" t="s">
        <v>1385</v>
      </c>
      <c r="AN46" s="702" t="s">
        <v>718</v>
      </c>
      <c r="AO46" s="189" t="s">
        <v>195</v>
      </c>
      <c r="AP46" s="686">
        <f t="shared" si="0"/>
        <v>0</v>
      </c>
      <c r="AQ46" s="686">
        <f t="shared" si="0"/>
        <v>0</v>
      </c>
      <c r="AR46" s="686">
        <f t="shared" si="0"/>
        <v>0</v>
      </c>
      <c r="AS46" s="190"/>
      <c r="AT46" s="462"/>
      <c r="AU46" s="462"/>
      <c r="AV46" s="462"/>
      <c r="AW46" s="194"/>
      <c r="AX46" s="169"/>
    </row>
    <row r="47" spans="32:50" ht="11.25" customHeight="1">
      <c r="AF47" s="413" t="s">
        <v>1334</v>
      </c>
      <c r="AL47" s="36"/>
      <c r="AM47" s="696" t="s">
        <v>1386</v>
      </c>
      <c r="AN47" s="703" t="s">
        <v>722</v>
      </c>
      <c r="AO47" s="189" t="s">
        <v>195</v>
      </c>
      <c r="AP47" s="686">
        <f t="shared" si="0"/>
        <v>0</v>
      </c>
      <c r="AQ47" s="686">
        <f t="shared" si="0"/>
        <v>0</v>
      </c>
      <c r="AR47" s="686">
        <f t="shared" si="0"/>
        <v>0</v>
      </c>
      <c r="AS47" s="190"/>
      <c r="AT47" s="462"/>
      <c r="AU47" s="462"/>
      <c r="AV47" s="462"/>
      <c r="AW47" s="194"/>
      <c r="AX47" s="169"/>
    </row>
    <row r="48" spans="32:50" ht="11.25" customHeight="1">
      <c r="AF48" s="413" t="s">
        <v>1335</v>
      </c>
      <c r="AL48" s="36"/>
      <c r="AM48" s="696" t="s">
        <v>1387</v>
      </c>
      <c r="AN48" s="704" t="s">
        <v>1309</v>
      </c>
      <c r="AO48" s="189" t="s">
        <v>195</v>
      </c>
      <c r="AP48" s="686">
        <f t="shared" si="0"/>
        <v>0</v>
      </c>
      <c r="AQ48" s="686">
        <f t="shared" si="0"/>
        <v>0</v>
      </c>
      <c r="AR48" s="686">
        <f t="shared" si="0"/>
        <v>0</v>
      </c>
      <c r="AS48" s="190"/>
      <c r="AT48" s="462"/>
      <c r="AU48" s="462"/>
      <c r="AV48" s="462"/>
      <c r="AW48" s="194"/>
      <c r="AX48" s="169"/>
    </row>
    <row r="49" spans="32:50" ht="11.25" customHeight="1">
      <c r="AF49" s="413" t="s">
        <v>1336</v>
      </c>
      <c r="AL49" s="36"/>
      <c r="AM49" s="696" t="s">
        <v>1388</v>
      </c>
      <c r="AN49" s="704" t="s">
        <v>1310</v>
      </c>
      <c r="AO49" s="189" t="s">
        <v>195</v>
      </c>
      <c r="AP49" s="686">
        <f t="shared" si="0"/>
        <v>0</v>
      </c>
      <c r="AQ49" s="686">
        <f t="shared" si="0"/>
        <v>0</v>
      </c>
      <c r="AR49" s="686">
        <f t="shared" si="0"/>
        <v>0</v>
      </c>
      <c r="AS49" s="190"/>
      <c r="AT49" s="462"/>
      <c r="AU49" s="462"/>
      <c r="AV49" s="462"/>
      <c r="AW49" s="194"/>
      <c r="AX49" s="169"/>
    </row>
    <row r="50" spans="32:50" ht="11.25" customHeight="1">
      <c r="AF50" s="413" t="s">
        <v>1337</v>
      </c>
      <c r="AL50" s="36"/>
      <c r="AM50" s="696" t="s">
        <v>1389</v>
      </c>
      <c r="AN50" s="704" t="s">
        <v>1311</v>
      </c>
      <c r="AO50" s="189" t="s">
        <v>195</v>
      </c>
      <c r="AP50" s="686">
        <f t="shared" si="0"/>
        <v>0</v>
      </c>
      <c r="AQ50" s="686">
        <f t="shared" si="0"/>
        <v>0</v>
      </c>
      <c r="AR50" s="686">
        <f t="shared" si="0"/>
        <v>0</v>
      </c>
      <c r="AS50" s="190"/>
      <c r="AT50" s="462"/>
      <c r="AU50" s="462"/>
      <c r="AV50" s="462"/>
      <c r="AW50" s="194"/>
      <c r="AX50" s="169"/>
    </row>
    <row r="51" spans="32:50" ht="11.25" customHeight="1">
      <c r="AF51" s="413" t="s">
        <v>1338</v>
      </c>
      <c r="AL51" s="36"/>
      <c r="AM51" s="696" t="s">
        <v>1390</v>
      </c>
      <c r="AN51" s="704" t="s">
        <v>1312</v>
      </c>
      <c r="AO51" s="189" t="s">
        <v>195</v>
      </c>
      <c r="AP51" s="686">
        <f t="shared" si="0"/>
        <v>0</v>
      </c>
      <c r="AQ51" s="686">
        <f t="shared" si="0"/>
        <v>0</v>
      </c>
      <c r="AR51" s="686">
        <f t="shared" si="0"/>
        <v>0</v>
      </c>
      <c r="AS51" s="190"/>
      <c r="AT51" s="462"/>
      <c r="AU51" s="462"/>
      <c r="AV51" s="462"/>
      <c r="AW51" s="194"/>
      <c r="AX51" s="169"/>
    </row>
    <row r="52" spans="32:50" ht="11.25" customHeight="1">
      <c r="AF52" s="413" t="s">
        <v>1343</v>
      </c>
      <c r="AL52" s="36"/>
      <c r="AM52" s="696" t="s">
        <v>1391</v>
      </c>
      <c r="AN52" s="705" t="s">
        <v>720</v>
      </c>
      <c r="AO52" s="189" t="s">
        <v>195</v>
      </c>
      <c r="AP52" s="686">
        <f t="shared" si="0"/>
        <v>0</v>
      </c>
      <c r="AQ52" s="686">
        <f t="shared" si="0"/>
        <v>0</v>
      </c>
      <c r="AR52" s="686">
        <f t="shared" si="0"/>
        <v>0</v>
      </c>
      <c r="AS52" s="190"/>
      <c r="AT52" s="462"/>
      <c r="AU52" s="462"/>
      <c r="AV52" s="462"/>
      <c r="AW52" s="194"/>
      <c r="AX52" s="169"/>
    </row>
    <row r="53" spans="32:50" ht="11.25" customHeight="1">
      <c r="AF53" s="413" t="s">
        <v>1866</v>
      </c>
      <c r="AL53" s="36"/>
      <c r="AM53" s="696" t="s">
        <v>1865</v>
      </c>
      <c r="AN53" s="706" t="s">
        <v>1313</v>
      </c>
      <c r="AO53" s="189" t="s">
        <v>195</v>
      </c>
      <c r="AP53" s="686">
        <f t="shared" si="0"/>
        <v>0</v>
      </c>
      <c r="AQ53" s="686">
        <f t="shared" si="0"/>
        <v>0</v>
      </c>
      <c r="AR53" s="686">
        <f t="shared" si="0"/>
        <v>0</v>
      </c>
      <c r="AS53" s="190"/>
      <c r="AT53" s="462"/>
      <c r="AU53" s="462"/>
      <c r="AV53" s="462"/>
      <c r="AW53" s="194"/>
      <c r="AX53" s="169"/>
    </row>
    <row r="54" spans="32:50" ht="11.25" customHeight="1">
      <c r="AF54" s="413" t="s">
        <v>1847</v>
      </c>
      <c r="AL54" s="36"/>
      <c r="AM54" s="696" t="s">
        <v>1846</v>
      </c>
      <c r="AN54" s="706" t="s">
        <v>1314</v>
      </c>
      <c r="AO54" s="189" t="s">
        <v>195</v>
      </c>
      <c r="AP54" s="686">
        <f t="shared" si="0"/>
        <v>0</v>
      </c>
      <c r="AQ54" s="686">
        <f t="shared" si="0"/>
        <v>0</v>
      </c>
      <c r="AR54" s="686">
        <f t="shared" si="0"/>
        <v>0</v>
      </c>
      <c r="AS54" s="190"/>
      <c r="AT54" s="462"/>
      <c r="AU54" s="462"/>
      <c r="AV54" s="462"/>
      <c r="AW54" s="194"/>
      <c r="AX54" s="169"/>
    </row>
    <row r="55" spans="32:50" ht="11.25" customHeight="1">
      <c r="AF55" s="413" t="s">
        <v>1827</v>
      </c>
      <c r="AL55" s="36"/>
      <c r="AM55" s="696" t="s">
        <v>1828</v>
      </c>
      <c r="AN55" s="706" t="s">
        <v>1315</v>
      </c>
      <c r="AO55" s="189" t="s">
        <v>195</v>
      </c>
      <c r="AP55" s="686">
        <f t="shared" si="0"/>
        <v>0</v>
      </c>
      <c r="AQ55" s="686">
        <f t="shared" si="0"/>
        <v>0</v>
      </c>
      <c r="AR55" s="686">
        <f t="shared" si="0"/>
        <v>0</v>
      </c>
      <c r="AS55" s="190"/>
      <c r="AT55" s="462"/>
      <c r="AU55" s="462"/>
      <c r="AV55" s="462"/>
      <c r="AW55" s="194"/>
      <c r="AX55" s="169"/>
    </row>
    <row r="56" spans="32:50" ht="11.25" customHeight="1">
      <c r="AF56" s="413" t="s">
        <v>1344</v>
      </c>
      <c r="AL56" s="36"/>
      <c r="AM56" s="696" t="s">
        <v>1392</v>
      </c>
      <c r="AN56" s="706" t="s">
        <v>1316</v>
      </c>
      <c r="AO56" s="189" t="s">
        <v>195</v>
      </c>
      <c r="AP56" s="686">
        <f t="shared" ref="AP56:AR75" si="1">SUMIF($AS$9:$AW$9,AP$9,$AS56:$AW56)</f>
        <v>0</v>
      </c>
      <c r="AQ56" s="686">
        <f t="shared" si="1"/>
        <v>0</v>
      </c>
      <c r="AR56" s="686">
        <f t="shared" si="1"/>
        <v>0</v>
      </c>
      <c r="AS56" s="190"/>
      <c r="AT56" s="462"/>
      <c r="AU56" s="462"/>
      <c r="AV56" s="462"/>
      <c r="AW56" s="194"/>
      <c r="AX56" s="169"/>
    </row>
    <row r="57" spans="32:50" ht="11.25" customHeight="1">
      <c r="AF57" s="413" t="s">
        <v>1345</v>
      </c>
      <c r="AL57" s="36"/>
      <c r="AM57" s="696" t="s">
        <v>1393</v>
      </c>
      <c r="AN57" s="706" t="s">
        <v>1317</v>
      </c>
      <c r="AO57" s="189" t="s">
        <v>195</v>
      </c>
      <c r="AP57" s="686">
        <f t="shared" si="1"/>
        <v>0</v>
      </c>
      <c r="AQ57" s="686">
        <f t="shared" si="1"/>
        <v>0</v>
      </c>
      <c r="AR57" s="686">
        <f t="shared" si="1"/>
        <v>0</v>
      </c>
      <c r="AS57" s="190"/>
      <c r="AT57" s="462"/>
      <c r="AU57" s="462"/>
      <c r="AV57" s="462"/>
      <c r="AW57" s="194"/>
      <c r="AX57" s="169"/>
    </row>
    <row r="58" spans="32:50" ht="11.25" customHeight="1">
      <c r="AF58" s="413" t="s">
        <v>1346</v>
      </c>
      <c r="AL58" s="36"/>
      <c r="AM58" s="696" t="s">
        <v>1394</v>
      </c>
      <c r="AN58" s="706" t="s">
        <v>1318</v>
      </c>
      <c r="AO58" s="189" t="s">
        <v>195</v>
      </c>
      <c r="AP58" s="686">
        <f t="shared" si="1"/>
        <v>0</v>
      </c>
      <c r="AQ58" s="686">
        <f t="shared" si="1"/>
        <v>0</v>
      </c>
      <c r="AR58" s="686">
        <f t="shared" si="1"/>
        <v>0</v>
      </c>
      <c r="AS58" s="190"/>
      <c r="AT58" s="462"/>
      <c r="AU58" s="462"/>
      <c r="AV58" s="462"/>
      <c r="AW58" s="194"/>
      <c r="AX58" s="169"/>
    </row>
    <row r="59" spans="32:50" ht="11.25" customHeight="1">
      <c r="AF59" s="413" t="s">
        <v>1347</v>
      </c>
      <c r="AL59" s="36"/>
      <c r="AM59" s="696" t="s">
        <v>1395</v>
      </c>
      <c r="AN59" s="707" t="s">
        <v>721</v>
      </c>
      <c r="AO59" s="189" t="s">
        <v>195</v>
      </c>
      <c r="AP59" s="686">
        <f t="shared" si="1"/>
        <v>0</v>
      </c>
      <c r="AQ59" s="686">
        <f t="shared" si="1"/>
        <v>0</v>
      </c>
      <c r="AR59" s="686">
        <f t="shared" si="1"/>
        <v>0</v>
      </c>
      <c r="AS59" s="190"/>
      <c r="AT59" s="462"/>
      <c r="AU59" s="462"/>
      <c r="AV59" s="462"/>
      <c r="AW59" s="194"/>
      <c r="AX59" s="169"/>
    </row>
    <row r="60" spans="32:50" ht="11.25" customHeight="1">
      <c r="AF60" s="413" t="s">
        <v>1348</v>
      </c>
      <c r="AL60" s="36"/>
      <c r="AM60" s="696" t="s">
        <v>1396</v>
      </c>
      <c r="AN60" s="708" t="s">
        <v>712</v>
      </c>
      <c r="AO60" s="189" t="s">
        <v>195</v>
      </c>
      <c r="AP60" s="686">
        <f t="shared" si="1"/>
        <v>0</v>
      </c>
      <c r="AQ60" s="686">
        <f t="shared" si="1"/>
        <v>0</v>
      </c>
      <c r="AR60" s="686">
        <f t="shared" si="1"/>
        <v>0</v>
      </c>
      <c r="AS60" s="190"/>
      <c r="AT60" s="462"/>
      <c r="AU60" s="462"/>
      <c r="AV60" s="462"/>
      <c r="AW60" s="194"/>
      <c r="AX60" s="169"/>
    </row>
    <row r="61" spans="32:50" ht="11.25" customHeight="1">
      <c r="AF61" s="413" t="s">
        <v>2612</v>
      </c>
      <c r="AL61" s="36"/>
      <c r="AM61" s="696" t="s">
        <v>2611</v>
      </c>
      <c r="AN61" s="709" t="s">
        <v>1319</v>
      </c>
      <c r="AO61" s="189" t="s">
        <v>195</v>
      </c>
      <c r="AP61" s="686">
        <f t="shared" si="1"/>
        <v>0</v>
      </c>
      <c r="AQ61" s="686">
        <f t="shared" si="1"/>
        <v>0</v>
      </c>
      <c r="AR61" s="686">
        <f t="shared" si="1"/>
        <v>0</v>
      </c>
      <c r="AS61" s="190"/>
      <c r="AT61" s="462"/>
      <c r="AU61" s="462"/>
      <c r="AV61" s="462"/>
      <c r="AW61" s="194"/>
      <c r="AX61" s="169"/>
    </row>
    <row r="62" spans="32:50" ht="11.25" customHeight="1">
      <c r="AF62" s="413" t="s">
        <v>2614</v>
      </c>
      <c r="AL62" s="36"/>
      <c r="AM62" s="696" t="s">
        <v>2613</v>
      </c>
      <c r="AN62" s="709" t="s">
        <v>1320</v>
      </c>
      <c r="AO62" s="189" t="s">
        <v>195</v>
      </c>
      <c r="AP62" s="686">
        <f t="shared" si="1"/>
        <v>0</v>
      </c>
      <c r="AQ62" s="686">
        <f t="shared" si="1"/>
        <v>0</v>
      </c>
      <c r="AR62" s="686">
        <f t="shared" si="1"/>
        <v>0</v>
      </c>
      <c r="AS62" s="190"/>
      <c r="AT62" s="462"/>
      <c r="AU62" s="462"/>
      <c r="AV62" s="462"/>
      <c r="AW62" s="194"/>
      <c r="AX62" s="169"/>
    </row>
    <row r="63" spans="32:50" ht="11.25" customHeight="1">
      <c r="AF63" s="413" t="s">
        <v>2616</v>
      </c>
      <c r="AL63" s="36"/>
      <c r="AM63" s="696" t="s">
        <v>2615</v>
      </c>
      <c r="AN63" s="709" t="s">
        <v>1321</v>
      </c>
      <c r="AO63" s="189" t="s">
        <v>195</v>
      </c>
      <c r="AP63" s="686">
        <f t="shared" si="1"/>
        <v>0</v>
      </c>
      <c r="AQ63" s="686">
        <f t="shared" si="1"/>
        <v>0</v>
      </c>
      <c r="AR63" s="686">
        <f t="shared" si="1"/>
        <v>0</v>
      </c>
      <c r="AS63" s="190"/>
      <c r="AT63" s="462"/>
      <c r="AU63" s="462"/>
      <c r="AV63" s="462"/>
      <c r="AW63" s="194"/>
      <c r="AX63" s="169"/>
    </row>
    <row r="64" spans="32:50" ht="11.25" customHeight="1">
      <c r="AF64" s="413" t="s">
        <v>2619</v>
      </c>
      <c r="AL64" s="36"/>
      <c r="AM64" s="696" t="s">
        <v>2617</v>
      </c>
      <c r="AN64" s="709" t="s">
        <v>2618</v>
      </c>
      <c r="AO64" s="189" t="s">
        <v>195</v>
      </c>
      <c r="AP64" s="686">
        <f t="shared" si="1"/>
        <v>0</v>
      </c>
      <c r="AQ64" s="686">
        <f t="shared" si="1"/>
        <v>0</v>
      </c>
      <c r="AR64" s="686">
        <f t="shared" si="1"/>
        <v>0</v>
      </c>
      <c r="AS64" s="190"/>
      <c r="AT64" s="462"/>
      <c r="AU64" s="462"/>
      <c r="AV64" s="462"/>
      <c r="AW64" s="194"/>
      <c r="AX64" s="169"/>
    </row>
    <row r="65" spans="32:50" ht="11.25" customHeight="1">
      <c r="AF65" s="413" t="s">
        <v>2622</v>
      </c>
      <c r="AL65" s="36"/>
      <c r="AM65" s="696" t="s">
        <v>2620</v>
      </c>
      <c r="AN65" s="709" t="s">
        <v>2621</v>
      </c>
      <c r="AO65" s="189" t="s">
        <v>195</v>
      </c>
      <c r="AP65" s="686">
        <f t="shared" si="1"/>
        <v>0</v>
      </c>
      <c r="AQ65" s="686">
        <f t="shared" si="1"/>
        <v>0</v>
      </c>
      <c r="AR65" s="686">
        <f t="shared" si="1"/>
        <v>0</v>
      </c>
      <c r="AS65" s="190"/>
      <c r="AT65" s="462"/>
      <c r="AU65" s="462"/>
      <c r="AV65" s="462"/>
      <c r="AW65" s="194"/>
      <c r="AX65" s="169"/>
    </row>
    <row r="66" spans="32:50" ht="11.25" customHeight="1">
      <c r="AF66" s="413" t="s">
        <v>2624</v>
      </c>
      <c r="AL66" s="36"/>
      <c r="AM66" s="696" t="s">
        <v>2623</v>
      </c>
      <c r="AN66" s="709" t="s">
        <v>1322</v>
      </c>
      <c r="AO66" s="189" t="s">
        <v>195</v>
      </c>
      <c r="AP66" s="686">
        <f t="shared" si="1"/>
        <v>0</v>
      </c>
      <c r="AQ66" s="686">
        <f t="shared" si="1"/>
        <v>0</v>
      </c>
      <c r="AR66" s="686">
        <f t="shared" si="1"/>
        <v>0</v>
      </c>
      <c r="AS66" s="190"/>
      <c r="AT66" s="462"/>
      <c r="AU66" s="462"/>
      <c r="AV66" s="462"/>
      <c r="AW66" s="194"/>
      <c r="AX66" s="169"/>
    </row>
    <row r="67" spans="32:50" ht="11.25" customHeight="1">
      <c r="AF67" s="413" t="s">
        <v>2627</v>
      </c>
      <c r="AL67" s="36"/>
      <c r="AM67" s="696" t="s">
        <v>2625</v>
      </c>
      <c r="AN67" s="709" t="s">
        <v>2626</v>
      </c>
      <c r="AO67" s="189" t="s">
        <v>195</v>
      </c>
      <c r="AP67" s="686">
        <f t="shared" si="1"/>
        <v>0</v>
      </c>
      <c r="AQ67" s="686">
        <f t="shared" si="1"/>
        <v>0</v>
      </c>
      <c r="AR67" s="686">
        <f t="shared" si="1"/>
        <v>0</v>
      </c>
      <c r="AS67" s="190"/>
      <c r="AT67" s="462"/>
      <c r="AU67" s="462"/>
      <c r="AV67" s="462"/>
      <c r="AW67" s="194"/>
      <c r="AX67" s="169"/>
    </row>
    <row r="68" spans="32:50" ht="11.25" customHeight="1">
      <c r="AF68" s="413" t="s">
        <v>2629</v>
      </c>
      <c r="AL68" s="36"/>
      <c r="AM68" s="696" t="s">
        <v>2628</v>
      </c>
      <c r="AN68" s="709" t="s">
        <v>1323</v>
      </c>
      <c r="AO68" s="189" t="s">
        <v>195</v>
      </c>
      <c r="AP68" s="686">
        <f t="shared" si="1"/>
        <v>0</v>
      </c>
      <c r="AQ68" s="686">
        <f t="shared" si="1"/>
        <v>0</v>
      </c>
      <c r="AR68" s="686">
        <f t="shared" si="1"/>
        <v>0</v>
      </c>
      <c r="AS68" s="190"/>
      <c r="AT68" s="462"/>
      <c r="AU68" s="462"/>
      <c r="AV68" s="462"/>
      <c r="AW68" s="194"/>
      <c r="AX68" s="169"/>
    </row>
    <row r="69" spans="32:50" ht="11.25" customHeight="1">
      <c r="AF69" s="413" t="s">
        <v>2631</v>
      </c>
      <c r="AL69" s="36"/>
      <c r="AM69" s="696" t="s">
        <v>2630</v>
      </c>
      <c r="AN69" s="709" t="s">
        <v>1324</v>
      </c>
      <c r="AO69" s="189" t="s">
        <v>195</v>
      </c>
      <c r="AP69" s="686">
        <f t="shared" si="1"/>
        <v>0</v>
      </c>
      <c r="AQ69" s="686">
        <f t="shared" si="1"/>
        <v>0</v>
      </c>
      <c r="AR69" s="686">
        <f t="shared" si="1"/>
        <v>0</v>
      </c>
      <c r="AS69" s="190"/>
      <c r="AT69" s="462"/>
      <c r="AU69" s="462"/>
      <c r="AV69" s="462"/>
      <c r="AW69" s="194"/>
      <c r="AX69" s="169"/>
    </row>
    <row r="70" spans="32:50" ht="11.25" customHeight="1">
      <c r="AF70" s="413" t="s">
        <v>2634</v>
      </c>
      <c r="AL70" s="36"/>
      <c r="AM70" s="696" t="s">
        <v>2632</v>
      </c>
      <c r="AN70" s="709" t="s">
        <v>2633</v>
      </c>
      <c r="AO70" s="189" t="s">
        <v>195</v>
      </c>
      <c r="AP70" s="686">
        <f t="shared" si="1"/>
        <v>0</v>
      </c>
      <c r="AQ70" s="686">
        <f t="shared" si="1"/>
        <v>0</v>
      </c>
      <c r="AR70" s="686">
        <f t="shared" si="1"/>
        <v>0</v>
      </c>
      <c r="AS70" s="190"/>
      <c r="AT70" s="462"/>
      <c r="AU70" s="462"/>
      <c r="AV70" s="462"/>
      <c r="AW70" s="194"/>
      <c r="AX70" s="169"/>
    </row>
    <row r="71" spans="32:50" ht="11.25" customHeight="1">
      <c r="AF71" s="413" t="s">
        <v>2637</v>
      </c>
      <c r="AL71" s="36"/>
      <c r="AM71" s="696" t="s">
        <v>2635</v>
      </c>
      <c r="AN71" s="709" t="s">
        <v>2636</v>
      </c>
      <c r="AO71" s="189" t="s">
        <v>195</v>
      </c>
      <c r="AP71" s="686">
        <f t="shared" si="1"/>
        <v>0</v>
      </c>
      <c r="AQ71" s="686">
        <f t="shared" si="1"/>
        <v>0</v>
      </c>
      <c r="AR71" s="686">
        <f t="shared" si="1"/>
        <v>0</v>
      </c>
      <c r="AS71" s="190"/>
      <c r="AT71" s="462"/>
      <c r="AU71" s="462"/>
      <c r="AV71" s="462"/>
      <c r="AW71" s="194"/>
      <c r="AX71" s="169"/>
    </row>
    <row r="72" spans="32:50" ht="11.25" customHeight="1">
      <c r="AF72" s="413" t="s">
        <v>2640</v>
      </c>
      <c r="AL72" s="36"/>
      <c r="AM72" s="696" t="s">
        <v>2638</v>
      </c>
      <c r="AN72" s="709" t="s">
        <v>2639</v>
      </c>
      <c r="AO72" s="189" t="s">
        <v>195</v>
      </c>
      <c r="AP72" s="686">
        <f t="shared" si="1"/>
        <v>0</v>
      </c>
      <c r="AQ72" s="686">
        <f t="shared" si="1"/>
        <v>0</v>
      </c>
      <c r="AR72" s="686">
        <f t="shared" si="1"/>
        <v>0</v>
      </c>
      <c r="AS72" s="190"/>
      <c r="AT72" s="462"/>
      <c r="AU72" s="462"/>
      <c r="AV72" s="462"/>
      <c r="AW72" s="194"/>
      <c r="AX72" s="169"/>
    </row>
    <row r="73" spans="32:50" ht="11.25" customHeight="1">
      <c r="AF73" s="413" t="s">
        <v>2643</v>
      </c>
      <c r="AL73" s="36"/>
      <c r="AM73" s="696" t="s">
        <v>2641</v>
      </c>
      <c r="AN73" s="709" t="s">
        <v>2642</v>
      </c>
      <c r="AO73" s="189" t="s">
        <v>195</v>
      </c>
      <c r="AP73" s="686">
        <f t="shared" si="1"/>
        <v>0</v>
      </c>
      <c r="AQ73" s="686">
        <f t="shared" si="1"/>
        <v>0</v>
      </c>
      <c r="AR73" s="686">
        <f t="shared" si="1"/>
        <v>0</v>
      </c>
      <c r="AS73" s="190"/>
      <c r="AT73" s="462"/>
      <c r="AU73" s="462"/>
      <c r="AV73" s="462"/>
      <c r="AW73" s="194"/>
      <c r="AX73" s="169"/>
    </row>
    <row r="74" spans="32:50" ht="11.25" customHeight="1">
      <c r="AF74" s="413" t="s">
        <v>2646</v>
      </c>
      <c r="AL74" s="36"/>
      <c r="AM74" s="696" t="s">
        <v>2644</v>
      </c>
      <c r="AN74" s="709" t="s">
        <v>2645</v>
      </c>
      <c r="AO74" s="189" t="s">
        <v>195</v>
      </c>
      <c r="AP74" s="686">
        <f t="shared" si="1"/>
        <v>0</v>
      </c>
      <c r="AQ74" s="686">
        <f t="shared" si="1"/>
        <v>0</v>
      </c>
      <c r="AR74" s="686">
        <f t="shared" si="1"/>
        <v>0</v>
      </c>
      <c r="AS74" s="190"/>
      <c r="AT74" s="462"/>
      <c r="AU74" s="462"/>
      <c r="AV74" s="462"/>
      <c r="AW74" s="194"/>
      <c r="AX74" s="169"/>
    </row>
    <row r="75" spans="32:50" ht="11.25" customHeight="1">
      <c r="AF75" s="413" t="s">
        <v>2648</v>
      </c>
      <c r="AL75" s="36"/>
      <c r="AM75" s="696" t="s">
        <v>2647</v>
      </c>
      <c r="AN75" s="709" t="s">
        <v>1325</v>
      </c>
      <c r="AO75" s="189" t="s">
        <v>195</v>
      </c>
      <c r="AP75" s="686">
        <f t="shared" si="1"/>
        <v>0</v>
      </c>
      <c r="AQ75" s="686">
        <f t="shared" si="1"/>
        <v>0</v>
      </c>
      <c r="AR75" s="686">
        <f t="shared" si="1"/>
        <v>0</v>
      </c>
      <c r="AS75" s="190"/>
      <c r="AT75" s="462"/>
      <c r="AU75" s="462"/>
      <c r="AV75" s="462"/>
      <c r="AW75" s="194"/>
      <c r="AX75" s="169"/>
    </row>
    <row r="76" spans="32:50" ht="11.25" customHeight="1">
      <c r="AF76" s="413" t="s">
        <v>2650</v>
      </c>
      <c r="AL76" s="36"/>
      <c r="AM76" s="696" t="s">
        <v>2649</v>
      </c>
      <c r="AN76" s="709" t="s">
        <v>1326</v>
      </c>
      <c r="AO76" s="189" t="s">
        <v>195</v>
      </c>
      <c r="AP76" s="686">
        <f t="shared" ref="AP76:AR87" si="2">SUMIF($AS$9:$AW$9,AP$9,$AS76:$AW76)</f>
        <v>0</v>
      </c>
      <c r="AQ76" s="686">
        <f t="shared" si="2"/>
        <v>0</v>
      </c>
      <c r="AR76" s="686">
        <f t="shared" si="2"/>
        <v>0</v>
      </c>
      <c r="AS76" s="190"/>
      <c r="AT76" s="462"/>
      <c r="AU76" s="462"/>
      <c r="AV76" s="462"/>
      <c r="AW76" s="194"/>
      <c r="AX76" s="169"/>
    </row>
    <row r="77" spans="32:50" ht="11.25" customHeight="1">
      <c r="AF77" s="413" t="s">
        <v>2653</v>
      </c>
      <c r="AL77" s="36"/>
      <c r="AM77" s="696" t="s">
        <v>2651</v>
      </c>
      <c r="AN77" s="709" t="s">
        <v>2652</v>
      </c>
      <c r="AO77" s="189" t="s">
        <v>195</v>
      </c>
      <c r="AP77" s="686">
        <f t="shared" si="2"/>
        <v>0</v>
      </c>
      <c r="AQ77" s="686">
        <f t="shared" si="2"/>
        <v>0</v>
      </c>
      <c r="AR77" s="686">
        <f t="shared" si="2"/>
        <v>0</v>
      </c>
      <c r="AS77" s="190"/>
      <c r="AT77" s="462"/>
      <c r="AU77" s="462"/>
      <c r="AV77" s="462"/>
      <c r="AW77" s="194"/>
      <c r="AX77" s="169"/>
    </row>
    <row r="78" spans="32:50" ht="11.25" customHeight="1">
      <c r="AF78" s="413" t="s">
        <v>1366</v>
      </c>
      <c r="AL78" s="36"/>
      <c r="AM78" s="696" t="s">
        <v>1397</v>
      </c>
      <c r="AN78" s="710" t="s">
        <v>1364</v>
      </c>
      <c r="AO78" s="189" t="s">
        <v>195</v>
      </c>
      <c r="AP78" s="686">
        <f t="shared" si="2"/>
        <v>0</v>
      </c>
      <c r="AQ78" s="686">
        <f t="shared" si="2"/>
        <v>0</v>
      </c>
      <c r="AR78" s="686">
        <f t="shared" si="2"/>
        <v>0</v>
      </c>
      <c r="AS78" s="190"/>
      <c r="AT78" s="462"/>
      <c r="AU78" s="462"/>
      <c r="AV78" s="462"/>
      <c r="AW78" s="194"/>
      <c r="AX78" s="169"/>
    </row>
    <row r="79" spans="32:50" ht="11.25" customHeight="1">
      <c r="AF79" s="413" t="s">
        <v>1367</v>
      </c>
      <c r="AL79" s="36"/>
      <c r="AM79" s="696" t="s">
        <v>1398</v>
      </c>
      <c r="AN79" s="710" t="s">
        <v>1365</v>
      </c>
      <c r="AO79" s="189" t="s">
        <v>195</v>
      </c>
      <c r="AP79" s="686">
        <f t="shared" si="2"/>
        <v>0</v>
      </c>
      <c r="AQ79" s="686">
        <f t="shared" si="2"/>
        <v>0</v>
      </c>
      <c r="AR79" s="686">
        <f t="shared" si="2"/>
        <v>0</v>
      </c>
      <c r="AS79" s="190"/>
      <c r="AT79" s="462"/>
      <c r="AU79" s="462"/>
      <c r="AV79" s="462"/>
      <c r="AW79" s="194"/>
      <c r="AX79" s="169"/>
    </row>
    <row r="80" spans="32:50" ht="11.25" customHeight="1">
      <c r="AF80" s="413" t="s">
        <v>1357</v>
      </c>
      <c r="AL80" s="36"/>
      <c r="AM80" s="696" t="s">
        <v>1399</v>
      </c>
      <c r="AN80" s="711" t="s">
        <v>1327</v>
      </c>
      <c r="AO80" s="189" t="s">
        <v>195</v>
      </c>
      <c r="AP80" s="686">
        <f t="shared" si="2"/>
        <v>0</v>
      </c>
      <c r="AQ80" s="686">
        <f t="shared" si="2"/>
        <v>0</v>
      </c>
      <c r="AR80" s="686">
        <f t="shared" si="2"/>
        <v>0</v>
      </c>
      <c r="AS80" s="190"/>
      <c r="AT80" s="462"/>
      <c r="AU80" s="462"/>
      <c r="AV80" s="462"/>
      <c r="AW80" s="194"/>
      <c r="AX80" s="169"/>
    </row>
    <row r="81" spans="32:50" ht="11.25" customHeight="1">
      <c r="AF81" s="413" t="s">
        <v>1350</v>
      </c>
      <c r="AL81" s="36"/>
      <c r="AM81" s="696" t="s">
        <v>1400</v>
      </c>
      <c r="AN81" s="712" t="s">
        <v>723</v>
      </c>
      <c r="AO81" s="189" t="s">
        <v>195</v>
      </c>
      <c r="AP81" s="686">
        <f t="shared" si="2"/>
        <v>0</v>
      </c>
      <c r="AQ81" s="686">
        <f t="shared" si="2"/>
        <v>0</v>
      </c>
      <c r="AR81" s="686">
        <f t="shared" si="2"/>
        <v>0</v>
      </c>
      <c r="AS81" s="190"/>
      <c r="AT81" s="462"/>
      <c r="AU81" s="462"/>
      <c r="AV81" s="462"/>
      <c r="AW81" s="194"/>
      <c r="AX81" s="169"/>
    </row>
    <row r="82" spans="32:50" ht="11.25" customHeight="1">
      <c r="AF82" s="413" t="s">
        <v>1351</v>
      </c>
      <c r="AL82" s="36"/>
      <c r="AM82" s="696" t="s">
        <v>1401</v>
      </c>
      <c r="AN82" s="713" t="s">
        <v>748</v>
      </c>
      <c r="AO82" s="189" t="s">
        <v>195</v>
      </c>
      <c r="AP82" s="686">
        <f t="shared" si="2"/>
        <v>0</v>
      </c>
      <c r="AQ82" s="686">
        <f t="shared" si="2"/>
        <v>0</v>
      </c>
      <c r="AR82" s="686">
        <f t="shared" si="2"/>
        <v>0</v>
      </c>
      <c r="AS82" s="190"/>
      <c r="AT82" s="462"/>
      <c r="AU82" s="462"/>
      <c r="AV82" s="462"/>
      <c r="AW82" s="194"/>
      <c r="AX82" s="169"/>
    </row>
    <row r="83" spans="32:50" ht="11.25" customHeight="1">
      <c r="AF83" s="413" t="s">
        <v>1352</v>
      </c>
      <c r="AL83" s="36"/>
      <c r="AM83" s="696" t="s">
        <v>1402</v>
      </c>
      <c r="AN83" s="714" t="s">
        <v>315</v>
      </c>
      <c r="AO83" s="189" t="s">
        <v>195</v>
      </c>
      <c r="AP83" s="686">
        <f t="shared" si="2"/>
        <v>0</v>
      </c>
      <c r="AQ83" s="686">
        <f t="shared" si="2"/>
        <v>0</v>
      </c>
      <c r="AR83" s="686">
        <f t="shared" si="2"/>
        <v>0</v>
      </c>
      <c r="AS83" s="190"/>
      <c r="AT83" s="462"/>
      <c r="AU83" s="462"/>
      <c r="AV83" s="462"/>
      <c r="AW83" s="194"/>
      <c r="AX83" s="169"/>
    </row>
    <row r="84" spans="32:50" ht="11.25" customHeight="1">
      <c r="AF84" s="413" t="s">
        <v>1354</v>
      </c>
      <c r="AL84" s="36"/>
      <c r="AM84" s="696" t="s">
        <v>1403</v>
      </c>
      <c r="AN84" s="715" t="s">
        <v>316</v>
      </c>
      <c r="AO84" s="189" t="s">
        <v>195</v>
      </c>
      <c r="AP84" s="686">
        <f t="shared" si="2"/>
        <v>0</v>
      </c>
      <c r="AQ84" s="686">
        <f t="shared" si="2"/>
        <v>0</v>
      </c>
      <c r="AR84" s="686">
        <f t="shared" si="2"/>
        <v>0</v>
      </c>
      <c r="AS84" s="190"/>
      <c r="AT84" s="462"/>
      <c r="AU84" s="462"/>
      <c r="AV84" s="462"/>
      <c r="AW84" s="194"/>
      <c r="AX84" s="169"/>
    </row>
    <row r="85" spans="32:50" ht="11.25" customHeight="1">
      <c r="AF85" s="413" t="s">
        <v>1353</v>
      </c>
      <c r="AL85" s="36"/>
      <c r="AM85" s="696" t="s">
        <v>1404</v>
      </c>
      <c r="AN85" s="716" t="s">
        <v>317</v>
      </c>
      <c r="AO85" s="189" t="s">
        <v>195</v>
      </c>
      <c r="AP85" s="686">
        <f t="shared" si="2"/>
        <v>0</v>
      </c>
      <c r="AQ85" s="686">
        <f t="shared" si="2"/>
        <v>0</v>
      </c>
      <c r="AR85" s="686">
        <f t="shared" si="2"/>
        <v>0</v>
      </c>
      <c r="AS85" s="190"/>
      <c r="AT85" s="462"/>
      <c r="AU85" s="462"/>
      <c r="AV85" s="462"/>
      <c r="AW85" s="194"/>
      <c r="AX85" s="169"/>
    </row>
    <row r="86" spans="32:50" ht="11.25" customHeight="1">
      <c r="AF86" s="413" t="s">
        <v>1355</v>
      </c>
      <c r="AL86" s="36"/>
      <c r="AM86" s="696" t="s">
        <v>1405</v>
      </c>
      <c r="AN86" s="701" t="s">
        <v>318</v>
      </c>
      <c r="AO86" s="189" t="s">
        <v>195</v>
      </c>
      <c r="AP86" s="686">
        <f t="shared" si="2"/>
        <v>0</v>
      </c>
      <c r="AQ86" s="686">
        <f t="shared" si="2"/>
        <v>0</v>
      </c>
      <c r="AR86" s="686">
        <f t="shared" si="2"/>
        <v>0</v>
      </c>
      <c r="AS86" s="190"/>
      <c r="AT86" s="462"/>
      <c r="AU86" s="462"/>
      <c r="AV86" s="462"/>
      <c r="AW86" s="194"/>
      <c r="AX86" s="169"/>
    </row>
    <row r="87" spans="32:50" ht="11.25" customHeight="1">
      <c r="AF87" s="413" t="s">
        <v>1356</v>
      </c>
      <c r="AL87" s="36"/>
      <c r="AM87" s="696" t="s">
        <v>1406</v>
      </c>
      <c r="AN87" s="717" t="s">
        <v>321</v>
      </c>
      <c r="AO87" s="189" t="s">
        <v>195</v>
      </c>
      <c r="AP87" s="686">
        <f t="shared" si="2"/>
        <v>0</v>
      </c>
      <c r="AQ87" s="686">
        <f t="shared" si="2"/>
        <v>0</v>
      </c>
      <c r="AR87" s="686">
        <f t="shared" si="2"/>
        <v>0</v>
      </c>
      <c r="AS87" s="190"/>
      <c r="AT87" s="462"/>
      <c r="AU87" s="462"/>
      <c r="AV87" s="462"/>
      <c r="AW87" s="194"/>
      <c r="AX87" s="169"/>
    </row>
    <row r="88" spans="32:50" ht="24" customHeight="1">
      <c r="AF88" s="115"/>
      <c r="AL88" s="36"/>
      <c r="AM88" s="490" t="s">
        <v>1358</v>
      </c>
      <c r="AN88" s="463" t="s">
        <v>749</v>
      </c>
      <c r="AO88" s="189" t="s">
        <v>1301</v>
      </c>
      <c r="AP88" s="183">
        <f t="shared" ref="AP88:AR103" si="3">IF(AP192=0,0,AP36/AP192)</f>
        <v>6.2068910751032202</v>
      </c>
      <c r="AQ88" s="183">
        <f t="shared" si="3"/>
        <v>6.2068910751032202</v>
      </c>
      <c r="AR88" s="183">
        <f t="shared" si="3"/>
        <v>6.2068910751032202</v>
      </c>
      <c r="AS88" s="190"/>
      <c r="AT88" s="183">
        <f>IF(AT192=0,0,AT36/AT192)</f>
        <v>6.2068910751032202</v>
      </c>
      <c r="AU88" s="183">
        <f>IF(AU192=0,0,AU36/AU192)</f>
        <v>6.2068910751032202</v>
      </c>
      <c r="AV88" s="183">
        <f>IF(AV192=0,0,AV36/AV192)</f>
        <v>6.2068910751032202</v>
      </c>
      <c r="AW88" s="194"/>
      <c r="AX88" s="169"/>
    </row>
    <row r="89" spans="32:50" ht="11.25" customHeight="1">
      <c r="AF89" s="413" t="s">
        <v>1328</v>
      </c>
      <c r="AL89" s="36"/>
      <c r="AM89" s="696" t="s">
        <v>1407</v>
      </c>
      <c r="AN89" s="697" t="s">
        <v>1304</v>
      </c>
      <c r="AO89" s="189" t="s">
        <v>1301</v>
      </c>
      <c r="AP89" s="183">
        <f t="shared" si="3"/>
        <v>6.2068910751032202</v>
      </c>
      <c r="AQ89" s="183">
        <f t="shared" si="3"/>
        <v>6.2068910751032202</v>
      </c>
      <c r="AR89" s="183">
        <f t="shared" si="3"/>
        <v>6.2068910751032202</v>
      </c>
      <c r="AS89" s="190"/>
      <c r="AT89" s="183">
        <f t="shared" ref="AT89:AV90" si="4">IF(AT193=0,0,AT37/AT193)</f>
        <v>6.2068910751032202</v>
      </c>
      <c r="AU89" s="183">
        <f t="shared" si="4"/>
        <v>6.2068910751032202</v>
      </c>
      <c r="AV89" s="183">
        <f t="shared" si="4"/>
        <v>6.2068910751032202</v>
      </c>
      <c r="AW89" s="194"/>
      <c r="AX89" s="169"/>
    </row>
    <row r="90" spans="32:50" ht="11.25" customHeight="1">
      <c r="AF90" s="413" t="s">
        <v>1329</v>
      </c>
      <c r="AL90" s="36"/>
      <c r="AM90" s="696" t="s">
        <v>1408</v>
      </c>
      <c r="AN90" s="699" t="s">
        <v>713</v>
      </c>
      <c r="AO90" s="189" t="s">
        <v>1301</v>
      </c>
      <c r="AP90" s="183">
        <f t="shared" si="3"/>
        <v>6.2068910751032202</v>
      </c>
      <c r="AQ90" s="183">
        <f t="shared" si="3"/>
        <v>6.2068910751032202</v>
      </c>
      <c r="AR90" s="183">
        <f t="shared" si="3"/>
        <v>6.2068910751032202</v>
      </c>
      <c r="AS90" s="190"/>
      <c r="AT90" s="183">
        <f t="shared" si="4"/>
        <v>6.2068910751032202</v>
      </c>
      <c r="AU90" s="183">
        <f t="shared" si="4"/>
        <v>6.2068910751032202</v>
      </c>
      <c r="AV90" s="183">
        <f t="shared" si="4"/>
        <v>6.2068910751032202</v>
      </c>
      <c r="AW90" s="194"/>
      <c r="AX90" s="169"/>
    </row>
    <row r="91" spans="32:50" ht="11.25" customHeight="1">
      <c r="AF91" s="413" t="s">
        <v>1330</v>
      </c>
      <c r="AL91" s="36"/>
      <c r="AM91" s="696" t="s">
        <v>1409</v>
      </c>
      <c r="AN91" s="699" t="s">
        <v>715</v>
      </c>
      <c r="AO91" s="189" t="s">
        <v>1301</v>
      </c>
      <c r="AP91" s="183">
        <f t="shared" si="3"/>
        <v>0</v>
      </c>
      <c r="AQ91" s="183">
        <f t="shared" si="3"/>
        <v>0</v>
      </c>
      <c r="AR91" s="183">
        <f t="shared" si="3"/>
        <v>0</v>
      </c>
      <c r="AS91" s="190"/>
      <c r="AT91" s="462"/>
      <c r="AU91" s="462"/>
      <c r="AV91" s="462"/>
      <c r="AW91" s="194"/>
      <c r="AX91" s="169"/>
    </row>
    <row r="92" spans="32:50" ht="11.25" customHeight="1">
      <c r="AF92" s="413" t="s">
        <v>1331</v>
      </c>
      <c r="AL92" s="36"/>
      <c r="AM92" s="696" t="s">
        <v>1410</v>
      </c>
      <c r="AN92" s="699" t="s">
        <v>716</v>
      </c>
      <c r="AO92" s="189" t="s">
        <v>1301</v>
      </c>
      <c r="AP92" s="183">
        <f t="shared" si="3"/>
        <v>0</v>
      </c>
      <c r="AQ92" s="183">
        <f t="shared" si="3"/>
        <v>0</v>
      </c>
      <c r="AR92" s="183">
        <f t="shared" si="3"/>
        <v>0</v>
      </c>
      <c r="AS92" s="190"/>
      <c r="AT92" s="462"/>
      <c r="AU92" s="462"/>
      <c r="AV92" s="462"/>
      <c r="AW92" s="194"/>
      <c r="AX92" s="169"/>
    </row>
    <row r="93" spans="32:50" ht="11.25" customHeight="1">
      <c r="AF93" s="413" t="s">
        <v>1340</v>
      </c>
      <c r="AL93" s="36"/>
      <c r="AM93" s="696" t="s">
        <v>1411</v>
      </c>
      <c r="AN93" s="700" t="s">
        <v>1305</v>
      </c>
      <c r="AO93" s="189" t="s">
        <v>1301</v>
      </c>
      <c r="AP93" s="183">
        <f t="shared" si="3"/>
        <v>0</v>
      </c>
      <c r="AQ93" s="183">
        <f t="shared" si="3"/>
        <v>0</v>
      </c>
      <c r="AR93" s="183">
        <f t="shared" si="3"/>
        <v>0</v>
      </c>
      <c r="AS93" s="190"/>
      <c r="AT93" s="462"/>
      <c r="AU93" s="462"/>
      <c r="AV93" s="462"/>
      <c r="AW93" s="194"/>
      <c r="AX93" s="169"/>
    </row>
    <row r="94" spans="32:50" ht="11.25" customHeight="1">
      <c r="AF94" s="413" t="s">
        <v>1341</v>
      </c>
      <c r="AL94" s="36"/>
      <c r="AM94" s="696" t="s">
        <v>1412</v>
      </c>
      <c r="AN94" s="700" t="s">
        <v>1306</v>
      </c>
      <c r="AO94" s="189" t="s">
        <v>1301</v>
      </c>
      <c r="AP94" s="183">
        <f t="shared" si="3"/>
        <v>0</v>
      </c>
      <c r="AQ94" s="183">
        <f t="shared" si="3"/>
        <v>0</v>
      </c>
      <c r="AR94" s="183">
        <f t="shared" si="3"/>
        <v>0</v>
      </c>
      <c r="AS94" s="190"/>
      <c r="AT94" s="462"/>
      <c r="AU94" s="462"/>
      <c r="AV94" s="462"/>
      <c r="AW94" s="194"/>
      <c r="AX94" s="169"/>
    </row>
    <row r="95" spans="32:50" ht="11.25" customHeight="1">
      <c r="AF95" s="413" t="s">
        <v>1342</v>
      </c>
      <c r="AL95" s="36"/>
      <c r="AM95" s="696" t="s">
        <v>1413</v>
      </c>
      <c r="AN95" s="700" t="s">
        <v>1307</v>
      </c>
      <c r="AO95" s="189" t="s">
        <v>1301</v>
      </c>
      <c r="AP95" s="183">
        <f t="shared" si="3"/>
        <v>0</v>
      </c>
      <c r="AQ95" s="183">
        <f t="shared" si="3"/>
        <v>0</v>
      </c>
      <c r="AR95" s="183">
        <f t="shared" si="3"/>
        <v>0</v>
      </c>
      <c r="AS95" s="190"/>
      <c r="AT95" s="462"/>
      <c r="AU95" s="462"/>
      <c r="AV95" s="462"/>
      <c r="AW95" s="194"/>
      <c r="AX95" s="169"/>
    </row>
    <row r="96" spans="32:50" ht="11.25" customHeight="1">
      <c r="AF96" s="413" t="s">
        <v>1339</v>
      </c>
      <c r="AL96" s="36"/>
      <c r="AM96" s="696" t="s">
        <v>1414</v>
      </c>
      <c r="AN96" s="700" t="s">
        <v>1308</v>
      </c>
      <c r="AO96" s="189" t="s">
        <v>1301</v>
      </c>
      <c r="AP96" s="183">
        <f t="shared" si="3"/>
        <v>0</v>
      </c>
      <c r="AQ96" s="183">
        <f t="shared" si="3"/>
        <v>0</v>
      </c>
      <c r="AR96" s="183">
        <f t="shared" si="3"/>
        <v>0</v>
      </c>
      <c r="AS96" s="190"/>
      <c r="AT96" s="462"/>
      <c r="AU96" s="462"/>
      <c r="AV96" s="462"/>
      <c r="AW96" s="194"/>
      <c r="AX96" s="169"/>
    </row>
    <row r="97" spans="32:50" ht="11.25" customHeight="1">
      <c r="AF97" s="413" t="s">
        <v>1332</v>
      </c>
      <c r="AL97" s="36"/>
      <c r="AM97" s="696" t="s">
        <v>1415</v>
      </c>
      <c r="AN97" s="701" t="s">
        <v>684</v>
      </c>
      <c r="AO97" s="189" t="s">
        <v>1301</v>
      </c>
      <c r="AP97" s="183">
        <f t="shared" si="3"/>
        <v>0</v>
      </c>
      <c r="AQ97" s="183">
        <f t="shared" si="3"/>
        <v>0</v>
      </c>
      <c r="AR97" s="183">
        <f t="shared" si="3"/>
        <v>0</v>
      </c>
      <c r="AS97" s="190"/>
      <c r="AT97" s="462"/>
      <c r="AU97" s="462"/>
      <c r="AV97" s="462"/>
      <c r="AW97" s="194"/>
      <c r="AX97" s="169"/>
    </row>
    <row r="98" spans="32:50" ht="11.25" customHeight="1">
      <c r="AF98" s="413" t="s">
        <v>1333</v>
      </c>
      <c r="AL98" s="36"/>
      <c r="AM98" s="696" t="s">
        <v>1416</v>
      </c>
      <c r="AN98" s="702" t="s">
        <v>718</v>
      </c>
      <c r="AO98" s="189" t="s">
        <v>1301</v>
      </c>
      <c r="AP98" s="183">
        <f t="shared" si="3"/>
        <v>0</v>
      </c>
      <c r="AQ98" s="183">
        <f t="shared" si="3"/>
        <v>0</v>
      </c>
      <c r="AR98" s="183">
        <f t="shared" si="3"/>
        <v>0</v>
      </c>
      <c r="AS98" s="190"/>
      <c r="AT98" s="462"/>
      <c r="AU98" s="462"/>
      <c r="AV98" s="462"/>
      <c r="AW98" s="194"/>
      <c r="AX98" s="169"/>
    </row>
    <row r="99" spans="32:50" ht="11.25" customHeight="1">
      <c r="AF99" s="413" t="s">
        <v>1334</v>
      </c>
      <c r="AL99" s="36"/>
      <c r="AM99" s="696" t="s">
        <v>1417</v>
      </c>
      <c r="AN99" s="703" t="s">
        <v>722</v>
      </c>
      <c r="AO99" s="189" t="s">
        <v>1301</v>
      </c>
      <c r="AP99" s="183">
        <f t="shared" si="3"/>
        <v>0</v>
      </c>
      <c r="AQ99" s="183">
        <f t="shared" si="3"/>
        <v>0</v>
      </c>
      <c r="AR99" s="183">
        <f t="shared" si="3"/>
        <v>0</v>
      </c>
      <c r="AS99" s="190"/>
      <c r="AT99" s="462"/>
      <c r="AU99" s="462"/>
      <c r="AV99" s="462"/>
      <c r="AW99" s="194"/>
      <c r="AX99" s="169"/>
    </row>
    <row r="100" spans="32:50" ht="11.25" customHeight="1">
      <c r="AF100" s="413" t="s">
        <v>1335</v>
      </c>
      <c r="AL100" s="36"/>
      <c r="AM100" s="696" t="s">
        <v>1418</v>
      </c>
      <c r="AN100" s="704" t="s">
        <v>1309</v>
      </c>
      <c r="AO100" s="189" t="s">
        <v>1301</v>
      </c>
      <c r="AP100" s="183">
        <f t="shared" si="3"/>
        <v>0</v>
      </c>
      <c r="AQ100" s="183">
        <f t="shared" si="3"/>
        <v>0</v>
      </c>
      <c r="AR100" s="183">
        <f t="shared" si="3"/>
        <v>0</v>
      </c>
      <c r="AS100" s="190"/>
      <c r="AT100" s="462"/>
      <c r="AU100" s="462"/>
      <c r="AV100" s="462"/>
      <c r="AW100" s="194"/>
      <c r="AX100" s="169"/>
    </row>
    <row r="101" spans="32:50" ht="11.25" customHeight="1">
      <c r="AF101" s="413" t="s">
        <v>1336</v>
      </c>
      <c r="AL101" s="36"/>
      <c r="AM101" s="696" t="s">
        <v>1419</v>
      </c>
      <c r="AN101" s="704" t="s">
        <v>1310</v>
      </c>
      <c r="AO101" s="189" t="s">
        <v>1301</v>
      </c>
      <c r="AP101" s="183">
        <f t="shared" si="3"/>
        <v>0</v>
      </c>
      <c r="AQ101" s="183">
        <f t="shared" si="3"/>
        <v>0</v>
      </c>
      <c r="AR101" s="183">
        <f t="shared" si="3"/>
        <v>0</v>
      </c>
      <c r="AS101" s="190"/>
      <c r="AT101" s="462"/>
      <c r="AU101" s="462"/>
      <c r="AV101" s="462"/>
      <c r="AW101" s="194"/>
      <c r="AX101" s="169"/>
    </row>
    <row r="102" spans="32:50" ht="11.25" customHeight="1">
      <c r="AF102" s="413" t="s">
        <v>1337</v>
      </c>
      <c r="AL102" s="36"/>
      <c r="AM102" s="696" t="s">
        <v>1420</v>
      </c>
      <c r="AN102" s="704" t="s">
        <v>1311</v>
      </c>
      <c r="AO102" s="189" t="s">
        <v>1301</v>
      </c>
      <c r="AP102" s="183">
        <f t="shared" si="3"/>
        <v>0</v>
      </c>
      <c r="AQ102" s="183">
        <f t="shared" si="3"/>
        <v>0</v>
      </c>
      <c r="AR102" s="183">
        <f t="shared" si="3"/>
        <v>0</v>
      </c>
      <c r="AS102" s="190"/>
      <c r="AT102" s="462"/>
      <c r="AU102" s="462"/>
      <c r="AV102" s="462"/>
      <c r="AW102" s="194"/>
      <c r="AX102" s="169"/>
    </row>
    <row r="103" spans="32:50" ht="11.25" customHeight="1">
      <c r="AF103" s="413" t="s">
        <v>1338</v>
      </c>
      <c r="AL103" s="36"/>
      <c r="AM103" s="696" t="s">
        <v>1421</v>
      </c>
      <c r="AN103" s="704" t="s">
        <v>1312</v>
      </c>
      <c r="AO103" s="189" t="s">
        <v>1301</v>
      </c>
      <c r="AP103" s="183">
        <f t="shared" si="3"/>
        <v>0</v>
      </c>
      <c r="AQ103" s="183">
        <f t="shared" si="3"/>
        <v>0</v>
      </c>
      <c r="AR103" s="183">
        <f t="shared" si="3"/>
        <v>0</v>
      </c>
      <c r="AS103" s="190"/>
      <c r="AT103" s="462"/>
      <c r="AU103" s="462"/>
      <c r="AV103" s="462"/>
      <c r="AW103" s="194"/>
      <c r="AX103" s="169"/>
    </row>
    <row r="104" spans="32:50" ht="11.25" customHeight="1">
      <c r="AF104" s="413" t="s">
        <v>1343</v>
      </c>
      <c r="AL104" s="36"/>
      <c r="AM104" s="696" t="s">
        <v>1422</v>
      </c>
      <c r="AN104" s="705" t="s">
        <v>720</v>
      </c>
      <c r="AO104" s="189" t="s">
        <v>1301</v>
      </c>
      <c r="AP104" s="183">
        <f t="shared" ref="AP104:AR119" si="5">IF(AP208=0,0,AP52/AP208)</f>
        <v>0</v>
      </c>
      <c r="AQ104" s="183">
        <f t="shared" si="5"/>
        <v>0</v>
      </c>
      <c r="AR104" s="183">
        <f t="shared" si="5"/>
        <v>0</v>
      </c>
      <c r="AS104" s="190"/>
      <c r="AT104" s="462"/>
      <c r="AU104" s="462"/>
      <c r="AV104" s="462"/>
      <c r="AW104" s="194"/>
      <c r="AX104" s="169"/>
    </row>
    <row r="105" spans="32:50" ht="11.25" customHeight="1">
      <c r="AF105" s="413" t="s">
        <v>1866</v>
      </c>
      <c r="AL105" s="36"/>
      <c r="AM105" s="696" t="s">
        <v>1867</v>
      </c>
      <c r="AN105" s="706" t="s">
        <v>1313</v>
      </c>
      <c r="AO105" s="189" t="s">
        <v>1301</v>
      </c>
      <c r="AP105" s="183">
        <f t="shared" si="5"/>
        <v>0</v>
      </c>
      <c r="AQ105" s="183">
        <f t="shared" si="5"/>
        <v>0</v>
      </c>
      <c r="AR105" s="183">
        <f t="shared" si="5"/>
        <v>0</v>
      </c>
      <c r="AS105" s="190"/>
      <c r="AT105" s="462"/>
      <c r="AU105" s="462"/>
      <c r="AV105" s="462"/>
      <c r="AW105" s="194"/>
      <c r="AX105" s="169"/>
    </row>
    <row r="106" spans="32:50" ht="11.25" customHeight="1">
      <c r="AF106" s="413" t="s">
        <v>1847</v>
      </c>
      <c r="AL106" s="36"/>
      <c r="AM106" s="696" t="s">
        <v>1848</v>
      </c>
      <c r="AN106" s="706" t="s">
        <v>1314</v>
      </c>
      <c r="AO106" s="189" t="s">
        <v>1301</v>
      </c>
      <c r="AP106" s="183">
        <f t="shared" si="5"/>
        <v>0</v>
      </c>
      <c r="AQ106" s="183">
        <f t="shared" si="5"/>
        <v>0</v>
      </c>
      <c r="AR106" s="183">
        <f t="shared" si="5"/>
        <v>0</v>
      </c>
      <c r="AS106" s="190"/>
      <c r="AT106" s="462"/>
      <c r="AU106" s="462"/>
      <c r="AV106" s="462"/>
      <c r="AW106" s="194"/>
      <c r="AX106" s="169"/>
    </row>
    <row r="107" spans="32:50" ht="11.25" customHeight="1">
      <c r="AF107" s="413" t="s">
        <v>1827</v>
      </c>
      <c r="AL107" s="36"/>
      <c r="AM107" s="696" t="s">
        <v>1829</v>
      </c>
      <c r="AN107" s="706" t="s">
        <v>1315</v>
      </c>
      <c r="AO107" s="189" t="s">
        <v>1301</v>
      </c>
      <c r="AP107" s="183">
        <f t="shared" si="5"/>
        <v>0</v>
      </c>
      <c r="AQ107" s="183">
        <f t="shared" si="5"/>
        <v>0</v>
      </c>
      <c r="AR107" s="183">
        <f t="shared" si="5"/>
        <v>0</v>
      </c>
      <c r="AS107" s="190"/>
      <c r="AT107" s="462"/>
      <c r="AU107" s="462"/>
      <c r="AV107" s="462"/>
      <c r="AW107" s="194"/>
      <c r="AX107" s="169"/>
    </row>
    <row r="108" spans="32:50" ht="11.25" customHeight="1">
      <c r="AF108" s="413" t="s">
        <v>1344</v>
      </c>
      <c r="AL108" s="36"/>
      <c r="AM108" s="696" t="s">
        <v>1423</v>
      </c>
      <c r="AN108" s="706" t="s">
        <v>1316</v>
      </c>
      <c r="AO108" s="189" t="s">
        <v>1301</v>
      </c>
      <c r="AP108" s="183">
        <f t="shared" si="5"/>
        <v>0</v>
      </c>
      <c r="AQ108" s="183">
        <f t="shared" si="5"/>
        <v>0</v>
      </c>
      <c r="AR108" s="183">
        <f t="shared" si="5"/>
        <v>0</v>
      </c>
      <c r="AS108" s="190"/>
      <c r="AT108" s="462"/>
      <c r="AU108" s="462"/>
      <c r="AV108" s="462"/>
      <c r="AW108" s="194"/>
      <c r="AX108" s="169"/>
    </row>
    <row r="109" spans="32:50" ht="11.25" customHeight="1">
      <c r="AF109" s="413" t="s">
        <v>1345</v>
      </c>
      <c r="AL109" s="36"/>
      <c r="AM109" s="696" t="s">
        <v>1424</v>
      </c>
      <c r="AN109" s="706" t="s">
        <v>1317</v>
      </c>
      <c r="AO109" s="189" t="s">
        <v>1301</v>
      </c>
      <c r="AP109" s="183">
        <f t="shared" si="5"/>
        <v>0</v>
      </c>
      <c r="AQ109" s="183">
        <f t="shared" si="5"/>
        <v>0</v>
      </c>
      <c r="AR109" s="183">
        <f t="shared" si="5"/>
        <v>0</v>
      </c>
      <c r="AS109" s="190"/>
      <c r="AT109" s="462"/>
      <c r="AU109" s="462"/>
      <c r="AV109" s="462"/>
      <c r="AW109" s="194"/>
      <c r="AX109" s="169"/>
    </row>
    <row r="110" spans="32:50" ht="11.25" customHeight="1">
      <c r="AF110" s="413" t="s">
        <v>1346</v>
      </c>
      <c r="AL110" s="36"/>
      <c r="AM110" s="696" t="s">
        <v>1425</v>
      </c>
      <c r="AN110" s="706" t="s">
        <v>1318</v>
      </c>
      <c r="AO110" s="189" t="s">
        <v>1301</v>
      </c>
      <c r="AP110" s="183">
        <f t="shared" si="5"/>
        <v>0</v>
      </c>
      <c r="AQ110" s="183">
        <f t="shared" si="5"/>
        <v>0</v>
      </c>
      <c r="AR110" s="183">
        <f t="shared" si="5"/>
        <v>0</v>
      </c>
      <c r="AS110" s="190"/>
      <c r="AT110" s="462"/>
      <c r="AU110" s="462"/>
      <c r="AV110" s="462"/>
      <c r="AW110" s="194"/>
      <c r="AX110" s="169"/>
    </row>
    <row r="111" spans="32:50" ht="11.25" customHeight="1">
      <c r="AF111" s="413" t="s">
        <v>1347</v>
      </c>
      <c r="AL111" s="36"/>
      <c r="AM111" s="696" t="s">
        <v>1426</v>
      </c>
      <c r="AN111" s="707" t="s">
        <v>721</v>
      </c>
      <c r="AO111" s="189" t="s">
        <v>1301</v>
      </c>
      <c r="AP111" s="183">
        <f t="shared" si="5"/>
        <v>0</v>
      </c>
      <c r="AQ111" s="183">
        <f t="shared" si="5"/>
        <v>0</v>
      </c>
      <c r="AR111" s="183">
        <f t="shared" si="5"/>
        <v>0</v>
      </c>
      <c r="AS111" s="190"/>
      <c r="AT111" s="462"/>
      <c r="AU111" s="462"/>
      <c r="AV111" s="462"/>
      <c r="AW111" s="194"/>
      <c r="AX111" s="169"/>
    </row>
    <row r="112" spans="32:50" ht="11.25" customHeight="1">
      <c r="AF112" s="413" t="s">
        <v>1348</v>
      </c>
      <c r="AL112" s="36"/>
      <c r="AM112" s="696" t="s">
        <v>1427</v>
      </c>
      <c r="AN112" s="708" t="s">
        <v>712</v>
      </c>
      <c r="AO112" s="189" t="s">
        <v>1301</v>
      </c>
      <c r="AP112" s="183">
        <f t="shared" si="5"/>
        <v>0</v>
      </c>
      <c r="AQ112" s="183">
        <f t="shared" si="5"/>
        <v>0</v>
      </c>
      <c r="AR112" s="183">
        <f t="shared" si="5"/>
        <v>0</v>
      </c>
      <c r="AS112" s="190"/>
      <c r="AT112" s="462"/>
      <c r="AU112" s="462"/>
      <c r="AV112" s="462"/>
      <c r="AW112" s="194"/>
      <c r="AX112" s="169"/>
    </row>
    <row r="113" spans="32:50" ht="11.25" customHeight="1">
      <c r="AF113" s="413" t="s">
        <v>2612</v>
      </c>
      <c r="AL113" s="36"/>
      <c r="AM113" s="696" t="s">
        <v>2654</v>
      </c>
      <c r="AN113" s="709" t="s">
        <v>1319</v>
      </c>
      <c r="AO113" s="189" t="s">
        <v>1301</v>
      </c>
      <c r="AP113" s="183">
        <f t="shared" si="5"/>
        <v>0</v>
      </c>
      <c r="AQ113" s="183">
        <f t="shared" si="5"/>
        <v>0</v>
      </c>
      <c r="AR113" s="183">
        <f t="shared" si="5"/>
        <v>0</v>
      </c>
      <c r="AS113" s="190"/>
      <c r="AT113" s="462"/>
      <c r="AU113" s="462"/>
      <c r="AV113" s="462"/>
      <c r="AW113" s="194"/>
      <c r="AX113" s="169"/>
    </row>
    <row r="114" spans="32:50" ht="11.25" customHeight="1">
      <c r="AF114" s="413" t="s">
        <v>2614</v>
      </c>
      <c r="AL114" s="36"/>
      <c r="AM114" s="696" t="s">
        <v>2655</v>
      </c>
      <c r="AN114" s="709" t="s">
        <v>1320</v>
      </c>
      <c r="AO114" s="189" t="s">
        <v>1301</v>
      </c>
      <c r="AP114" s="183">
        <f t="shared" si="5"/>
        <v>0</v>
      </c>
      <c r="AQ114" s="183">
        <f t="shared" si="5"/>
        <v>0</v>
      </c>
      <c r="AR114" s="183">
        <f t="shared" si="5"/>
        <v>0</v>
      </c>
      <c r="AS114" s="190"/>
      <c r="AT114" s="462"/>
      <c r="AU114" s="462"/>
      <c r="AV114" s="462"/>
      <c r="AW114" s="194"/>
      <c r="AX114" s="169"/>
    </row>
    <row r="115" spans="32:50" ht="11.25" customHeight="1">
      <c r="AF115" s="413" t="s">
        <v>2616</v>
      </c>
      <c r="AL115" s="36"/>
      <c r="AM115" s="696" t="s">
        <v>2656</v>
      </c>
      <c r="AN115" s="709" t="s">
        <v>1321</v>
      </c>
      <c r="AO115" s="189" t="s">
        <v>1301</v>
      </c>
      <c r="AP115" s="183">
        <f t="shared" si="5"/>
        <v>0</v>
      </c>
      <c r="AQ115" s="183">
        <f t="shared" si="5"/>
        <v>0</v>
      </c>
      <c r="AR115" s="183">
        <f t="shared" si="5"/>
        <v>0</v>
      </c>
      <c r="AS115" s="190"/>
      <c r="AT115" s="462"/>
      <c r="AU115" s="462"/>
      <c r="AV115" s="462"/>
      <c r="AW115" s="194"/>
      <c r="AX115" s="169"/>
    </row>
    <row r="116" spans="32:50" ht="11.25" customHeight="1">
      <c r="AF116" s="413" t="s">
        <v>2619</v>
      </c>
      <c r="AL116" s="36"/>
      <c r="AM116" s="696" t="s">
        <v>2657</v>
      </c>
      <c r="AN116" s="709" t="s">
        <v>2618</v>
      </c>
      <c r="AO116" s="189" t="s">
        <v>1301</v>
      </c>
      <c r="AP116" s="183">
        <f t="shared" si="5"/>
        <v>0</v>
      </c>
      <c r="AQ116" s="183">
        <f t="shared" si="5"/>
        <v>0</v>
      </c>
      <c r="AR116" s="183">
        <f t="shared" si="5"/>
        <v>0</v>
      </c>
      <c r="AS116" s="190"/>
      <c r="AT116" s="462"/>
      <c r="AU116" s="462"/>
      <c r="AV116" s="462"/>
      <c r="AW116" s="194"/>
      <c r="AX116" s="169"/>
    </row>
    <row r="117" spans="32:50" ht="11.25" customHeight="1">
      <c r="AF117" s="413" t="s">
        <v>2622</v>
      </c>
      <c r="AL117" s="36"/>
      <c r="AM117" s="696" t="s">
        <v>2658</v>
      </c>
      <c r="AN117" s="709" t="s">
        <v>2621</v>
      </c>
      <c r="AO117" s="189" t="s">
        <v>1301</v>
      </c>
      <c r="AP117" s="183">
        <f t="shared" si="5"/>
        <v>0</v>
      </c>
      <c r="AQ117" s="183">
        <f t="shared" si="5"/>
        <v>0</v>
      </c>
      <c r="AR117" s="183">
        <f t="shared" si="5"/>
        <v>0</v>
      </c>
      <c r="AS117" s="190"/>
      <c r="AT117" s="462"/>
      <c r="AU117" s="462"/>
      <c r="AV117" s="462"/>
      <c r="AW117" s="194"/>
      <c r="AX117" s="169"/>
    </row>
    <row r="118" spans="32:50" ht="11.25" customHeight="1">
      <c r="AF118" s="413" t="s">
        <v>2624</v>
      </c>
      <c r="AL118" s="36"/>
      <c r="AM118" s="696" t="s">
        <v>2659</v>
      </c>
      <c r="AN118" s="709" t="s">
        <v>1322</v>
      </c>
      <c r="AO118" s="189" t="s">
        <v>1301</v>
      </c>
      <c r="AP118" s="183">
        <f t="shared" si="5"/>
        <v>0</v>
      </c>
      <c r="AQ118" s="183">
        <f t="shared" si="5"/>
        <v>0</v>
      </c>
      <c r="AR118" s="183">
        <f t="shared" si="5"/>
        <v>0</v>
      </c>
      <c r="AS118" s="190"/>
      <c r="AT118" s="462"/>
      <c r="AU118" s="462"/>
      <c r="AV118" s="462"/>
      <c r="AW118" s="194"/>
      <c r="AX118" s="169"/>
    </row>
    <row r="119" spans="32:50" ht="11.25" customHeight="1">
      <c r="AF119" s="413" t="s">
        <v>2627</v>
      </c>
      <c r="AL119" s="36"/>
      <c r="AM119" s="696" t="s">
        <v>2660</v>
      </c>
      <c r="AN119" s="709" t="s">
        <v>2626</v>
      </c>
      <c r="AO119" s="189" t="s">
        <v>1301</v>
      </c>
      <c r="AP119" s="183">
        <f t="shared" si="5"/>
        <v>0</v>
      </c>
      <c r="AQ119" s="183">
        <f t="shared" si="5"/>
        <v>0</v>
      </c>
      <c r="AR119" s="183">
        <f t="shared" si="5"/>
        <v>0</v>
      </c>
      <c r="AS119" s="190"/>
      <c r="AT119" s="462"/>
      <c r="AU119" s="462"/>
      <c r="AV119" s="462"/>
      <c r="AW119" s="194"/>
      <c r="AX119" s="169"/>
    </row>
    <row r="120" spans="32:50" ht="11.25" customHeight="1">
      <c r="AF120" s="413" t="s">
        <v>2629</v>
      </c>
      <c r="AL120" s="36"/>
      <c r="AM120" s="696" t="s">
        <v>2661</v>
      </c>
      <c r="AN120" s="709" t="s">
        <v>1323</v>
      </c>
      <c r="AO120" s="189" t="s">
        <v>1301</v>
      </c>
      <c r="AP120" s="183">
        <f t="shared" ref="AP120:AR128" si="6">IF(AP224=0,0,AP68/AP224)</f>
        <v>0</v>
      </c>
      <c r="AQ120" s="183">
        <f t="shared" si="6"/>
        <v>0</v>
      </c>
      <c r="AR120" s="183">
        <f t="shared" si="6"/>
        <v>0</v>
      </c>
      <c r="AS120" s="190"/>
      <c r="AT120" s="462"/>
      <c r="AU120" s="462"/>
      <c r="AV120" s="462"/>
      <c r="AW120" s="194"/>
      <c r="AX120" s="169"/>
    </row>
    <row r="121" spans="32:50" ht="11.25" customHeight="1">
      <c r="AF121" s="413" t="s">
        <v>2631</v>
      </c>
      <c r="AL121" s="36"/>
      <c r="AM121" s="696" t="s">
        <v>2662</v>
      </c>
      <c r="AN121" s="709" t="s">
        <v>1324</v>
      </c>
      <c r="AO121" s="189" t="s">
        <v>1301</v>
      </c>
      <c r="AP121" s="183">
        <f t="shared" si="6"/>
        <v>0</v>
      </c>
      <c r="AQ121" s="183">
        <f t="shared" si="6"/>
        <v>0</v>
      </c>
      <c r="AR121" s="183">
        <f t="shared" si="6"/>
        <v>0</v>
      </c>
      <c r="AS121" s="190"/>
      <c r="AT121" s="462"/>
      <c r="AU121" s="462"/>
      <c r="AV121" s="462"/>
      <c r="AW121" s="194"/>
      <c r="AX121" s="169"/>
    </row>
    <row r="122" spans="32:50" ht="11.25" customHeight="1">
      <c r="AF122" s="413" t="s">
        <v>2634</v>
      </c>
      <c r="AL122" s="36"/>
      <c r="AM122" s="696" t="s">
        <v>2663</v>
      </c>
      <c r="AN122" s="709" t="s">
        <v>2633</v>
      </c>
      <c r="AO122" s="189" t="s">
        <v>1301</v>
      </c>
      <c r="AP122" s="183">
        <f t="shared" si="6"/>
        <v>0</v>
      </c>
      <c r="AQ122" s="183">
        <f t="shared" si="6"/>
        <v>0</v>
      </c>
      <c r="AR122" s="183">
        <f t="shared" si="6"/>
        <v>0</v>
      </c>
      <c r="AS122" s="190"/>
      <c r="AT122" s="462"/>
      <c r="AU122" s="462"/>
      <c r="AV122" s="462"/>
      <c r="AW122" s="194"/>
      <c r="AX122" s="169"/>
    </row>
    <row r="123" spans="32:50" ht="11.25" customHeight="1">
      <c r="AF123" s="413" t="s">
        <v>2637</v>
      </c>
      <c r="AL123" s="36"/>
      <c r="AM123" s="696" t="s">
        <v>2664</v>
      </c>
      <c r="AN123" s="709" t="s">
        <v>2636</v>
      </c>
      <c r="AO123" s="189" t="s">
        <v>1301</v>
      </c>
      <c r="AP123" s="183">
        <f t="shared" si="6"/>
        <v>0</v>
      </c>
      <c r="AQ123" s="183">
        <f t="shared" si="6"/>
        <v>0</v>
      </c>
      <c r="AR123" s="183">
        <f t="shared" si="6"/>
        <v>0</v>
      </c>
      <c r="AS123" s="190"/>
      <c r="AT123" s="462"/>
      <c r="AU123" s="462"/>
      <c r="AV123" s="462"/>
      <c r="AW123" s="194"/>
      <c r="AX123" s="169"/>
    </row>
    <row r="124" spans="32:50" ht="11.25" customHeight="1">
      <c r="AF124" s="413" t="s">
        <v>2640</v>
      </c>
      <c r="AL124" s="36"/>
      <c r="AM124" s="696" t="s">
        <v>2665</v>
      </c>
      <c r="AN124" s="709" t="s">
        <v>2639</v>
      </c>
      <c r="AO124" s="189" t="s">
        <v>1301</v>
      </c>
      <c r="AP124" s="183">
        <f t="shared" si="6"/>
        <v>0</v>
      </c>
      <c r="AQ124" s="183">
        <f t="shared" si="6"/>
        <v>0</v>
      </c>
      <c r="AR124" s="183">
        <f t="shared" si="6"/>
        <v>0</v>
      </c>
      <c r="AS124" s="190"/>
      <c r="AT124" s="462"/>
      <c r="AU124" s="462"/>
      <c r="AV124" s="462"/>
      <c r="AW124" s="194"/>
      <c r="AX124" s="169"/>
    </row>
    <row r="125" spans="32:50" ht="11.25" customHeight="1">
      <c r="AF125" s="413" t="s">
        <v>2643</v>
      </c>
      <c r="AL125" s="36"/>
      <c r="AM125" s="696" t="s">
        <v>2666</v>
      </c>
      <c r="AN125" s="709" t="s">
        <v>2642</v>
      </c>
      <c r="AO125" s="189" t="s">
        <v>1301</v>
      </c>
      <c r="AP125" s="183">
        <f t="shared" si="6"/>
        <v>0</v>
      </c>
      <c r="AQ125" s="183">
        <f t="shared" si="6"/>
        <v>0</v>
      </c>
      <c r="AR125" s="183">
        <f t="shared" si="6"/>
        <v>0</v>
      </c>
      <c r="AS125" s="190"/>
      <c r="AT125" s="462"/>
      <c r="AU125" s="462"/>
      <c r="AV125" s="462"/>
      <c r="AW125" s="194"/>
      <c r="AX125" s="169"/>
    </row>
    <row r="126" spans="32:50" ht="11.25" customHeight="1">
      <c r="AF126" s="413" t="s">
        <v>2646</v>
      </c>
      <c r="AL126" s="36"/>
      <c r="AM126" s="696" t="s">
        <v>2667</v>
      </c>
      <c r="AN126" s="709" t="s">
        <v>2645</v>
      </c>
      <c r="AO126" s="189" t="s">
        <v>1301</v>
      </c>
      <c r="AP126" s="183">
        <f t="shared" si="6"/>
        <v>0</v>
      </c>
      <c r="AQ126" s="183">
        <f t="shared" si="6"/>
        <v>0</v>
      </c>
      <c r="AR126" s="183">
        <f t="shared" si="6"/>
        <v>0</v>
      </c>
      <c r="AS126" s="190"/>
      <c r="AT126" s="462"/>
      <c r="AU126" s="462"/>
      <c r="AV126" s="462"/>
      <c r="AW126" s="194"/>
      <c r="AX126" s="169"/>
    </row>
    <row r="127" spans="32:50" ht="11.25" customHeight="1">
      <c r="AF127" s="413" t="s">
        <v>2648</v>
      </c>
      <c r="AL127" s="36"/>
      <c r="AM127" s="696" t="s">
        <v>2668</v>
      </c>
      <c r="AN127" s="709" t="s">
        <v>1325</v>
      </c>
      <c r="AO127" s="189" t="s">
        <v>1301</v>
      </c>
      <c r="AP127" s="183">
        <f t="shared" si="6"/>
        <v>0</v>
      </c>
      <c r="AQ127" s="183">
        <f t="shared" si="6"/>
        <v>0</v>
      </c>
      <c r="AR127" s="183">
        <f t="shared" si="6"/>
        <v>0</v>
      </c>
      <c r="AS127" s="190"/>
      <c r="AT127" s="462"/>
      <c r="AU127" s="462"/>
      <c r="AV127" s="462"/>
      <c r="AW127" s="194"/>
      <c r="AX127" s="169"/>
    </row>
    <row r="128" spans="32:50" ht="11.25" customHeight="1">
      <c r="AF128" s="413" t="s">
        <v>2650</v>
      </c>
      <c r="AL128" s="36"/>
      <c r="AM128" s="696" t="s">
        <v>2669</v>
      </c>
      <c r="AN128" s="709" t="s">
        <v>1326</v>
      </c>
      <c r="AO128" s="189" t="s">
        <v>1301</v>
      </c>
      <c r="AP128" s="183">
        <f t="shared" si="6"/>
        <v>0</v>
      </c>
      <c r="AQ128" s="183">
        <f t="shared" si="6"/>
        <v>0</v>
      </c>
      <c r="AR128" s="183">
        <f t="shared" si="6"/>
        <v>0</v>
      </c>
      <c r="AS128" s="190"/>
      <c r="AT128" s="462"/>
      <c r="AU128" s="462"/>
      <c r="AV128" s="462"/>
      <c r="AW128" s="194"/>
      <c r="AX128" s="169"/>
    </row>
    <row r="129" spans="32:50" ht="11.25" customHeight="1">
      <c r="AF129" s="413" t="s">
        <v>2653</v>
      </c>
      <c r="AL129" s="36"/>
      <c r="AM129" s="696" t="s">
        <v>2670</v>
      </c>
      <c r="AN129" s="709" t="s">
        <v>2652</v>
      </c>
      <c r="AO129" s="189" t="s">
        <v>1301</v>
      </c>
      <c r="AP129" s="183">
        <f>IF(AP233=0,0,AP77/AP233)</f>
        <v>0</v>
      </c>
      <c r="AQ129" s="183">
        <f>IF(AQ233=0,0,AQ77/AQ233)</f>
        <v>0</v>
      </c>
      <c r="AR129" s="183">
        <f>IF(AR233=0,0,AR77/AR233)</f>
        <v>0</v>
      </c>
      <c r="AS129" s="190"/>
      <c r="AT129" s="462"/>
      <c r="AU129" s="462"/>
      <c r="AV129" s="462"/>
      <c r="AW129" s="194"/>
      <c r="AX129" s="169"/>
    </row>
    <row r="130" spans="32:50" ht="0.75" hidden="1" customHeight="1">
      <c r="AF130" s="413"/>
      <c r="AL130" s="36"/>
      <c r="AM130" s="718"/>
      <c r="AN130" s="460"/>
      <c r="AO130" s="461"/>
      <c r="AP130" s="462"/>
      <c r="AQ130" s="462"/>
      <c r="AR130" s="462"/>
      <c r="AS130" s="190"/>
      <c r="AT130" s="462"/>
      <c r="AU130" s="462"/>
      <c r="AV130" s="462"/>
      <c r="AW130" s="194"/>
      <c r="AX130" s="169"/>
    </row>
    <row r="131" spans="32:50" ht="0.75" hidden="1" customHeight="1">
      <c r="AF131" s="413"/>
      <c r="AL131" s="36"/>
      <c r="AM131" s="718"/>
      <c r="AN131" s="460"/>
      <c r="AO131" s="461"/>
      <c r="AP131" s="462"/>
      <c r="AQ131" s="462"/>
      <c r="AR131" s="462"/>
      <c r="AS131" s="190"/>
      <c r="AT131" s="462"/>
      <c r="AU131" s="462"/>
      <c r="AV131" s="462"/>
      <c r="AW131" s="194"/>
      <c r="AX131" s="169"/>
    </row>
    <row r="132" spans="32:50" ht="11.25" customHeight="1">
      <c r="AF132" s="413" t="s">
        <v>1357</v>
      </c>
      <c r="AL132" s="36"/>
      <c r="AM132" s="696" t="s">
        <v>1428</v>
      </c>
      <c r="AN132" s="719" t="s">
        <v>1327</v>
      </c>
      <c r="AO132" s="189" t="s">
        <v>1301</v>
      </c>
      <c r="AP132" s="183">
        <f t="shared" ref="AP132:AR138" si="7">IF(AP236=0,0,AP80/AP236)</f>
        <v>0</v>
      </c>
      <c r="AQ132" s="183">
        <f t="shared" si="7"/>
        <v>0</v>
      </c>
      <c r="AR132" s="183">
        <f t="shared" si="7"/>
        <v>0</v>
      </c>
      <c r="AS132" s="190"/>
      <c r="AT132" s="462"/>
      <c r="AU132" s="462"/>
      <c r="AV132" s="462"/>
      <c r="AW132" s="194"/>
      <c r="AX132" s="169"/>
    </row>
    <row r="133" spans="32:50" ht="11.25" customHeight="1">
      <c r="AF133" s="413" t="s">
        <v>1350</v>
      </c>
      <c r="AL133" s="36"/>
      <c r="AM133" s="696" t="s">
        <v>1429</v>
      </c>
      <c r="AN133" s="712" t="s">
        <v>723</v>
      </c>
      <c r="AO133" s="189" t="s">
        <v>1301</v>
      </c>
      <c r="AP133" s="183">
        <f t="shared" si="7"/>
        <v>0</v>
      </c>
      <c r="AQ133" s="183">
        <f t="shared" si="7"/>
        <v>0</v>
      </c>
      <c r="AR133" s="183">
        <f t="shared" si="7"/>
        <v>0</v>
      </c>
      <c r="AS133" s="190"/>
      <c r="AT133" s="462"/>
      <c r="AU133" s="462"/>
      <c r="AV133" s="462"/>
      <c r="AW133" s="194"/>
      <c r="AX133" s="169"/>
    </row>
    <row r="134" spans="32:50" ht="11.25" customHeight="1">
      <c r="AF134" s="413" t="s">
        <v>1351</v>
      </c>
      <c r="AL134" s="36"/>
      <c r="AM134" s="696" t="s">
        <v>1430</v>
      </c>
      <c r="AN134" s="713" t="s">
        <v>748</v>
      </c>
      <c r="AO134" s="189" t="s">
        <v>1301</v>
      </c>
      <c r="AP134" s="183">
        <f t="shared" si="7"/>
        <v>0</v>
      </c>
      <c r="AQ134" s="183">
        <f t="shared" si="7"/>
        <v>0</v>
      </c>
      <c r="AR134" s="183">
        <f t="shared" si="7"/>
        <v>0</v>
      </c>
      <c r="AS134" s="190"/>
      <c r="AT134" s="462"/>
      <c r="AU134" s="462"/>
      <c r="AV134" s="462"/>
      <c r="AW134" s="194"/>
      <c r="AX134" s="169"/>
    </row>
    <row r="135" spans="32:50" ht="11.25" customHeight="1">
      <c r="AF135" s="413" t="s">
        <v>1352</v>
      </c>
      <c r="AL135" s="36"/>
      <c r="AM135" s="696" t="s">
        <v>1431</v>
      </c>
      <c r="AN135" s="714" t="s">
        <v>315</v>
      </c>
      <c r="AO135" s="189" t="s">
        <v>1301</v>
      </c>
      <c r="AP135" s="183">
        <f t="shared" si="7"/>
        <v>0</v>
      </c>
      <c r="AQ135" s="183">
        <f t="shared" si="7"/>
        <v>0</v>
      </c>
      <c r="AR135" s="183">
        <f t="shared" si="7"/>
        <v>0</v>
      </c>
      <c r="AS135" s="190"/>
      <c r="AT135" s="462"/>
      <c r="AU135" s="462"/>
      <c r="AV135" s="462"/>
      <c r="AW135" s="194"/>
      <c r="AX135" s="169"/>
    </row>
    <row r="136" spans="32:50" ht="11.25" customHeight="1">
      <c r="AF136" s="413" t="s">
        <v>1354</v>
      </c>
      <c r="AL136" s="36"/>
      <c r="AM136" s="696" t="s">
        <v>1432</v>
      </c>
      <c r="AN136" s="715" t="s">
        <v>316</v>
      </c>
      <c r="AO136" s="189" t="s">
        <v>1301</v>
      </c>
      <c r="AP136" s="183">
        <f t="shared" si="7"/>
        <v>0</v>
      </c>
      <c r="AQ136" s="183">
        <f t="shared" si="7"/>
        <v>0</v>
      </c>
      <c r="AR136" s="183">
        <f t="shared" si="7"/>
        <v>0</v>
      </c>
      <c r="AS136" s="190"/>
      <c r="AT136" s="462"/>
      <c r="AU136" s="462"/>
      <c r="AV136" s="462"/>
      <c r="AW136" s="194"/>
      <c r="AX136" s="169"/>
    </row>
    <row r="137" spans="32:50" ht="11.25" customHeight="1">
      <c r="AF137" s="413" t="s">
        <v>1353</v>
      </c>
      <c r="AL137" s="36"/>
      <c r="AM137" s="696" t="s">
        <v>1433</v>
      </c>
      <c r="AN137" s="716" t="s">
        <v>317</v>
      </c>
      <c r="AO137" s="189" t="s">
        <v>1301</v>
      </c>
      <c r="AP137" s="183">
        <f t="shared" si="7"/>
        <v>0</v>
      </c>
      <c r="AQ137" s="183">
        <f t="shared" si="7"/>
        <v>0</v>
      </c>
      <c r="AR137" s="183">
        <f t="shared" si="7"/>
        <v>0</v>
      </c>
      <c r="AS137" s="190"/>
      <c r="AT137" s="462"/>
      <c r="AU137" s="462"/>
      <c r="AV137" s="462"/>
      <c r="AW137" s="194"/>
      <c r="AX137" s="169"/>
    </row>
    <row r="138" spans="32:50" ht="11.25" customHeight="1">
      <c r="AF138" s="413" t="s">
        <v>1355</v>
      </c>
      <c r="AL138" s="36"/>
      <c r="AM138" s="696" t="s">
        <v>1434</v>
      </c>
      <c r="AN138" s="701" t="s">
        <v>318</v>
      </c>
      <c r="AO138" s="189" t="s">
        <v>1301</v>
      </c>
      <c r="AP138" s="183">
        <f t="shared" si="7"/>
        <v>0</v>
      </c>
      <c r="AQ138" s="183">
        <f t="shared" si="7"/>
        <v>0</v>
      </c>
      <c r="AR138" s="183">
        <f t="shared" si="7"/>
        <v>0</v>
      </c>
      <c r="AS138" s="190"/>
      <c r="AT138" s="462"/>
      <c r="AU138" s="462"/>
      <c r="AV138" s="462"/>
      <c r="AW138" s="194"/>
      <c r="AX138" s="169"/>
    </row>
    <row r="139" spans="32:50" ht="0.75" hidden="1" customHeight="1">
      <c r="AF139" s="413"/>
      <c r="AL139" s="36"/>
      <c r="AM139" s="718"/>
      <c r="AN139" s="460"/>
      <c r="AO139" s="461"/>
      <c r="AP139" s="462"/>
      <c r="AQ139" s="462"/>
      <c r="AR139" s="462"/>
      <c r="AS139" s="190"/>
      <c r="AT139" s="462"/>
      <c r="AU139" s="462"/>
      <c r="AV139" s="462"/>
      <c r="AW139" s="194"/>
      <c r="AX139" s="169"/>
    </row>
    <row r="140" spans="32:50" ht="24" customHeight="1">
      <c r="AF140" s="115"/>
      <c r="AL140" s="36"/>
      <c r="AM140" s="490" t="s">
        <v>1359</v>
      </c>
      <c r="AN140" s="463" t="s">
        <v>750</v>
      </c>
      <c r="AO140" s="189"/>
      <c r="AP140" s="195"/>
      <c r="AQ140" s="195"/>
      <c r="AR140" s="195"/>
      <c r="AS140" s="190"/>
      <c r="AT140" s="241"/>
      <c r="AU140" s="241"/>
      <c r="AV140" s="241"/>
      <c r="AW140" s="194"/>
      <c r="AX140" s="169"/>
    </row>
    <row r="141" spans="32:50" ht="12" customHeight="1">
      <c r="AF141" s="413" t="s">
        <v>1328</v>
      </c>
      <c r="AL141" s="36"/>
      <c r="AM141" s="696" t="s">
        <v>1435</v>
      </c>
      <c r="AN141" s="697" t="s">
        <v>1304</v>
      </c>
      <c r="AO141" s="189" t="s">
        <v>506</v>
      </c>
      <c r="AP141" s="183">
        <f t="shared" ref="AP141:AR156" si="8">IF(AP349=0,0,AP37/AP349*1000)</f>
        <v>7327.65</v>
      </c>
      <c r="AQ141" s="183">
        <f t="shared" si="8"/>
        <v>7327.65</v>
      </c>
      <c r="AR141" s="183">
        <f t="shared" si="8"/>
        <v>7327.65</v>
      </c>
      <c r="AS141" s="190"/>
      <c r="AT141" s="183">
        <f t="shared" ref="AT141:AV142" si="9">IF(AT349=0,0,AT37/AT349*1000)</f>
        <v>7327.65</v>
      </c>
      <c r="AU141" s="183">
        <f t="shared" si="9"/>
        <v>7327.65</v>
      </c>
      <c r="AV141" s="183">
        <f t="shared" si="9"/>
        <v>7327.65</v>
      </c>
      <c r="AW141" s="194"/>
      <c r="AX141" s="169"/>
    </row>
    <row r="142" spans="32:50" ht="12" customHeight="1">
      <c r="AF142" s="413" t="s">
        <v>1329</v>
      </c>
      <c r="AL142" s="36"/>
      <c r="AM142" s="696" t="s">
        <v>1436</v>
      </c>
      <c r="AN142" s="699" t="s">
        <v>713</v>
      </c>
      <c r="AO142" s="189" t="s">
        <v>506</v>
      </c>
      <c r="AP142" s="183">
        <f t="shared" si="8"/>
        <v>7327.65</v>
      </c>
      <c r="AQ142" s="183">
        <f t="shared" si="8"/>
        <v>7327.65</v>
      </c>
      <c r="AR142" s="183">
        <f t="shared" si="8"/>
        <v>7327.65</v>
      </c>
      <c r="AS142" s="190"/>
      <c r="AT142" s="183">
        <f t="shared" si="9"/>
        <v>7327.65</v>
      </c>
      <c r="AU142" s="183">
        <f t="shared" si="9"/>
        <v>7327.65</v>
      </c>
      <c r="AV142" s="183">
        <f t="shared" si="9"/>
        <v>7327.65</v>
      </c>
      <c r="AW142" s="194"/>
      <c r="AX142" s="169"/>
    </row>
    <row r="143" spans="32:50" ht="12" customHeight="1">
      <c r="AF143" s="413" t="s">
        <v>1330</v>
      </c>
      <c r="AL143" s="36"/>
      <c r="AM143" s="696" t="s">
        <v>1437</v>
      </c>
      <c r="AN143" s="699" t="s">
        <v>715</v>
      </c>
      <c r="AO143" s="189" t="s">
        <v>506</v>
      </c>
      <c r="AP143" s="183">
        <f t="shared" si="8"/>
        <v>0</v>
      </c>
      <c r="AQ143" s="183">
        <f t="shared" si="8"/>
        <v>0</v>
      </c>
      <c r="AR143" s="183">
        <f t="shared" si="8"/>
        <v>0</v>
      </c>
      <c r="AS143" s="190"/>
      <c r="AT143" s="462"/>
      <c r="AU143" s="462"/>
      <c r="AV143" s="462"/>
      <c r="AW143" s="194"/>
      <c r="AX143" s="169"/>
    </row>
    <row r="144" spans="32:50" ht="12" customHeight="1">
      <c r="AF144" s="413" t="s">
        <v>1331</v>
      </c>
      <c r="AL144" s="36"/>
      <c r="AM144" s="696" t="s">
        <v>1438</v>
      </c>
      <c r="AN144" s="699" t="s">
        <v>716</v>
      </c>
      <c r="AO144" s="189" t="s">
        <v>506</v>
      </c>
      <c r="AP144" s="183">
        <f t="shared" si="8"/>
        <v>0</v>
      </c>
      <c r="AQ144" s="183">
        <f t="shared" si="8"/>
        <v>0</v>
      </c>
      <c r="AR144" s="183">
        <f t="shared" si="8"/>
        <v>0</v>
      </c>
      <c r="AS144" s="190"/>
      <c r="AT144" s="462"/>
      <c r="AU144" s="462"/>
      <c r="AV144" s="462"/>
      <c r="AW144" s="194"/>
      <c r="AX144" s="169"/>
    </row>
    <row r="145" spans="32:50" ht="12" customHeight="1">
      <c r="AF145" s="413" t="s">
        <v>1340</v>
      </c>
      <c r="AL145" s="36"/>
      <c r="AM145" s="696" t="s">
        <v>1439</v>
      </c>
      <c r="AN145" s="700" t="s">
        <v>1305</v>
      </c>
      <c r="AO145" s="189" t="s">
        <v>506</v>
      </c>
      <c r="AP145" s="183">
        <f t="shared" si="8"/>
        <v>0</v>
      </c>
      <c r="AQ145" s="183">
        <f t="shared" si="8"/>
        <v>0</v>
      </c>
      <c r="AR145" s="183">
        <f t="shared" si="8"/>
        <v>0</v>
      </c>
      <c r="AS145" s="190"/>
      <c r="AT145" s="462"/>
      <c r="AU145" s="462"/>
      <c r="AV145" s="462"/>
      <c r="AW145" s="194"/>
      <c r="AX145" s="169"/>
    </row>
    <row r="146" spans="32:50" ht="12" customHeight="1">
      <c r="AF146" s="413" t="s">
        <v>1341</v>
      </c>
      <c r="AL146" s="36"/>
      <c r="AM146" s="696" t="s">
        <v>1440</v>
      </c>
      <c r="AN146" s="700" t="s">
        <v>1306</v>
      </c>
      <c r="AO146" s="189" t="s">
        <v>506</v>
      </c>
      <c r="AP146" s="183">
        <f t="shared" si="8"/>
        <v>0</v>
      </c>
      <c r="AQ146" s="183">
        <f t="shared" si="8"/>
        <v>0</v>
      </c>
      <c r="AR146" s="183">
        <f t="shared" si="8"/>
        <v>0</v>
      </c>
      <c r="AS146" s="190"/>
      <c r="AT146" s="462"/>
      <c r="AU146" s="462"/>
      <c r="AV146" s="462"/>
      <c r="AW146" s="194"/>
      <c r="AX146" s="169"/>
    </row>
    <row r="147" spans="32:50" ht="12" customHeight="1">
      <c r="AF147" s="413" t="s">
        <v>1342</v>
      </c>
      <c r="AL147" s="36"/>
      <c r="AM147" s="696" t="s">
        <v>1441</v>
      </c>
      <c r="AN147" s="700" t="s">
        <v>1307</v>
      </c>
      <c r="AO147" s="189" t="s">
        <v>506</v>
      </c>
      <c r="AP147" s="183">
        <f t="shared" si="8"/>
        <v>0</v>
      </c>
      <c r="AQ147" s="183">
        <f t="shared" si="8"/>
        <v>0</v>
      </c>
      <c r="AR147" s="183">
        <f t="shared" si="8"/>
        <v>0</v>
      </c>
      <c r="AS147" s="190"/>
      <c r="AT147" s="462"/>
      <c r="AU147" s="462"/>
      <c r="AV147" s="462"/>
      <c r="AW147" s="194"/>
      <c r="AX147" s="169"/>
    </row>
    <row r="148" spans="32:50" ht="12" customHeight="1">
      <c r="AF148" s="413" t="s">
        <v>1339</v>
      </c>
      <c r="AL148" s="36"/>
      <c r="AM148" s="696" t="s">
        <v>1442</v>
      </c>
      <c r="AN148" s="700" t="s">
        <v>1308</v>
      </c>
      <c r="AO148" s="189" t="s">
        <v>506</v>
      </c>
      <c r="AP148" s="183">
        <f t="shared" si="8"/>
        <v>0</v>
      </c>
      <c r="AQ148" s="183">
        <f t="shared" si="8"/>
        <v>0</v>
      </c>
      <c r="AR148" s="183">
        <f t="shared" si="8"/>
        <v>0</v>
      </c>
      <c r="AS148" s="190"/>
      <c r="AT148" s="462"/>
      <c r="AU148" s="462"/>
      <c r="AV148" s="462"/>
      <c r="AW148" s="194"/>
      <c r="AX148" s="169"/>
    </row>
    <row r="149" spans="32:50" ht="12" customHeight="1">
      <c r="AF149" s="413" t="s">
        <v>1332</v>
      </c>
      <c r="AL149" s="36"/>
      <c r="AM149" s="696" t="s">
        <v>1443</v>
      </c>
      <c r="AN149" s="701" t="s">
        <v>684</v>
      </c>
      <c r="AO149" s="189" t="s">
        <v>751</v>
      </c>
      <c r="AP149" s="183">
        <f t="shared" si="8"/>
        <v>0</v>
      </c>
      <c r="AQ149" s="183">
        <f t="shared" si="8"/>
        <v>0</v>
      </c>
      <c r="AR149" s="183">
        <f t="shared" si="8"/>
        <v>0</v>
      </c>
      <c r="AS149" s="190"/>
      <c r="AT149" s="462"/>
      <c r="AU149" s="462"/>
      <c r="AV149" s="462"/>
      <c r="AW149" s="194"/>
      <c r="AX149" s="169"/>
    </row>
    <row r="150" spans="32:50" ht="12" customHeight="1">
      <c r="AF150" s="413" t="s">
        <v>1333</v>
      </c>
      <c r="AL150" s="36"/>
      <c r="AM150" s="696" t="s">
        <v>1444</v>
      </c>
      <c r="AN150" s="702" t="s">
        <v>718</v>
      </c>
      <c r="AO150" s="189" t="s">
        <v>751</v>
      </c>
      <c r="AP150" s="183">
        <f t="shared" si="8"/>
        <v>0</v>
      </c>
      <c r="AQ150" s="183">
        <f t="shared" si="8"/>
        <v>0</v>
      </c>
      <c r="AR150" s="183">
        <f t="shared" si="8"/>
        <v>0</v>
      </c>
      <c r="AS150" s="190"/>
      <c r="AT150" s="462"/>
      <c r="AU150" s="462"/>
      <c r="AV150" s="462"/>
      <c r="AW150" s="194"/>
      <c r="AX150" s="169"/>
    </row>
    <row r="151" spans="32:50" ht="12" customHeight="1">
      <c r="AF151" s="413" t="s">
        <v>1334</v>
      </c>
      <c r="AL151" s="36"/>
      <c r="AM151" s="696" t="s">
        <v>1445</v>
      </c>
      <c r="AN151" s="703" t="s">
        <v>722</v>
      </c>
      <c r="AO151" s="189" t="s">
        <v>751</v>
      </c>
      <c r="AP151" s="183">
        <f t="shared" si="8"/>
        <v>0</v>
      </c>
      <c r="AQ151" s="183">
        <f t="shared" si="8"/>
        <v>0</v>
      </c>
      <c r="AR151" s="183">
        <f t="shared" si="8"/>
        <v>0</v>
      </c>
      <c r="AS151" s="190"/>
      <c r="AT151" s="462"/>
      <c r="AU151" s="462"/>
      <c r="AV151" s="462"/>
      <c r="AW151" s="194"/>
      <c r="AX151" s="169"/>
    </row>
    <row r="152" spans="32:50" ht="12" customHeight="1">
      <c r="AF152" s="413" t="s">
        <v>1335</v>
      </c>
      <c r="AL152" s="36"/>
      <c r="AM152" s="696" t="s">
        <v>1446</v>
      </c>
      <c r="AN152" s="704" t="s">
        <v>1309</v>
      </c>
      <c r="AO152" s="189" t="s">
        <v>751</v>
      </c>
      <c r="AP152" s="183">
        <f t="shared" si="8"/>
        <v>0</v>
      </c>
      <c r="AQ152" s="183">
        <f t="shared" si="8"/>
        <v>0</v>
      </c>
      <c r="AR152" s="183">
        <f t="shared" si="8"/>
        <v>0</v>
      </c>
      <c r="AS152" s="190"/>
      <c r="AT152" s="462"/>
      <c r="AU152" s="462"/>
      <c r="AV152" s="462"/>
      <c r="AW152" s="194"/>
      <c r="AX152" s="169"/>
    </row>
    <row r="153" spans="32:50" ht="12" customHeight="1">
      <c r="AF153" s="413" t="s">
        <v>1336</v>
      </c>
      <c r="AL153" s="36"/>
      <c r="AM153" s="696" t="s">
        <v>1447</v>
      </c>
      <c r="AN153" s="704" t="s">
        <v>1310</v>
      </c>
      <c r="AO153" s="189" t="s">
        <v>751</v>
      </c>
      <c r="AP153" s="183">
        <f t="shared" si="8"/>
        <v>0</v>
      </c>
      <c r="AQ153" s="183">
        <f t="shared" si="8"/>
        <v>0</v>
      </c>
      <c r="AR153" s="183">
        <f t="shared" si="8"/>
        <v>0</v>
      </c>
      <c r="AS153" s="190"/>
      <c r="AT153" s="462"/>
      <c r="AU153" s="462"/>
      <c r="AV153" s="462"/>
      <c r="AW153" s="194"/>
      <c r="AX153" s="169"/>
    </row>
    <row r="154" spans="32:50" ht="12" customHeight="1">
      <c r="AF154" s="413" t="s">
        <v>1337</v>
      </c>
      <c r="AL154" s="36"/>
      <c r="AM154" s="696" t="s">
        <v>1448</v>
      </c>
      <c r="AN154" s="704" t="s">
        <v>1311</v>
      </c>
      <c r="AO154" s="189" t="s">
        <v>751</v>
      </c>
      <c r="AP154" s="183">
        <f t="shared" si="8"/>
        <v>0</v>
      </c>
      <c r="AQ154" s="183">
        <f t="shared" si="8"/>
        <v>0</v>
      </c>
      <c r="AR154" s="183">
        <f t="shared" si="8"/>
        <v>0</v>
      </c>
      <c r="AS154" s="190"/>
      <c r="AT154" s="462"/>
      <c r="AU154" s="462"/>
      <c r="AV154" s="462"/>
      <c r="AW154" s="194"/>
      <c r="AX154" s="169"/>
    </row>
    <row r="155" spans="32:50" ht="12" customHeight="1">
      <c r="AF155" s="413" t="s">
        <v>1338</v>
      </c>
      <c r="AL155" s="36"/>
      <c r="AM155" s="696" t="s">
        <v>1449</v>
      </c>
      <c r="AN155" s="704" t="s">
        <v>1312</v>
      </c>
      <c r="AO155" s="189" t="s">
        <v>751</v>
      </c>
      <c r="AP155" s="183">
        <f t="shared" si="8"/>
        <v>0</v>
      </c>
      <c r="AQ155" s="183">
        <f t="shared" si="8"/>
        <v>0</v>
      </c>
      <c r="AR155" s="183">
        <f t="shared" si="8"/>
        <v>0</v>
      </c>
      <c r="AS155" s="190"/>
      <c r="AT155" s="462"/>
      <c r="AU155" s="462"/>
      <c r="AV155" s="462"/>
      <c r="AW155" s="194"/>
      <c r="AX155" s="169"/>
    </row>
    <row r="156" spans="32:50" ht="12" customHeight="1">
      <c r="AF156" s="413" t="s">
        <v>1343</v>
      </c>
      <c r="AL156" s="36"/>
      <c r="AM156" s="696" t="s">
        <v>1450</v>
      </c>
      <c r="AN156" s="705" t="s">
        <v>720</v>
      </c>
      <c r="AO156" s="189" t="s">
        <v>751</v>
      </c>
      <c r="AP156" s="183">
        <f t="shared" si="8"/>
        <v>0</v>
      </c>
      <c r="AQ156" s="183">
        <f t="shared" si="8"/>
        <v>0</v>
      </c>
      <c r="AR156" s="183">
        <f t="shared" si="8"/>
        <v>0</v>
      </c>
      <c r="AS156" s="190"/>
      <c r="AT156" s="462"/>
      <c r="AU156" s="462"/>
      <c r="AV156" s="462"/>
      <c r="AW156" s="194"/>
      <c r="AX156" s="169"/>
    </row>
    <row r="157" spans="32:50" ht="12" customHeight="1">
      <c r="AF157" s="413" t="s">
        <v>1866</v>
      </c>
      <c r="AL157" s="36"/>
      <c r="AM157" s="696" t="s">
        <v>1868</v>
      </c>
      <c r="AN157" s="706" t="s">
        <v>1313</v>
      </c>
      <c r="AO157" s="189" t="s">
        <v>751</v>
      </c>
      <c r="AP157" s="183">
        <f t="shared" ref="AP157:AR172" si="10">IF(AP365=0,0,AP53/AP365*1000)</f>
        <v>0</v>
      </c>
      <c r="AQ157" s="183">
        <f t="shared" si="10"/>
        <v>0</v>
      </c>
      <c r="AR157" s="183">
        <f t="shared" si="10"/>
        <v>0</v>
      </c>
      <c r="AS157" s="190"/>
      <c r="AT157" s="462"/>
      <c r="AU157" s="462"/>
      <c r="AV157" s="462"/>
      <c r="AW157" s="194"/>
      <c r="AX157" s="169"/>
    </row>
    <row r="158" spans="32:50" ht="12" customHeight="1">
      <c r="AF158" s="413" t="s">
        <v>1847</v>
      </c>
      <c r="AL158" s="36"/>
      <c r="AM158" s="696" t="s">
        <v>1849</v>
      </c>
      <c r="AN158" s="706" t="s">
        <v>1314</v>
      </c>
      <c r="AO158" s="189" t="s">
        <v>751</v>
      </c>
      <c r="AP158" s="183">
        <f t="shared" si="10"/>
        <v>0</v>
      </c>
      <c r="AQ158" s="183">
        <f t="shared" si="10"/>
        <v>0</v>
      </c>
      <c r="AR158" s="183">
        <f t="shared" si="10"/>
        <v>0</v>
      </c>
      <c r="AS158" s="190"/>
      <c r="AT158" s="462"/>
      <c r="AU158" s="462"/>
      <c r="AV158" s="462"/>
      <c r="AW158" s="194"/>
      <c r="AX158" s="169"/>
    </row>
    <row r="159" spans="32:50" ht="12" customHeight="1">
      <c r="AF159" s="413" t="s">
        <v>1827</v>
      </c>
      <c r="AL159" s="36"/>
      <c r="AM159" s="696" t="s">
        <v>1830</v>
      </c>
      <c r="AN159" s="706" t="s">
        <v>1315</v>
      </c>
      <c r="AO159" s="189" t="s">
        <v>751</v>
      </c>
      <c r="AP159" s="183">
        <f t="shared" si="10"/>
        <v>0</v>
      </c>
      <c r="AQ159" s="183">
        <f t="shared" si="10"/>
        <v>0</v>
      </c>
      <c r="AR159" s="183">
        <f t="shared" si="10"/>
        <v>0</v>
      </c>
      <c r="AS159" s="190"/>
      <c r="AT159" s="462"/>
      <c r="AU159" s="462"/>
      <c r="AV159" s="462"/>
      <c r="AW159" s="194"/>
      <c r="AX159" s="169"/>
    </row>
    <row r="160" spans="32:50" ht="12" customHeight="1">
      <c r="AF160" s="413" t="s">
        <v>1344</v>
      </c>
      <c r="AL160" s="36"/>
      <c r="AM160" s="696" t="s">
        <v>1451</v>
      </c>
      <c r="AN160" s="706" t="s">
        <v>1316</v>
      </c>
      <c r="AO160" s="189" t="s">
        <v>751</v>
      </c>
      <c r="AP160" s="183">
        <f t="shared" si="10"/>
        <v>0</v>
      </c>
      <c r="AQ160" s="183">
        <f t="shared" si="10"/>
        <v>0</v>
      </c>
      <c r="AR160" s="183">
        <f t="shared" si="10"/>
        <v>0</v>
      </c>
      <c r="AS160" s="190"/>
      <c r="AT160" s="462"/>
      <c r="AU160" s="462"/>
      <c r="AV160" s="462"/>
      <c r="AW160" s="194"/>
      <c r="AX160" s="169"/>
    </row>
    <row r="161" spans="32:50" ht="12" customHeight="1">
      <c r="AF161" s="413" t="s">
        <v>1345</v>
      </c>
      <c r="AL161" s="36"/>
      <c r="AM161" s="696" t="s">
        <v>1452</v>
      </c>
      <c r="AN161" s="706" t="s">
        <v>1317</v>
      </c>
      <c r="AO161" s="189" t="s">
        <v>751</v>
      </c>
      <c r="AP161" s="183">
        <f t="shared" si="10"/>
        <v>0</v>
      </c>
      <c r="AQ161" s="183">
        <f t="shared" si="10"/>
        <v>0</v>
      </c>
      <c r="AR161" s="183">
        <f t="shared" si="10"/>
        <v>0</v>
      </c>
      <c r="AS161" s="190"/>
      <c r="AT161" s="462"/>
      <c r="AU161" s="462"/>
      <c r="AV161" s="462"/>
      <c r="AW161" s="194"/>
      <c r="AX161" s="169"/>
    </row>
    <row r="162" spans="32:50" ht="12" customHeight="1">
      <c r="AF162" s="413" t="s">
        <v>1346</v>
      </c>
      <c r="AL162" s="36"/>
      <c r="AM162" s="696" t="s">
        <v>1453</v>
      </c>
      <c r="AN162" s="706" t="s">
        <v>1318</v>
      </c>
      <c r="AO162" s="189" t="s">
        <v>751</v>
      </c>
      <c r="AP162" s="183">
        <f t="shared" si="10"/>
        <v>0</v>
      </c>
      <c r="AQ162" s="183">
        <f t="shared" si="10"/>
        <v>0</v>
      </c>
      <c r="AR162" s="183">
        <f t="shared" si="10"/>
        <v>0</v>
      </c>
      <c r="AS162" s="190"/>
      <c r="AT162" s="462"/>
      <c r="AU162" s="462"/>
      <c r="AV162" s="462"/>
      <c r="AW162" s="194"/>
      <c r="AX162" s="169"/>
    </row>
    <row r="163" spans="32:50" ht="12" customHeight="1">
      <c r="AF163" s="413" t="s">
        <v>1347</v>
      </c>
      <c r="AL163" s="36"/>
      <c r="AM163" s="696" t="s">
        <v>1454</v>
      </c>
      <c r="AN163" s="707" t="s">
        <v>721</v>
      </c>
      <c r="AO163" s="189" t="s">
        <v>751</v>
      </c>
      <c r="AP163" s="183">
        <f t="shared" si="10"/>
        <v>0</v>
      </c>
      <c r="AQ163" s="183">
        <f t="shared" si="10"/>
        <v>0</v>
      </c>
      <c r="AR163" s="183">
        <f t="shared" si="10"/>
        <v>0</v>
      </c>
      <c r="AS163" s="190"/>
      <c r="AT163" s="462"/>
      <c r="AU163" s="462"/>
      <c r="AV163" s="462"/>
      <c r="AW163" s="194"/>
      <c r="AX163" s="169"/>
    </row>
    <row r="164" spans="32:50" ht="12" customHeight="1">
      <c r="AF164" s="413" t="s">
        <v>1348</v>
      </c>
      <c r="AL164" s="36"/>
      <c r="AM164" s="696" t="s">
        <v>1455</v>
      </c>
      <c r="AN164" s="708" t="s">
        <v>712</v>
      </c>
      <c r="AO164" s="189" t="s">
        <v>751</v>
      </c>
      <c r="AP164" s="183">
        <f t="shared" si="10"/>
        <v>0</v>
      </c>
      <c r="AQ164" s="183">
        <f t="shared" si="10"/>
        <v>0</v>
      </c>
      <c r="AR164" s="183">
        <f t="shared" si="10"/>
        <v>0</v>
      </c>
      <c r="AS164" s="190"/>
      <c r="AT164" s="462"/>
      <c r="AU164" s="462"/>
      <c r="AV164" s="462"/>
      <c r="AW164" s="194"/>
      <c r="AX164" s="169"/>
    </row>
    <row r="165" spans="32:50" ht="12" customHeight="1">
      <c r="AF165" s="413" t="s">
        <v>2612</v>
      </c>
      <c r="AL165" s="36"/>
      <c r="AM165" s="696" t="s">
        <v>2671</v>
      </c>
      <c r="AN165" s="709" t="s">
        <v>1319</v>
      </c>
      <c r="AO165" s="189" t="s">
        <v>751</v>
      </c>
      <c r="AP165" s="183">
        <f t="shared" si="10"/>
        <v>0</v>
      </c>
      <c r="AQ165" s="183">
        <f t="shared" si="10"/>
        <v>0</v>
      </c>
      <c r="AR165" s="183">
        <f t="shared" si="10"/>
        <v>0</v>
      </c>
      <c r="AS165" s="190"/>
      <c r="AT165" s="462"/>
      <c r="AU165" s="462"/>
      <c r="AV165" s="462"/>
      <c r="AW165" s="194"/>
      <c r="AX165" s="169"/>
    </row>
    <row r="166" spans="32:50" ht="12" customHeight="1">
      <c r="AF166" s="413" t="s">
        <v>2614</v>
      </c>
      <c r="AL166" s="36"/>
      <c r="AM166" s="696" t="s">
        <v>2672</v>
      </c>
      <c r="AN166" s="709" t="s">
        <v>1320</v>
      </c>
      <c r="AO166" s="189" t="s">
        <v>751</v>
      </c>
      <c r="AP166" s="183">
        <f t="shared" si="10"/>
        <v>0</v>
      </c>
      <c r="AQ166" s="183">
        <f t="shared" si="10"/>
        <v>0</v>
      </c>
      <c r="AR166" s="183">
        <f t="shared" si="10"/>
        <v>0</v>
      </c>
      <c r="AS166" s="190"/>
      <c r="AT166" s="462"/>
      <c r="AU166" s="462"/>
      <c r="AV166" s="462"/>
      <c r="AW166" s="194"/>
      <c r="AX166" s="169"/>
    </row>
    <row r="167" spans="32:50" ht="12" customHeight="1">
      <c r="AF167" s="413" t="s">
        <v>2616</v>
      </c>
      <c r="AL167" s="36"/>
      <c r="AM167" s="696" t="s">
        <v>2673</v>
      </c>
      <c r="AN167" s="709" t="s">
        <v>1321</v>
      </c>
      <c r="AO167" s="189" t="s">
        <v>751</v>
      </c>
      <c r="AP167" s="183">
        <f t="shared" si="10"/>
        <v>0</v>
      </c>
      <c r="AQ167" s="183">
        <f t="shared" si="10"/>
        <v>0</v>
      </c>
      <c r="AR167" s="183">
        <f t="shared" si="10"/>
        <v>0</v>
      </c>
      <c r="AS167" s="190"/>
      <c r="AT167" s="462"/>
      <c r="AU167" s="462"/>
      <c r="AV167" s="462"/>
      <c r="AW167" s="194"/>
      <c r="AX167" s="169"/>
    </row>
    <row r="168" spans="32:50" ht="12" customHeight="1">
      <c r="AF168" s="413" t="s">
        <v>2619</v>
      </c>
      <c r="AL168" s="36"/>
      <c r="AM168" s="696" t="s">
        <v>2674</v>
      </c>
      <c r="AN168" s="709" t="s">
        <v>2618</v>
      </c>
      <c r="AO168" s="189" t="s">
        <v>751</v>
      </c>
      <c r="AP168" s="183">
        <f t="shared" si="10"/>
        <v>0</v>
      </c>
      <c r="AQ168" s="183">
        <f t="shared" si="10"/>
        <v>0</v>
      </c>
      <c r="AR168" s="183">
        <f t="shared" si="10"/>
        <v>0</v>
      </c>
      <c r="AS168" s="190"/>
      <c r="AT168" s="462"/>
      <c r="AU168" s="462"/>
      <c r="AV168" s="462"/>
      <c r="AW168" s="194"/>
      <c r="AX168" s="169"/>
    </row>
    <row r="169" spans="32:50" ht="12" customHeight="1">
      <c r="AF169" s="413" t="s">
        <v>2622</v>
      </c>
      <c r="AL169" s="36"/>
      <c r="AM169" s="696" t="s">
        <v>2675</v>
      </c>
      <c r="AN169" s="709" t="s">
        <v>2621</v>
      </c>
      <c r="AO169" s="189" t="s">
        <v>751</v>
      </c>
      <c r="AP169" s="183">
        <f t="shared" si="10"/>
        <v>0</v>
      </c>
      <c r="AQ169" s="183">
        <f t="shared" si="10"/>
        <v>0</v>
      </c>
      <c r="AR169" s="183">
        <f t="shared" si="10"/>
        <v>0</v>
      </c>
      <c r="AS169" s="190"/>
      <c r="AT169" s="462"/>
      <c r="AU169" s="462"/>
      <c r="AV169" s="462"/>
      <c r="AW169" s="194"/>
      <c r="AX169" s="169"/>
    </row>
    <row r="170" spans="32:50" ht="12" customHeight="1">
      <c r="AF170" s="413" t="s">
        <v>2624</v>
      </c>
      <c r="AL170" s="36"/>
      <c r="AM170" s="696" t="s">
        <v>2676</v>
      </c>
      <c r="AN170" s="709" t="s">
        <v>1322</v>
      </c>
      <c r="AO170" s="189" t="s">
        <v>751</v>
      </c>
      <c r="AP170" s="183">
        <f t="shared" si="10"/>
        <v>0</v>
      </c>
      <c r="AQ170" s="183">
        <f t="shared" si="10"/>
        <v>0</v>
      </c>
      <c r="AR170" s="183">
        <f t="shared" si="10"/>
        <v>0</v>
      </c>
      <c r="AS170" s="190"/>
      <c r="AT170" s="462"/>
      <c r="AU170" s="462"/>
      <c r="AV170" s="462"/>
      <c r="AW170" s="194"/>
      <c r="AX170" s="169"/>
    </row>
    <row r="171" spans="32:50" ht="12" customHeight="1">
      <c r="AF171" s="413" t="s">
        <v>2627</v>
      </c>
      <c r="AL171" s="36"/>
      <c r="AM171" s="696" t="s">
        <v>2677</v>
      </c>
      <c r="AN171" s="709" t="s">
        <v>2626</v>
      </c>
      <c r="AO171" s="189" t="s">
        <v>751</v>
      </c>
      <c r="AP171" s="183">
        <f t="shared" si="10"/>
        <v>0</v>
      </c>
      <c r="AQ171" s="183">
        <f t="shared" si="10"/>
        <v>0</v>
      </c>
      <c r="AR171" s="183">
        <f t="shared" si="10"/>
        <v>0</v>
      </c>
      <c r="AS171" s="190"/>
      <c r="AT171" s="462"/>
      <c r="AU171" s="462"/>
      <c r="AV171" s="462"/>
      <c r="AW171" s="194"/>
      <c r="AX171" s="169"/>
    </row>
    <row r="172" spans="32:50" ht="12" customHeight="1">
      <c r="AF172" s="413" t="s">
        <v>2629</v>
      </c>
      <c r="AL172" s="36"/>
      <c r="AM172" s="696" t="s">
        <v>2678</v>
      </c>
      <c r="AN172" s="709" t="s">
        <v>1323</v>
      </c>
      <c r="AO172" s="189" t="s">
        <v>751</v>
      </c>
      <c r="AP172" s="183">
        <f t="shared" si="10"/>
        <v>0</v>
      </c>
      <c r="AQ172" s="183">
        <f t="shared" si="10"/>
        <v>0</v>
      </c>
      <c r="AR172" s="183">
        <f t="shared" si="10"/>
        <v>0</v>
      </c>
      <c r="AS172" s="190"/>
      <c r="AT172" s="462"/>
      <c r="AU172" s="462"/>
      <c r="AV172" s="462"/>
      <c r="AW172" s="194"/>
      <c r="AX172" s="169"/>
    </row>
    <row r="173" spans="32:50" ht="12" customHeight="1">
      <c r="AF173" s="413" t="s">
        <v>2631</v>
      </c>
      <c r="AL173" s="36"/>
      <c r="AM173" s="696" t="s">
        <v>2679</v>
      </c>
      <c r="AN173" s="709" t="s">
        <v>1324</v>
      </c>
      <c r="AO173" s="189" t="s">
        <v>751</v>
      </c>
      <c r="AP173" s="183">
        <f t="shared" ref="AP173:AR180" si="11">IF(AP381=0,0,AP69/AP381*1000)</f>
        <v>0</v>
      </c>
      <c r="AQ173" s="183">
        <f t="shared" si="11"/>
        <v>0</v>
      </c>
      <c r="AR173" s="183">
        <f t="shared" si="11"/>
        <v>0</v>
      </c>
      <c r="AS173" s="190"/>
      <c r="AT173" s="462"/>
      <c r="AU173" s="462"/>
      <c r="AV173" s="462"/>
      <c r="AW173" s="194"/>
      <c r="AX173" s="169"/>
    </row>
    <row r="174" spans="32:50" ht="12" customHeight="1">
      <c r="AF174" s="413" t="s">
        <v>2634</v>
      </c>
      <c r="AL174" s="36"/>
      <c r="AM174" s="696" t="s">
        <v>2680</v>
      </c>
      <c r="AN174" s="709" t="s">
        <v>2633</v>
      </c>
      <c r="AO174" s="189" t="s">
        <v>751</v>
      </c>
      <c r="AP174" s="183">
        <f t="shared" si="11"/>
        <v>0</v>
      </c>
      <c r="AQ174" s="183">
        <f t="shared" si="11"/>
        <v>0</v>
      </c>
      <c r="AR174" s="183">
        <f t="shared" si="11"/>
        <v>0</v>
      </c>
      <c r="AS174" s="190"/>
      <c r="AT174" s="462"/>
      <c r="AU174" s="462"/>
      <c r="AV174" s="462"/>
      <c r="AW174" s="194"/>
      <c r="AX174" s="169"/>
    </row>
    <row r="175" spans="32:50" ht="12" customHeight="1">
      <c r="AF175" s="413" t="s">
        <v>2637</v>
      </c>
      <c r="AL175" s="36"/>
      <c r="AM175" s="696" t="s">
        <v>2681</v>
      </c>
      <c r="AN175" s="709" t="s">
        <v>2636</v>
      </c>
      <c r="AO175" s="189" t="s">
        <v>751</v>
      </c>
      <c r="AP175" s="183">
        <f t="shared" si="11"/>
        <v>0</v>
      </c>
      <c r="AQ175" s="183">
        <f t="shared" si="11"/>
        <v>0</v>
      </c>
      <c r="AR175" s="183">
        <f t="shared" si="11"/>
        <v>0</v>
      </c>
      <c r="AS175" s="190"/>
      <c r="AT175" s="462"/>
      <c r="AU175" s="462"/>
      <c r="AV175" s="462"/>
      <c r="AW175" s="194"/>
      <c r="AX175" s="169"/>
    </row>
    <row r="176" spans="32:50" ht="12" customHeight="1">
      <c r="AF176" s="413" t="s">
        <v>2640</v>
      </c>
      <c r="AL176" s="36"/>
      <c r="AM176" s="696" t="s">
        <v>2682</v>
      </c>
      <c r="AN176" s="709" t="s">
        <v>2639</v>
      </c>
      <c r="AO176" s="189" t="s">
        <v>751</v>
      </c>
      <c r="AP176" s="183">
        <f t="shared" si="11"/>
        <v>0</v>
      </c>
      <c r="AQ176" s="183">
        <f t="shared" si="11"/>
        <v>0</v>
      </c>
      <c r="AR176" s="183">
        <f t="shared" si="11"/>
        <v>0</v>
      </c>
      <c r="AS176" s="190"/>
      <c r="AT176" s="462"/>
      <c r="AU176" s="462"/>
      <c r="AV176" s="462"/>
      <c r="AW176" s="194"/>
      <c r="AX176" s="169"/>
    </row>
    <row r="177" spans="32:50" ht="12" customHeight="1">
      <c r="AF177" s="413" t="s">
        <v>2643</v>
      </c>
      <c r="AL177" s="36"/>
      <c r="AM177" s="696" t="s">
        <v>2683</v>
      </c>
      <c r="AN177" s="709" t="s">
        <v>2642</v>
      </c>
      <c r="AO177" s="189" t="s">
        <v>751</v>
      </c>
      <c r="AP177" s="183">
        <f t="shared" si="11"/>
        <v>0</v>
      </c>
      <c r="AQ177" s="183">
        <f t="shared" si="11"/>
        <v>0</v>
      </c>
      <c r="AR177" s="183">
        <f t="shared" si="11"/>
        <v>0</v>
      </c>
      <c r="AS177" s="190"/>
      <c r="AT177" s="462"/>
      <c r="AU177" s="462"/>
      <c r="AV177" s="462"/>
      <c r="AW177" s="194"/>
      <c r="AX177" s="169"/>
    </row>
    <row r="178" spans="32:50" ht="12" customHeight="1">
      <c r="AF178" s="413" t="s">
        <v>2646</v>
      </c>
      <c r="AL178" s="36"/>
      <c r="AM178" s="696" t="s">
        <v>2684</v>
      </c>
      <c r="AN178" s="709" t="s">
        <v>2645</v>
      </c>
      <c r="AO178" s="189" t="s">
        <v>751</v>
      </c>
      <c r="AP178" s="183">
        <f t="shared" si="11"/>
        <v>0</v>
      </c>
      <c r="AQ178" s="183">
        <f t="shared" si="11"/>
        <v>0</v>
      </c>
      <c r="AR178" s="183">
        <f t="shared" si="11"/>
        <v>0</v>
      </c>
      <c r="AS178" s="190"/>
      <c r="AT178" s="462"/>
      <c r="AU178" s="462"/>
      <c r="AV178" s="462"/>
      <c r="AW178" s="194"/>
      <c r="AX178" s="169"/>
    </row>
    <row r="179" spans="32:50" ht="12" customHeight="1">
      <c r="AF179" s="413" t="s">
        <v>2648</v>
      </c>
      <c r="AL179" s="36"/>
      <c r="AM179" s="696" t="s">
        <v>2685</v>
      </c>
      <c r="AN179" s="709" t="s">
        <v>1325</v>
      </c>
      <c r="AO179" s="189" t="s">
        <v>751</v>
      </c>
      <c r="AP179" s="183">
        <f t="shared" si="11"/>
        <v>0</v>
      </c>
      <c r="AQ179" s="183">
        <f t="shared" si="11"/>
        <v>0</v>
      </c>
      <c r="AR179" s="183">
        <f t="shared" si="11"/>
        <v>0</v>
      </c>
      <c r="AS179" s="190"/>
      <c r="AT179" s="462"/>
      <c r="AU179" s="462"/>
      <c r="AV179" s="462"/>
      <c r="AW179" s="194"/>
      <c r="AX179" s="169"/>
    </row>
    <row r="180" spans="32:50" ht="12" customHeight="1">
      <c r="AF180" s="413" t="s">
        <v>2650</v>
      </c>
      <c r="AL180" s="36"/>
      <c r="AM180" s="696" t="s">
        <v>2686</v>
      </c>
      <c r="AN180" s="709" t="s">
        <v>1326</v>
      </c>
      <c r="AO180" s="189" t="s">
        <v>751</v>
      </c>
      <c r="AP180" s="183">
        <f t="shared" si="11"/>
        <v>0</v>
      </c>
      <c r="AQ180" s="183">
        <f t="shared" si="11"/>
        <v>0</v>
      </c>
      <c r="AR180" s="183">
        <f t="shared" si="11"/>
        <v>0</v>
      </c>
      <c r="AS180" s="190"/>
      <c r="AT180" s="462"/>
      <c r="AU180" s="462"/>
      <c r="AV180" s="462"/>
      <c r="AW180" s="194"/>
      <c r="AX180" s="169"/>
    </row>
    <row r="181" spans="32:50" ht="12" customHeight="1">
      <c r="AF181" s="413" t="s">
        <v>2653</v>
      </c>
      <c r="AL181" s="36"/>
      <c r="AM181" s="696" t="s">
        <v>2687</v>
      </c>
      <c r="AN181" s="709" t="s">
        <v>2652</v>
      </c>
      <c r="AO181" s="189" t="s">
        <v>751</v>
      </c>
      <c r="AP181" s="183">
        <f>IF(AP389=0,0,AP77/AP389*1000)</f>
        <v>0</v>
      </c>
      <c r="AQ181" s="183">
        <f>IF(AQ389=0,0,AQ77/AQ389*1000)</f>
        <v>0</v>
      </c>
      <c r="AR181" s="183">
        <f>IF(AR389=0,0,AR77/AR389*1000)</f>
        <v>0</v>
      </c>
      <c r="AS181" s="190"/>
      <c r="AT181" s="462"/>
      <c r="AU181" s="462"/>
      <c r="AV181" s="462"/>
      <c r="AW181" s="194"/>
      <c r="AX181" s="169"/>
    </row>
    <row r="182" spans="32:50" ht="12" customHeight="1">
      <c r="AF182" s="413" t="s">
        <v>1366</v>
      </c>
      <c r="AL182" s="36"/>
      <c r="AM182" s="696" t="s">
        <v>1456</v>
      </c>
      <c r="AN182" s="710" t="s">
        <v>1364</v>
      </c>
      <c r="AO182" s="189" t="s">
        <v>313</v>
      </c>
      <c r="AP182" s="187">
        <f t="shared" ref="AP182:AR183" si="12">IF(AP1068=0,0,AP78/AP1068)</f>
        <v>0</v>
      </c>
      <c r="AQ182" s="187">
        <f t="shared" si="12"/>
        <v>0</v>
      </c>
      <c r="AR182" s="187">
        <f t="shared" si="12"/>
        <v>0</v>
      </c>
      <c r="AS182" s="190"/>
      <c r="AT182" s="462"/>
      <c r="AU182" s="462"/>
      <c r="AV182" s="462"/>
      <c r="AW182" s="194"/>
      <c r="AX182" s="169"/>
    </row>
    <row r="183" spans="32:50" ht="12" customHeight="1">
      <c r="AF183" s="413" t="s">
        <v>1367</v>
      </c>
      <c r="AL183" s="36"/>
      <c r="AM183" s="696" t="s">
        <v>1457</v>
      </c>
      <c r="AN183" s="710" t="s">
        <v>1365</v>
      </c>
      <c r="AO183" s="189" t="s">
        <v>314</v>
      </c>
      <c r="AP183" s="187">
        <f t="shared" si="12"/>
        <v>0</v>
      </c>
      <c r="AQ183" s="187">
        <f t="shared" si="12"/>
        <v>0</v>
      </c>
      <c r="AR183" s="187">
        <f t="shared" si="12"/>
        <v>0</v>
      </c>
      <c r="AS183" s="190"/>
      <c r="AT183" s="462"/>
      <c r="AU183" s="462"/>
      <c r="AV183" s="462"/>
      <c r="AW183" s="194"/>
      <c r="AX183" s="169"/>
    </row>
    <row r="184" spans="32:50" ht="12" customHeight="1">
      <c r="AF184" s="413" t="s">
        <v>1357</v>
      </c>
      <c r="AL184" s="36"/>
      <c r="AM184" s="696" t="s">
        <v>1458</v>
      </c>
      <c r="AN184" s="719" t="s">
        <v>1327</v>
      </c>
      <c r="AO184" s="189" t="s">
        <v>751</v>
      </c>
      <c r="AP184" s="183">
        <f t="shared" ref="AP184:AR190" si="13">IF(AP392=0,0,AP80/AP392*1000)</f>
        <v>0</v>
      </c>
      <c r="AQ184" s="183">
        <f t="shared" si="13"/>
        <v>0</v>
      </c>
      <c r="AR184" s="183">
        <f t="shared" si="13"/>
        <v>0</v>
      </c>
      <c r="AS184" s="190"/>
      <c r="AT184" s="462"/>
      <c r="AU184" s="462"/>
      <c r="AV184" s="462"/>
      <c r="AW184" s="194"/>
      <c r="AX184" s="169"/>
    </row>
    <row r="185" spans="32:50" ht="12" customHeight="1">
      <c r="AF185" s="413" t="s">
        <v>1350</v>
      </c>
      <c r="AL185" s="36"/>
      <c r="AM185" s="696" t="s">
        <v>1459</v>
      </c>
      <c r="AN185" s="712" t="s">
        <v>723</v>
      </c>
      <c r="AO185" s="189" t="s">
        <v>751</v>
      </c>
      <c r="AP185" s="183">
        <f t="shared" si="13"/>
        <v>0</v>
      </c>
      <c r="AQ185" s="183">
        <f t="shared" si="13"/>
        <v>0</v>
      </c>
      <c r="AR185" s="183">
        <f t="shared" si="13"/>
        <v>0</v>
      </c>
      <c r="AS185" s="190"/>
      <c r="AT185" s="462"/>
      <c r="AU185" s="462"/>
      <c r="AV185" s="462"/>
      <c r="AW185" s="194"/>
      <c r="AX185" s="169"/>
    </row>
    <row r="186" spans="32:50" ht="12" customHeight="1">
      <c r="AF186" s="413" t="s">
        <v>1351</v>
      </c>
      <c r="AL186" s="36"/>
      <c r="AM186" s="696" t="s">
        <v>1460</v>
      </c>
      <c r="AN186" s="713" t="s">
        <v>748</v>
      </c>
      <c r="AO186" s="189" t="s">
        <v>751</v>
      </c>
      <c r="AP186" s="183">
        <f t="shared" si="13"/>
        <v>0</v>
      </c>
      <c r="AQ186" s="183">
        <f t="shared" si="13"/>
        <v>0</v>
      </c>
      <c r="AR186" s="183">
        <f t="shared" si="13"/>
        <v>0</v>
      </c>
      <c r="AS186" s="190"/>
      <c r="AT186" s="462"/>
      <c r="AU186" s="462"/>
      <c r="AV186" s="462"/>
      <c r="AW186" s="194"/>
      <c r="AX186" s="169"/>
    </row>
    <row r="187" spans="32:50" ht="12" customHeight="1">
      <c r="AF187" s="413" t="s">
        <v>1352</v>
      </c>
      <c r="AL187" s="36"/>
      <c r="AM187" s="696" t="s">
        <v>1461</v>
      </c>
      <c r="AN187" s="714" t="s">
        <v>315</v>
      </c>
      <c r="AO187" s="189" t="s">
        <v>751</v>
      </c>
      <c r="AP187" s="183">
        <f t="shared" si="13"/>
        <v>0</v>
      </c>
      <c r="AQ187" s="183">
        <f t="shared" si="13"/>
        <v>0</v>
      </c>
      <c r="AR187" s="183">
        <f t="shared" si="13"/>
        <v>0</v>
      </c>
      <c r="AS187" s="190"/>
      <c r="AT187" s="462"/>
      <c r="AU187" s="462"/>
      <c r="AV187" s="462"/>
      <c r="AW187" s="194"/>
      <c r="AX187" s="169"/>
    </row>
    <row r="188" spans="32:50" ht="12" customHeight="1">
      <c r="AF188" s="413" t="s">
        <v>1354</v>
      </c>
      <c r="AL188" s="36"/>
      <c r="AM188" s="696" t="s">
        <v>1462</v>
      </c>
      <c r="AN188" s="715" t="s">
        <v>316</v>
      </c>
      <c r="AO188" s="189" t="s">
        <v>751</v>
      </c>
      <c r="AP188" s="183">
        <f t="shared" si="13"/>
        <v>0</v>
      </c>
      <c r="AQ188" s="183">
        <f t="shared" si="13"/>
        <v>0</v>
      </c>
      <c r="AR188" s="183">
        <f t="shared" si="13"/>
        <v>0</v>
      </c>
      <c r="AS188" s="190"/>
      <c r="AT188" s="462"/>
      <c r="AU188" s="462"/>
      <c r="AV188" s="462"/>
      <c r="AW188" s="194"/>
      <c r="AX188" s="169"/>
    </row>
    <row r="189" spans="32:50" ht="12" customHeight="1">
      <c r="AF189" s="413" t="s">
        <v>1353</v>
      </c>
      <c r="AL189" s="36"/>
      <c r="AM189" s="696" t="s">
        <v>1463</v>
      </c>
      <c r="AN189" s="716" t="s">
        <v>317</v>
      </c>
      <c r="AO189" s="189" t="s">
        <v>751</v>
      </c>
      <c r="AP189" s="183">
        <f t="shared" si="13"/>
        <v>0</v>
      </c>
      <c r="AQ189" s="183">
        <f t="shared" si="13"/>
        <v>0</v>
      </c>
      <c r="AR189" s="183">
        <f t="shared" si="13"/>
        <v>0</v>
      </c>
      <c r="AS189" s="190"/>
      <c r="AT189" s="462"/>
      <c r="AU189" s="462"/>
      <c r="AV189" s="462"/>
      <c r="AW189" s="194"/>
      <c r="AX189" s="169"/>
    </row>
    <row r="190" spans="32:50" ht="12" customHeight="1">
      <c r="AF190" s="413" t="s">
        <v>1355</v>
      </c>
      <c r="AL190" s="36"/>
      <c r="AM190" s="696" t="s">
        <v>1464</v>
      </c>
      <c r="AN190" s="701" t="s">
        <v>318</v>
      </c>
      <c r="AO190" s="189" t="s">
        <v>751</v>
      </c>
      <c r="AP190" s="183">
        <f t="shared" si="13"/>
        <v>0</v>
      </c>
      <c r="AQ190" s="183">
        <f t="shared" si="13"/>
        <v>0</v>
      </c>
      <c r="AR190" s="183">
        <f t="shared" si="13"/>
        <v>0</v>
      </c>
      <c r="AS190" s="190"/>
      <c r="AT190" s="462"/>
      <c r="AU190" s="462"/>
      <c r="AV190" s="462"/>
      <c r="AW190" s="194"/>
      <c r="AX190" s="169"/>
    </row>
    <row r="191" spans="32:50" ht="0.75" hidden="1" customHeight="1">
      <c r="AF191" s="413"/>
      <c r="AL191" s="36"/>
      <c r="AM191" s="718"/>
      <c r="AN191" s="460"/>
      <c r="AO191" s="461"/>
      <c r="AP191" s="462"/>
      <c r="AQ191" s="462"/>
      <c r="AR191" s="462"/>
      <c r="AS191" s="190"/>
      <c r="AT191" s="462"/>
      <c r="AU191" s="462"/>
      <c r="AV191" s="462"/>
      <c r="AW191" s="194"/>
      <c r="AX191" s="169"/>
    </row>
    <row r="192" spans="32:50" ht="24" customHeight="1">
      <c r="AF192" s="115"/>
      <c r="AL192" s="36"/>
      <c r="AM192" s="490" t="s">
        <v>1363</v>
      </c>
      <c r="AN192" s="463" t="s">
        <v>752</v>
      </c>
      <c r="AO192" s="189" t="s">
        <v>753</v>
      </c>
      <c r="AP192" s="686">
        <f t="shared" ref="AP192:AR211" si="14">SUMIF($AS$9:$AW$9,AP$9,$AS192:$AW192)</f>
        <v>1211.9380000000051</v>
      </c>
      <c r="AQ192" s="686">
        <f t="shared" si="14"/>
        <v>605.96900000000255</v>
      </c>
      <c r="AR192" s="686">
        <f t="shared" si="14"/>
        <v>605.96900000000255</v>
      </c>
      <c r="AS192" s="190"/>
      <c r="AT192" s="263">
        <f>SUM(AT193,AT197:AT202,AT203,AT208,AT215,AT216,AT236:AT242)</f>
        <v>1211.9380000000051</v>
      </c>
      <c r="AU192" s="263">
        <f>SUM(AU193,AU197:AU202,AU203,AU208,AU215,AU216,AU236:AU242)</f>
        <v>605.96900000000255</v>
      </c>
      <c r="AV192" s="263">
        <f>SUM(AV193,AV197:AV202,AV203,AV208,AV215,AV216,AV236:AV242)</f>
        <v>605.96900000000255</v>
      </c>
      <c r="AW192" s="194"/>
      <c r="AX192" s="169"/>
    </row>
    <row r="193" spans="32:50" ht="12" customHeight="1">
      <c r="AF193" s="413" t="s">
        <v>1328</v>
      </c>
      <c r="AL193" s="36"/>
      <c r="AM193" s="696" t="s">
        <v>1465</v>
      </c>
      <c r="AN193" s="697" t="s">
        <v>1304</v>
      </c>
      <c r="AO193" s="189" t="s">
        <v>753</v>
      </c>
      <c r="AP193" s="686">
        <f t="shared" si="14"/>
        <v>1211.9380000000051</v>
      </c>
      <c r="AQ193" s="686">
        <f t="shared" si="14"/>
        <v>605.96900000000255</v>
      </c>
      <c r="AR193" s="686">
        <f t="shared" si="14"/>
        <v>605.96900000000255</v>
      </c>
      <c r="AS193" s="190"/>
      <c r="AT193" s="183">
        <f>AU193+AV193</f>
        <v>1211.9380000000051</v>
      </c>
      <c r="AU193" s="183">
        <f>SUM(AU194:AU196)</f>
        <v>605.96900000000255</v>
      </c>
      <c r="AV193" s="183">
        <f>SUM(AV194:AV196)</f>
        <v>605.96900000000255</v>
      </c>
      <c r="AW193" s="194"/>
      <c r="AX193" s="169"/>
    </row>
    <row r="194" spans="32:50" ht="12" customHeight="1">
      <c r="AF194" s="413" t="s">
        <v>1329</v>
      </c>
      <c r="AL194" s="36"/>
      <c r="AM194" s="696" t="s">
        <v>1466</v>
      </c>
      <c r="AN194" s="699" t="s">
        <v>713</v>
      </c>
      <c r="AO194" s="189" t="s">
        <v>753</v>
      </c>
      <c r="AP194" s="686">
        <f t="shared" si="14"/>
        <v>1211.9380000000051</v>
      </c>
      <c r="AQ194" s="686">
        <f t="shared" si="14"/>
        <v>605.96900000000255</v>
      </c>
      <c r="AR194" s="686">
        <f t="shared" si="14"/>
        <v>605.96900000000255</v>
      </c>
      <c r="AS194" s="190"/>
      <c r="AT194" s="183">
        <f>AU194+AV194</f>
        <v>1211.9380000000051</v>
      </c>
      <c r="AU194" s="183">
        <f>AU298*AU350</f>
        <v>605.96900000000255</v>
      </c>
      <c r="AV194" s="183">
        <f>AV298*AV350</f>
        <v>605.96900000000255</v>
      </c>
      <c r="AW194" s="194"/>
      <c r="AX194" s="169"/>
    </row>
    <row r="195" spans="32:50" ht="12" customHeight="1">
      <c r="AF195" s="413" t="s">
        <v>1330</v>
      </c>
      <c r="AL195" s="36"/>
      <c r="AM195" s="696" t="s">
        <v>1467</v>
      </c>
      <c r="AN195" s="699" t="s">
        <v>715</v>
      </c>
      <c r="AO195" s="189" t="s">
        <v>753</v>
      </c>
      <c r="AP195" s="686">
        <f t="shared" si="14"/>
        <v>0</v>
      </c>
      <c r="AQ195" s="686">
        <f t="shared" si="14"/>
        <v>0</v>
      </c>
      <c r="AR195" s="686">
        <f t="shared" si="14"/>
        <v>0</v>
      </c>
      <c r="AS195" s="190"/>
      <c r="AT195" s="462"/>
      <c r="AU195" s="462"/>
      <c r="AV195" s="462"/>
      <c r="AW195" s="194"/>
      <c r="AX195" s="169"/>
    </row>
    <row r="196" spans="32:50" ht="12" customHeight="1">
      <c r="AF196" s="413" t="s">
        <v>1331</v>
      </c>
      <c r="AL196" s="36"/>
      <c r="AM196" s="696" t="s">
        <v>1468</v>
      </c>
      <c r="AN196" s="699" t="s">
        <v>716</v>
      </c>
      <c r="AO196" s="189" t="s">
        <v>753</v>
      </c>
      <c r="AP196" s="686">
        <f t="shared" si="14"/>
        <v>0</v>
      </c>
      <c r="AQ196" s="686">
        <f t="shared" si="14"/>
        <v>0</v>
      </c>
      <c r="AR196" s="686">
        <f t="shared" si="14"/>
        <v>0</v>
      </c>
      <c r="AS196" s="190"/>
      <c r="AT196" s="462"/>
      <c r="AU196" s="462"/>
      <c r="AV196" s="462"/>
      <c r="AW196" s="194"/>
      <c r="AX196" s="169"/>
    </row>
    <row r="197" spans="32:50" ht="12" customHeight="1">
      <c r="AF197" s="413" t="s">
        <v>1340</v>
      </c>
      <c r="AL197" s="36"/>
      <c r="AM197" s="696" t="s">
        <v>1469</v>
      </c>
      <c r="AN197" s="700" t="s">
        <v>1305</v>
      </c>
      <c r="AO197" s="189" t="s">
        <v>753</v>
      </c>
      <c r="AP197" s="686">
        <f t="shared" si="14"/>
        <v>0</v>
      </c>
      <c r="AQ197" s="686">
        <f t="shared" si="14"/>
        <v>0</v>
      </c>
      <c r="AR197" s="686">
        <f t="shared" si="14"/>
        <v>0</v>
      </c>
      <c r="AS197" s="190"/>
      <c r="AT197" s="462"/>
      <c r="AU197" s="462"/>
      <c r="AV197" s="462"/>
      <c r="AW197" s="194"/>
      <c r="AX197" s="169"/>
    </row>
    <row r="198" spans="32:50" ht="12" customHeight="1">
      <c r="AF198" s="413" t="s">
        <v>1341</v>
      </c>
      <c r="AL198" s="36"/>
      <c r="AM198" s="696" t="s">
        <v>1470</v>
      </c>
      <c r="AN198" s="700" t="s">
        <v>1306</v>
      </c>
      <c r="AO198" s="189" t="s">
        <v>753</v>
      </c>
      <c r="AP198" s="686">
        <f t="shared" si="14"/>
        <v>0</v>
      </c>
      <c r="AQ198" s="686">
        <f t="shared" si="14"/>
        <v>0</v>
      </c>
      <c r="AR198" s="686">
        <f t="shared" si="14"/>
        <v>0</v>
      </c>
      <c r="AS198" s="190"/>
      <c r="AT198" s="462"/>
      <c r="AU198" s="462"/>
      <c r="AV198" s="462"/>
      <c r="AW198" s="194"/>
      <c r="AX198" s="169"/>
    </row>
    <row r="199" spans="32:50" ht="12" customHeight="1">
      <c r="AF199" s="413" t="s">
        <v>1342</v>
      </c>
      <c r="AL199" s="36"/>
      <c r="AM199" s="696" t="s">
        <v>1471</v>
      </c>
      <c r="AN199" s="700" t="s">
        <v>1307</v>
      </c>
      <c r="AO199" s="189" t="s">
        <v>753</v>
      </c>
      <c r="AP199" s="686">
        <f t="shared" si="14"/>
        <v>0</v>
      </c>
      <c r="AQ199" s="686">
        <f t="shared" si="14"/>
        <v>0</v>
      </c>
      <c r="AR199" s="686">
        <f t="shared" si="14"/>
        <v>0</v>
      </c>
      <c r="AS199" s="190"/>
      <c r="AT199" s="462"/>
      <c r="AU199" s="462"/>
      <c r="AV199" s="462"/>
      <c r="AW199" s="194"/>
      <c r="AX199" s="169"/>
    </row>
    <row r="200" spans="32:50" ht="12" customHeight="1">
      <c r="AF200" s="413" t="s">
        <v>1339</v>
      </c>
      <c r="AL200" s="36"/>
      <c r="AM200" s="696" t="s">
        <v>1472</v>
      </c>
      <c r="AN200" s="700" t="s">
        <v>1308</v>
      </c>
      <c r="AO200" s="189" t="s">
        <v>753</v>
      </c>
      <c r="AP200" s="686">
        <f t="shared" si="14"/>
        <v>0</v>
      </c>
      <c r="AQ200" s="686">
        <f t="shared" si="14"/>
        <v>0</v>
      </c>
      <c r="AR200" s="686">
        <f t="shared" si="14"/>
        <v>0</v>
      </c>
      <c r="AS200" s="190"/>
      <c r="AT200" s="462"/>
      <c r="AU200" s="462"/>
      <c r="AV200" s="462"/>
      <c r="AW200" s="194"/>
      <c r="AX200" s="169"/>
    </row>
    <row r="201" spans="32:50" ht="12" customHeight="1">
      <c r="AF201" s="413" t="s">
        <v>1332</v>
      </c>
      <c r="AL201" s="36"/>
      <c r="AM201" s="696" t="s">
        <v>1473</v>
      </c>
      <c r="AN201" s="701" t="s">
        <v>684</v>
      </c>
      <c r="AO201" s="189" t="s">
        <v>753</v>
      </c>
      <c r="AP201" s="686">
        <f t="shared" si="14"/>
        <v>0</v>
      </c>
      <c r="AQ201" s="686">
        <f t="shared" si="14"/>
        <v>0</v>
      </c>
      <c r="AR201" s="686">
        <f t="shared" si="14"/>
        <v>0</v>
      </c>
      <c r="AS201" s="190"/>
      <c r="AT201" s="462"/>
      <c r="AU201" s="462"/>
      <c r="AV201" s="462"/>
      <c r="AW201" s="194"/>
      <c r="AX201" s="169"/>
    </row>
    <row r="202" spans="32:50" ht="12" customHeight="1">
      <c r="AF202" s="413" t="s">
        <v>1333</v>
      </c>
      <c r="AL202" s="36"/>
      <c r="AM202" s="696" t="s">
        <v>1474</v>
      </c>
      <c r="AN202" s="702" t="s">
        <v>718</v>
      </c>
      <c r="AO202" s="189" t="s">
        <v>753</v>
      </c>
      <c r="AP202" s="686">
        <f t="shared" si="14"/>
        <v>0</v>
      </c>
      <c r="AQ202" s="686">
        <f t="shared" si="14"/>
        <v>0</v>
      </c>
      <c r="AR202" s="686">
        <f t="shared" si="14"/>
        <v>0</v>
      </c>
      <c r="AS202" s="190"/>
      <c r="AT202" s="462"/>
      <c r="AU202" s="462"/>
      <c r="AV202" s="462"/>
      <c r="AW202" s="194"/>
      <c r="AX202" s="169"/>
    </row>
    <row r="203" spans="32:50" ht="12" customHeight="1">
      <c r="AF203" s="413" t="s">
        <v>1334</v>
      </c>
      <c r="AL203" s="36"/>
      <c r="AM203" s="696" t="s">
        <v>1475</v>
      </c>
      <c r="AN203" s="703" t="s">
        <v>722</v>
      </c>
      <c r="AO203" s="189" t="s">
        <v>753</v>
      </c>
      <c r="AP203" s="686">
        <f t="shared" si="14"/>
        <v>0</v>
      </c>
      <c r="AQ203" s="686">
        <f t="shared" si="14"/>
        <v>0</v>
      </c>
      <c r="AR203" s="686">
        <f t="shared" si="14"/>
        <v>0</v>
      </c>
      <c r="AS203" s="190"/>
      <c r="AT203" s="462"/>
      <c r="AU203" s="462"/>
      <c r="AV203" s="462"/>
      <c r="AW203" s="194"/>
      <c r="AX203" s="169"/>
    </row>
    <row r="204" spans="32:50" ht="12" customHeight="1">
      <c r="AF204" s="413" t="s">
        <v>1335</v>
      </c>
      <c r="AL204" s="36"/>
      <c r="AM204" s="696" t="s">
        <v>1476</v>
      </c>
      <c r="AN204" s="704" t="s">
        <v>1309</v>
      </c>
      <c r="AO204" s="189" t="s">
        <v>753</v>
      </c>
      <c r="AP204" s="686">
        <f t="shared" si="14"/>
        <v>0</v>
      </c>
      <c r="AQ204" s="686">
        <f t="shared" si="14"/>
        <v>0</v>
      </c>
      <c r="AR204" s="686">
        <f t="shared" si="14"/>
        <v>0</v>
      </c>
      <c r="AS204" s="190"/>
      <c r="AT204" s="462"/>
      <c r="AU204" s="462"/>
      <c r="AV204" s="462"/>
      <c r="AW204" s="194"/>
      <c r="AX204" s="169"/>
    </row>
    <row r="205" spans="32:50" ht="12" customHeight="1">
      <c r="AF205" s="413" t="s">
        <v>1336</v>
      </c>
      <c r="AL205" s="36"/>
      <c r="AM205" s="696" t="s">
        <v>1477</v>
      </c>
      <c r="AN205" s="704" t="s">
        <v>1310</v>
      </c>
      <c r="AO205" s="189" t="s">
        <v>753</v>
      </c>
      <c r="AP205" s="686">
        <f t="shared" si="14"/>
        <v>0</v>
      </c>
      <c r="AQ205" s="686">
        <f t="shared" si="14"/>
        <v>0</v>
      </c>
      <c r="AR205" s="686">
        <f t="shared" si="14"/>
        <v>0</v>
      </c>
      <c r="AS205" s="190"/>
      <c r="AT205" s="462"/>
      <c r="AU205" s="462"/>
      <c r="AV205" s="462"/>
      <c r="AW205" s="194"/>
      <c r="AX205" s="169"/>
    </row>
    <row r="206" spans="32:50" ht="12" customHeight="1">
      <c r="AF206" s="413" t="s">
        <v>1337</v>
      </c>
      <c r="AL206" s="36"/>
      <c r="AM206" s="696" t="s">
        <v>1478</v>
      </c>
      <c r="AN206" s="704" t="s">
        <v>1311</v>
      </c>
      <c r="AO206" s="189" t="s">
        <v>753</v>
      </c>
      <c r="AP206" s="686">
        <f t="shared" si="14"/>
        <v>0</v>
      </c>
      <c r="AQ206" s="686">
        <f t="shared" si="14"/>
        <v>0</v>
      </c>
      <c r="AR206" s="686">
        <f t="shared" si="14"/>
        <v>0</v>
      </c>
      <c r="AS206" s="190"/>
      <c r="AT206" s="462"/>
      <c r="AU206" s="462"/>
      <c r="AV206" s="462"/>
      <c r="AW206" s="194"/>
      <c r="AX206" s="169"/>
    </row>
    <row r="207" spans="32:50" ht="12" customHeight="1">
      <c r="AF207" s="413" t="s">
        <v>1338</v>
      </c>
      <c r="AL207" s="36"/>
      <c r="AM207" s="696" t="s">
        <v>1479</v>
      </c>
      <c r="AN207" s="704" t="s">
        <v>1312</v>
      </c>
      <c r="AO207" s="189" t="s">
        <v>753</v>
      </c>
      <c r="AP207" s="686">
        <f t="shared" si="14"/>
        <v>0</v>
      </c>
      <c r="AQ207" s="686">
        <f t="shared" si="14"/>
        <v>0</v>
      </c>
      <c r="AR207" s="686">
        <f t="shared" si="14"/>
        <v>0</v>
      </c>
      <c r="AS207" s="190"/>
      <c r="AT207" s="462"/>
      <c r="AU207" s="462"/>
      <c r="AV207" s="462"/>
      <c r="AW207" s="194"/>
      <c r="AX207" s="169"/>
    </row>
    <row r="208" spans="32:50" ht="12" customHeight="1">
      <c r="AF208" s="413" t="s">
        <v>1343</v>
      </c>
      <c r="AL208" s="36"/>
      <c r="AM208" s="696" t="s">
        <v>1480</v>
      </c>
      <c r="AN208" s="705" t="s">
        <v>720</v>
      </c>
      <c r="AO208" s="189" t="s">
        <v>753</v>
      </c>
      <c r="AP208" s="686">
        <f t="shared" si="14"/>
        <v>0</v>
      </c>
      <c r="AQ208" s="686">
        <f t="shared" si="14"/>
        <v>0</v>
      </c>
      <c r="AR208" s="686">
        <f t="shared" si="14"/>
        <v>0</v>
      </c>
      <c r="AS208" s="190"/>
      <c r="AT208" s="462"/>
      <c r="AU208" s="462"/>
      <c r="AV208" s="462"/>
      <c r="AW208" s="194"/>
      <c r="AX208" s="169"/>
    </row>
    <row r="209" spans="32:50" ht="12" customHeight="1">
      <c r="AF209" s="413" t="s">
        <v>1866</v>
      </c>
      <c r="AL209" s="36"/>
      <c r="AM209" s="696" t="s">
        <v>1869</v>
      </c>
      <c r="AN209" s="706" t="s">
        <v>1313</v>
      </c>
      <c r="AO209" s="189" t="s">
        <v>753</v>
      </c>
      <c r="AP209" s="686">
        <f t="shared" si="14"/>
        <v>0</v>
      </c>
      <c r="AQ209" s="686">
        <f t="shared" si="14"/>
        <v>0</v>
      </c>
      <c r="AR209" s="686">
        <f t="shared" si="14"/>
        <v>0</v>
      </c>
      <c r="AS209" s="190"/>
      <c r="AT209" s="462"/>
      <c r="AU209" s="462"/>
      <c r="AV209" s="462"/>
      <c r="AW209" s="194"/>
      <c r="AX209" s="169"/>
    </row>
    <row r="210" spans="32:50" ht="12" customHeight="1">
      <c r="AF210" s="413" t="s">
        <v>1847</v>
      </c>
      <c r="AL210" s="36"/>
      <c r="AM210" s="696" t="s">
        <v>1850</v>
      </c>
      <c r="AN210" s="706" t="s">
        <v>1314</v>
      </c>
      <c r="AO210" s="189" t="s">
        <v>753</v>
      </c>
      <c r="AP210" s="686">
        <f t="shared" si="14"/>
        <v>0</v>
      </c>
      <c r="AQ210" s="686">
        <f t="shared" si="14"/>
        <v>0</v>
      </c>
      <c r="AR210" s="686">
        <f t="shared" si="14"/>
        <v>0</v>
      </c>
      <c r="AS210" s="190"/>
      <c r="AT210" s="462"/>
      <c r="AU210" s="462"/>
      <c r="AV210" s="462"/>
      <c r="AW210" s="194"/>
      <c r="AX210" s="169"/>
    </row>
    <row r="211" spans="32:50" ht="12" customHeight="1">
      <c r="AF211" s="413" t="s">
        <v>1827</v>
      </c>
      <c r="AL211" s="36"/>
      <c r="AM211" s="696" t="s">
        <v>1831</v>
      </c>
      <c r="AN211" s="706" t="s">
        <v>1315</v>
      </c>
      <c r="AO211" s="189" t="s">
        <v>753</v>
      </c>
      <c r="AP211" s="686">
        <f t="shared" si="14"/>
        <v>0</v>
      </c>
      <c r="AQ211" s="686">
        <f t="shared" si="14"/>
        <v>0</v>
      </c>
      <c r="AR211" s="686">
        <f t="shared" si="14"/>
        <v>0</v>
      </c>
      <c r="AS211" s="190"/>
      <c r="AT211" s="462"/>
      <c r="AU211" s="462"/>
      <c r="AV211" s="462"/>
      <c r="AW211" s="194"/>
      <c r="AX211" s="169"/>
    </row>
    <row r="212" spans="32:50" ht="12" customHeight="1">
      <c r="AF212" s="413" t="s">
        <v>1344</v>
      </c>
      <c r="AL212" s="36"/>
      <c r="AM212" s="696" t="s">
        <v>1481</v>
      </c>
      <c r="AN212" s="706" t="s">
        <v>1316</v>
      </c>
      <c r="AO212" s="189" t="s">
        <v>753</v>
      </c>
      <c r="AP212" s="686">
        <f t="shared" ref="AP212:AR233" si="15">SUMIF($AS$9:$AW$9,AP$9,$AS212:$AW212)</f>
        <v>0</v>
      </c>
      <c r="AQ212" s="686">
        <f t="shared" si="15"/>
        <v>0</v>
      </c>
      <c r="AR212" s="686">
        <f t="shared" si="15"/>
        <v>0</v>
      </c>
      <c r="AS212" s="190"/>
      <c r="AT212" s="462"/>
      <c r="AU212" s="462"/>
      <c r="AV212" s="462"/>
      <c r="AW212" s="194"/>
      <c r="AX212" s="169"/>
    </row>
    <row r="213" spans="32:50" ht="12" customHeight="1">
      <c r="AF213" s="413" t="s">
        <v>1345</v>
      </c>
      <c r="AL213" s="36"/>
      <c r="AM213" s="696" t="s">
        <v>1482</v>
      </c>
      <c r="AN213" s="706" t="s">
        <v>1317</v>
      </c>
      <c r="AO213" s="189" t="s">
        <v>753</v>
      </c>
      <c r="AP213" s="686">
        <f t="shared" si="15"/>
        <v>0</v>
      </c>
      <c r="AQ213" s="686">
        <f t="shared" si="15"/>
        <v>0</v>
      </c>
      <c r="AR213" s="686">
        <f t="shared" si="15"/>
        <v>0</v>
      </c>
      <c r="AS213" s="190"/>
      <c r="AT213" s="462"/>
      <c r="AU213" s="462"/>
      <c r="AV213" s="462"/>
      <c r="AW213" s="194"/>
      <c r="AX213" s="169"/>
    </row>
    <row r="214" spans="32:50" ht="12" customHeight="1">
      <c r="AF214" s="413" t="s">
        <v>1346</v>
      </c>
      <c r="AL214" s="36"/>
      <c r="AM214" s="696" t="s">
        <v>1483</v>
      </c>
      <c r="AN214" s="706" t="s">
        <v>1318</v>
      </c>
      <c r="AO214" s="189" t="s">
        <v>753</v>
      </c>
      <c r="AP214" s="686">
        <f t="shared" si="15"/>
        <v>0</v>
      </c>
      <c r="AQ214" s="686">
        <f t="shared" si="15"/>
        <v>0</v>
      </c>
      <c r="AR214" s="686">
        <f t="shared" si="15"/>
        <v>0</v>
      </c>
      <c r="AS214" s="190"/>
      <c r="AT214" s="462"/>
      <c r="AU214" s="462"/>
      <c r="AV214" s="462"/>
      <c r="AW214" s="194"/>
      <c r="AX214" s="169"/>
    </row>
    <row r="215" spans="32:50" ht="12" customHeight="1">
      <c r="AF215" s="413" t="s">
        <v>1347</v>
      </c>
      <c r="AL215" s="36"/>
      <c r="AM215" s="696" t="s">
        <v>1484</v>
      </c>
      <c r="AN215" s="707" t="s">
        <v>721</v>
      </c>
      <c r="AO215" s="189" t="s">
        <v>753</v>
      </c>
      <c r="AP215" s="686">
        <f t="shared" si="15"/>
        <v>0</v>
      </c>
      <c r="AQ215" s="686">
        <f t="shared" si="15"/>
        <v>0</v>
      </c>
      <c r="AR215" s="686">
        <f t="shared" si="15"/>
        <v>0</v>
      </c>
      <c r="AS215" s="190"/>
      <c r="AT215" s="462"/>
      <c r="AU215" s="462"/>
      <c r="AV215" s="462"/>
      <c r="AW215" s="194"/>
      <c r="AX215" s="169"/>
    </row>
    <row r="216" spans="32:50" ht="12" customHeight="1">
      <c r="AF216" s="413" t="s">
        <v>1348</v>
      </c>
      <c r="AL216" s="36"/>
      <c r="AM216" s="696" t="s">
        <v>1485</v>
      </c>
      <c r="AN216" s="708" t="s">
        <v>712</v>
      </c>
      <c r="AO216" s="189" t="s">
        <v>753</v>
      </c>
      <c r="AP216" s="686">
        <f t="shared" si="15"/>
        <v>0</v>
      </c>
      <c r="AQ216" s="686">
        <f t="shared" si="15"/>
        <v>0</v>
      </c>
      <c r="AR216" s="686">
        <f t="shared" si="15"/>
        <v>0</v>
      </c>
      <c r="AS216" s="190"/>
      <c r="AT216" s="462"/>
      <c r="AU216" s="462"/>
      <c r="AV216" s="462"/>
      <c r="AW216" s="194"/>
      <c r="AX216" s="169"/>
    </row>
    <row r="217" spans="32:50" ht="12" customHeight="1">
      <c r="AF217" s="413" t="s">
        <v>2612</v>
      </c>
      <c r="AL217" s="36"/>
      <c r="AM217" s="696" t="s">
        <v>2688</v>
      </c>
      <c r="AN217" s="709" t="s">
        <v>1319</v>
      </c>
      <c r="AO217" s="189" t="s">
        <v>753</v>
      </c>
      <c r="AP217" s="686">
        <f t="shared" si="15"/>
        <v>0</v>
      </c>
      <c r="AQ217" s="686">
        <f t="shared" si="15"/>
        <v>0</v>
      </c>
      <c r="AR217" s="686">
        <f t="shared" si="15"/>
        <v>0</v>
      </c>
      <c r="AS217" s="190"/>
      <c r="AT217" s="462"/>
      <c r="AU217" s="462"/>
      <c r="AV217" s="462"/>
      <c r="AW217" s="194"/>
      <c r="AX217" s="169"/>
    </row>
    <row r="218" spans="32:50" ht="12" customHeight="1">
      <c r="AF218" s="413" t="s">
        <v>2614</v>
      </c>
      <c r="AL218" s="36"/>
      <c r="AM218" s="696" t="s">
        <v>2689</v>
      </c>
      <c r="AN218" s="709" t="s">
        <v>1320</v>
      </c>
      <c r="AO218" s="189" t="s">
        <v>753</v>
      </c>
      <c r="AP218" s="686">
        <f t="shared" si="15"/>
        <v>0</v>
      </c>
      <c r="AQ218" s="686">
        <f t="shared" si="15"/>
        <v>0</v>
      </c>
      <c r="AR218" s="686">
        <f t="shared" si="15"/>
        <v>0</v>
      </c>
      <c r="AS218" s="190"/>
      <c r="AT218" s="462"/>
      <c r="AU218" s="462"/>
      <c r="AV218" s="462"/>
      <c r="AW218" s="194"/>
      <c r="AX218" s="169"/>
    </row>
    <row r="219" spans="32:50" ht="12" customHeight="1">
      <c r="AF219" s="413" t="s">
        <v>2616</v>
      </c>
      <c r="AL219" s="36"/>
      <c r="AM219" s="696" t="s">
        <v>2690</v>
      </c>
      <c r="AN219" s="709" t="s">
        <v>1321</v>
      </c>
      <c r="AO219" s="189" t="s">
        <v>753</v>
      </c>
      <c r="AP219" s="686">
        <f t="shared" si="15"/>
        <v>0</v>
      </c>
      <c r="AQ219" s="686">
        <f t="shared" si="15"/>
        <v>0</v>
      </c>
      <c r="AR219" s="686">
        <f t="shared" si="15"/>
        <v>0</v>
      </c>
      <c r="AS219" s="190"/>
      <c r="AT219" s="462"/>
      <c r="AU219" s="462"/>
      <c r="AV219" s="462"/>
      <c r="AW219" s="194"/>
      <c r="AX219" s="169"/>
    </row>
    <row r="220" spans="32:50" ht="12" customHeight="1">
      <c r="AF220" s="413" t="s">
        <v>2619</v>
      </c>
      <c r="AL220" s="36"/>
      <c r="AM220" s="696" t="s">
        <v>2691</v>
      </c>
      <c r="AN220" s="709" t="s">
        <v>2618</v>
      </c>
      <c r="AO220" s="189" t="s">
        <v>753</v>
      </c>
      <c r="AP220" s="686">
        <f t="shared" si="15"/>
        <v>0</v>
      </c>
      <c r="AQ220" s="686">
        <f t="shared" si="15"/>
        <v>0</v>
      </c>
      <c r="AR220" s="686">
        <f t="shared" si="15"/>
        <v>0</v>
      </c>
      <c r="AS220" s="190"/>
      <c r="AT220" s="462"/>
      <c r="AU220" s="462"/>
      <c r="AV220" s="462"/>
      <c r="AW220" s="194"/>
      <c r="AX220" s="169"/>
    </row>
    <row r="221" spans="32:50" ht="12" customHeight="1">
      <c r="AF221" s="413" t="s">
        <v>2622</v>
      </c>
      <c r="AL221" s="36"/>
      <c r="AM221" s="696" t="s">
        <v>2692</v>
      </c>
      <c r="AN221" s="709" t="s">
        <v>2621</v>
      </c>
      <c r="AO221" s="189" t="s">
        <v>753</v>
      </c>
      <c r="AP221" s="686">
        <f t="shared" si="15"/>
        <v>0</v>
      </c>
      <c r="AQ221" s="686">
        <f t="shared" si="15"/>
        <v>0</v>
      </c>
      <c r="AR221" s="686">
        <f t="shared" si="15"/>
        <v>0</v>
      </c>
      <c r="AS221" s="190"/>
      <c r="AT221" s="462"/>
      <c r="AU221" s="462"/>
      <c r="AV221" s="462"/>
      <c r="AW221" s="194"/>
      <c r="AX221" s="169"/>
    </row>
    <row r="222" spans="32:50" ht="12" customHeight="1">
      <c r="AF222" s="413" t="s">
        <v>2624</v>
      </c>
      <c r="AL222" s="36"/>
      <c r="AM222" s="696" t="s">
        <v>2693</v>
      </c>
      <c r="AN222" s="709" t="s">
        <v>1322</v>
      </c>
      <c r="AO222" s="189" t="s">
        <v>753</v>
      </c>
      <c r="AP222" s="686">
        <f t="shared" si="15"/>
        <v>0</v>
      </c>
      <c r="AQ222" s="686">
        <f t="shared" si="15"/>
        <v>0</v>
      </c>
      <c r="AR222" s="686">
        <f t="shared" si="15"/>
        <v>0</v>
      </c>
      <c r="AS222" s="190"/>
      <c r="AT222" s="462"/>
      <c r="AU222" s="462"/>
      <c r="AV222" s="462"/>
      <c r="AW222" s="194"/>
      <c r="AX222" s="169"/>
    </row>
    <row r="223" spans="32:50" ht="12" customHeight="1">
      <c r="AF223" s="413" t="s">
        <v>2627</v>
      </c>
      <c r="AL223" s="36"/>
      <c r="AM223" s="696" t="s">
        <v>2694</v>
      </c>
      <c r="AN223" s="709" t="s">
        <v>2626</v>
      </c>
      <c r="AO223" s="189" t="s">
        <v>753</v>
      </c>
      <c r="AP223" s="686">
        <f t="shared" si="15"/>
        <v>0</v>
      </c>
      <c r="AQ223" s="686">
        <f t="shared" si="15"/>
        <v>0</v>
      </c>
      <c r="AR223" s="686">
        <f t="shared" si="15"/>
        <v>0</v>
      </c>
      <c r="AS223" s="190"/>
      <c r="AT223" s="462"/>
      <c r="AU223" s="462"/>
      <c r="AV223" s="462"/>
      <c r="AW223" s="194"/>
      <c r="AX223" s="169"/>
    </row>
    <row r="224" spans="32:50" ht="12" customHeight="1">
      <c r="AF224" s="413" t="s">
        <v>2629</v>
      </c>
      <c r="AL224" s="36"/>
      <c r="AM224" s="696" t="s">
        <v>2695</v>
      </c>
      <c r="AN224" s="709" t="s">
        <v>1323</v>
      </c>
      <c r="AO224" s="189" t="s">
        <v>753</v>
      </c>
      <c r="AP224" s="686">
        <f t="shared" si="15"/>
        <v>0</v>
      </c>
      <c r="AQ224" s="686">
        <f t="shared" si="15"/>
        <v>0</v>
      </c>
      <c r="AR224" s="686">
        <f t="shared" si="15"/>
        <v>0</v>
      </c>
      <c r="AS224" s="190"/>
      <c r="AT224" s="462"/>
      <c r="AU224" s="462"/>
      <c r="AV224" s="462"/>
      <c r="AW224" s="194"/>
      <c r="AX224" s="169"/>
    </row>
    <row r="225" spans="32:50" ht="12" customHeight="1">
      <c r="AF225" s="413" t="s">
        <v>2631</v>
      </c>
      <c r="AL225" s="36"/>
      <c r="AM225" s="696" t="s">
        <v>2696</v>
      </c>
      <c r="AN225" s="709" t="s">
        <v>1324</v>
      </c>
      <c r="AO225" s="189" t="s">
        <v>753</v>
      </c>
      <c r="AP225" s="686">
        <f t="shared" si="15"/>
        <v>0</v>
      </c>
      <c r="AQ225" s="686">
        <f t="shared" si="15"/>
        <v>0</v>
      </c>
      <c r="AR225" s="686">
        <f t="shared" si="15"/>
        <v>0</v>
      </c>
      <c r="AS225" s="190"/>
      <c r="AT225" s="462"/>
      <c r="AU225" s="462"/>
      <c r="AV225" s="462"/>
      <c r="AW225" s="194"/>
      <c r="AX225" s="169"/>
    </row>
    <row r="226" spans="32:50" ht="12" customHeight="1">
      <c r="AF226" s="413" t="s">
        <v>2634</v>
      </c>
      <c r="AL226" s="36"/>
      <c r="AM226" s="696" t="s">
        <v>2697</v>
      </c>
      <c r="AN226" s="709" t="s">
        <v>2633</v>
      </c>
      <c r="AO226" s="189" t="s">
        <v>753</v>
      </c>
      <c r="AP226" s="686">
        <f t="shared" si="15"/>
        <v>0</v>
      </c>
      <c r="AQ226" s="686">
        <f t="shared" si="15"/>
        <v>0</v>
      </c>
      <c r="AR226" s="686">
        <f t="shared" si="15"/>
        <v>0</v>
      </c>
      <c r="AS226" s="190"/>
      <c r="AT226" s="462"/>
      <c r="AU226" s="462"/>
      <c r="AV226" s="462"/>
      <c r="AW226" s="194"/>
      <c r="AX226" s="169"/>
    </row>
    <row r="227" spans="32:50" ht="12" customHeight="1">
      <c r="AF227" s="413" t="s">
        <v>2637</v>
      </c>
      <c r="AL227" s="36"/>
      <c r="AM227" s="696" t="s">
        <v>2698</v>
      </c>
      <c r="AN227" s="709" t="s">
        <v>2636</v>
      </c>
      <c r="AO227" s="189" t="s">
        <v>753</v>
      </c>
      <c r="AP227" s="686">
        <f t="shared" si="15"/>
        <v>0</v>
      </c>
      <c r="AQ227" s="686">
        <f t="shared" si="15"/>
        <v>0</v>
      </c>
      <c r="AR227" s="686">
        <f t="shared" si="15"/>
        <v>0</v>
      </c>
      <c r="AS227" s="190"/>
      <c r="AT227" s="462"/>
      <c r="AU227" s="462"/>
      <c r="AV227" s="462"/>
      <c r="AW227" s="194"/>
      <c r="AX227" s="169"/>
    </row>
    <row r="228" spans="32:50" ht="12" customHeight="1">
      <c r="AF228" s="413" t="s">
        <v>2640</v>
      </c>
      <c r="AL228" s="36"/>
      <c r="AM228" s="696" t="s">
        <v>2699</v>
      </c>
      <c r="AN228" s="709" t="s">
        <v>2639</v>
      </c>
      <c r="AO228" s="189" t="s">
        <v>753</v>
      </c>
      <c r="AP228" s="686">
        <f t="shared" si="15"/>
        <v>0</v>
      </c>
      <c r="AQ228" s="686">
        <f t="shared" si="15"/>
        <v>0</v>
      </c>
      <c r="AR228" s="686">
        <f t="shared" si="15"/>
        <v>0</v>
      </c>
      <c r="AS228" s="190"/>
      <c r="AT228" s="462"/>
      <c r="AU228" s="462"/>
      <c r="AV228" s="462"/>
      <c r="AW228" s="194"/>
      <c r="AX228" s="169"/>
    </row>
    <row r="229" spans="32:50" ht="12" customHeight="1">
      <c r="AF229" s="413" t="s">
        <v>2643</v>
      </c>
      <c r="AL229" s="36"/>
      <c r="AM229" s="696" t="s">
        <v>2700</v>
      </c>
      <c r="AN229" s="709" t="s">
        <v>2642</v>
      </c>
      <c r="AO229" s="189" t="s">
        <v>753</v>
      </c>
      <c r="AP229" s="686">
        <f t="shared" si="15"/>
        <v>0</v>
      </c>
      <c r="AQ229" s="686">
        <f t="shared" si="15"/>
        <v>0</v>
      </c>
      <c r="AR229" s="686">
        <f t="shared" si="15"/>
        <v>0</v>
      </c>
      <c r="AS229" s="190"/>
      <c r="AT229" s="462"/>
      <c r="AU229" s="462"/>
      <c r="AV229" s="462"/>
      <c r="AW229" s="194"/>
      <c r="AX229" s="169"/>
    </row>
    <row r="230" spans="32:50" ht="12" customHeight="1">
      <c r="AF230" s="413" t="s">
        <v>2646</v>
      </c>
      <c r="AL230" s="36"/>
      <c r="AM230" s="696" t="s">
        <v>2701</v>
      </c>
      <c r="AN230" s="709" t="s">
        <v>2645</v>
      </c>
      <c r="AO230" s="189" t="s">
        <v>753</v>
      </c>
      <c r="AP230" s="686">
        <f t="shared" si="15"/>
        <v>0</v>
      </c>
      <c r="AQ230" s="686">
        <f t="shared" si="15"/>
        <v>0</v>
      </c>
      <c r="AR230" s="686">
        <f t="shared" si="15"/>
        <v>0</v>
      </c>
      <c r="AS230" s="190"/>
      <c r="AT230" s="462"/>
      <c r="AU230" s="462"/>
      <c r="AV230" s="462"/>
      <c r="AW230" s="194"/>
      <c r="AX230" s="169"/>
    </row>
    <row r="231" spans="32:50" ht="12" customHeight="1">
      <c r="AF231" s="413" t="s">
        <v>2648</v>
      </c>
      <c r="AL231" s="36"/>
      <c r="AM231" s="696" t="s">
        <v>2702</v>
      </c>
      <c r="AN231" s="709" t="s">
        <v>1325</v>
      </c>
      <c r="AO231" s="189" t="s">
        <v>753</v>
      </c>
      <c r="AP231" s="686">
        <f t="shared" si="15"/>
        <v>0</v>
      </c>
      <c r="AQ231" s="686">
        <f t="shared" si="15"/>
        <v>0</v>
      </c>
      <c r="AR231" s="686">
        <f t="shared" si="15"/>
        <v>0</v>
      </c>
      <c r="AS231" s="190"/>
      <c r="AT231" s="462"/>
      <c r="AU231" s="462"/>
      <c r="AV231" s="462"/>
      <c r="AW231" s="194"/>
      <c r="AX231" s="169"/>
    </row>
    <row r="232" spans="32:50" ht="12" customHeight="1">
      <c r="AF232" s="413" t="s">
        <v>2650</v>
      </c>
      <c r="AL232" s="36"/>
      <c r="AM232" s="696" t="s">
        <v>2703</v>
      </c>
      <c r="AN232" s="709" t="s">
        <v>1326</v>
      </c>
      <c r="AO232" s="189" t="s">
        <v>753</v>
      </c>
      <c r="AP232" s="686">
        <f t="shared" si="15"/>
        <v>0</v>
      </c>
      <c r="AQ232" s="686">
        <f t="shared" si="15"/>
        <v>0</v>
      </c>
      <c r="AR232" s="686">
        <f t="shared" si="15"/>
        <v>0</v>
      </c>
      <c r="AS232" s="190"/>
      <c r="AT232" s="462"/>
      <c r="AU232" s="462"/>
      <c r="AV232" s="462"/>
      <c r="AW232" s="194"/>
      <c r="AX232" s="169"/>
    </row>
    <row r="233" spans="32:50" ht="12" customHeight="1">
      <c r="AF233" s="413" t="s">
        <v>2653</v>
      </c>
      <c r="AL233" s="36"/>
      <c r="AM233" s="696" t="s">
        <v>2704</v>
      </c>
      <c r="AN233" s="709" t="s">
        <v>2652</v>
      </c>
      <c r="AO233" s="189" t="s">
        <v>753</v>
      </c>
      <c r="AP233" s="686">
        <f t="shared" si="15"/>
        <v>0</v>
      </c>
      <c r="AQ233" s="686">
        <f t="shared" si="15"/>
        <v>0</v>
      </c>
      <c r="AR233" s="686">
        <f t="shared" si="15"/>
        <v>0</v>
      </c>
      <c r="AS233" s="190"/>
      <c r="AT233" s="462"/>
      <c r="AU233" s="462"/>
      <c r="AV233" s="462"/>
      <c r="AW233" s="194"/>
      <c r="AX233" s="169"/>
    </row>
    <row r="234" spans="32:50" ht="0.75" hidden="1" customHeight="1">
      <c r="AF234" s="413"/>
      <c r="AL234" s="36"/>
      <c r="AM234" s="491"/>
      <c r="AN234" s="460"/>
      <c r="AO234" s="461"/>
      <c r="AP234" s="462"/>
      <c r="AQ234" s="462"/>
      <c r="AR234" s="462"/>
      <c r="AS234" s="190"/>
      <c r="AT234" s="462"/>
      <c r="AU234" s="462"/>
      <c r="AV234" s="462"/>
      <c r="AW234" s="194"/>
      <c r="AX234" s="169"/>
    </row>
    <row r="235" spans="32:50" ht="0.75" hidden="1" customHeight="1">
      <c r="AF235" s="413"/>
      <c r="AL235" s="36"/>
      <c r="AM235" s="491"/>
      <c r="AN235" s="460"/>
      <c r="AO235" s="461"/>
      <c r="AP235" s="462"/>
      <c r="AQ235" s="462"/>
      <c r="AR235" s="462"/>
      <c r="AS235" s="190"/>
      <c r="AT235" s="462"/>
      <c r="AU235" s="462"/>
      <c r="AV235" s="462"/>
      <c r="AW235" s="194"/>
      <c r="AX235" s="169"/>
    </row>
    <row r="236" spans="32:50" ht="12" customHeight="1">
      <c r="AF236" s="413" t="s">
        <v>1357</v>
      </c>
      <c r="AL236" s="36"/>
      <c r="AM236" s="696" t="s">
        <v>1486</v>
      </c>
      <c r="AN236" s="719" t="s">
        <v>1327</v>
      </c>
      <c r="AO236" s="189" t="s">
        <v>753</v>
      </c>
      <c r="AP236" s="686">
        <f t="shared" ref="AP236:AR242" si="16">SUMIF($AS$9:$AW$9,AP$9,$AS236:$AW236)</f>
        <v>0</v>
      </c>
      <c r="AQ236" s="686">
        <f t="shared" si="16"/>
        <v>0</v>
      </c>
      <c r="AR236" s="686">
        <f t="shared" si="16"/>
        <v>0</v>
      </c>
      <c r="AS236" s="190"/>
      <c r="AT236" s="462"/>
      <c r="AU236" s="462"/>
      <c r="AV236" s="462"/>
      <c r="AW236" s="194"/>
      <c r="AX236" s="169"/>
    </row>
    <row r="237" spans="32:50" ht="12" customHeight="1">
      <c r="AF237" s="413" t="s">
        <v>1350</v>
      </c>
      <c r="AL237" s="36"/>
      <c r="AM237" s="696" t="s">
        <v>1487</v>
      </c>
      <c r="AN237" s="712" t="s">
        <v>723</v>
      </c>
      <c r="AO237" s="189" t="s">
        <v>753</v>
      </c>
      <c r="AP237" s="686">
        <f t="shared" si="16"/>
        <v>0</v>
      </c>
      <c r="AQ237" s="686">
        <f t="shared" si="16"/>
        <v>0</v>
      </c>
      <c r="AR237" s="686">
        <f t="shared" si="16"/>
        <v>0</v>
      </c>
      <c r="AS237" s="190"/>
      <c r="AT237" s="462"/>
      <c r="AU237" s="462"/>
      <c r="AV237" s="462"/>
      <c r="AW237" s="194"/>
      <c r="AX237" s="169"/>
    </row>
    <row r="238" spans="32:50" ht="12" customHeight="1">
      <c r="AF238" s="413" t="s">
        <v>1351</v>
      </c>
      <c r="AL238" s="36"/>
      <c r="AM238" s="696" t="s">
        <v>1488</v>
      </c>
      <c r="AN238" s="713" t="s">
        <v>748</v>
      </c>
      <c r="AO238" s="189" t="s">
        <v>753</v>
      </c>
      <c r="AP238" s="686">
        <f t="shared" si="16"/>
        <v>0</v>
      </c>
      <c r="AQ238" s="686">
        <f t="shared" si="16"/>
        <v>0</v>
      </c>
      <c r="AR238" s="686">
        <f t="shared" si="16"/>
        <v>0</v>
      </c>
      <c r="AS238" s="190"/>
      <c r="AT238" s="462"/>
      <c r="AU238" s="462"/>
      <c r="AV238" s="462"/>
      <c r="AW238" s="194"/>
      <c r="AX238" s="169"/>
    </row>
    <row r="239" spans="32:50" ht="12" customHeight="1">
      <c r="AF239" s="413" t="s">
        <v>1352</v>
      </c>
      <c r="AL239" s="36"/>
      <c r="AM239" s="696" t="s">
        <v>1489</v>
      </c>
      <c r="AN239" s="714" t="s">
        <v>315</v>
      </c>
      <c r="AO239" s="189" t="s">
        <v>753</v>
      </c>
      <c r="AP239" s="686">
        <f t="shared" si="16"/>
        <v>0</v>
      </c>
      <c r="AQ239" s="686">
        <f t="shared" si="16"/>
        <v>0</v>
      </c>
      <c r="AR239" s="686">
        <f t="shared" si="16"/>
        <v>0</v>
      </c>
      <c r="AS239" s="190"/>
      <c r="AT239" s="462"/>
      <c r="AU239" s="462"/>
      <c r="AV239" s="462"/>
      <c r="AW239" s="194"/>
      <c r="AX239" s="169"/>
    </row>
    <row r="240" spans="32:50" ht="12" customHeight="1">
      <c r="AF240" s="413" t="s">
        <v>1354</v>
      </c>
      <c r="AL240" s="36"/>
      <c r="AM240" s="696" t="s">
        <v>1490</v>
      </c>
      <c r="AN240" s="715" t="s">
        <v>316</v>
      </c>
      <c r="AO240" s="189" t="s">
        <v>753</v>
      </c>
      <c r="AP240" s="686">
        <f t="shared" si="16"/>
        <v>0</v>
      </c>
      <c r="AQ240" s="686">
        <f t="shared" si="16"/>
        <v>0</v>
      </c>
      <c r="AR240" s="686">
        <f t="shared" si="16"/>
        <v>0</v>
      </c>
      <c r="AS240" s="190"/>
      <c r="AT240" s="462"/>
      <c r="AU240" s="462"/>
      <c r="AV240" s="462"/>
      <c r="AW240" s="194"/>
      <c r="AX240" s="169"/>
    </row>
    <row r="241" spans="32:50" ht="12" customHeight="1">
      <c r="AF241" s="413" t="s">
        <v>1353</v>
      </c>
      <c r="AL241" s="36"/>
      <c r="AM241" s="696" t="s">
        <v>1491</v>
      </c>
      <c r="AN241" s="716" t="s">
        <v>317</v>
      </c>
      <c r="AO241" s="189" t="s">
        <v>753</v>
      </c>
      <c r="AP241" s="686">
        <f t="shared" si="16"/>
        <v>0</v>
      </c>
      <c r="AQ241" s="686">
        <f t="shared" si="16"/>
        <v>0</v>
      </c>
      <c r="AR241" s="686">
        <f t="shared" si="16"/>
        <v>0</v>
      </c>
      <c r="AS241" s="190"/>
      <c r="AT241" s="462"/>
      <c r="AU241" s="462"/>
      <c r="AV241" s="462"/>
      <c r="AW241" s="194"/>
      <c r="AX241" s="169"/>
    </row>
    <row r="242" spans="32:50" ht="12" customHeight="1">
      <c r="AF242" s="413" t="s">
        <v>1355</v>
      </c>
      <c r="AL242" s="36"/>
      <c r="AM242" s="696" t="s">
        <v>1492</v>
      </c>
      <c r="AN242" s="701" t="s">
        <v>318</v>
      </c>
      <c r="AO242" s="189" t="s">
        <v>753</v>
      </c>
      <c r="AP242" s="686">
        <f t="shared" si="16"/>
        <v>0</v>
      </c>
      <c r="AQ242" s="686">
        <f t="shared" si="16"/>
        <v>0</v>
      </c>
      <c r="AR242" s="686">
        <f t="shared" si="16"/>
        <v>0</v>
      </c>
      <c r="AS242" s="190"/>
      <c r="AT242" s="462"/>
      <c r="AU242" s="462"/>
      <c r="AV242" s="462"/>
      <c r="AW242" s="194"/>
      <c r="AX242" s="169"/>
    </row>
    <row r="243" spans="32:50" ht="0.75" hidden="1" customHeight="1">
      <c r="AF243" s="413"/>
      <c r="AL243" s="36"/>
      <c r="AM243" s="718"/>
      <c r="AN243" s="460"/>
      <c r="AO243" s="461"/>
      <c r="AP243" s="462"/>
      <c r="AQ243" s="462"/>
      <c r="AR243" s="462"/>
      <c r="AS243" s="190"/>
      <c r="AT243" s="462"/>
      <c r="AU243" s="462"/>
      <c r="AV243" s="462"/>
      <c r="AW243" s="194"/>
      <c r="AX243" s="169"/>
    </row>
    <row r="244" spans="32:50" ht="24" customHeight="1">
      <c r="AF244" s="115"/>
      <c r="AL244" s="36"/>
      <c r="AM244" s="490" t="s">
        <v>1362</v>
      </c>
      <c r="AN244" s="463" t="s">
        <v>754</v>
      </c>
      <c r="AO244" s="189" t="s">
        <v>755</v>
      </c>
      <c r="AP244" s="183">
        <f>SUM(AP245,AP249:AP254,AP255,AP260,AP267,AP268,AP288:AP294)</f>
        <v>100</v>
      </c>
      <c r="AQ244" s="183">
        <f>SUM(AQ245,AQ249:AQ254,AQ255,AQ260,AQ267,AQ268,AQ288:AQ294)</f>
        <v>100</v>
      </c>
      <c r="AR244" s="183">
        <f>SUM(AR245,AR249:AR254,AR255,AR260,AR267,AR268,AR288:AR294)</f>
        <v>100</v>
      </c>
      <c r="AS244" s="190"/>
      <c r="AT244" s="263">
        <f>SUM(AT245,AT249:AT254,AT255,AT260,AT267,AT268,AT288:AT294)</f>
        <v>100</v>
      </c>
      <c r="AU244" s="263">
        <f>SUM(AU245,AU249:AU254,AU255,AU260,AU267,AU268,AU288:AU294)</f>
        <v>100</v>
      </c>
      <c r="AV244" s="263">
        <f>SUM(AV245,AV249:AV254,AV255,AV260,AV267,AV268,AV288:AV294)</f>
        <v>100</v>
      </c>
      <c r="AW244" s="194"/>
      <c r="AX244" s="169"/>
    </row>
    <row r="245" spans="32:50" ht="12" customHeight="1">
      <c r="AF245" s="413" t="s">
        <v>1328</v>
      </c>
      <c r="AL245" s="36"/>
      <c r="AM245" s="696" t="s">
        <v>1493</v>
      </c>
      <c r="AN245" s="697" t="s">
        <v>1304</v>
      </c>
      <c r="AO245" s="189" t="s">
        <v>755</v>
      </c>
      <c r="AP245" s="183">
        <f t="shared" ref="AP245:AR260" si="17">IF(AP$192=0,0,AP193/AP$192*100)</f>
        <v>100</v>
      </c>
      <c r="AQ245" s="183">
        <f t="shared" si="17"/>
        <v>100</v>
      </c>
      <c r="AR245" s="183">
        <f t="shared" si="17"/>
        <v>100</v>
      </c>
      <c r="AS245" s="190"/>
      <c r="AT245" s="183">
        <f>IF(AT192=0,0,AT193/AT192*100)</f>
        <v>100</v>
      </c>
      <c r="AU245" s="183">
        <f>IF(AU192=0,0,AU193/AU192*100)</f>
        <v>100</v>
      </c>
      <c r="AV245" s="183">
        <f>IF(AV192=0,0,AV193/AV192*100)</f>
        <v>100</v>
      </c>
      <c r="AW245" s="194"/>
      <c r="AX245" s="169"/>
    </row>
    <row r="246" spans="32:50" ht="12" customHeight="1">
      <c r="AF246" s="413" t="s">
        <v>1329</v>
      </c>
      <c r="AL246" s="36"/>
      <c r="AM246" s="696" t="s">
        <v>1494</v>
      </c>
      <c r="AN246" s="699" t="s">
        <v>713</v>
      </c>
      <c r="AO246" s="189" t="s">
        <v>755</v>
      </c>
      <c r="AP246" s="183">
        <f t="shared" si="17"/>
        <v>100</v>
      </c>
      <c r="AQ246" s="183">
        <f t="shared" si="17"/>
        <v>100</v>
      </c>
      <c r="AR246" s="183">
        <f t="shared" si="17"/>
        <v>100</v>
      </c>
      <c r="AS246" s="190"/>
      <c r="AT246" s="183">
        <f>IF(AT192=0,0,AT194/AT192*100)</f>
        <v>100</v>
      </c>
      <c r="AU246" s="183">
        <f>IF(AU192=0,0,AU194/AU192*100)</f>
        <v>100</v>
      </c>
      <c r="AV246" s="183">
        <f>IF(AV192=0,0,AV194/AV192*100)</f>
        <v>100</v>
      </c>
      <c r="AW246" s="194"/>
      <c r="AX246" s="169"/>
    </row>
    <row r="247" spans="32:50" ht="12" customHeight="1">
      <c r="AF247" s="413" t="s">
        <v>1330</v>
      </c>
      <c r="AL247" s="36"/>
      <c r="AM247" s="696" t="s">
        <v>1495</v>
      </c>
      <c r="AN247" s="699" t="s">
        <v>715</v>
      </c>
      <c r="AO247" s="189" t="s">
        <v>755</v>
      </c>
      <c r="AP247" s="183">
        <f t="shared" si="17"/>
        <v>0</v>
      </c>
      <c r="AQ247" s="183">
        <f t="shared" si="17"/>
        <v>0</v>
      </c>
      <c r="AR247" s="183">
        <f t="shared" si="17"/>
        <v>0</v>
      </c>
      <c r="AS247" s="190"/>
      <c r="AT247" s="462"/>
      <c r="AU247" s="462"/>
      <c r="AV247" s="462"/>
      <c r="AW247" s="194"/>
      <c r="AX247" s="169"/>
    </row>
    <row r="248" spans="32:50" ht="12" customHeight="1">
      <c r="AF248" s="413" t="s">
        <v>1331</v>
      </c>
      <c r="AL248" s="36"/>
      <c r="AM248" s="696" t="s">
        <v>1496</v>
      </c>
      <c r="AN248" s="699" t="s">
        <v>716</v>
      </c>
      <c r="AO248" s="189" t="s">
        <v>755</v>
      </c>
      <c r="AP248" s="183">
        <f t="shared" si="17"/>
        <v>0</v>
      </c>
      <c r="AQ248" s="183">
        <f t="shared" si="17"/>
        <v>0</v>
      </c>
      <c r="AR248" s="183">
        <f t="shared" si="17"/>
        <v>0</v>
      </c>
      <c r="AS248" s="190"/>
      <c r="AT248" s="462"/>
      <c r="AU248" s="462"/>
      <c r="AV248" s="462"/>
      <c r="AW248" s="194"/>
      <c r="AX248" s="169"/>
    </row>
    <row r="249" spans="32:50" ht="12" customHeight="1">
      <c r="AF249" s="413" t="s">
        <v>1340</v>
      </c>
      <c r="AL249" s="36"/>
      <c r="AM249" s="696" t="s">
        <v>1497</v>
      </c>
      <c r="AN249" s="700" t="s">
        <v>1305</v>
      </c>
      <c r="AO249" s="189" t="s">
        <v>755</v>
      </c>
      <c r="AP249" s="183">
        <f t="shared" si="17"/>
        <v>0</v>
      </c>
      <c r="AQ249" s="183">
        <f t="shared" si="17"/>
        <v>0</v>
      </c>
      <c r="AR249" s="183">
        <f t="shared" si="17"/>
        <v>0</v>
      </c>
      <c r="AS249" s="190"/>
      <c r="AT249" s="462"/>
      <c r="AU249" s="462"/>
      <c r="AV249" s="462"/>
      <c r="AW249" s="194"/>
      <c r="AX249" s="169"/>
    </row>
    <row r="250" spans="32:50" ht="12" customHeight="1">
      <c r="AF250" s="413" t="s">
        <v>1341</v>
      </c>
      <c r="AL250" s="36"/>
      <c r="AM250" s="696" t="s">
        <v>1498</v>
      </c>
      <c r="AN250" s="700" t="s">
        <v>1306</v>
      </c>
      <c r="AO250" s="189" t="s">
        <v>755</v>
      </c>
      <c r="AP250" s="183">
        <f t="shared" si="17"/>
        <v>0</v>
      </c>
      <c r="AQ250" s="183">
        <f t="shared" si="17"/>
        <v>0</v>
      </c>
      <c r="AR250" s="183">
        <f t="shared" si="17"/>
        <v>0</v>
      </c>
      <c r="AS250" s="190"/>
      <c r="AT250" s="462"/>
      <c r="AU250" s="462"/>
      <c r="AV250" s="462"/>
      <c r="AW250" s="194"/>
      <c r="AX250" s="169"/>
    </row>
    <row r="251" spans="32:50" ht="12" customHeight="1">
      <c r="AF251" s="413" t="s">
        <v>1342</v>
      </c>
      <c r="AL251" s="36"/>
      <c r="AM251" s="696" t="s">
        <v>1499</v>
      </c>
      <c r="AN251" s="700" t="s">
        <v>1307</v>
      </c>
      <c r="AO251" s="189" t="s">
        <v>755</v>
      </c>
      <c r="AP251" s="183">
        <f t="shared" si="17"/>
        <v>0</v>
      </c>
      <c r="AQ251" s="183">
        <f t="shared" si="17"/>
        <v>0</v>
      </c>
      <c r="AR251" s="183">
        <f t="shared" si="17"/>
        <v>0</v>
      </c>
      <c r="AS251" s="190"/>
      <c r="AT251" s="462"/>
      <c r="AU251" s="462"/>
      <c r="AV251" s="462"/>
      <c r="AW251" s="194"/>
      <c r="AX251" s="169"/>
    </row>
    <row r="252" spans="32:50" ht="12" customHeight="1">
      <c r="AF252" s="413" t="s">
        <v>1339</v>
      </c>
      <c r="AL252" s="36"/>
      <c r="AM252" s="696" t="s">
        <v>1500</v>
      </c>
      <c r="AN252" s="700" t="s">
        <v>1308</v>
      </c>
      <c r="AO252" s="189" t="s">
        <v>755</v>
      </c>
      <c r="AP252" s="183">
        <f t="shared" si="17"/>
        <v>0</v>
      </c>
      <c r="AQ252" s="183">
        <f t="shared" si="17"/>
        <v>0</v>
      </c>
      <c r="AR252" s="183">
        <f t="shared" si="17"/>
        <v>0</v>
      </c>
      <c r="AS252" s="190"/>
      <c r="AT252" s="462"/>
      <c r="AU252" s="462"/>
      <c r="AV252" s="462"/>
      <c r="AW252" s="194"/>
      <c r="AX252" s="169"/>
    </row>
    <row r="253" spans="32:50" ht="12" customHeight="1">
      <c r="AF253" s="413" t="s">
        <v>1332</v>
      </c>
      <c r="AL253" s="36"/>
      <c r="AM253" s="696" t="s">
        <v>1501</v>
      </c>
      <c r="AN253" s="701" t="s">
        <v>684</v>
      </c>
      <c r="AO253" s="189" t="s">
        <v>755</v>
      </c>
      <c r="AP253" s="183">
        <f t="shared" si="17"/>
        <v>0</v>
      </c>
      <c r="AQ253" s="183">
        <f t="shared" si="17"/>
        <v>0</v>
      </c>
      <c r="AR253" s="183">
        <f t="shared" si="17"/>
        <v>0</v>
      </c>
      <c r="AS253" s="190"/>
      <c r="AT253" s="462"/>
      <c r="AU253" s="462"/>
      <c r="AV253" s="462"/>
      <c r="AW253" s="194"/>
      <c r="AX253" s="169"/>
    </row>
    <row r="254" spans="32:50" ht="12" customHeight="1">
      <c r="AF254" s="413" t="s">
        <v>1333</v>
      </c>
      <c r="AL254" s="36"/>
      <c r="AM254" s="696" t="s">
        <v>1502</v>
      </c>
      <c r="AN254" s="702" t="s">
        <v>718</v>
      </c>
      <c r="AO254" s="189" t="s">
        <v>755</v>
      </c>
      <c r="AP254" s="183">
        <f t="shared" si="17"/>
        <v>0</v>
      </c>
      <c r="AQ254" s="183">
        <f t="shared" si="17"/>
        <v>0</v>
      </c>
      <c r="AR254" s="183">
        <f t="shared" si="17"/>
        <v>0</v>
      </c>
      <c r="AS254" s="190"/>
      <c r="AT254" s="462"/>
      <c r="AU254" s="462"/>
      <c r="AV254" s="462"/>
      <c r="AW254" s="194"/>
      <c r="AX254" s="169"/>
    </row>
    <row r="255" spans="32:50" ht="12" customHeight="1">
      <c r="AF255" s="413" t="s">
        <v>1334</v>
      </c>
      <c r="AL255" s="36"/>
      <c r="AM255" s="696" t="s">
        <v>1503</v>
      </c>
      <c r="AN255" s="703" t="s">
        <v>722</v>
      </c>
      <c r="AO255" s="189" t="s">
        <v>755</v>
      </c>
      <c r="AP255" s="183">
        <f t="shared" si="17"/>
        <v>0</v>
      </c>
      <c r="AQ255" s="183">
        <f t="shared" si="17"/>
        <v>0</v>
      </c>
      <c r="AR255" s="183">
        <f t="shared" si="17"/>
        <v>0</v>
      </c>
      <c r="AS255" s="190"/>
      <c r="AT255" s="462"/>
      <c r="AU255" s="462"/>
      <c r="AV255" s="462"/>
      <c r="AW255" s="194"/>
      <c r="AX255" s="169"/>
    </row>
    <row r="256" spans="32:50" ht="12" customHeight="1">
      <c r="AF256" s="413" t="s">
        <v>1335</v>
      </c>
      <c r="AL256" s="36"/>
      <c r="AM256" s="696" t="s">
        <v>1504</v>
      </c>
      <c r="AN256" s="704" t="s">
        <v>1309</v>
      </c>
      <c r="AO256" s="189" t="s">
        <v>755</v>
      </c>
      <c r="AP256" s="183">
        <f t="shared" si="17"/>
        <v>0</v>
      </c>
      <c r="AQ256" s="183">
        <f t="shared" si="17"/>
        <v>0</v>
      </c>
      <c r="AR256" s="183">
        <f t="shared" si="17"/>
        <v>0</v>
      </c>
      <c r="AS256" s="190"/>
      <c r="AT256" s="462"/>
      <c r="AU256" s="462"/>
      <c r="AV256" s="462"/>
      <c r="AW256" s="194"/>
      <c r="AX256" s="169"/>
    </row>
    <row r="257" spans="32:50" ht="12" customHeight="1">
      <c r="AF257" s="413" t="s">
        <v>1336</v>
      </c>
      <c r="AL257" s="36"/>
      <c r="AM257" s="696" t="s">
        <v>1505</v>
      </c>
      <c r="AN257" s="704" t="s">
        <v>1310</v>
      </c>
      <c r="AO257" s="189" t="s">
        <v>755</v>
      </c>
      <c r="AP257" s="183">
        <f t="shared" si="17"/>
        <v>0</v>
      </c>
      <c r="AQ257" s="183">
        <f t="shared" si="17"/>
        <v>0</v>
      </c>
      <c r="AR257" s="183">
        <f t="shared" si="17"/>
        <v>0</v>
      </c>
      <c r="AS257" s="190"/>
      <c r="AT257" s="462"/>
      <c r="AU257" s="462"/>
      <c r="AV257" s="462"/>
      <c r="AW257" s="194"/>
      <c r="AX257" s="169"/>
    </row>
    <row r="258" spans="32:50" ht="12" customHeight="1">
      <c r="AF258" s="413" t="s">
        <v>1337</v>
      </c>
      <c r="AL258" s="36"/>
      <c r="AM258" s="696" t="s">
        <v>1506</v>
      </c>
      <c r="AN258" s="704" t="s">
        <v>1311</v>
      </c>
      <c r="AO258" s="189" t="s">
        <v>755</v>
      </c>
      <c r="AP258" s="183">
        <f t="shared" si="17"/>
        <v>0</v>
      </c>
      <c r="AQ258" s="183">
        <f t="shared" si="17"/>
        <v>0</v>
      </c>
      <c r="AR258" s="183">
        <f t="shared" si="17"/>
        <v>0</v>
      </c>
      <c r="AS258" s="190"/>
      <c r="AT258" s="462"/>
      <c r="AU258" s="462"/>
      <c r="AV258" s="462"/>
      <c r="AW258" s="194"/>
      <c r="AX258" s="169"/>
    </row>
    <row r="259" spans="32:50" ht="12" customHeight="1">
      <c r="AF259" s="413" t="s">
        <v>1338</v>
      </c>
      <c r="AL259" s="36"/>
      <c r="AM259" s="696" t="s">
        <v>1507</v>
      </c>
      <c r="AN259" s="704" t="s">
        <v>1312</v>
      </c>
      <c r="AO259" s="189" t="s">
        <v>755</v>
      </c>
      <c r="AP259" s="183">
        <f t="shared" si="17"/>
        <v>0</v>
      </c>
      <c r="AQ259" s="183">
        <f t="shared" si="17"/>
        <v>0</v>
      </c>
      <c r="AR259" s="183">
        <f t="shared" si="17"/>
        <v>0</v>
      </c>
      <c r="AS259" s="190"/>
      <c r="AT259" s="462"/>
      <c r="AU259" s="462"/>
      <c r="AV259" s="462"/>
      <c r="AW259" s="194"/>
      <c r="AX259" s="169"/>
    </row>
    <row r="260" spans="32:50" ht="12" customHeight="1">
      <c r="AF260" s="413" t="s">
        <v>1343</v>
      </c>
      <c r="AL260" s="36"/>
      <c r="AM260" s="696" t="s">
        <v>1508</v>
      </c>
      <c r="AN260" s="705" t="s">
        <v>720</v>
      </c>
      <c r="AO260" s="189" t="s">
        <v>755</v>
      </c>
      <c r="AP260" s="183">
        <f t="shared" si="17"/>
        <v>0</v>
      </c>
      <c r="AQ260" s="183">
        <f t="shared" si="17"/>
        <v>0</v>
      </c>
      <c r="AR260" s="183">
        <f t="shared" si="17"/>
        <v>0</v>
      </c>
      <c r="AS260" s="190"/>
      <c r="AT260" s="462"/>
      <c r="AU260" s="462"/>
      <c r="AV260" s="462"/>
      <c r="AW260" s="194"/>
      <c r="AX260" s="169"/>
    </row>
    <row r="261" spans="32:50" ht="12" customHeight="1">
      <c r="AF261" s="413" t="s">
        <v>1866</v>
      </c>
      <c r="AL261" s="36"/>
      <c r="AM261" s="696" t="s">
        <v>1870</v>
      </c>
      <c r="AN261" s="706" t="s">
        <v>1313</v>
      </c>
      <c r="AO261" s="189" t="s">
        <v>755</v>
      </c>
      <c r="AP261" s="183">
        <f t="shared" ref="AP261:AR276" si="18">IF(AP$192=0,0,AP209/AP$192*100)</f>
        <v>0</v>
      </c>
      <c r="AQ261" s="183">
        <f t="shared" si="18"/>
        <v>0</v>
      </c>
      <c r="AR261" s="183">
        <f t="shared" si="18"/>
        <v>0</v>
      </c>
      <c r="AS261" s="190"/>
      <c r="AT261" s="462"/>
      <c r="AU261" s="462"/>
      <c r="AV261" s="462"/>
      <c r="AW261" s="194"/>
      <c r="AX261" s="169"/>
    </row>
    <row r="262" spans="32:50" ht="12" customHeight="1">
      <c r="AF262" s="413" t="s">
        <v>1847</v>
      </c>
      <c r="AL262" s="36"/>
      <c r="AM262" s="696" t="s">
        <v>1851</v>
      </c>
      <c r="AN262" s="706" t="s">
        <v>1314</v>
      </c>
      <c r="AO262" s="189" t="s">
        <v>755</v>
      </c>
      <c r="AP262" s="183">
        <f t="shared" si="18"/>
        <v>0</v>
      </c>
      <c r="AQ262" s="183">
        <f t="shared" si="18"/>
        <v>0</v>
      </c>
      <c r="AR262" s="183">
        <f t="shared" si="18"/>
        <v>0</v>
      </c>
      <c r="AS262" s="190"/>
      <c r="AT262" s="462"/>
      <c r="AU262" s="462"/>
      <c r="AV262" s="462"/>
      <c r="AW262" s="194"/>
      <c r="AX262" s="169"/>
    </row>
    <row r="263" spans="32:50" ht="12" customHeight="1">
      <c r="AF263" s="413" t="s">
        <v>1827</v>
      </c>
      <c r="AL263" s="36"/>
      <c r="AM263" s="696" t="s">
        <v>1832</v>
      </c>
      <c r="AN263" s="706" t="s">
        <v>1315</v>
      </c>
      <c r="AO263" s="189" t="s">
        <v>755</v>
      </c>
      <c r="AP263" s="183">
        <f t="shared" si="18"/>
        <v>0</v>
      </c>
      <c r="AQ263" s="183">
        <f t="shared" si="18"/>
        <v>0</v>
      </c>
      <c r="AR263" s="183">
        <f t="shared" si="18"/>
        <v>0</v>
      </c>
      <c r="AS263" s="190"/>
      <c r="AT263" s="462"/>
      <c r="AU263" s="462"/>
      <c r="AV263" s="462"/>
      <c r="AW263" s="194"/>
      <c r="AX263" s="169"/>
    </row>
    <row r="264" spans="32:50" ht="12" customHeight="1">
      <c r="AF264" s="413" t="s">
        <v>1344</v>
      </c>
      <c r="AL264" s="36"/>
      <c r="AM264" s="696" t="s">
        <v>1509</v>
      </c>
      <c r="AN264" s="706" t="s">
        <v>1316</v>
      </c>
      <c r="AO264" s="189" t="s">
        <v>755</v>
      </c>
      <c r="AP264" s="183">
        <f t="shared" si="18"/>
        <v>0</v>
      </c>
      <c r="AQ264" s="183">
        <f t="shared" si="18"/>
        <v>0</v>
      </c>
      <c r="AR264" s="183">
        <f t="shared" si="18"/>
        <v>0</v>
      </c>
      <c r="AS264" s="190"/>
      <c r="AT264" s="462"/>
      <c r="AU264" s="462"/>
      <c r="AV264" s="462"/>
      <c r="AW264" s="194"/>
      <c r="AX264" s="169"/>
    </row>
    <row r="265" spans="32:50" ht="12" customHeight="1">
      <c r="AF265" s="413" t="s">
        <v>1345</v>
      </c>
      <c r="AL265" s="36"/>
      <c r="AM265" s="696" t="s">
        <v>1510</v>
      </c>
      <c r="AN265" s="706" t="s">
        <v>1317</v>
      </c>
      <c r="AO265" s="189" t="s">
        <v>755</v>
      </c>
      <c r="AP265" s="183">
        <f t="shared" si="18"/>
        <v>0</v>
      </c>
      <c r="AQ265" s="183">
        <f t="shared" si="18"/>
        <v>0</v>
      </c>
      <c r="AR265" s="183">
        <f t="shared" si="18"/>
        <v>0</v>
      </c>
      <c r="AS265" s="190"/>
      <c r="AT265" s="462"/>
      <c r="AU265" s="462"/>
      <c r="AV265" s="462"/>
      <c r="AW265" s="194"/>
      <c r="AX265" s="169"/>
    </row>
    <row r="266" spans="32:50" ht="12" customHeight="1">
      <c r="AF266" s="413" t="s">
        <v>1346</v>
      </c>
      <c r="AL266" s="36"/>
      <c r="AM266" s="696" t="s">
        <v>1511</v>
      </c>
      <c r="AN266" s="706" t="s">
        <v>1318</v>
      </c>
      <c r="AO266" s="189" t="s">
        <v>755</v>
      </c>
      <c r="AP266" s="183">
        <f t="shared" si="18"/>
        <v>0</v>
      </c>
      <c r="AQ266" s="183">
        <f t="shared" si="18"/>
        <v>0</v>
      </c>
      <c r="AR266" s="183">
        <f t="shared" si="18"/>
        <v>0</v>
      </c>
      <c r="AS266" s="190"/>
      <c r="AT266" s="462"/>
      <c r="AU266" s="462"/>
      <c r="AV266" s="462"/>
      <c r="AW266" s="194"/>
      <c r="AX266" s="169"/>
    </row>
    <row r="267" spans="32:50" ht="12" customHeight="1">
      <c r="AF267" s="413" t="s">
        <v>1347</v>
      </c>
      <c r="AL267" s="36"/>
      <c r="AM267" s="696" t="s">
        <v>1512</v>
      </c>
      <c r="AN267" s="707" t="s">
        <v>721</v>
      </c>
      <c r="AO267" s="189" t="s">
        <v>755</v>
      </c>
      <c r="AP267" s="183">
        <f t="shared" si="18"/>
        <v>0</v>
      </c>
      <c r="AQ267" s="183">
        <f t="shared" si="18"/>
        <v>0</v>
      </c>
      <c r="AR267" s="183">
        <f t="shared" si="18"/>
        <v>0</v>
      </c>
      <c r="AS267" s="190"/>
      <c r="AT267" s="462"/>
      <c r="AU267" s="462"/>
      <c r="AV267" s="462"/>
      <c r="AW267" s="194"/>
      <c r="AX267" s="169"/>
    </row>
    <row r="268" spans="32:50" ht="12" customHeight="1">
      <c r="AF268" s="413" t="s">
        <v>1348</v>
      </c>
      <c r="AL268" s="36"/>
      <c r="AM268" s="696" t="s">
        <v>1513</v>
      </c>
      <c r="AN268" s="708" t="s">
        <v>712</v>
      </c>
      <c r="AO268" s="189" t="s">
        <v>755</v>
      </c>
      <c r="AP268" s="183">
        <f t="shared" si="18"/>
        <v>0</v>
      </c>
      <c r="AQ268" s="183">
        <f t="shared" si="18"/>
        <v>0</v>
      </c>
      <c r="AR268" s="183">
        <f t="shared" si="18"/>
        <v>0</v>
      </c>
      <c r="AS268" s="190"/>
      <c r="AT268" s="462"/>
      <c r="AU268" s="462"/>
      <c r="AV268" s="462"/>
      <c r="AW268" s="194"/>
      <c r="AX268" s="169"/>
    </row>
    <row r="269" spans="32:50" ht="12" customHeight="1">
      <c r="AF269" s="413" t="s">
        <v>2612</v>
      </c>
      <c r="AL269" s="36"/>
      <c r="AM269" s="696" t="s">
        <v>2705</v>
      </c>
      <c r="AN269" s="709" t="s">
        <v>1319</v>
      </c>
      <c r="AO269" s="189" t="s">
        <v>755</v>
      </c>
      <c r="AP269" s="183">
        <f t="shared" si="18"/>
        <v>0</v>
      </c>
      <c r="AQ269" s="183">
        <f t="shared" si="18"/>
        <v>0</v>
      </c>
      <c r="AR269" s="183">
        <f t="shared" si="18"/>
        <v>0</v>
      </c>
      <c r="AS269" s="190"/>
      <c r="AT269" s="462"/>
      <c r="AU269" s="462"/>
      <c r="AV269" s="462"/>
      <c r="AW269" s="194"/>
      <c r="AX269" s="169"/>
    </row>
    <row r="270" spans="32:50" ht="12" customHeight="1">
      <c r="AF270" s="413" t="s">
        <v>2614</v>
      </c>
      <c r="AL270" s="36"/>
      <c r="AM270" s="696" t="s">
        <v>2706</v>
      </c>
      <c r="AN270" s="709" t="s">
        <v>1320</v>
      </c>
      <c r="AO270" s="189" t="s">
        <v>755</v>
      </c>
      <c r="AP270" s="183">
        <f t="shared" si="18"/>
        <v>0</v>
      </c>
      <c r="AQ270" s="183">
        <f t="shared" si="18"/>
        <v>0</v>
      </c>
      <c r="AR270" s="183">
        <f t="shared" si="18"/>
        <v>0</v>
      </c>
      <c r="AS270" s="190"/>
      <c r="AT270" s="462"/>
      <c r="AU270" s="462"/>
      <c r="AV270" s="462"/>
      <c r="AW270" s="194"/>
      <c r="AX270" s="169"/>
    </row>
    <row r="271" spans="32:50" ht="12" customHeight="1">
      <c r="AF271" s="413" t="s">
        <v>2616</v>
      </c>
      <c r="AL271" s="36"/>
      <c r="AM271" s="696" t="s">
        <v>2707</v>
      </c>
      <c r="AN271" s="709" t="s">
        <v>1321</v>
      </c>
      <c r="AO271" s="189" t="s">
        <v>755</v>
      </c>
      <c r="AP271" s="183">
        <f t="shared" si="18"/>
        <v>0</v>
      </c>
      <c r="AQ271" s="183">
        <f t="shared" si="18"/>
        <v>0</v>
      </c>
      <c r="AR271" s="183">
        <f t="shared" si="18"/>
        <v>0</v>
      </c>
      <c r="AS271" s="190"/>
      <c r="AT271" s="462"/>
      <c r="AU271" s="462"/>
      <c r="AV271" s="462"/>
      <c r="AW271" s="194"/>
      <c r="AX271" s="169"/>
    </row>
    <row r="272" spans="32:50" ht="12" customHeight="1">
      <c r="AF272" s="413" t="s">
        <v>2619</v>
      </c>
      <c r="AL272" s="36"/>
      <c r="AM272" s="696" t="s">
        <v>2708</v>
      </c>
      <c r="AN272" s="709" t="s">
        <v>2618</v>
      </c>
      <c r="AO272" s="189" t="s">
        <v>755</v>
      </c>
      <c r="AP272" s="183">
        <f t="shared" si="18"/>
        <v>0</v>
      </c>
      <c r="AQ272" s="183">
        <f t="shared" si="18"/>
        <v>0</v>
      </c>
      <c r="AR272" s="183">
        <f t="shared" si="18"/>
        <v>0</v>
      </c>
      <c r="AS272" s="190"/>
      <c r="AT272" s="462"/>
      <c r="AU272" s="462"/>
      <c r="AV272" s="462"/>
      <c r="AW272" s="194"/>
      <c r="AX272" s="169"/>
    </row>
    <row r="273" spans="32:50" ht="12" customHeight="1">
      <c r="AF273" s="413" t="s">
        <v>2622</v>
      </c>
      <c r="AL273" s="36"/>
      <c r="AM273" s="696" t="s">
        <v>2709</v>
      </c>
      <c r="AN273" s="709" t="s">
        <v>2621</v>
      </c>
      <c r="AO273" s="189" t="s">
        <v>755</v>
      </c>
      <c r="AP273" s="183">
        <f t="shared" si="18"/>
        <v>0</v>
      </c>
      <c r="AQ273" s="183">
        <f t="shared" si="18"/>
        <v>0</v>
      </c>
      <c r="AR273" s="183">
        <f t="shared" si="18"/>
        <v>0</v>
      </c>
      <c r="AS273" s="190"/>
      <c r="AT273" s="462"/>
      <c r="AU273" s="462"/>
      <c r="AV273" s="462"/>
      <c r="AW273" s="194"/>
      <c r="AX273" s="169"/>
    </row>
    <row r="274" spans="32:50" ht="12" customHeight="1">
      <c r="AF274" s="413" t="s">
        <v>2624</v>
      </c>
      <c r="AL274" s="36"/>
      <c r="AM274" s="696" t="s">
        <v>2710</v>
      </c>
      <c r="AN274" s="709" t="s">
        <v>1322</v>
      </c>
      <c r="AO274" s="189" t="s">
        <v>755</v>
      </c>
      <c r="AP274" s="183">
        <f t="shared" si="18"/>
        <v>0</v>
      </c>
      <c r="AQ274" s="183">
        <f t="shared" si="18"/>
        <v>0</v>
      </c>
      <c r="AR274" s="183">
        <f t="shared" si="18"/>
        <v>0</v>
      </c>
      <c r="AS274" s="190"/>
      <c r="AT274" s="462"/>
      <c r="AU274" s="462"/>
      <c r="AV274" s="462"/>
      <c r="AW274" s="194"/>
      <c r="AX274" s="169"/>
    </row>
    <row r="275" spans="32:50" ht="12" customHeight="1">
      <c r="AF275" s="413" t="s">
        <v>2627</v>
      </c>
      <c r="AL275" s="36"/>
      <c r="AM275" s="696" t="s">
        <v>2711</v>
      </c>
      <c r="AN275" s="709" t="s">
        <v>2626</v>
      </c>
      <c r="AO275" s="189" t="s">
        <v>755</v>
      </c>
      <c r="AP275" s="183">
        <f t="shared" si="18"/>
        <v>0</v>
      </c>
      <c r="AQ275" s="183">
        <f t="shared" si="18"/>
        <v>0</v>
      </c>
      <c r="AR275" s="183">
        <f t="shared" si="18"/>
        <v>0</v>
      </c>
      <c r="AS275" s="190"/>
      <c r="AT275" s="462"/>
      <c r="AU275" s="462"/>
      <c r="AV275" s="462"/>
      <c r="AW275" s="194"/>
      <c r="AX275" s="169"/>
    </row>
    <row r="276" spans="32:50" ht="12" customHeight="1">
      <c r="AF276" s="413" t="s">
        <v>2629</v>
      </c>
      <c r="AL276" s="36"/>
      <c r="AM276" s="696" t="s">
        <v>2712</v>
      </c>
      <c r="AN276" s="709" t="s">
        <v>1323</v>
      </c>
      <c r="AO276" s="189" t="s">
        <v>755</v>
      </c>
      <c r="AP276" s="183">
        <f t="shared" si="18"/>
        <v>0</v>
      </c>
      <c r="AQ276" s="183">
        <f t="shared" si="18"/>
        <v>0</v>
      </c>
      <c r="AR276" s="183">
        <f t="shared" si="18"/>
        <v>0</v>
      </c>
      <c r="AS276" s="190"/>
      <c r="AT276" s="462"/>
      <c r="AU276" s="462"/>
      <c r="AV276" s="462"/>
      <c r="AW276" s="194"/>
      <c r="AX276" s="169"/>
    </row>
    <row r="277" spans="32:50" ht="12" customHeight="1">
      <c r="AF277" s="413" t="s">
        <v>2631</v>
      </c>
      <c r="AL277" s="36"/>
      <c r="AM277" s="696" t="s">
        <v>2713</v>
      </c>
      <c r="AN277" s="709" t="s">
        <v>1324</v>
      </c>
      <c r="AO277" s="189" t="s">
        <v>755</v>
      </c>
      <c r="AP277" s="183">
        <f t="shared" ref="AP277:AR284" si="19">IF(AP$192=0,0,AP225/AP$192*100)</f>
        <v>0</v>
      </c>
      <c r="AQ277" s="183">
        <f t="shared" si="19"/>
        <v>0</v>
      </c>
      <c r="AR277" s="183">
        <f t="shared" si="19"/>
        <v>0</v>
      </c>
      <c r="AS277" s="190"/>
      <c r="AT277" s="462"/>
      <c r="AU277" s="462"/>
      <c r="AV277" s="462"/>
      <c r="AW277" s="194"/>
      <c r="AX277" s="169"/>
    </row>
    <row r="278" spans="32:50" ht="12" customHeight="1">
      <c r="AF278" s="413" t="s">
        <v>2634</v>
      </c>
      <c r="AL278" s="36"/>
      <c r="AM278" s="696" t="s">
        <v>2714</v>
      </c>
      <c r="AN278" s="709" t="s">
        <v>2633</v>
      </c>
      <c r="AO278" s="189" t="s">
        <v>755</v>
      </c>
      <c r="AP278" s="183">
        <f t="shared" si="19"/>
        <v>0</v>
      </c>
      <c r="AQ278" s="183">
        <f t="shared" si="19"/>
        <v>0</v>
      </c>
      <c r="AR278" s="183">
        <f t="shared" si="19"/>
        <v>0</v>
      </c>
      <c r="AS278" s="190"/>
      <c r="AT278" s="462"/>
      <c r="AU278" s="462"/>
      <c r="AV278" s="462"/>
      <c r="AW278" s="194"/>
      <c r="AX278" s="169"/>
    </row>
    <row r="279" spans="32:50" ht="12" customHeight="1">
      <c r="AF279" s="413" t="s">
        <v>2637</v>
      </c>
      <c r="AL279" s="36"/>
      <c r="AM279" s="696" t="s">
        <v>2715</v>
      </c>
      <c r="AN279" s="709" t="s">
        <v>2636</v>
      </c>
      <c r="AO279" s="189" t="s">
        <v>755</v>
      </c>
      <c r="AP279" s="183">
        <f t="shared" si="19"/>
        <v>0</v>
      </c>
      <c r="AQ279" s="183">
        <f t="shared" si="19"/>
        <v>0</v>
      </c>
      <c r="AR279" s="183">
        <f t="shared" si="19"/>
        <v>0</v>
      </c>
      <c r="AS279" s="190"/>
      <c r="AT279" s="462"/>
      <c r="AU279" s="462"/>
      <c r="AV279" s="462"/>
      <c r="AW279" s="194"/>
      <c r="AX279" s="169"/>
    </row>
    <row r="280" spans="32:50" ht="12" customHeight="1">
      <c r="AF280" s="413" t="s">
        <v>2640</v>
      </c>
      <c r="AL280" s="36"/>
      <c r="AM280" s="696" t="s">
        <v>2716</v>
      </c>
      <c r="AN280" s="709" t="s">
        <v>2639</v>
      </c>
      <c r="AO280" s="189" t="s">
        <v>755</v>
      </c>
      <c r="AP280" s="183">
        <f t="shared" si="19"/>
        <v>0</v>
      </c>
      <c r="AQ280" s="183">
        <f t="shared" si="19"/>
        <v>0</v>
      </c>
      <c r="AR280" s="183">
        <f t="shared" si="19"/>
        <v>0</v>
      </c>
      <c r="AS280" s="190"/>
      <c r="AT280" s="462"/>
      <c r="AU280" s="462"/>
      <c r="AV280" s="462"/>
      <c r="AW280" s="194"/>
      <c r="AX280" s="169"/>
    </row>
    <row r="281" spans="32:50" ht="12" customHeight="1">
      <c r="AF281" s="413" t="s">
        <v>2643</v>
      </c>
      <c r="AL281" s="36"/>
      <c r="AM281" s="696" t="s">
        <v>2717</v>
      </c>
      <c r="AN281" s="709" t="s">
        <v>2642</v>
      </c>
      <c r="AO281" s="189" t="s">
        <v>755</v>
      </c>
      <c r="AP281" s="183">
        <f t="shared" si="19"/>
        <v>0</v>
      </c>
      <c r="AQ281" s="183">
        <f t="shared" si="19"/>
        <v>0</v>
      </c>
      <c r="AR281" s="183">
        <f t="shared" si="19"/>
        <v>0</v>
      </c>
      <c r="AS281" s="190"/>
      <c r="AT281" s="462"/>
      <c r="AU281" s="462"/>
      <c r="AV281" s="462"/>
      <c r="AW281" s="194"/>
      <c r="AX281" s="169"/>
    </row>
    <row r="282" spans="32:50" ht="12" customHeight="1">
      <c r="AF282" s="413" t="s">
        <v>2646</v>
      </c>
      <c r="AL282" s="36"/>
      <c r="AM282" s="696" t="s">
        <v>2718</v>
      </c>
      <c r="AN282" s="709" t="s">
        <v>2645</v>
      </c>
      <c r="AO282" s="189" t="s">
        <v>755</v>
      </c>
      <c r="AP282" s="183">
        <f t="shared" si="19"/>
        <v>0</v>
      </c>
      <c r="AQ282" s="183">
        <f t="shared" si="19"/>
        <v>0</v>
      </c>
      <c r="AR282" s="183">
        <f t="shared" si="19"/>
        <v>0</v>
      </c>
      <c r="AS282" s="190"/>
      <c r="AT282" s="462"/>
      <c r="AU282" s="462"/>
      <c r="AV282" s="462"/>
      <c r="AW282" s="194"/>
      <c r="AX282" s="169"/>
    </row>
    <row r="283" spans="32:50" ht="12" customHeight="1">
      <c r="AF283" s="413" t="s">
        <v>2648</v>
      </c>
      <c r="AL283" s="36"/>
      <c r="AM283" s="696" t="s">
        <v>2719</v>
      </c>
      <c r="AN283" s="709" t="s">
        <v>1325</v>
      </c>
      <c r="AO283" s="189" t="s">
        <v>755</v>
      </c>
      <c r="AP283" s="183">
        <f t="shared" si="19"/>
        <v>0</v>
      </c>
      <c r="AQ283" s="183">
        <f t="shared" si="19"/>
        <v>0</v>
      </c>
      <c r="AR283" s="183">
        <f t="shared" si="19"/>
        <v>0</v>
      </c>
      <c r="AS283" s="190"/>
      <c r="AT283" s="462"/>
      <c r="AU283" s="462"/>
      <c r="AV283" s="462"/>
      <c r="AW283" s="194"/>
      <c r="AX283" s="169"/>
    </row>
    <row r="284" spans="32:50" ht="12" customHeight="1">
      <c r="AF284" s="413" t="s">
        <v>2650</v>
      </c>
      <c r="AL284" s="36"/>
      <c r="AM284" s="696" t="s">
        <v>2720</v>
      </c>
      <c r="AN284" s="709" t="s">
        <v>1326</v>
      </c>
      <c r="AO284" s="189" t="s">
        <v>755</v>
      </c>
      <c r="AP284" s="183">
        <f t="shared" si="19"/>
        <v>0</v>
      </c>
      <c r="AQ284" s="183">
        <f t="shared" si="19"/>
        <v>0</v>
      </c>
      <c r="AR284" s="183">
        <f t="shared" si="19"/>
        <v>0</v>
      </c>
      <c r="AS284" s="190"/>
      <c r="AT284" s="462"/>
      <c r="AU284" s="462"/>
      <c r="AV284" s="462"/>
      <c r="AW284" s="194"/>
      <c r="AX284" s="169"/>
    </row>
    <row r="285" spans="32:50" ht="12" customHeight="1">
      <c r="AF285" s="413" t="s">
        <v>2653</v>
      </c>
      <c r="AL285" s="36"/>
      <c r="AM285" s="696" t="s">
        <v>2721</v>
      </c>
      <c r="AN285" s="709" t="s">
        <v>2652</v>
      </c>
      <c r="AO285" s="189" t="s">
        <v>755</v>
      </c>
      <c r="AP285" s="183">
        <f>IF(AP$192=0,0,AP233/AP$192*100)</f>
        <v>0</v>
      </c>
      <c r="AQ285" s="183">
        <f>IF(AQ$192=0,0,AQ233/AQ$192*100)</f>
        <v>0</v>
      </c>
      <c r="AR285" s="183">
        <f>IF(AR$192=0,0,AR233/AR$192*100)</f>
        <v>0</v>
      </c>
      <c r="AS285" s="190"/>
      <c r="AT285" s="462"/>
      <c r="AU285" s="462"/>
      <c r="AV285" s="462"/>
      <c r="AW285" s="194"/>
      <c r="AX285" s="169"/>
    </row>
    <row r="286" spans="32:50" ht="0.75" hidden="1" customHeight="1">
      <c r="AF286" s="413"/>
      <c r="AL286" s="36"/>
      <c r="AM286" s="491"/>
      <c r="AN286" s="460"/>
      <c r="AO286" s="461"/>
      <c r="AP286" s="462"/>
      <c r="AQ286" s="462"/>
      <c r="AR286" s="462"/>
      <c r="AS286" s="190"/>
      <c r="AT286" s="462"/>
      <c r="AU286" s="462"/>
      <c r="AV286" s="462"/>
      <c r="AW286" s="194"/>
      <c r="AX286" s="169"/>
    </row>
    <row r="287" spans="32:50" ht="0.75" hidden="1" customHeight="1">
      <c r="AF287" s="413"/>
      <c r="AL287" s="36"/>
      <c r="AM287" s="491"/>
      <c r="AN287" s="460"/>
      <c r="AO287" s="461"/>
      <c r="AP287" s="462"/>
      <c r="AQ287" s="462"/>
      <c r="AR287" s="462"/>
      <c r="AS287" s="190"/>
      <c r="AT287" s="462"/>
      <c r="AU287" s="462"/>
      <c r="AV287" s="462"/>
      <c r="AW287" s="194"/>
      <c r="AX287" s="169"/>
    </row>
    <row r="288" spans="32:50" ht="12" customHeight="1">
      <c r="AF288" s="413" t="s">
        <v>1357</v>
      </c>
      <c r="AL288" s="36"/>
      <c r="AM288" s="696" t="s">
        <v>1514</v>
      </c>
      <c r="AN288" s="719" t="s">
        <v>1327</v>
      </c>
      <c r="AO288" s="189" t="s">
        <v>755</v>
      </c>
      <c r="AP288" s="183">
        <f t="shared" ref="AP288:AR294" si="20">IF(AP$192=0,0,AP236/AP$192*100)</f>
        <v>0</v>
      </c>
      <c r="AQ288" s="183">
        <f t="shared" si="20"/>
        <v>0</v>
      </c>
      <c r="AR288" s="183">
        <f t="shared" si="20"/>
        <v>0</v>
      </c>
      <c r="AS288" s="190"/>
      <c r="AT288" s="462"/>
      <c r="AU288" s="462"/>
      <c r="AV288" s="462"/>
      <c r="AW288" s="194"/>
      <c r="AX288" s="169"/>
    </row>
    <row r="289" spans="32:50" ht="12" customHeight="1">
      <c r="AF289" s="413" t="s">
        <v>1350</v>
      </c>
      <c r="AL289" s="36"/>
      <c r="AM289" s="696" t="s">
        <v>1515</v>
      </c>
      <c r="AN289" s="712" t="s">
        <v>723</v>
      </c>
      <c r="AO289" s="189" t="s">
        <v>755</v>
      </c>
      <c r="AP289" s="183">
        <f t="shared" si="20"/>
        <v>0</v>
      </c>
      <c r="AQ289" s="183">
        <f t="shared" si="20"/>
        <v>0</v>
      </c>
      <c r="AR289" s="183">
        <f t="shared" si="20"/>
        <v>0</v>
      </c>
      <c r="AS289" s="190"/>
      <c r="AT289" s="462"/>
      <c r="AU289" s="462"/>
      <c r="AV289" s="462"/>
      <c r="AW289" s="194"/>
      <c r="AX289" s="169"/>
    </row>
    <row r="290" spans="32:50" ht="12" customHeight="1">
      <c r="AF290" s="413" t="s">
        <v>1351</v>
      </c>
      <c r="AL290" s="36"/>
      <c r="AM290" s="696" t="s">
        <v>1516</v>
      </c>
      <c r="AN290" s="713" t="s">
        <v>748</v>
      </c>
      <c r="AO290" s="189" t="s">
        <v>755</v>
      </c>
      <c r="AP290" s="183">
        <f t="shared" si="20"/>
        <v>0</v>
      </c>
      <c r="AQ290" s="183">
        <f t="shared" si="20"/>
        <v>0</v>
      </c>
      <c r="AR290" s="183">
        <f t="shared" si="20"/>
        <v>0</v>
      </c>
      <c r="AS290" s="190"/>
      <c r="AT290" s="462"/>
      <c r="AU290" s="462"/>
      <c r="AV290" s="462"/>
      <c r="AW290" s="194"/>
      <c r="AX290" s="169"/>
    </row>
    <row r="291" spans="32:50" ht="12" customHeight="1">
      <c r="AF291" s="413" t="s">
        <v>1352</v>
      </c>
      <c r="AL291" s="36"/>
      <c r="AM291" s="696" t="s">
        <v>1517</v>
      </c>
      <c r="AN291" s="714" t="s">
        <v>315</v>
      </c>
      <c r="AO291" s="189" t="s">
        <v>755</v>
      </c>
      <c r="AP291" s="183">
        <f t="shared" si="20"/>
        <v>0</v>
      </c>
      <c r="AQ291" s="183">
        <f t="shared" si="20"/>
        <v>0</v>
      </c>
      <c r="AR291" s="183">
        <f t="shared" si="20"/>
        <v>0</v>
      </c>
      <c r="AS291" s="190"/>
      <c r="AT291" s="462"/>
      <c r="AU291" s="462"/>
      <c r="AV291" s="462"/>
      <c r="AW291" s="194"/>
      <c r="AX291" s="169"/>
    </row>
    <row r="292" spans="32:50" ht="12" customHeight="1">
      <c r="AF292" s="413" t="s">
        <v>1354</v>
      </c>
      <c r="AL292" s="36"/>
      <c r="AM292" s="696" t="s">
        <v>1518</v>
      </c>
      <c r="AN292" s="715" t="s">
        <v>316</v>
      </c>
      <c r="AO292" s="189" t="s">
        <v>755</v>
      </c>
      <c r="AP292" s="183">
        <f t="shared" si="20"/>
        <v>0</v>
      </c>
      <c r="AQ292" s="183">
        <f t="shared" si="20"/>
        <v>0</v>
      </c>
      <c r="AR292" s="183">
        <f t="shared" si="20"/>
        <v>0</v>
      </c>
      <c r="AS292" s="190"/>
      <c r="AT292" s="462"/>
      <c r="AU292" s="462"/>
      <c r="AV292" s="462"/>
      <c r="AW292" s="194"/>
      <c r="AX292" s="169"/>
    </row>
    <row r="293" spans="32:50" ht="12" customHeight="1">
      <c r="AF293" s="413" t="s">
        <v>1353</v>
      </c>
      <c r="AL293" s="36"/>
      <c r="AM293" s="696" t="s">
        <v>1519</v>
      </c>
      <c r="AN293" s="716" t="s">
        <v>317</v>
      </c>
      <c r="AO293" s="189" t="s">
        <v>755</v>
      </c>
      <c r="AP293" s="183">
        <f t="shared" si="20"/>
        <v>0</v>
      </c>
      <c r="AQ293" s="183">
        <f t="shared" si="20"/>
        <v>0</v>
      </c>
      <c r="AR293" s="183">
        <f t="shared" si="20"/>
        <v>0</v>
      </c>
      <c r="AS293" s="190"/>
      <c r="AT293" s="462"/>
      <c r="AU293" s="462"/>
      <c r="AV293" s="462"/>
      <c r="AW293" s="194"/>
      <c r="AX293" s="169"/>
    </row>
    <row r="294" spans="32:50" ht="12" customHeight="1">
      <c r="AF294" s="413" t="s">
        <v>1355</v>
      </c>
      <c r="AL294" s="36"/>
      <c r="AM294" s="696" t="s">
        <v>1520</v>
      </c>
      <c r="AN294" s="701" t="s">
        <v>318</v>
      </c>
      <c r="AO294" s="189" t="s">
        <v>755</v>
      </c>
      <c r="AP294" s="183">
        <f t="shared" si="20"/>
        <v>0</v>
      </c>
      <c r="AQ294" s="183">
        <f t="shared" si="20"/>
        <v>0</v>
      </c>
      <c r="AR294" s="183">
        <f t="shared" si="20"/>
        <v>0</v>
      </c>
      <c r="AS294" s="190"/>
      <c r="AT294" s="462"/>
      <c r="AU294" s="462"/>
      <c r="AV294" s="462"/>
      <c r="AW294" s="194"/>
      <c r="AX294" s="169"/>
    </row>
    <row r="295" spans="32:50" ht="0.75" hidden="1" customHeight="1">
      <c r="AF295" s="413"/>
      <c r="AL295" s="36"/>
      <c r="AM295" s="718"/>
      <c r="AN295" s="460"/>
      <c r="AO295" s="461"/>
      <c r="AP295" s="462"/>
      <c r="AQ295" s="462"/>
      <c r="AR295" s="462"/>
      <c r="AS295" s="190"/>
      <c r="AT295" s="462"/>
      <c r="AU295" s="462"/>
      <c r="AV295" s="462"/>
      <c r="AW295" s="194"/>
      <c r="AX295" s="169"/>
    </row>
    <row r="296" spans="32:50" ht="24" customHeight="1">
      <c r="AF296" s="115"/>
      <c r="AL296" s="36"/>
      <c r="AM296" s="490" t="s">
        <v>1361</v>
      </c>
      <c r="AN296" s="463" t="s">
        <v>756</v>
      </c>
      <c r="AO296" s="189"/>
      <c r="AP296" s="195"/>
      <c r="AQ296" s="195"/>
      <c r="AR296" s="195"/>
      <c r="AS296" s="190"/>
      <c r="AT296" s="462"/>
      <c r="AU296" s="462"/>
      <c r="AV296" s="462"/>
      <c r="AW296" s="194"/>
      <c r="AX296" s="169"/>
    </row>
    <row r="297" spans="32:50" ht="12" customHeight="1">
      <c r="AF297" s="413" t="s">
        <v>1328</v>
      </c>
      <c r="AL297" s="36"/>
      <c r="AM297" s="696" t="s">
        <v>1521</v>
      </c>
      <c r="AN297" s="697" t="s">
        <v>1304</v>
      </c>
      <c r="AO297" s="189"/>
      <c r="AP297" s="197"/>
      <c r="AQ297" s="197"/>
      <c r="AR297" s="197"/>
      <c r="AS297" s="190"/>
      <c r="AT297" s="183">
        <f>IF(AT349=0,0,AT193/AT349)</f>
        <v>1.180566875</v>
      </c>
      <c r="AU297" s="183">
        <f>IF(AU349=0,0,AU193/AU349)</f>
        <v>1.180566875</v>
      </c>
      <c r="AV297" s="183">
        <f>IF(AV349=0,0,AV193/AV349)</f>
        <v>1.180566875</v>
      </c>
      <c r="AW297" s="194"/>
      <c r="AX297" s="169"/>
    </row>
    <row r="298" spans="32:50" ht="12" customHeight="1">
      <c r="AF298" s="413" t="s">
        <v>1329</v>
      </c>
      <c r="AL298" s="36"/>
      <c r="AM298" s="696" t="s">
        <v>1522</v>
      </c>
      <c r="AN298" s="699" t="s">
        <v>713</v>
      </c>
      <c r="AO298" s="189"/>
      <c r="AP298" s="197"/>
      <c r="AQ298" s="197"/>
      <c r="AR298" s="197"/>
      <c r="AS298" s="190"/>
      <c r="AT298" s="196">
        <v>1.180566875</v>
      </c>
      <c r="AU298" s="196">
        <v>1.180566875</v>
      </c>
      <c r="AV298" s="196">
        <f>AU298</f>
        <v>1.180566875</v>
      </c>
      <c r="AW298" s="194"/>
      <c r="AX298" s="169"/>
    </row>
    <row r="299" spans="32:50" ht="12" customHeight="1">
      <c r="AF299" s="413" t="s">
        <v>1330</v>
      </c>
      <c r="AL299" s="36"/>
      <c r="AM299" s="696" t="s">
        <v>1523</v>
      </c>
      <c r="AN299" s="699" t="s">
        <v>715</v>
      </c>
      <c r="AO299" s="189"/>
      <c r="AP299" s="197"/>
      <c r="AQ299" s="197"/>
      <c r="AR299" s="197"/>
      <c r="AS299" s="190"/>
      <c r="AT299" s="462"/>
      <c r="AU299" s="462"/>
      <c r="AV299" s="462"/>
      <c r="AW299" s="194"/>
      <c r="AX299" s="169"/>
    </row>
    <row r="300" spans="32:50" ht="12" customHeight="1">
      <c r="AF300" s="413" t="s">
        <v>1331</v>
      </c>
      <c r="AL300" s="36"/>
      <c r="AM300" s="696" t="s">
        <v>1524</v>
      </c>
      <c r="AN300" s="699" t="s">
        <v>716</v>
      </c>
      <c r="AO300" s="189"/>
      <c r="AP300" s="195"/>
      <c r="AQ300" s="195"/>
      <c r="AR300" s="195"/>
      <c r="AS300" s="190"/>
      <c r="AT300" s="462"/>
      <c r="AU300" s="462"/>
      <c r="AV300" s="462"/>
      <c r="AW300" s="194"/>
      <c r="AX300" s="169"/>
    </row>
    <row r="301" spans="32:50" ht="12" customHeight="1">
      <c r="AF301" s="413" t="s">
        <v>1340</v>
      </c>
      <c r="AL301" s="36"/>
      <c r="AM301" s="696" t="s">
        <v>1525</v>
      </c>
      <c r="AN301" s="700" t="s">
        <v>1305</v>
      </c>
      <c r="AO301" s="189"/>
      <c r="AP301" s="195"/>
      <c r="AQ301" s="195"/>
      <c r="AR301" s="195"/>
      <c r="AS301" s="190"/>
      <c r="AT301" s="462"/>
      <c r="AU301" s="462"/>
      <c r="AV301" s="462"/>
      <c r="AW301" s="194"/>
      <c r="AX301" s="169"/>
    </row>
    <row r="302" spans="32:50" ht="12" customHeight="1">
      <c r="AF302" s="413" t="s">
        <v>1341</v>
      </c>
      <c r="AL302" s="36"/>
      <c r="AM302" s="696" t="s">
        <v>1526</v>
      </c>
      <c r="AN302" s="700" t="s">
        <v>1306</v>
      </c>
      <c r="AO302" s="189"/>
      <c r="AP302" s="195"/>
      <c r="AQ302" s="195"/>
      <c r="AR302" s="195"/>
      <c r="AS302" s="190"/>
      <c r="AT302" s="462"/>
      <c r="AU302" s="462"/>
      <c r="AV302" s="462"/>
      <c r="AW302" s="194"/>
      <c r="AX302" s="169"/>
    </row>
    <row r="303" spans="32:50" ht="12" customHeight="1">
      <c r="AF303" s="413" t="s">
        <v>1342</v>
      </c>
      <c r="AL303" s="36"/>
      <c r="AM303" s="696" t="s">
        <v>1527</v>
      </c>
      <c r="AN303" s="700" t="s">
        <v>1307</v>
      </c>
      <c r="AO303" s="189"/>
      <c r="AP303" s="195"/>
      <c r="AQ303" s="195"/>
      <c r="AR303" s="195"/>
      <c r="AS303" s="190"/>
      <c r="AT303" s="462"/>
      <c r="AU303" s="462"/>
      <c r="AV303" s="462"/>
      <c r="AW303" s="194"/>
      <c r="AX303" s="169"/>
    </row>
    <row r="304" spans="32:50" ht="12" customHeight="1">
      <c r="AF304" s="413" t="s">
        <v>1339</v>
      </c>
      <c r="AL304" s="36"/>
      <c r="AM304" s="696" t="s">
        <v>1528</v>
      </c>
      <c r="AN304" s="700" t="s">
        <v>1308</v>
      </c>
      <c r="AO304" s="189"/>
      <c r="AP304" s="195"/>
      <c r="AQ304" s="195"/>
      <c r="AR304" s="195"/>
      <c r="AS304" s="190"/>
      <c r="AT304" s="462"/>
      <c r="AU304" s="462"/>
      <c r="AV304" s="462"/>
      <c r="AW304" s="194"/>
      <c r="AX304" s="169"/>
    </row>
    <row r="305" spans="32:50" ht="12" customHeight="1">
      <c r="AF305" s="413" t="s">
        <v>1332</v>
      </c>
      <c r="AL305" s="36"/>
      <c r="AM305" s="696" t="s">
        <v>1529</v>
      </c>
      <c r="AN305" s="701" t="s">
        <v>684</v>
      </c>
      <c r="AO305" s="189"/>
      <c r="AP305" s="195"/>
      <c r="AQ305" s="195"/>
      <c r="AR305" s="195"/>
      <c r="AS305" s="190"/>
      <c r="AT305" s="462"/>
      <c r="AU305" s="462"/>
      <c r="AV305" s="462"/>
      <c r="AW305" s="194"/>
      <c r="AX305" s="169"/>
    </row>
    <row r="306" spans="32:50" ht="12" customHeight="1">
      <c r="AF306" s="413" t="s">
        <v>1333</v>
      </c>
      <c r="AL306" s="36"/>
      <c r="AM306" s="696" t="s">
        <v>1530</v>
      </c>
      <c r="AN306" s="702" t="s">
        <v>718</v>
      </c>
      <c r="AO306" s="189"/>
      <c r="AP306" s="195"/>
      <c r="AQ306" s="195"/>
      <c r="AR306" s="195"/>
      <c r="AS306" s="190"/>
      <c r="AT306" s="462"/>
      <c r="AU306" s="462"/>
      <c r="AV306" s="462"/>
      <c r="AW306" s="194"/>
      <c r="AX306" s="169"/>
    </row>
    <row r="307" spans="32:50" ht="12" customHeight="1">
      <c r="AF307" s="413" t="s">
        <v>1334</v>
      </c>
      <c r="AL307" s="36"/>
      <c r="AM307" s="696" t="s">
        <v>1531</v>
      </c>
      <c r="AN307" s="703" t="s">
        <v>722</v>
      </c>
      <c r="AO307" s="189"/>
      <c r="AP307" s="197"/>
      <c r="AQ307" s="197"/>
      <c r="AR307" s="197"/>
      <c r="AS307" s="190"/>
      <c r="AT307" s="462"/>
      <c r="AU307" s="462"/>
      <c r="AV307" s="462"/>
      <c r="AW307" s="194"/>
      <c r="AX307" s="169"/>
    </row>
    <row r="308" spans="32:50" ht="12" customHeight="1">
      <c r="AF308" s="413" t="s">
        <v>1335</v>
      </c>
      <c r="AL308" s="36"/>
      <c r="AM308" s="696" t="s">
        <v>1532</v>
      </c>
      <c r="AN308" s="704" t="s">
        <v>1309</v>
      </c>
      <c r="AO308" s="189"/>
      <c r="AP308" s="195"/>
      <c r="AQ308" s="195"/>
      <c r="AR308" s="195"/>
      <c r="AS308" s="190"/>
      <c r="AT308" s="462"/>
      <c r="AU308" s="462"/>
      <c r="AV308" s="462"/>
      <c r="AW308" s="194"/>
      <c r="AX308" s="169"/>
    </row>
    <row r="309" spans="32:50" ht="12" customHeight="1">
      <c r="AF309" s="413" t="s">
        <v>1336</v>
      </c>
      <c r="AL309" s="36"/>
      <c r="AM309" s="696" t="s">
        <v>1533</v>
      </c>
      <c r="AN309" s="704" t="s">
        <v>1310</v>
      </c>
      <c r="AO309" s="189"/>
      <c r="AP309" s="195"/>
      <c r="AQ309" s="195"/>
      <c r="AR309" s="195"/>
      <c r="AS309" s="190"/>
      <c r="AT309" s="462"/>
      <c r="AU309" s="462"/>
      <c r="AV309" s="462"/>
      <c r="AW309" s="194"/>
      <c r="AX309" s="169"/>
    </row>
    <row r="310" spans="32:50" ht="12" customHeight="1">
      <c r="AF310" s="413" t="s">
        <v>1337</v>
      </c>
      <c r="AL310" s="36"/>
      <c r="AM310" s="696" t="s">
        <v>1534</v>
      </c>
      <c r="AN310" s="704" t="s">
        <v>1311</v>
      </c>
      <c r="AO310" s="189"/>
      <c r="AP310" s="195"/>
      <c r="AQ310" s="195"/>
      <c r="AR310" s="195"/>
      <c r="AS310" s="190"/>
      <c r="AT310" s="462"/>
      <c r="AU310" s="462"/>
      <c r="AV310" s="462"/>
      <c r="AW310" s="194"/>
      <c r="AX310" s="169"/>
    </row>
    <row r="311" spans="32:50" ht="12" customHeight="1">
      <c r="AF311" s="413" t="s">
        <v>1338</v>
      </c>
      <c r="AL311" s="36"/>
      <c r="AM311" s="696" t="s">
        <v>1535</v>
      </c>
      <c r="AN311" s="704" t="s">
        <v>1312</v>
      </c>
      <c r="AO311" s="189"/>
      <c r="AP311" s="195"/>
      <c r="AQ311" s="195"/>
      <c r="AR311" s="195"/>
      <c r="AS311" s="190"/>
      <c r="AT311" s="462"/>
      <c r="AU311" s="462"/>
      <c r="AV311" s="462"/>
      <c r="AW311" s="194"/>
      <c r="AX311" s="169"/>
    </row>
    <row r="312" spans="32:50" ht="12" customHeight="1">
      <c r="AF312" s="413" t="s">
        <v>1343</v>
      </c>
      <c r="AL312" s="36"/>
      <c r="AM312" s="696" t="s">
        <v>1536</v>
      </c>
      <c r="AN312" s="705" t="s">
        <v>720</v>
      </c>
      <c r="AO312" s="189"/>
      <c r="AP312" s="195"/>
      <c r="AQ312" s="195"/>
      <c r="AR312" s="195"/>
      <c r="AS312" s="190"/>
      <c r="AT312" s="462"/>
      <c r="AU312" s="462"/>
      <c r="AV312" s="462"/>
      <c r="AW312" s="194"/>
      <c r="AX312" s="169"/>
    </row>
    <row r="313" spans="32:50" ht="12" customHeight="1">
      <c r="AF313" s="413" t="s">
        <v>1866</v>
      </c>
      <c r="AL313" s="36"/>
      <c r="AM313" s="696" t="s">
        <v>1871</v>
      </c>
      <c r="AN313" s="706" t="s">
        <v>1313</v>
      </c>
      <c r="AO313" s="189"/>
      <c r="AP313" s="195"/>
      <c r="AQ313" s="195"/>
      <c r="AR313" s="195"/>
      <c r="AS313" s="190"/>
      <c r="AT313" s="462"/>
      <c r="AU313" s="462"/>
      <c r="AV313" s="462"/>
      <c r="AW313" s="194"/>
      <c r="AX313" s="169"/>
    </row>
    <row r="314" spans="32:50" ht="12" customHeight="1">
      <c r="AF314" s="413" t="s">
        <v>1847</v>
      </c>
      <c r="AL314" s="36"/>
      <c r="AM314" s="696" t="s">
        <v>1852</v>
      </c>
      <c r="AN314" s="706" t="s">
        <v>1314</v>
      </c>
      <c r="AO314" s="189"/>
      <c r="AP314" s="195"/>
      <c r="AQ314" s="195"/>
      <c r="AR314" s="195"/>
      <c r="AS314" s="190"/>
      <c r="AT314" s="462"/>
      <c r="AU314" s="462"/>
      <c r="AV314" s="462"/>
      <c r="AW314" s="194"/>
      <c r="AX314" s="169"/>
    </row>
    <row r="315" spans="32:50" ht="12" customHeight="1">
      <c r="AF315" s="413" t="s">
        <v>1827</v>
      </c>
      <c r="AL315" s="36"/>
      <c r="AM315" s="696" t="s">
        <v>1833</v>
      </c>
      <c r="AN315" s="706" t="s">
        <v>1315</v>
      </c>
      <c r="AO315" s="189"/>
      <c r="AP315" s="197"/>
      <c r="AQ315" s="197"/>
      <c r="AR315" s="197"/>
      <c r="AS315" s="190"/>
      <c r="AT315" s="462"/>
      <c r="AU315" s="462"/>
      <c r="AV315" s="462"/>
      <c r="AW315" s="194"/>
      <c r="AX315" s="169"/>
    </row>
    <row r="316" spans="32:50" ht="12" customHeight="1">
      <c r="AF316" s="413" t="s">
        <v>1344</v>
      </c>
      <c r="AL316" s="36"/>
      <c r="AM316" s="696" t="s">
        <v>1537</v>
      </c>
      <c r="AN316" s="706" t="s">
        <v>1316</v>
      </c>
      <c r="AO316" s="189"/>
      <c r="AP316" s="197"/>
      <c r="AQ316" s="197"/>
      <c r="AR316" s="197"/>
      <c r="AS316" s="190"/>
      <c r="AT316" s="462"/>
      <c r="AU316" s="462"/>
      <c r="AV316" s="462"/>
      <c r="AW316" s="194"/>
      <c r="AX316" s="169"/>
    </row>
    <row r="317" spans="32:50" ht="12" customHeight="1">
      <c r="AF317" s="413" t="s">
        <v>1345</v>
      </c>
      <c r="AL317" s="36"/>
      <c r="AM317" s="696" t="s">
        <v>1538</v>
      </c>
      <c r="AN317" s="706" t="s">
        <v>1317</v>
      </c>
      <c r="AO317" s="189"/>
      <c r="AP317" s="197"/>
      <c r="AQ317" s="197"/>
      <c r="AR317" s="197"/>
      <c r="AS317" s="190"/>
      <c r="AT317" s="462"/>
      <c r="AU317" s="462"/>
      <c r="AV317" s="462"/>
      <c r="AW317" s="194"/>
      <c r="AX317" s="169"/>
    </row>
    <row r="318" spans="32:50" ht="12" customHeight="1">
      <c r="AF318" s="413" t="s">
        <v>1346</v>
      </c>
      <c r="AL318" s="36"/>
      <c r="AM318" s="696" t="s">
        <v>1539</v>
      </c>
      <c r="AN318" s="706" t="s">
        <v>1318</v>
      </c>
      <c r="AO318" s="189"/>
      <c r="AP318" s="197"/>
      <c r="AQ318" s="197"/>
      <c r="AR318" s="197"/>
      <c r="AS318" s="190"/>
      <c r="AT318" s="462"/>
      <c r="AU318" s="462"/>
      <c r="AV318" s="462"/>
      <c r="AW318" s="194"/>
      <c r="AX318" s="169"/>
    </row>
    <row r="319" spans="32:50" ht="12" customHeight="1">
      <c r="AF319" s="413" t="s">
        <v>1347</v>
      </c>
      <c r="AL319" s="36"/>
      <c r="AM319" s="696" t="s">
        <v>1540</v>
      </c>
      <c r="AN319" s="707" t="s">
        <v>721</v>
      </c>
      <c r="AO319" s="189"/>
      <c r="AP319" s="197"/>
      <c r="AQ319" s="197"/>
      <c r="AR319" s="197"/>
      <c r="AS319" s="190"/>
      <c r="AT319" s="462"/>
      <c r="AU319" s="462"/>
      <c r="AV319" s="462"/>
      <c r="AW319" s="194"/>
      <c r="AX319" s="169"/>
    </row>
    <row r="320" spans="32:50" ht="12" customHeight="1">
      <c r="AF320" s="413" t="s">
        <v>1348</v>
      </c>
      <c r="AL320" s="36"/>
      <c r="AM320" s="696" t="s">
        <v>1541</v>
      </c>
      <c r="AN320" s="708" t="s">
        <v>712</v>
      </c>
      <c r="AO320" s="189"/>
      <c r="AP320" s="197"/>
      <c r="AQ320" s="197"/>
      <c r="AR320" s="197"/>
      <c r="AS320" s="190"/>
      <c r="AT320" s="462"/>
      <c r="AU320" s="462"/>
      <c r="AV320" s="462"/>
      <c r="AW320" s="194"/>
      <c r="AX320" s="169"/>
    </row>
    <row r="321" spans="32:50" ht="12" customHeight="1">
      <c r="AF321" s="413" t="s">
        <v>2612</v>
      </c>
      <c r="AL321" s="36"/>
      <c r="AM321" s="696" t="s">
        <v>2722</v>
      </c>
      <c r="AN321" s="709" t="s">
        <v>1319</v>
      </c>
      <c r="AO321" s="189"/>
      <c r="AP321" s="197"/>
      <c r="AQ321" s="197"/>
      <c r="AR321" s="197"/>
      <c r="AS321" s="190"/>
      <c r="AT321" s="462"/>
      <c r="AU321" s="462"/>
      <c r="AV321" s="462"/>
      <c r="AW321" s="194"/>
      <c r="AX321" s="169"/>
    </row>
    <row r="322" spans="32:50" ht="12" customHeight="1">
      <c r="AF322" s="413" t="s">
        <v>2614</v>
      </c>
      <c r="AL322" s="36"/>
      <c r="AM322" s="696" t="s">
        <v>2723</v>
      </c>
      <c r="AN322" s="709" t="s">
        <v>1320</v>
      </c>
      <c r="AO322" s="189"/>
      <c r="AP322" s="197"/>
      <c r="AQ322" s="197"/>
      <c r="AR322" s="197"/>
      <c r="AS322" s="190"/>
      <c r="AT322" s="462"/>
      <c r="AU322" s="462"/>
      <c r="AV322" s="462"/>
      <c r="AW322" s="194"/>
      <c r="AX322" s="169"/>
    </row>
    <row r="323" spans="32:50" ht="12" customHeight="1">
      <c r="AF323" s="413" t="s">
        <v>2616</v>
      </c>
      <c r="AL323" s="36"/>
      <c r="AM323" s="696" t="s">
        <v>2724</v>
      </c>
      <c r="AN323" s="709" t="s">
        <v>1321</v>
      </c>
      <c r="AO323" s="189"/>
      <c r="AP323" s="197"/>
      <c r="AQ323" s="197"/>
      <c r="AR323" s="197"/>
      <c r="AS323" s="190"/>
      <c r="AT323" s="462"/>
      <c r="AU323" s="462"/>
      <c r="AV323" s="462"/>
      <c r="AW323" s="194"/>
      <c r="AX323" s="169"/>
    </row>
    <row r="324" spans="32:50" ht="12" customHeight="1">
      <c r="AF324" s="413" t="s">
        <v>2619</v>
      </c>
      <c r="AL324" s="36"/>
      <c r="AM324" s="696" t="s">
        <v>2725</v>
      </c>
      <c r="AN324" s="709" t="s">
        <v>2618</v>
      </c>
      <c r="AO324" s="189"/>
      <c r="AP324" s="197"/>
      <c r="AQ324" s="197"/>
      <c r="AR324" s="197"/>
      <c r="AS324" s="190"/>
      <c r="AT324" s="462"/>
      <c r="AU324" s="462"/>
      <c r="AV324" s="462"/>
      <c r="AW324" s="194"/>
      <c r="AX324" s="169"/>
    </row>
    <row r="325" spans="32:50" ht="12" customHeight="1">
      <c r="AF325" s="413" t="s">
        <v>2622</v>
      </c>
      <c r="AL325" s="36"/>
      <c r="AM325" s="696" t="s">
        <v>2726</v>
      </c>
      <c r="AN325" s="709" t="s">
        <v>2621</v>
      </c>
      <c r="AO325" s="189"/>
      <c r="AP325" s="197"/>
      <c r="AQ325" s="197"/>
      <c r="AR325" s="197"/>
      <c r="AS325" s="190"/>
      <c r="AT325" s="462"/>
      <c r="AU325" s="462"/>
      <c r="AV325" s="462"/>
      <c r="AW325" s="194"/>
      <c r="AX325" s="169"/>
    </row>
    <row r="326" spans="32:50" ht="12" customHeight="1">
      <c r="AF326" s="413" t="s">
        <v>2624</v>
      </c>
      <c r="AL326" s="36"/>
      <c r="AM326" s="696" t="s">
        <v>2727</v>
      </c>
      <c r="AN326" s="709" t="s">
        <v>1322</v>
      </c>
      <c r="AO326" s="189"/>
      <c r="AP326" s="195"/>
      <c r="AQ326" s="195"/>
      <c r="AR326" s="195"/>
      <c r="AS326" s="190"/>
      <c r="AT326" s="462"/>
      <c r="AU326" s="462"/>
      <c r="AV326" s="462"/>
      <c r="AW326" s="194"/>
      <c r="AX326" s="169"/>
    </row>
    <row r="327" spans="32:50" ht="12" customHeight="1">
      <c r="AF327" s="413" t="s">
        <v>2627</v>
      </c>
      <c r="AL327" s="36"/>
      <c r="AM327" s="696" t="s">
        <v>2728</v>
      </c>
      <c r="AN327" s="709" t="s">
        <v>2626</v>
      </c>
      <c r="AO327" s="189"/>
      <c r="AP327" s="195"/>
      <c r="AQ327" s="195"/>
      <c r="AR327" s="195"/>
      <c r="AS327" s="190"/>
      <c r="AT327" s="462"/>
      <c r="AU327" s="462"/>
      <c r="AV327" s="462"/>
      <c r="AW327" s="194"/>
      <c r="AX327" s="169"/>
    </row>
    <row r="328" spans="32:50" ht="12" customHeight="1">
      <c r="AF328" s="413" t="s">
        <v>2629</v>
      </c>
      <c r="AL328" s="36"/>
      <c r="AM328" s="696" t="s">
        <v>2729</v>
      </c>
      <c r="AN328" s="709" t="s">
        <v>1323</v>
      </c>
      <c r="AO328" s="189"/>
      <c r="AP328" s="195"/>
      <c r="AQ328" s="195"/>
      <c r="AR328" s="195"/>
      <c r="AS328" s="190"/>
      <c r="AT328" s="462"/>
      <c r="AU328" s="462"/>
      <c r="AV328" s="462"/>
      <c r="AW328" s="194"/>
      <c r="AX328" s="169"/>
    </row>
    <row r="329" spans="32:50" ht="12" customHeight="1">
      <c r="AF329" s="413" t="s">
        <v>2631</v>
      </c>
      <c r="AL329" s="36"/>
      <c r="AM329" s="696" t="s">
        <v>2730</v>
      </c>
      <c r="AN329" s="709" t="s">
        <v>1324</v>
      </c>
      <c r="AO329" s="189"/>
      <c r="AP329" s="195"/>
      <c r="AQ329" s="195"/>
      <c r="AR329" s="195"/>
      <c r="AS329" s="190"/>
      <c r="AT329" s="462"/>
      <c r="AU329" s="462"/>
      <c r="AV329" s="462"/>
      <c r="AW329" s="194"/>
      <c r="AX329" s="169"/>
    </row>
    <row r="330" spans="32:50" ht="12" customHeight="1">
      <c r="AF330" s="413" t="s">
        <v>2634</v>
      </c>
      <c r="AL330" s="36"/>
      <c r="AM330" s="696" t="s">
        <v>2731</v>
      </c>
      <c r="AN330" s="709" t="s">
        <v>2633</v>
      </c>
      <c r="AO330" s="189"/>
      <c r="AP330" s="195"/>
      <c r="AQ330" s="195"/>
      <c r="AR330" s="195"/>
      <c r="AS330" s="190"/>
      <c r="AT330" s="462"/>
      <c r="AU330" s="462"/>
      <c r="AV330" s="462"/>
      <c r="AW330" s="194"/>
      <c r="AX330" s="169"/>
    </row>
    <row r="331" spans="32:50" ht="12" customHeight="1">
      <c r="AF331" s="413" t="s">
        <v>2637</v>
      </c>
      <c r="AL331" s="36"/>
      <c r="AM331" s="696" t="s">
        <v>2732</v>
      </c>
      <c r="AN331" s="709" t="s">
        <v>2636</v>
      </c>
      <c r="AO331" s="189"/>
      <c r="AP331" s="195"/>
      <c r="AQ331" s="195"/>
      <c r="AR331" s="195"/>
      <c r="AS331" s="190"/>
      <c r="AT331" s="462"/>
      <c r="AU331" s="462"/>
      <c r="AV331" s="462"/>
      <c r="AW331" s="194"/>
      <c r="AX331" s="169"/>
    </row>
    <row r="332" spans="32:50" ht="12" customHeight="1">
      <c r="AF332" s="413" t="s">
        <v>2640</v>
      </c>
      <c r="AL332" s="36"/>
      <c r="AM332" s="696" t="s">
        <v>2733</v>
      </c>
      <c r="AN332" s="709" t="s">
        <v>2639</v>
      </c>
      <c r="AO332" s="189"/>
      <c r="AP332" s="195"/>
      <c r="AQ332" s="195"/>
      <c r="AR332" s="195"/>
      <c r="AS332" s="190"/>
      <c r="AT332" s="462"/>
      <c r="AU332" s="462"/>
      <c r="AV332" s="462"/>
      <c r="AW332" s="194"/>
      <c r="AX332" s="169"/>
    </row>
    <row r="333" spans="32:50" ht="12" customHeight="1">
      <c r="AF333" s="413" t="s">
        <v>2643</v>
      </c>
      <c r="AL333" s="36"/>
      <c r="AM333" s="696" t="s">
        <v>2734</v>
      </c>
      <c r="AN333" s="709" t="s">
        <v>2642</v>
      </c>
      <c r="AO333" s="189"/>
      <c r="AP333" s="195"/>
      <c r="AQ333" s="195"/>
      <c r="AR333" s="195"/>
      <c r="AS333" s="190"/>
      <c r="AT333" s="462"/>
      <c r="AU333" s="462"/>
      <c r="AV333" s="462"/>
      <c r="AW333" s="194"/>
      <c r="AX333" s="169"/>
    </row>
    <row r="334" spans="32:50" ht="12" customHeight="1">
      <c r="AF334" s="413" t="s">
        <v>2646</v>
      </c>
      <c r="AL334" s="36"/>
      <c r="AM334" s="696" t="s">
        <v>2735</v>
      </c>
      <c r="AN334" s="709" t="s">
        <v>2645</v>
      </c>
      <c r="AO334" s="189"/>
      <c r="AP334" s="195"/>
      <c r="AQ334" s="195"/>
      <c r="AR334" s="195"/>
      <c r="AS334" s="190"/>
      <c r="AT334" s="462"/>
      <c r="AU334" s="462"/>
      <c r="AV334" s="462"/>
      <c r="AW334" s="194"/>
      <c r="AX334" s="169"/>
    </row>
    <row r="335" spans="32:50" ht="12" customHeight="1">
      <c r="AF335" s="413" t="s">
        <v>2648</v>
      </c>
      <c r="AL335" s="36"/>
      <c r="AM335" s="696" t="s">
        <v>2736</v>
      </c>
      <c r="AN335" s="709" t="s">
        <v>1325</v>
      </c>
      <c r="AO335" s="189"/>
      <c r="AP335" s="195"/>
      <c r="AQ335" s="195"/>
      <c r="AR335" s="195"/>
      <c r="AS335" s="190"/>
      <c r="AT335" s="462"/>
      <c r="AU335" s="462"/>
      <c r="AV335" s="462"/>
      <c r="AW335" s="194"/>
      <c r="AX335" s="169"/>
    </row>
    <row r="336" spans="32:50" ht="12" customHeight="1">
      <c r="AF336" s="413" t="s">
        <v>2650</v>
      </c>
      <c r="AL336" s="36"/>
      <c r="AM336" s="696" t="s">
        <v>2737</v>
      </c>
      <c r="AN336" s="709" t="s">
        <v>1326</v>
      </c>
      <c r="AO336" s="189"/>
      <c r="AP336" s="195"/>
      <c r="AQ336" s="195"/>
      <c r="AR336" s="195"/>
      <c r="AS336" s="190"/>
      <c r="AT336" s="462"/>
      <c r="AU336" s="462"/>
      <c r="AV336" s="462"/>
      <c r="AW336" s="194"/>
      <c r="AX336" s="169"/>
    </row>
    <row r="337" spans="32:50" ht="12" customHeight="1">
      <c r="AF337" s="413" t="s">
        <v>2653</v>
      </c>
      <c r="AL337" s="36"/>
      <c r="AM337" s="696" t="s">
        <v>2738</v>
      </c>
      <c r="AN337" s="709" t="s">
        <v>2652</v>
      </c>
      <c r="AO337" s="189"/>
      <c r="AP337" s="195"/>
      <c r="AQ337" s="195"/>
      <c r="AR337" s="195"/>
      <c r="AS337" s="190"/>
      <c r="AT337" s="462"/>
      <c r="AU337" s="462"/>
      <c r="AV337" s="462"/>
      <c r="AW337" s="194"/>
      <c r="AX337" s="169"/>
    </row>
    <row r="338" spans="32:50" ht="0.75" hidden="1" customHeight="1">
      <c r="AF338" s="413"/>
      <c r="AL338" s="36"/>
      <c r="AM338" s="718"/>
      <c r="AN338" s="460"/>
      <c r="AO338" s="461"/>
      <c r="AP338" s="462"/>
      <c r="AQ338" s="462"/>
      <c r="AR338" s="462"/>
      <c r="AS338" s="190"/>
      <c r="AT338" s="462"/>
      <c r="AU338" s="462"/>
      <c r="AV338" s="462"/>
      <c r="AW338" s="194"/>
      <c r="AX338" s="169"/>
    </row>
    <row r="339" spans="32:50" ht="0.75" hidden="1" customHeight="1">
      <c r="AF339" s="413"/>
      <c r="AL339" s="36"/>
      <c r="AM339" s="718"/>
      <c r="AN339" s="460"/>
      <c r="AO339" s="461"/>
      <c r="AP339" s="462"/>
      <c r="AQ339" s="462"/>
      <c r="AR339" s="462"/>
      <c r="AS339" s="190"/>
      <c r="AT339" s="462"/>
      <c r="AU339" s="462"/>
      <c r="AV339" s="462"/>
      <c r="AW339" s="194"/>
      <c r="AX339" s="169"/>
    </row>
    <row r="340" spans="32:50" ht="12" customHeight="1">
      <c r="AF340" s="413" t="s">
        <v>1357</v>
      </c>
      <c r="AL340" s="36"/>
      <c r="AM340" s="696" t="s">
        <v>1542</v>
      </c>
      <c r="AN340" s="719" t="s">
        <v>1327</v>
      </c>
      <c r="AO340" s="189"/>
      <c r="AP340" s="195"/>
      <c r="AQ340" s="195"/>
      <c r="AR340" s="195"/>
      <c r="AS340" s="190"/>
      <c r="AT340" s="462"/>
      <c r="AU340" s="462"/>
      <c r="AV340" s="462"/>
      <c r="AW340" s="194"/>
      <c r="AX340" s="169"/>
    </row>
    <row r="341" spans="32:50" ht="12" customHeight="1">
      <c r="AF341" s="413" t="s">
        <v>1350</v>
      </c>
      <c r="AL341" s="36"/>
      <c r="AM341" s="696" t="s">
        <v>1543</v>
      </c>
      <c r="AN341" s="712" t="s">
        <v>723</v>
      </c>
      <c r="AO341" s="189"/>
      <c r="AP341" s="195"/>
      <c r="AQ341" s="195"/>
      <c r="AR341" s="195"/>
      <c r="AS341" s="190"/>
      <c r="AT341" s="462"/>
      <c r="AU341" s="462"/>
      <c r="AV341" s="462"/>
      <c r="AW341" s="194"/>
      <c r="AX341" s="169"/>
    </row>
    <row r="342" spans="32:50" ht="12" customHeight="1">
      <c r="AF342" s="413" t="s">
        <v>1351</v>
      </c>
      <c r="AL342" s="36"/>
      <c r="AM342" s="696" t="s">
        <v>1544</v>
      </c>
      <c r="AN342" s="713" t="s">
        <v>748</v>
      </c>
      <c r="AO342" s="189"/>
      <c r="AP342" s="195"/>
      <c r="AQ342" s="195"/>
      <c r="AR342" s="195"/>
      <c r="AS342" s="190"/>
      <c r="AT342" s="462"/>
      <c r="AU342" s="462"/>
      <c r="AV342" s="462"/>
      <c r="AW342" s="194"/>
      <c r="AX342" s="169"/>
    </row>
    <row r="343" spans="32:50" ht="12" customHeight="1">
      <c r="AF343" s="413" t="s">
        <v>1352</v>
      </c>
      <c r="AL343" s="36"/>
      <c r="AM343" s="696" t="s">
        <v>1545</v>
      </c>
      <c r="AN343" s="714" t="s">
        <v>315</v>
      </c>
      <c r="AO343" s="189"/>
      <c r="AP343" s="195"/>
      <c r="AQ343" s="195"/>
      <c r="AR343" s="195"/>
      <c r="AS343" s="190"/>
      <c r="AT343" s="462"/>
      <c r="AU343" s="462"/>
      <c r="AV343" s="462"/>
      <c r="AW343" s="194"/>
      <c r="AX343" s="169"/>
    </row>
    <row r="344" spans="32:50" ht="12" customHeight="1">
      <c r="AF344" s="413" t="s">
        <v>1354</v>
      </c>
      <c r="AL344" s="36"/>
      <c r="AM344" s="696" t="s">
        <v>1546</v>
      </c>
      <c r="AN344" s="715" t="s">
        <v>316</v>
      </c>
      <c r="AO344" s="189"/>
      <c r="AP344" s="195"/>
      <c r="AQ344" s="195"/>
      <c r="AR344" s="195"/>
      <c r="AS344" s="190"/>
      <c r="AT344" s="462"/>
      <c r="AU344" s="462"/>
      <c r="AV344" s="462"/>
      <c r="AW344" s="194"/>
      <c r="AX344" s="169"/>
    </row>
    <row r="345" spans="32:50" ht="12" customHeight="1">
      <c r="AF345" s="413" t="s">
        <v>1353</v>
      </c>
      <c r="AL345" s="36"/>
      <c r="AM345" s="696" t="s">
        <v>1547</v>
      </c>
      <c r="AN345" s="716" t="s">
        <v>317</v>
      </c>
      <c r="AO345" s="189"/>
      <c r="AP345" s="195"/>
      <c r="AQ345" s="195"/>
      <c r="AR345" s="195"/>
      <c r="AS345" s="190"/>
      <c r="AT345" s="462"/>
      <c r="AU345" s="462"/>
      <c r="AV345" s="462"/>
      <c r="AW345" s="194"/>
      <c r="AX345" s="169"/>
    </row>
    <row r="346" spans="32:50" ht="12" customHeight="1">
      <c r="AF346" s="413" t="s">
        <v>1355</v>
      </c>
      <c r="AL346" s="36"/>
      <c r="AM346" s="696" t="s">
        <v>1548</v>
      </c>
      <c r="AN346" s="701" t="s">
        <v>318</v>
      </c>
      <c r="AO346" s="189"/>
      <c r="AP346" s="195"/>
      <c r="AQ346" s="195"/>
      <c r="AR346" s="195"/>
      <c r="AS346" s="190"/>
      <c r="AT346" s="462"/>
      <c r="AU346" s="462"/>
      <c r="AV346" s="462"/>
      <c r="AW346" s="194"/>
      <c r="AX346" s="169"/>
    </row>
    <row r="347" spans="32:50" ht="0.75" hidden="1" customHeight="1">
      <c r="AF347" s="413"/>
      <c r="AL347" s="36"/>
      <c r="AM347" s="718"/>
      <c r="AN347" s="460"/>
      <c r="AO347" s="461"/>
      <c r="AP347" s="462"/>
      <c r="AQ347" s="462"/>
      <c r="AR347" s="462"/>
      <c r="AS347" s="190"/>
      <c r="AT347" s="462"/>
      <c r="AU347" s="462"/>
      <c r="AV347" s="462"/>
      <c r="AW347" s="194"/>
      <c r="AX347" s="169"/>
    </row>
    <row r="348" spans="32:50" ht="24" customHeight="1">
      <c r="AF348" s="115"/>
      <c r="AL348" s="36"/>
      <c r="AM348" s="490" t="s">
        <v>1360</v>
      </c>
      <c r="AN348" s="463" t="s">
        <v>757</v>
      </c>
      <c r="AO348" s="189"/>
      <c r="AP348" s="195"/>
      <c r="AQ348" s="195"/>
      <c r="AR348" s="195"/>
      <c r="AS348" s="190"/>
      <c r="AT348" s="462"/>
      <c r="AU348" s="462"/>
      <c r="AV348" s="462"/>
      <c r="AW348" s="194"/>
      <c r="AX348" s="169"/>
    </row>
    <row r="349" spans="32:50">
      <c r="AF349" s="413" t="s">
        <v>1328</v>
      </c>
      <c r="AL349" s="36"/>
      <c r="AM349" s="696" t="s">
        <v>1549</v>
      </c>
      <c r="AN349" s="697" t="s">
        <v>1304</v>
      </c>
      <c r="AO349" s="189" t="s">
        <v>507</v>
      </c>
      <c r="AP349" s="686">
        <f t="shared" ref="AP349:AR368" si="21">SUMIF($AS$9:$AW$9,AP$9,$AS349:$AW349)</f>
        <v>1026.5729334477601</v>
      </c>
      <c r="AQ349" s="686">
        <f t="shared" si="21"/>
        <v>513.28646672388004</v>
      </c>
      <c r="AR349" s="686">
        <f t="shared" si="21"/>
        <v>513.28646672388004</v>
      </c>
      <c r="AS349" s="190"/>
      <c r="AT349" s="183">
        <f>AU349+AV349</f>
        <v>1026.5729334477601</v>
      </c>
      <c r="AU349" s="183">
        <f>SUM(AU350:AU352)</f>
        <v>513.28646672388004</v>
      </c>
      <c r="AV349" s="183">
        <f>SUM(AV350:AV352)</f>
        <v>513.28646672388004</v>
      </c>
      <c r="AW349" s="194"/>
      <c r="AX349" s="169"/>
    </row>
    <row r="350" spans="32:50">
      <c r="AF350" s="413" t="s">
        <v>1329</v>
      </c>
      <c r="AL350" s="36"/>
      <c r="AM350" s="696" t="s">
        <v>1550</v>
      </c>
      <c r="AN350" s="699" t="s">
        <v>713</v>
      </c>
      <c r="AO350" s="189" t="s">
        <v>507</v>
      </c>
      <c r="AP350" s="686">
        <f t="shared" si="21"/>
        <v>1026.5729334477601</v>
      </c>
      <c r="AQ350" s="686">
        <f t="shared" si="21"/>
        <v>513.28646672388004</v>
      </c>
      <c r="AR350" s="686">
        <f t="shared" si="21"/>
        <v>513.28646672388004</v>
      </c>
      <c r="AS350" s="190"/>
      <c r="AT350" s="240">
        <f>AT401</f>
        <v>1026.5729334477601</v>
      </c>
      <c r="AU350" s="240">
        <f>AU401</f>
        <v>513.28646672388004</v>
      </c>
      <c r="AV350" s="240">
        <f>AV401</f>
        <v>513.28646672388004</v>
      </c>
      <c r="AW350" s="194"/>
      <c r="AX350" s="169"/>
    </row>
    <row r="351" spans="32:50">
      <c r="AF351" s="413" t="s">
        <v>1330</v>
      </c>
      <c r="AL351" s="36"/>
      <c r="AM351" s="696" t="s">
        <v>1551</v>
      </c>
      <c r="AN351" s="699" t="s">
        <v>715</v>
      </c>
      <c r="AO351" s="189" t="s">
        <v>507</v>
      </c>
      <c r="AP351" s="686">
        <f t="shared" si="21"/>
        <v>0</v>
      </c>
      <c r="AQ351" s="686">
        <f t="shared" si="21"/>
        <v>0</v>
      </c>
      <c r="AR351" s="686">
        <f t="shared" si="21"/>
        <v>0</v>
      </c>
      <c r="AS351" s="190"/>
      <c r="AT351" s="462"/>
      <c r="AU351" s="462"/>
      <c r="AV351" s="462"/>
      <c r="AW351" s="194"/>
      <c r="AX351" s="169"/>
    </row>
    <row r="352" spans="32:50">
      <c r="AF352" s="413" t="s">
        <v>1331</v>
      </c>
      <c r="AL352" s="36"/>
      <c r="AM352" s="696" t="s">
        <v>1552</v>
      </c>
      <c r="AN352" s="699" t="s">
        <v>716</v>
      </c>
      <c r="AO352" s="189" t="s">
        <v>507</v>
      </c>
      <c r="AP352" s="686">
        <f t="shared" si="21"/>
        <v>0</v>
      </c>
      <c r="AQ352" s="686">
        <f t="shared" si="21"/>
        <v>0</v>
      </c>
      <c r="AR352" s="686">
        <f t="shared" si="21"/>
        <v>0</v>
      </c>
      <c r="AS352" s="190"/>
      <c r="AT352" s="462"/>
      <c r="AU352" s="462"/>
      <c r="AV352" s="462"/>
      <c r="AW352" s="194"/>
      <c r="AX352" s="169"/>
    </row>
    <row r="353" spans="32:50">
      <c r="AF353" s="413" t="s">
        <v>1340</v>
      </c>
      <c r="AL353" s="36"/>
      <c r="AM353" s="696" t="s">
        <v>1553</v>
      </c>
      <c r="AN353" s="700" t="s">
        <v>1305</v>
      </c>
      <c r="AO353" s="189" t="s">
        <v>507</v>
      </c>
      <c r="AP353" s="686">
        <f t="shared" si="21"/>
        <v>0</v>
      </c>
      <c r="AQ353" s="686">
        <f t="shared" si="21"/>
        <v>0</v>
      </c>
      <c r="AR353" s="686">
        <f t="shared" si="21"/>
        <v>0</v>
      </c>
      <c r="AS353" s="190"/>
      <c r="AT353" s="462"/>
      <c r="AU353" s="462"/>
      <c r="AV353" s="462"/>
      <c r="AW353" s="194"/>
      <c r="AX353" s="169"/>
    </row>
    <row r="354" spans="32:50">
      <c r="AF354" s="413" t="s">
        <v>1341</v>
      </c>
      <c r="AL354" s="36"/>
      <c r="AM354" s="696" t="s">
        <v>1554</v>
      </c>
      <c r="AN354" s="700" t="s">
        <v>1306</v>
      </c>
      <c r="AO354" s="189" t="s">
        <v>507</v>
      </c>
      <c r="AP354" s="686">
        <f t="shared" si="21"/>
        <v>0</v>
      </c>
      <c r="AQ354" s="686">
        <f t="shared" si="21"/>
        <v>0</v>
      </c>
      <c r="AR354" s="686">
        <f t="shared" si="21"/>
        <v>0</v>
      </c>
      <c r="AS354" s="190"/>
      <c r="AT354" s="462"/>
      <c r="AU354" s="462"/>
      <c r="AV354" s="462"/>
      <c r="AW354" s="194"/>
      <c r="AX354" s="169"/>
    </row>
    <row r="355" spans="32:50">
      <c r="AF355" s="413" t="s">
        <v>1342</v>
      </c>
      <c r="AL355" s="36"/>
      <c r="AM355" s="696" t="s">
        <v>1555</v>
      </c>
      <c r="AN355" s="700" t="s">
        <v>1307</v>
      </c>
      <c r="AO355" s="189" t="s">
        <v>507</v>
      </c>
      <c r="AP355" s="686">
        <f t="shared" si="21"/>
        <v>0</v>
      </c>
      <c r="AQ355" s="686">
        <f t="shared" si="21"/>
        <v>0</v>
      </c>
      <c r="AR355" s="686">
        <f t="shared" si="21"/>
        <v>0</v>
      </c>
      <c r="AS355" s="190"/>
      <c r="AT355" s="462"/>
      <c r="AU355" s="462"/>
      <c r="AV355" s="462"/>
      <c r="AW355" s="194"/>
      <c r="AX355" s="169"/>
    </row>
    <row r="356" spans="32:50">
      <c r="AF356" s="413" t="s">
        <v>1339</v>
      </c>
      <c r="AL356" s="36"/>
      <c r="AM356" s="696" t="s">
        <v>1556</v>
      </c>
      <c r="AN356" s="700" t="s">
        <v>1308</v>
      </c>
      <c r="AO356" s="189" t="s">
        <v>507</v>
      </c>
      <c r="AP356" s="686">
        <f t="shared" si="21"/>
        <v>0</v>
      </c>
      <c r="AQ356" s="686">
        <f t="shared" si="21"/>
        <v>0</v>
      </c>
      <c r="AR356" s="686">
        <f t="shared" si="21"/>
        <v>0</v>
      </c>
      <c r="AS356" s="190"/>
      <c r="AT356" s="462"/>
      <c r="AU356" s="462"/>
      <c r="AV356" s="462"/>
      <c r="AW356" s="194"/>
      <c r="AX356" s="169"/>
    </row>
    <row r="357" spans="32:50">
      <c r="AF357" s="413" t="s">
        <v>1332</v>
      </c>
      <c r="AL357" s="36"/>
      <c r="AM357" s="696" t="s">
        <v>1557</v>
      </c>
      <c r="AN357" s="701" t="s">
        <v>684</v>
      </c>
      <c r="AO357" s="189" t="s">
        <v>758</v>
      </c>
      <c r="AP357" s="686">
        <f t="shared" si="21"/>
        <v>0</v>
      </c>
      <c r="AQ357" s="686">
        <f t="shared" si="21"/>
        <v>0</v>
      </c>
      <c r="AR357" s="686">
        <f t="shared" si="21"/>
        <v>0</v>
      </c>
      <c r="AS357" s="190"/>
      <c r="AT357" s="462"/>
      <c r="AU357" s="462"/>
      <c r="AV357" s="462"/>
      <c r="AW357" s="194"/>
      <c r="AX357" s="169"/>
    </row>
    <row r="358" spans="32:50">
      <c r="AF358" s="413" t="s">
        <v>1333</v>
      </c>
      <c r="AL358" s="36"/>
      <c r="AM358" s="696" t="s">
        <v>1558</v>
      </c>
      <c r="AN358" s="702" t="s">
        <v>718</v>
      </c>
      <c r="AO358" s="189" t="s">
        <v>758</v>
      </c>
      <c r="AP358" s="686">
        <f t="shared" si="21"/>
        <v>0</v>
      </c>
      <c r="AQ358" s="686">
        <f t="shared" si="21"/>
        <v>0</v>
      </c>
      <c r="AR358" s="686">
        <f t="shared" si="21"/>
        <v>0</v>
      </c>
      <c r="AS358" s="190"/>
      <c r="AT358" s="462"/>
      <c r="AU358" s="462"/>
      <c r="AV358" s="462"/>
      <c r="AW358" s="194"/>
      <c r="AX358" s="169"/>
    </row>
    <row r="359" spans="32:50">
      <c r="AF359" s="413" t="s">
        <v>1334</v>
      </c>
      <c r="AL359" s="36"/>
      <c r="AM359" s="696" t="s">
        <v>1559</v>
      </c>
      <c r="AN359" s="703" t="s">
        <v>722</v>
      </c>
      <c r="AO359" s="189" t="s">
        <v>758</v>
      </c>
      <c r="AP359" s="686">
        <f t="shared" si="21"/>
        <v>0</v>
      </c>
      <c r="AQ359" s="686">
        <f t="shared" si="21"/>
        <v>0</v>
      </c>
      <c r="AR359" s="686">
        <f t="shared" si="21"/>
        <v>0</v>
      </c>
      <c r="AS359" s="190"/>
      <c r="AT359" s="462"/>
      <c r="AU359" s="462"/>
      <c r="AV359" s="462"/>
      <c r="AW359" s="194"/>
      <c r="AX359" s="169"/>
    </row>
    <row r="360" spans="32:50">
      <c r="AF360" s="413" t="s">
        <v>1335</v>
      </c>
      <c r="AL360" s="36"/>
      <c r="AM360" s="696" t="s">
        <v>1560</v>
      </c>
      <c r="AN360" s="704" t="s">
        <v>1309</v>
      </c>
      <c r="AO360" s="189" t="s">
        <v>758</v>
      </c>
      <c r="AP360" s="686">
        <f t="shared" si="21"/>
        <v>0</v>
      </c>
      <c r="AQ360" s="686">
        <f t="shared" si="21"/>
        <v>0</v>
      </c>
      <c r="AR360" s="686">
        <f t="shared" si="21"/>
        <v>0</v>
      </c>
      <c r="AS360" s="190"/>
      <c r="AT360" s="462"/>
      <c r="AU360" s="462"/>
      <c r="AV360" s="462"/>
      <c r="AW360" s="194"/>
      <c r="AX360" s="169"/>
    </row>
    <row r="361" spans="32:50">
      <c r="AF361" s="413" t="s">
        <v>1336</v>
      </c>
      <c r="AL361" s="36"/>
      <c r="AM361" s="696" t="s">
        <v>1561</v>
      </c>
      <c r="AN361" s="704" t="s">
        <v>1310</v>
      </c>
      <c r="AO361" s="189" t="s">
        <v>758</v>
      </c>
      <c r="AP361" s="686">
        <f t="shared" si="21"/>
        <v>0</v>
      </c>
      <c r="AQ361" s="686">
        <f t="shared" si="21"/>
        <v>0</v>
      </c>
      <c r="AR361" s="686">
        <f t="shared" si="21"/>
        <v>0</v>
      </c>
      <c r="AS361" s="190"/>
      <c r="AT361" s="462"/>
      <c r="AU361" s="462"/>
      <c r="AV361" s="462"/>
      <c r="AW361" s="194"/>
      <c r="AX361" s="169"/>
    </row>
    <row r="362" spans="32:50">
      <c r="AF362" s="413" t="s">
        <v>1337</v>
      </c>
      <c r="AL362" s="36"/>
      <c r="AM362" s="696" t="s">
        <v>1562</v>
      </c>
      <c r="AN362" s="704" t="s">
        <v>1311</v>
      </c>
      <c r="AO362" s="189" t="s">
        <v>758</v>
      </c>
      <c r="AP362" s="686">
        <f t="shared" si="21"/>
        <v>0</v>
      </c>
      <c r="AQ362" s="686">
        <f t="shared" si="21"/>
        <v>0</v>
      </c>
      <c r="AR362" s="686">
        <f t="shared" si="21"/>
        <v>0</v>
      </c>
      <c r="AS362" s="190"/>
      <c r="AT362" s="462"/>
      <c r="AU362" s="462"/>
      <c r="AV362" s="462"/>
      <c r="AW362" s="194"/>
      <c r="AX362" s="169"/>
    </row>
    <row r="363" spans="32:50">
      <c r="AF363" s="413" t="s">
        <v>1338</v>
      </c>
      <c r="AL363" s="36"/>
      <c r="AM363" s="696" t="s">
        <v>1563</v>
      </c>
      <c r="AN363" s="704" t="s">
        <v>1312</v>
      </c>
      <c r="AO363" s="189" t="s">
        <v>758</v>
      </c>
      <c r="AP363" s="686">
        <f t="shared" si="21"/>
        <v>0</v>
      </c>
      <c r="AQ363" s="686">
        <f t="shared" si="21"/>
        <v>0</v>
      </c>
      <c r="AR363" s="686">
        <f t="shared" si="21"/>
        <v>0</v>
      </c>
      <c r="AS363" s="190"/>
      <c r="AT363" s="462"/>
      <c r="AU363" s="462"/>
      <c r="AV363" s="462"/>
      <c r="AW363" s="194"/>
      <c r="AX363" s="169"/>
    </row>
    <row r="364" spans="32:50">
      <c r="AF364" s="413" t="s">
        <v>1343</v>
      </c>
      <c r="AL364" s="36"/>
      <c r="AM364" s="696" t="s">
        <v>1564</v>
      </c>
      <c r="AN364" s="705" t="s">
        <v>720</v>
      </c>
      <c r="AO364" s="189" t="s">
        <v>758</v>
      </c>
      <c r="AP364" s="686">
        <f t="shared" si="21"/>
        <v>0</v>
      </c>
      <c r="AQ364" s="686">
        <f t="shared" si="21"/>
        <v>0</v>
      </c>
      <c r="AR364" s="686">
        <f t="shared" si="21"/>
        <v>0</v>
      </c>
      <c r="AS364" s="190"/>
      <c r="AT364" s="462"/>
      <c r="AU364" s="462"/>
      <c r="AV364" s="462"/>
      <c r="AW364" s="194"/>
      <c r="AX364" s="169"/>
    </row>
    <row r="365" spans="32:50">
      <c r="AF365" s="413" t="s">
        <v>1866</v>
      </c>
      <c r="AL365" s="36"/>
      <c r="AM365" s="696" t="s">
        <v>1872</v>
      </c>
      <c r="AN365" s="706" t="s">
        <v>1313</v>
      </c>
      <c r="AO365" s="189" t="s">
        <v>758</v>
      </c>
      <c r="AP365" s="686">
        <f t="shared" si="21"/>
        <v>0</v>
      </c>
      <c r="AQ365" s="686">
        <f t="shared" si="21"/>
        <v>0</v>
      </c>
      <c r="AR365" s="686">
        <f t="shared" si="21"/>
        <v>0</v>
      </c>
      <c r="AS365" s="190"/>
      <c r="AT365" s="462"/>
      <c r="AU365" s="462"/>
      <c r="AV365" s="462"/>
      <c r="AW365" s="194"/>
      <c r="AX365" s="169"/>
    </row>
    <row r="366" spans="32:50">
      <c r="AF366" s="413" t="s">
        <v>1847</v>
      </c>
      <c r="AL366" s="36"/>
      <c r="AM366" s="696" t="s">
        <v>1853</v>
      </c>
      <c r="AN366" s="706" t="s">
        <v>1314</v>
      </c>
      <c r="AO366" s="189" t="s">
        <v>758</v>
      </c>
      <c r="AP366" s="686">
        <f t="shared" si="21"/>
        <v>0</v>
      </c>
      <c r="AQ366" s="686">
        <f t="shared" si="21"/>
        <v>0</v>
      </c>
      <c r="AR366" s="686">
        <f t="shared" si="21"/>
        <v>0</v>
      </c>
      <c r="AS366" s="190"/>
      <c r="AT366" s="462"/>
      <c r="AU366" s="462"/>
      <c r="AV366" s="462"/>
      <c r="AW366" s="194"/>
      <c r="AX366" s="169"/>
    </row>
    <row r="367" spans="32:50">
      <c r="AF367" s="413" t="s">
        <v>1827</v>
      </c>
      <c r="AL367" s="36"/>
      <c r="AM367" s="696" t="s">
        <v>1834</v>
      </c>
      <c r="AN367" s="706" t="s">
        <v>1315</v>
      </c>
      <c r="AO367" s="189" t="s">
        <v>758</v>
      </c>
      <c r="AP367" s="686">
        <f t="shared" si="21"/>
        <v>0</v>
      </c>
      <c r="AQ367" s="686">
        <f t="shared" si="21"/>
        <v>0</v>
      </c>
      <c r="AR367" s="686">
        <f t="shared" si="21"/>
        <v>0</v>
      </c>
      <c r="AS367" s="190"/>
      <c r="AT367" s="462"/>
      <c r="AU367" s="462"/>
      <c r="AV367" s="462"/>
      <c r="AW367" s="194"/>
      <c r="AX367" s="169"/>
    </row>
    <row r="368" spans="32:50">
      <c r="AF368" s="413" t="s">
        <v>1344</v>
      </c>
      <c r="AL368" s="36"/>
      <c r="AM368" s="696" t="s">
        <v>1565</v>
      </c>
      <c r="AN368" s="706" t="s">
        <v>1316</v>
      </c>
      <c r="AO368" s="189" t="s">
        <v>758</v>
      </c>
      <c r="AP368" s="686">
        <f t="shared" si="21"/>
        <v>0</v>
      </c>
      <c r="AQ368" s="686">
        <f t="shared" si="21"/>
        <v>0</v>
      </c>
      <c r="AR368" s="686">
        <f t="shared" si="21"/>
        <v>0</v>
      </c>
      <c r="AS368" s="190"/>
      <c r="AT368" s="462"/>
      <c r="AU368" s="462"/>
      <c r="AV368" s="462"/>
      <c r="AW368" s="194"/>
      <c r="AX368" s="169"/>
    </row>
    <row r="369" spans="32:50">
      <c r="AF369" s="413" t="s">
        <v>1345</v>
      </c>
      <c r="AL369" s="36"/>
      <c r="AM369" s="696" t="s">
        <v>1566</v>
      </c>
      <c r="AN369" s="706" t="s">
        <v>1317</v>
      </c>
      <c r="AO369" s="189" t="s">
        <v>758</v>
      </c>
      <c r="AP369" s="686">
        <f t="shared" ref="AP369:AR388" si="22">SUMIF($AS$9:$AW$9,AP$9,$AS369:$AW369)</f>
        <v>0</v>
      </c>
      <c r="AQ369" s="686">
        <f t="shared" si="22"/>
        <v>0</v>
      </c>
      <c r="AR369" s="686">
        <f t="shared" si="22"/>
        <v>0</v>
      </c>
      <c r="AS369" s="190"/>
      <c r="AT369" s="462"/>
      <c r="AU369" s="462"/>
      <c r="AV369" s="462"/>
      <c r="AW369" s="194"/>
      <c r="AX369" s="169"/>
    </row>
    <row r="370" spans="32:50">
      <c r="AF370" s="413" t="s">
        <v>1346</v>
      </c>
      <c r="AL370" s="36"/>
      <c r="AM370" s="696" t="s">
        <v>1567</v>
      </c>
      <c r="AN370" s="706" t="s">
        <v>1318</v>
      </c>
      <c r="AO370" s="189" t="s">
        <v>758</v>
      </c>
      <c r="AP370" s="686">
        <f t="shared" si="22"/>
        <v>0</v>
      </c>
      <c r="AQ370" s="686">
        <f t="shared" si="22"/>
        <v>0</v>
      </c>
      <c r="AR370" s="686">
        <f t="shared" si="22"/>
        <v>0</v>
      </c>
      <c r="AS370" s="190"/>
      <c r="AT370" s="462"/>
      <c r="AU370" s="462"/>
      <c r="AV370" s="462"/>
      <c r="AW370" s="194"/>
      <c r="AX370" s="169"/>
    </row>
    <row r="371" spans="32:50">
      <c r="AF371" s="413" t="s">
        <v>1347</v>
      </c>
      <c r="AL371" s="36"/>
      <c r="AM371" s="696" t="s">
        <v>1568</v>
      </c>
      <c r="AN371" s="707" t="s">
        <v>721</v>
      </c>
      <c r="AO371" s="189" t="s">
        <v>758</v>
      </c>
      <c r="AP371" s="686">
        <f t="shared" si="22"/>
        <v>0</v>
      </c>
      <c r="AQ371" s="686">
        <f t="shared" si="22"/>
        <v>0</v>
      </c>
      <c r="AR371" s="686">
        <f t="shared" si="22"/>
        <v>0</v>
      </c>
      <c r="AS371" s="190"/>
      <c r="AT371" s="462"/>
      <c r="AU371" s="462"/>
      <c r="AV371" s="462"/>
      <c r="AW371" s="194"/>
      <c r="AX371" s="169"/>
    </row>
    <row r="372" spans="32:50">
      <c r="AF372" s="413" t="s">
        <v>1348</v>
      </c>
      <c r="AL372" s="36"/>
      <c r="AM372" s="696" t="s">
        <v>1569</v>
      </c>
      <c r="AN372" s="708" t="s">
        <v>712</v>
      </c>
      <c r="AO372" s="189" t="s">
        <v>758</v>
      </c>
      <c r="AP372" s="686">
        <f t="shared" si="22"/>
        <v>0</v>
      </c>
      <c r="AQ372" s="686">
        <f t="shared" si="22"/>
        <v>0</v>
      </c>
      <c r="AR372" s="686">
        <f t="shared" si="22"/>
        <v>0</v>
      </c>
      <c r="AS372" s="190"/>
      <c r="AT372" s="462"/>
      <c r="AU372" s="462"/>
      <c r="AV372" s="462"/>
      <c r="AW372" s="194"/>
      <c r="AX372" s="169"/>
    </row>
    <row r="373" spans="32:50">
      <c r="AF373" s="413" t="s">
        <v>2612</v>
      </c>
      <c r="AL373" s="36"/>
      <c r="AM373" s="696" t="s">
        <v>2739</v>
      </c>
      <c r="AN373" s="709" t="s">
        <v>1319</v>
      </c>
      <c r="AO373" s="189" t="s">
        <v>758</v>
      </c>
      <c r="AP373" s="686">
        <f t="shared" si="22"/>
        <v>0</v>
      </c>
      <c r="AQ373" s="686">
        <f t="shared" si="22"/>
        <v>0</v>
      </c>
      <c r="AR373" s="686">
        <f t="shared" si="22"/>
        <v>0</v>
      </c>
      <c r="AS373" s="190"/>
      <c r="AT373" s="462"/>
      <c r="AU373" s="462"/>
      <c r="AV373" s="462"/>
      <c r="AW373" s="194"/>
      <c r="AX373" s="169"/>
    </row>
    <row r="374" spans="32:50">
      <c r="AF374" s="413" t="s">
        <v>2614</v>
      </c>
      <c r="AL374" s="36"/>
      <c r="AM374" s="696" t="s">
        <v>2740</v>
      </c>
      <c r="AN374" s="709" t="s">
        <v>1320</v>
      </c>
      <c r="AO374" s="189" t="s">
        <v>758</v>
      </c>
      <c r="AP374" s="686">
        <f t="shared" si="22"/>
        <v>0</v>
      </c>
      <c r="AQ374" s="686">
        <f t="shared" si="22"/>
        <v>0</v>
      </c>
      <c r="AR374" s="686">
        <f t="shared" si="22"/>
        <v>0</v>
      </c>
      <c r="AS374" s="190"/>
      <c r="AT374" s="462"/>
      <c r="AU374" s="462"/>
      <c r="AV374" s="462"/>
      <c r="AW374" s="194"/>
      <c r="AX374" s="169"/>
    </row>
    <row r="375" spans="32:50">
      <c r="AF375" s="413" t="s">
        <v>2616</v>
      </c>
      <c r="AL375" s="36"/>
      <c r="AM375" s="696" t="s">
        <v>2741</v>
      </c>
      <c r="AN375" s="709" t="s">
        <v>1321</v>
      </c>
      <c r="AO375" s="189" t="s">
        <v>758</v>
      </c>
      <c r="AP375" s="686">
        <f t="shared" si="22"/>
        <v>0</v>
      </c>
      <c r="AQ375" s="686">
        <f t="shared" si="22"/>
        <v>0</v>
      </c>
      <c r="AR375" s="686">
        <f t="shared" si="22"/>
        <v>0</v>
      </c>
      <c r="AS375" s="190"/>
      <c r="AT375" s="462"/>
      <c r="AU375" s="462"/>
      <c r="AV375" s="462"/>
      <c r="AW375" s="194"/>
      <c r="AX375" s="169"/>
    </row>
    <row r="376" spans="32:50">
      <c r="AF376" s="413" t="s">
        <v>2619</v>
      </c>
      <c r="AL376" s="36"/>
      <c r="AM376" s="696" t="s">
        <v>2742</v>
      </c>
      <c r="AN376" s="709" t="s">
        <v>2618</v>
      </c>
      <c r="AO376" s="189" t="s">
        <v>758</v>
      </c>
      <c r="AP376" s="686">
        <f t="shared" si="22"/>
        <v>0</v>
      </c>
      <c r="AQ376" s="686">
        <f t="shared" si="22"/>
        <v>0</v>
      </c>
      <c r="AR376" s="686">
        <f t="shared" si="22"/>
        <v>0</v>
      </c>
      <c r="AS376" s="190"/>
      <c r="AT376" s="462"/>
      <c r="AU376" s="462"/>
      <c r="AV376" s="462"/>
      <c r="AW376" s="194"/>
      <c r="AX376" s="169"/>
    </row>
    <row r="377" spans="32:50">
      <c r="AF377" s="413" t="s">
        <v>2622</v>
      </c>
      <c r="AL377" s="36"/>
      <c r="AM377" s="696" t="s">
        <v>2743</v>
      </c>
      <c r="AN377" s="709" t="s">
        <v>2621</v>
      </c>
      <c r="AO377" s="189" t="s">
        <v>758</v>
      </c>
      <c r="AP377" s="686">
        <f t="shared" si="22"/>
        <v>0</v>
      </c>
      <c r="AQ377" s="686">
        <f t="shared" si="22"/>
        <v>0</v>
      </c>
      <c r="AR377" s="686">
        <f t="shared" si="22"/>
        <v>0</v>
      </c>
      <c r="AS377" s="190"/>
      <c r="AT377" s="462"/>
      <c r="AU377" s="462"/>
      <c r="AV377" s="462"/>
      <c r="AW377" s="194"/>
      <c r="AX377" s="169"/>
    </row>
    <row r="378" spans="32:50">
      <c r="AF378" s="413" t="s">
        <v>2624</v>
      </c>
      <c r="AL378" s="36"/>
      <c r="AM378" s="696" t="s">
        <v>2744</v>
      </c>
      <c r="AN378" s="709" t="s">
        <v>1322</v>
      </c>
      <c r="AO378" s="189" t="s">
        <v>758</v>
      </c>
      <c r="AP378" s="686">
        <f t="shared" si="22"/>
        <v>0</v>
      </c>
      <c r="AQ378" s="686">
        <f t="shared" si="22"/>
        <v>0</v>
      </c>
      <c r="AR378" s="686">
        <f t="shared" si="22"/>
        <v>0</v>
      </c>
      <c r="AS378" s="190"/>
      <c r="AT378" s="462"/>
      <c r="AU378" s="462"/>
      <c r="AV378" s="462"/>
      <c r="AW378" s="194"/>
      <c r="AX378" s="169"/>
    </row>
    <row r="379" spans="32:50">
      <c r="AF379" s="413" t="s">
        <v>2627</v>
      </c>
      <c r="AL379" s="36"/>
      <c r="AM379" s="696" t="s">
        <v>2745</v>
      </c>
      <c r="AN379" s="709" t="s">
        <v>2626</v>
      </c>
      <c r="AO379" s="189" t="s">
        <v>758</v>
      </c>
      <c r="AP379" s="686">
        <f t="shared" si="22"/>
        <v>0</v>
      </c>
      <c r="AQ379" s="686">
        <f t="shared" si="22"/>
        <v>0</v>
      </c>
      <c r="AR379" s="686">
        <f t="shared" si="22"/>
        <v>0</v>
      </c>
      <c r="AS379" s="190"/>
      <c r="AT379" s="462"/>
      <c r="AU379" s="462"/>
      <c r="AV379" s="462"/>
      <c r="AW379" s="194"/>
      <c r="AX379" s="169"/>
    </row>
    <row r="380" spans="32:50">
      <c r="AF380" s="413" t="s">
        <v>2629</v>
      </c>
      <c r="AL380" s="36"/>
      <c r="AM380" s="696" t="s">
        <v>2746</v>
      </c>
      <c r="AN380" s="709" t="s">
        <v>1323</v>
      </c>
      <c r="AO380" s="189" t="s">
        <v>758</v>
      </c>
      <c r="AP380" s="686">
        <f t="shared" si="22"/>
        <v>0</v>
      </c>
      <c r="AQ380" s="686">
        <f t="shared" si="22"/>
        <v>0</v>
      </c>
      <c r="AR380" s="686">
        <f t="shared" si="22"/>
        <v>0</v>
      </c>
      <c r="AS380" s="190"/>
      <c r="AT380" s="462"/>
      <c r="AU380" s="462"/>
      <c r="AV380" s="462"/>
      <c r="AW380" s="194"/>
      <c r="AX380" s="169"/>
    </row>
    <row r="381" spans="32:50">
      <c r="AF381" s="413" t="s">
        <v>2631</v>
      </c>
      <c r="AL381" s="36"/>
      <c r="AM381" s="696" t="s">
        <v>2747</v>
      </c>
      <c r="AN381" s="709" t="s">
        <v>1324</v>
      </c>
      <c r="AO381" s="189" t="s">
        <v>758</v>
      </c>
      <c r="AP381" s="686">
        <f t="shared" si="22"/>
        <v>0</v>
      </c>
      <c r="AQ381" s="686">
        <f t="shared" si="22"/>
        <v>0</v>
      </c>
      <c r="AR381" s="686">
        <f t="shared" si="22"/>
        <v>0</v>
      </c>
      <c r="AS381" s="190"/>
      <c r="AT381" s="462"/>
      <c r="AU381" s="462"/>
      <c r="AV381" s="462"/>
      <c r="AW381" s="194"/>
      <c r="AX381" s="169"/>
    </row>
    <row r="382" spans="32:50">
      <c r="AF382" s="413" t="s">
        <v>2634</v>
      </c>
      <c r="AL382" s="36"/>
      <c r="AM382" s="696" t="s">
        <v>2748</v>
      </c>
      <c r="AN382" s="709" t="s">
        <v>2633</v>
      </c>
      <c r="AO382" s="189" t="s">
        <v>758</v>
      </c>
      <c r="AP382" s="686">
        <f t="shared" si="22"/>
        <v>0</v>
      </c>
      <c r="AQ382" s="686">
        <f t="shared" si="22"/>
        <v>0</v>
      </c>
      <c r="AR382" s="686">
        <f t="shared" si="22"/>
        <v>0</v>
      </c>
      <c r="AS382" s="190"/>
      <c r="AT382" s="462"/>
      <c r="AU382" s="462"/>
      <c r="AV382" s="462"/>
      <c r="AW382" s="194"/>
      <c r="AX382" s="169"/>
    </row>
    <row r="383" spans="32:50">
      <c r="AF383" s="413" t="s">
        <v>2637</v>
      </c>
      <c r="AL383" s="36"/>
      <c r="AM383" s="696" t="s">
        <v>2749</v>
      </c>
      <c r="AN383" s="709" t="s">
        <v>2636</v>
      </c>
      <c r="AO383" s="189" t="s">
        <v>758</v>
      </c>
      <c r="AP383" s="686">
        <f t="shared" si="22"/>
        <v>0</v>
      </c>
      <c r="AQ383" s="686">
        <f t="shared" si="22"/>
        <v>0</v>
      </c>
      <c r="AR383" s="686">
        <f t="shared" si="22"/>
        <v>0</v>
      </c>
      <c r="AS383" s="190"/>
      <c r="AT383" s="462"/>
      <c r="AU383" s="462"/>
      <c r="AV383" s="462"/>
      <c r="AW383" s="194"/>
      <c r="AX383" s="169"/>
    </row>
    <row r="384" spans="32:50">
      <c r="AF384" s="413" t="s">
        <v>2640</v>
      </c>
      <c r="AL384" s="36"/>
      <c r="AM384" s="696" t="s">
        <v>2750</v>
      </c>
      <c r="AN384" s="709" t="s">
        <v>2639</v>
      </c>
      <c r="AO384" s="189" t="s">
        <v>758</v>
      </c>
      <c r="AP384" s="686">
        <f t="shared" si="22"/>
        <v>0</v>
      </c>
      <c r="AQ384" s="686">
        <f t="shared" si="22"/>
        <v>0</v>
      </c>
      <c r="AR384" s="686">
        <f t="shared" si="22"/>
        <v>0</v>
      </c>
      <c r="AS384" s="190"/>
      <c r="AT384" s="462"/>
      <c r="AU384" s="462"/>
      <c r="AV384" s="462"/>
      <c r="AW384" s="194"/>
      <c r="AX384" s="169"/>
    </row>
    <row r="385" spans="32:50" ht="11.25" customHeight="1">
      <c r="AF385" s="413" t="s">
        <v>2643</v>
      </c>
      <c r="AL385" s="36"/>
      <c r="AM385" s="696" t="s">
        <v>2751</v>
      </c>
      <c r="AN385" s="709" t="s">
        <v>2642</v>
      </c>
      <c r="AO385" s="189" t="s">
        <v>758</v>
      </c>
      <c r="AP385" s="686">
        <f t="shared" si="22"/>
        <v>0</v>
      </c>
      <c r="AQ385" s="686">
        <f t="shared" si="22"/>
        <v>0</v>
      </c>
      <c r="AR385" s="686">
        <f t="shared" si="22"/>
        <v>0</v>
      </c>
      <c r="AS385" s="190"/>
      <c r="AT385" s="462"/>
      <c r="AU385" s="462"/>
      <c r="AV385" s="462"/>
      <c r="AW385" s="194"/>
      <c r="AX385" s="169"/>
    </row>
    <row r="386" spans="32:50">
      <c r="AF386" s="413" t="s">
        <v>2646</v>
      </c>
      <c r="AL386" s="36"/>
      <c r="AM386" s="696" t="s">
        <v>2752</v>
      </c>
      <c r="AN386" s="709" t="s">
        <v>2645</v>
      </c>
      <c r="AO386" s="189" t="s">
        <v>758</v>
      </c>
      <c r="AP386" s="686">
        <f t="shared" si="22"/>
        <v>0</v>
      </c>
      <c r="AQ386" s="686">
        <f t="shared" si="22"/>
        <v>0</v>
      </c>
      <c r="AR386" s="686">
        <f t="shared" si="22"/>
        <v>0</v>
      </c>
      <c r="AS386" s="190"/>
      <c r="AT386" s="462"/>
      <c r="AU386" s="462"/>
      <c r="AV386" s="462"/>
      <c r="AW386" s="194"/>
      <c r="AX386" s="169"/>
    </row>
    <row r="387" spans="32:50">
      <c r="AF387" s="413" t="s">
        <v>2648</v>
      </c>
      <c r="AL387" s="36"/>
      <c r="AM387" s="696" t="s">
        <v>2753</v>
      </c>
      <c r="AN387" s="709" t="s">
        <v>1325</v>
      </c>
      <c r="AO387" s="189" t="s">
        <v>758</v>
      </c>
      <c r="AP387" s="686">
        <f t="shared" si="22"/>
        <v>0</v>
      </c>
      <c r="AQ387" s="686">
        <f t="shared" si="22"/>
        <v>0</v>
      </c>
      <c r="AR387" s="686">
        <f t="shared" si="22"/>
        <v>0</v>
      </c>
      <c r="AS387" s="190"/>
      <c r="AT387" s="462"/>
      <c r="AU387" s="462"/>
      <c r="AV387" s="462"/>
      <c r="AW387" s="194"/>
      <c r="AX387" s="169"/>
    </row>
    <row r="388" spans="32:50">
      <c r="AF388" s="413" t="s">
        <v>2650</v>
      </c>
      <c r="AL388" s="36"/>
      <c r="AM388" s="696" t="s">
        <v>2754</v>
      </c>
      <c r="AN388" s="709" t="s">
        <v>1326</v>
      </c>
      <c r="AO388" s="189" t="s">
        <v>758</v>
      </c>
      <c r="AP388" s="686">
        <f t="shared" si="22"/>
        <v>0</v>
      </c>
      <c r="AQ388" s="686">
        <f t="shared" si="22"/>
        <v>0</v>
      </c>
      <c r="AR388" s="686">
        <f t="shared" si="22"/>
        <v>0</v>
      </c>
      <c r="AS388" s="190"/>
      <c r="AT388" s="462"/>
      <c r="AU388" s="462"/>
      <c r="AV388" s="462"/>
      <c r="AW388" s="194"/>
      <c r="AX388" s="169"/>
    </row>
    <row r="389" spans="32:50">
      <c r="AF389" s="413" t="s">
        <v>2653</v>
      </c>
      <c r="AL389" s="36"/>
      <c r="AM389" s="696" t="s">
        <v>2755</v>
      </c>
      <c r="AN389" s="709" t="s">
        <v>2652</v>
      </c>
      <c r="AO389" s="189" t="s">
        <v>758</v>
      </c>
      <c r="AP389" s="686">
        <f t="shared" ref="AP389:AR398" si="23">SUMIF($AS$9:$AW$9,AP$9,$AS389:$AW389)</f>
        <v>0</v>
      </c>
      <c r="AQ389" s="686">
        <f t="shared" si="23"/>
        <v>0</v>
      </c>
      <c r="AR389" s="686">
        <f t="shared" si="23"/>
        <v>0</v>
      </c>
      <c r="AS389" s="190"/>
      <c r="AT389" s="462"/>
      <c r="AU389" s="462"/>
      <c r="AV389" s="462"/>
      <c r="AW389" s="194"/>
      <c r="AX389" s="169"/>
    </row>
    <row r="390" spans="32:50">
      <c r="AF390" s="413" t="s">
        <v>1366</v>
      </c>
      <c r="AL390" s="36"/>
      <c r="AM390" s="696" t="s">
        <v>1570</v>
      </c>
      <c r="AN390" s="710" t="s">
        <v>1364</v>
      </c>
      <c r="AO390" s="189" t="s">
        <v>284</v>
      </c>
      <c r="AP390" s="686">
        <f t="shared" si="23"/>
        <v>0</v>
      </c>
      <c r="AQ390" s="686">
        <f t="shared" si="23"/>
        <v>0</v>
      </c>
      <c r="AR390" s="686">
        <f t="shared" si="23"/>
        <v>0</v>
      </c>
      <c r="AS390" s="190"/>
      <c r="AT390" s="462"/>
      <c r="AU390" s="462"/>
      <c r="AV390" s="462"/>
      <c r="AW390" s="194"/>
      <c r="AX390" s="169"/>
    </row>
    <row r="391" spans="32:50">
      <c r="AF391" s="413" t="s">
        <v>1367</v>
      </c>
      <c r="AL391" s="36"/>
      <c r="AM391" s="696" t="s">
        <v>1571</v>
      </c>
      <c r="AN391" s="710" t="s">
        <v>1365</v>
      </c>
      <c r="AO391" s="189" t="s">
        <v>669</v>
      </c>
      <c r="AP391" s="686">
        <f t="shared" si="23"/>
        <v>0</v>
      </c>
      <c r="AQ391" s="686">
        <f t="shared" si="23"/>
        <v>0</v>
      </c>
      <c r="AR391" s="686">
        <f t="shared" si="23"/>
        <v>0</v>
      </c>
      <c r="AS391" s="190"/>
      <c r="AT391" s="462"/>
      <c r="AU391" s="462"/>
      <c r="AV391" s="462"/>
      <c r="AW391" s="194"/>
      <c r="AX391" s="169"/>
    </row>
    <row r="392" spans="32:50">
      <c r="AF392" s="413" t="s">
        <v>1357</v>
      </c>
      <c r="AL392" s="36"/>
      <c r="AM392" s="696" t="s">
        <v>1572</v>
      </c>
      <c r="AN392" s="719" t="s">
        <v>1327</v>
      </c>
      <c r="AO392" s="189" t="s">
        <v>758</v>
      </c>
      <c r="AP392" s="686">
        <f t="shared" si="23"/>
        <v>0</v>
      </c>
      <c r="AQ392" s="686">
        <f t="shared" si="23"/>
        <v>0</v>
      </c>
      <c r="AR392" s="686">
        <f t="shared" si="23"/>
        <v>0</v>
      </c>
      <c r="AS392" s="190"/>
      <c r="AT392" s="462"/>
      <c r="AU392" s="462"/>
      <c r="AV392" s="462"/>
      <c r="AW392" s="194"/>
      <c r="AX392" s="169"/>
    </row>
    <row r="393" spans="32:50">
      <c r="AF393" s="413" t="s">
        <v>1350</v>
      </c>
      <c r="AL393" s="36"/>
      <c r="AM393" s="696" t="s">
        <v>1573</v>
      </c>
      <c r="AN393" s="712" t="s">
        <v>723</v>
      </c>
      <c r="AO393" s="189" t="s">
        <v>758</v>
      </c>
      <c r="AP393" s="686">
        <f t="shared" si="23"/>
        <v>0</v>
      </c>
      <c r="AQ393" s="686">
        <f t="shared" si="23"/>
        <v>0</v>
      </c>
      <c r="AR393" s="686">
        <f t="shared" si="23"/>
        <v>0</v>
      </c>
      <c r="AS393" s="190"/>
      <c r="AT393" s="462"/>
      <c r="AU393" s="462"/>
      <c r="AV393" s="462"/>
      <c r="AW393" s="194"/>
      <c r="AX393" s="169"/>
    </row>
    <row r="394" spans="32:50">
      <c r="AF394" s="413" t="s">
        <v>1351</v>
      </c>
      <c r="AL394" s="36"/>
      <c r="AM394" s="696" t="s">
        <v>1574</v>
      </c>
      <c r="AN394" s="713" t="s">
        <v>748</v>
      </c>
      <c r="AO394" s="189" t="s">
        <v>758</v>
      </c>
      <c r="AP394" s="686">
        <f t="shared" si="23"/>
        <v>0</v>
      </c>
      <c r="AQ394" s="686">
        <f t="shared" si="23"/>
        <v>0</v>
      </c>
      <c r="AR394" s="686">
        <f t="shared" si="23"/>
        <v>0</v>
      </c>
      <c r="AS394" s="190"/>
      <c r="AT394" s="462"/>
      <c r="AU394" s="462"/>
      <c r="AV394" s="462"/>
      <c r="AW394" s="194"/>
      <c r="AX394" s="169"/>
    </row>
    <row r="395" spans="32:50">
      <c r="AF395" s="413" t="s">
        <v>1352</v>
      </c>
      <c r="AL395" s="36"/>
      <c r="AM395" s="696" t="s">
        <v>1575</v>
      </c>
      <c r="AN395" s="714" t="s">
        <v>315</v>
      </c>
      <c r="AO395" s="189" t="s">
        <v>758</v>
      </c>
      <c r="AP395" s="686">
        <f t="shared" si="23"/>
        <v>0</v>
      </c>
      <c r="AQ395" s="686">
        <f t="shared" si="23"/>
        <v>0</v>
      </c>
      <c r="AR395" s="686">
        <f t="shared" si="23"/>
        <v>0</v>
      </c>
      <c r="AS395" s="190"/>
      <c r="AT395" s="462"/>
      <c r="AU395" s="462"/>
      <c r="AV395" s="462"/>
      <c r="AW395" s="194"/>
      <c r="AX395" s="169"/>
    </row>
    <row r="396" spans="32:50">
      <c r="AF396" s="413" t="s">
        <v>1354</v>
      </c>
      <c r="AL396" s="36"/>
      <c r="AM396" s="696" t="s">
        <v>1576</v>
      </c>
      <c r="AN396" s="715" t="s">
        <v>316</v>
      </c>
      <c r="AO396" s="189" t="s">
        <v>758</v>
      </c>
      <c r="AP396" s="686">
        <f t="shared" si="23"/>
        <v>0</v>
      </c>
      <c r="AQ396" s="686">
        <f t="shared" si="23"/>
        <v>0</v>
      </c>
      <c r="AR396" s="686">
        <f t="shared" si="23"/>
        <v>0</v>
      </c>
      <c r="AS396" s="190"/>
      <c r="AT396" s="462"/>
      <c r="AU396" s="462"/>
      <c r="AV396" s="462"/>
      <c r="AW396" s="194"/>
      <c r="AX396" s="169"/>
    </row>
    <row r="397" spans="32:50">
      <c r="AF397" s="413" t="s">
        <v>1353</v>
      </c>
      <c r="AL397" s="36"/>
      <c r="AM397" s="696" t="s">
        <v>1577</v>
      </c>
      <c r="AN397" s="716" t="s">
        <v>317</v>
      </c>
      <c r="AO397" s="189" t="s">
        <v>758</v>
      </c>
      <c r="AP397" s="686">
        <f t="shared" si="23"/>
        <v>0</v>
      </c>
      <c r="AQ397" s="686">
        <f t="shared" si="23"/>
        <v>0</v>
      </c>
      <c r="AR397" s="686">
        <f t="shared" si="23"/>
        <v>0</v>
      </c>
      <c r="AS397" s="190"/>
      <c r="AT397" s="462"/>
      <c r="AU397" s="462"/>
      <c r="AV397" s="462"/>
      <c r="AW397" s="194"/>
      <c r="AX397" s="169"/>
    </row>
    <row r="398" spans="32:50">
      <c r="AF398" s="413" t="s">
        <v>1355</v>
      </c>
      <c r="AL398" s="36"/>
      <c r="AM398" s="696" t="s">
        <v>1578</v>
      </c>
      <c r="AN398" s="701" t="s">
        <v>318</v>
      </c>
      <c r="AO398" s="189" t="s">
        <v>758</v>
      </c>
      <c r="AP398" s="686">
        <f t="shared" si="23"/>
        <v>0</v>
      </c>
      <c r="AQ398" s="686">
        <f t="shared" si="23"/>
        <v>0</v>
      </c>
      <c r="AR398" s="686">
        <f t="shared" si="23"/>
        <v>0</v>
      </c>
      <c r="AS398" s="190"/>
      <c r="AT398" s="462"/>
      <c r="AU398" s="462"/>
      <c r="AV398" s="462"/>
      <c r="AW398" s="194"/>
      <c r="AX398" s="169"/>
    </row>
    <row r="399" spans="32:50" ht="0.75" hidden="1" customHeight="1">
      <c r="AF399" s="413"/>
      <c r="AL399" s="36"/>
      <c r="AM399" s="718"/>
      <c r="AN399" s="460"/>
      <c r="AO399" s="461"/>
      <c r="AP399" s="462"/>
      <c r="AQ399" s="462"/>
      <c r="AR399" s="462"/>
      <c r="AS399" s="190"/>
      <c r="AT399" s="462"/>
      <c r="AU399" s="462"/>
      <c r="AV399" s="462"/>
      <c r="AW399" s="194"/>
      <c r="AX399" s="169"/>
    </row>
    <row r="400" spans="32:50" ht="24" customHeight="1">
      <c r="AF400" s="115"/>
      <c r="AL400" s="36"/>
      <c r="AM400" s="490" t="s">
        <v>1885</v>
      </c>
      <c r="AN400" s="463" t="s">
        <v>1884</v>
      </c>
      <c r="AO400" s="189"/>
      <c r="AP400" s="195"/>
      <c r="AQ400" s="195"/>
      <c r="AR400" s="195"/>
      <c r="AS400" s="190"/>
      <c r="AT400" s="462"/>
      <c r="AU400" s="462"/>
      <c r="AV400" s="462"/>
      <c r="AW400" s="194"/>
      <c r="AX400" s="169"/>
    </row>
    <row r="401" spans="32:50" ht="11.25" customHeight="1">
      <c r="AF401" s="413" t="s">
        <v>1329</v>
      </c>
      <c r="AL401" s="36"/>
      <c r="AM401" s="696" t="s">
        <v>1886</v>
      </c>
      <c r="AN401" s="699" t="s">
        <v>713</v>
      </c>
      <c r="AO401" s="189" t="s">
        <v>507</v>
      </c>
      <c r="AP401" s="686">
        <f t="shared" ref="AP401:AR416" si="24">SUMIF($AS$9:$AW$9,AP$9,$AS401:$AW401)</f>
        <v>1026.5729334477601</v>
      </c>
      <c r="AQ401" s="686">
        <f t="shared" si="24"/>
        <v>513.28646672388004</v>
      </c>
      <c r="AR401" s="686">
        <f t="shared" si="24"/>
        <v>513.28646672388004</v>
      </c>
      <c r="AS401" s="190"/>
      <c r="AT401" s="183">
        <f t="shared" ref="AT401:AT408" si="25">AU401+AV401</f>
        <v>1026.5729334477601</v>
      </c>
      <c r="AU401" s="183">
        <f>SUM(AU402:AU408)</f>
        <v>513.28646672388004</v>
      </c>
      <c r="AV401" s="183">
        <f>SUM(AV402:AV408)</f>
        <v>513.28646672388004</v>
      </c>
      <c r="AW401" s="194"/>
      <c r="AX401" s="169"/>
    </row>
    <row r="402" spans="32:50" ht="11.25" customHeight="1">
      <c r="AF402" s="413" t="s">
        <v>1329</v>
      </c>
      <c r="AL402" s="36"/>
      <c r="AM402" s="696" t="s">
        <v>1887</v>
      </c>
      <c r="AN402" s="458" t="s">
        <v>1369</v>
      </c>
      <c r="AO402" s="189" t="s">
        <v>507</v>
      </c>
      <c r="AP402" s="686">
        <f t="shared" si="24"/>
        <v>0</v>
      </c>
      <c r="AQ402" s="686">
        <f t="shared" si="24"/>
        <v>0</v>
      </c>
      <c r="AR402" s="686">
        <f t="shared" si="24"/>
        <v>0</v>
      </c>
      <c r="AS402" s="190"/>
      <c r="AT402" s="183">
        <f t="shared" si="25"/>
        <v>0</v>
      </c>
      <c r="AU402" s="196"/>
      <c r="AV402" s="196"/>
      <c r="AW402" s="194"/>
      <c r="AX402" s="169"/>
    </row>
    <row r="403" spans="32:50" ht="11.25" customHeight="1">
      <c r="AF403" s="413" t="s">
        <v>1329</v>
      </c>
      <c r="AL403" s="36"/>
      <c r="AM403" s="696" t="s">
        <v>1888</v>
      </c>
      <c r="AN403" s="458" t="s">
        <v>1370</v>
      </c>
      <c r="AO403" s="189" t="s">
        <v>507</v>
      </c>
      <c r="AP403" s="686">
        <f t="shared" si="24"/>
        <v>0</v>
      </c>
      <c r="AQ403" s="686">
        <f t="shared" si="24"/>
        <v>0</v>
      </c>
      <c r="AR403" s="686">
        <f t="shared" si="24"/>
        <v>0</v>
      </c>
      <c r="AS403" s="190"/>
      <c r="AT403" s="183">
        <f t="shared" si="25"/>
        <v>0</v>
      </c>
      <c r="AU403" s="196"/>
      <c r="AV403" s="196"/>
      <c r="AW403" s="194"/>
      <c r="AX403" s="169"/>
    </row>
    <row r="404" spans="32:50" ht="11.25" customHeight="1">
      <c r="AF404" s="413" t="s">
        <v>1329</v>
      </c>
      <c r="AL404" s="36"/>
      <c r="AM404" s="696" t="s">
        <v>1889</v>
      </c>
      <c r="AN404" s="458" t="s">
        <v>1371</v>
      </c>
      <c r="AO404" s="189" t="s">
        <v>507</v>
      </c>
      <c r="AP404" s="686">
        <f t="shared" si="24"/>
        <v>0</v>
      </c>
      <c r="AQ404" s="686">
        <f t="shared" si="24"/>
        <v>0</v>
      </c>
      <c r="AR404" s="686">
        <f t="shared" si="24"/>
        <v>0</v>
      </c>
      <c r="AS404" s="190"/>
      <c r="AT404" s="183">
        <f t="shared" si="25"/>
        <v>0</v>
      </c>
      <c r="AU404" s="196"/>
      <c r="AV404" s="196"/>
      <c r="AW404" s="194"/>
      <c r="AX404" s="169"/>
    </row>
    <row r="405" spans="32:50" ht="11.25" customHeight="1">
      <c r="AF405" s="413" t="s">
        <v>1329</v>
      </c>
      <c r="AL405" s="36"/>
      <c r="AM405" s="696" t="s">
        <v>1890</v>
      </c>
      <c r="AN405" s="458" t="s">
        <v>1372</v>
      </c>
      <c r="AO405" s="189" t="s">
        <v>507</v>
      </c>
      <c r="AP405" s="686">
        <f t="shared" si="24"/>
        <v>1026.5729334477601</v>
      </c>
      <c r="AQ405" s="686">
        <f t="shared" si="24"/>
        <v>513.28646672388004</v>
      </c>
      <c r="AR405" s="686">
        <f t="shared" si="24"/>
        <v>513.28646672388004</v>
      </c>
      <c r="AS405" s="190"/>
      <c r="AT405" s="183">
        <f t="shared" si="25"/>
        <v>1026.5729334477601</v>
      </c>
      <c r="AU405" s="196">
        <f>1026.57293344776/2</f>
        <v>513.28646672388004</v>
      </c>
      <c r="AV405" s="196">
        <f>AU405</f>
        <v>513.28646672388004</v>
      </c>
      <c r="AW405" s="194"/>
      <c r="AX405" s="169"/>
    </row>
    <row r="406" spans="32:50" ht="11.25" customHeight="1">
      <c r="AF406" s="413" t="s">
        <v>1329</v>
      </c>
      <c r="AL406" s="36"/>
      <c r="AM406" s="696" t="s">
        <v>1891</v>
      </c>
      <c r="AN406" s="458" t="s">
        <v>1373</v>
      </c>
      <c r="AO406" s="189" t="s">
        <v>507</v>
      </c>
      <c r="AP406" s="686">
        <f t="shared" si="24"/>
        <v>0</v>
      </c>
      <c r="AQ406" s="686">
        <f t="shared" si="24"/>
        <v>0</v>
      </c>
      <c r="AR406" s="686">
        <f t="shared" si="24"/>
        <v>0</v>
      </c>
      <c r="AS406" s="190"/>
      <c r="AT406" s="183">
        <f t="shared" si="25"/>
        <v>0</v>
      </c>
      <c r="AU406" s="196"/>
      <c r="AV406" s="196"/>
      <c r="AW406" s="194"/>
      <c r="AX406" s="169"/>
    </row>
    <row r="407" spans="32:50" ht="11.25" customHeight="1">
      <c r="AF407" s="413" t="s">
        <v>1329</v>
      </c>
      <c r="AL407" s="36"/>
      <c r="AM407" s="696" t="s">
        <v>1892</v>
      </c>
      <c r="AN407" s="458" t="s">
        <v>1374</v>
      </c>
      <c r="AO407" s="189" t="s">
        <v>507</v>
      </c>
      <c r="AP407" s="686">
        <f t="shared" si="24"/>
        <v>0</v>
      </c>
      <c r="AQ407" s="686">
        <f t="shared" si="24"/>
        <v>0</v>
      </c>
      <c r="AR407" s="686">
        <f t="shared" si="24"/>
        <v>0</v>
      </c>
      <c r="AS407" s="190"/>
      <c r="AT407" s="183">
        <f t="shared" si="25"/>
        <v>0</v>
      </c>
      <c r="AU407" s="196"/>
      <c r="AV407" s="196"/>
      <c r="AW407" s="194"/>
      <c r="AX407" s="169"/>
    </row>
    <row r="408" spans="32:50" ht="11.25" customHeight="1">
      <c r="AF408" s="413" t="s">
        <v>1329</v>
      </c>
      <c r="AL408" s="36"/>
      <c r="AM408" s="696" t="s">
        <v>1893</v>
      </c>
      <c r="AN408" s="458" t="s">
        <v>1375</v>
      </c>
      <c r="AO408" s="189" t="s">
        <v>507</v>
      </c>
      <c r="AP408" s="686">
        <f t="shared" si="24"/>
        <v>0</v>
      </c>
      <c r="AQ408" s="686">
        <f t="shared" si="24"/>
        <v>0</v>
      </c>
      <c r="AR408" s="686">
        <f t="shared" si="24"/>
        <v>0</v>
      </c>
      <c r="AS408" s="190"/>
      <c r="AT408" s="183">
        <f t="shared" si="25"/>
        <v>0</v>
      </c>
      <c r="AU408" s="196"/>
      <c r="AV408" s="196"/>
      <c r="AW408" s="194"/>
      <c r="AX408" s="169"/>
    </row>
    <row r="409" spans="32:50" ht="11.25" customHeight="1">
      <c r="AF409" s="413" t="s">
        <v>1330</v>
      </c>
      <c r="AL409" s="36"/>
      <c r="AM409" s="696" t="s">
        <v>2107</v>
      </c>
      <c r="AN409" s="699" t="s">
        <v>715</v>
      </c>
      <c r="AO409" s="189" t="s">
        <v>507</v>
      </c>
      <c r="AP409" s="686">
        <f t="shared" si="24"/>
        <v>0</v>
      </c>
      <c r="AQ409" s="686">
        <f t="shared" si="24"/>
        <v>0</v>
      </c>
      <c r="AR409" s="686">
        <f t="shared" si="24"/>
        <v>0</v>
      </c>
      <c r="AS409" s="190"/>
      <c r="AT409" s="462"/>
      <c r="AU409" s="462"/>
      <c r="AV409" s="462"/>
      <c r="AW409" s="194"/>
      <c r="AX409" s="169"/>
    </row>
    <row r="410" spans="32:50" ht="11.25" customHeight="1">
      <c r="AF410" s="413" t="s">
        <v>1330</v>
      </c>
      <c r="AL410" s="36"/>
      <c r="AM410" s="696" t="s">
        <v>1894</v>
      </c>
      <c r="AN410" s="458" t="s">
        <v>1369</v>
      </c>
      <c r="AO410" s="189" t="s">
        <v>507</v>
      </c>
      <c r="AP410" s="686">
        <f t="shared" si="24"/>
        <v>0</v>
      </c>
      <c r="AQ410" s="686">
        <f t="shared" si="24"/>
        <v>0</v>
      </c>
      <c r="AR410" s="686">
        <f t="shared" si="24"/>
        <v>0</v>
      </c>
      <c r="AS410" s="190"/>
      <c r="AT410" s="462"/>
      <c r="AU410" s="462"/>
      <c r="AV410" s="462"/>
      <c r="AW410" s="194"/>
      <c r="AX410" s="169"/>
    </row>
    <row r="411" spans="32:50" ht="11.25" customHeight="1">
      <c r="AF411" s="413" t="s">
        <v>1330</v>
      </c>
      <c r="AL411" s="36"/>
      <c r="AM411" s="696" t="s">
        <v>1895</v>
      </c>
      <c r="AN411" s="458" t="s">
        <v>1370</v>
      </c>
      <c r="AO411" s="189" t="s">
        <v>507</v>
      </c>
      <c r="AP411" s="686">
        <f t="shared" si="24"/>
        <v>0</v>
      </c>
      <c r="AQ411" s="686">
        <f t="shared" si="24"/>
        <v>0</v>
      </c>
      <c r="AR411" s="686">
        <f t="shared" si="24"/>
        <v>0</v>
      </c>
      <c r="AS411" s="190"/>
      <c r="AT411" s="462"/>
      <c r="AU411" s="462"/>
      <c r="AV411" s="462"/>
      <c r="AW411" s="194"/>
      <c r="AX411" s="169"/>
    </row>
    <row r="412" spans="32:50" ht="11.25" customHeight="1">
      <c r="AF412" s="413" t="s">
        <v>1330</v>
      </c>
      <c r="AL412" s="36"/>
      <c r="AM412" s="696" t="s">
        <v>1896</v>
      </c>
      <c r="AN412" s="458" t="s">
        <v>1371</v>
      </c>
      <c r="AO412" s="189" t="s">
        <v>507</v>
      </c>
      <c r="AP412" s="686">
        <f t="shared" si="24"/>
        <v>0</v>
      </c>
      <c r="AQ412" s="686">
        <f t="shared" si="24"/>
        <v>0</v>
      </c>
      <c r="AR412" s="686">
        <f t="shared" si="24"/>
        <v>0</v>
      </c>
      <c r="AS412" s="190"/>
      <c r="AT412" s="462"/>
      <c r="AU412" s="462"/>
      <c r="AV412" s="462"/>
      <c r="AW412" s="194"/>
      <c r="AX412" s="169"/>
    </row>
    <row r="413" spans="32:50" ht="11.25" customHeight="1">
      <c r="AF413" s="413" t="s">
        <v>1330</v>
      </c>
      <c r="AL413" s="36"/>
      <c r="AM413" s="696" t="s">
        <v>1897</v>
      </c>
      <c r="AN413" s="458" t="s">
        <v>1372</v>
      </c>
      <c r="AO413" s="189" t="s">
        <v>507</v>
      </c>
      <c r="AP413" s="686">
        <f t="shared" si="24"/>
        <v>0</v>
      </c>
      <c r="AQ413" s="686">
        <f t="shared" si="24"/>
        <v>0</v>
      </c>
      <c r="AR413" s="686">
        <f t="shared" si="24"/>
        <v>0</v>
      </c>
      <c r="AS413" s="190"/>
      <c r="AT413" s="462"/>
      <c r="AU413" s="462"/>
      <c r="AV413" s="462"/>
      <c r="AW413" s="194"/>
      <c r="AX413" s="169"/>
    </row>
    <row r="414" spans="32:50" ht="11.25" customHeight="1">
      <c r="AF414" s="413" t="s">
        <v>1330</v>
      </c>
      <c r="AL414" s="36"/>
      <c r="AM414" s="696" t="s">
        <v>1898</v>
      </c>
      <c r="AN414" s="458" t="s">
        <v>1373</v>
      </c>
      <c r="AO414" s="189" t="s">
        <v>507</v>
      </c>
      <c r="AP414" s="686">
        <f t="shared" si="24"/>
        <v>0</v>
      </c>
      <c r="AQ414" s="686">
        <f t="shared" si="24"/>
        <v>0</v>
      </c>
      <c r="AR414" s="686">
        <f t="shared" si="24"/>
        <v>0</v>
      </c>
      <c r="AS414" s="190"/>
      <c r="AT414" s="462"/>
      <c r="AU414" s="462"/>
      <c r="AV414" s="462"/>
      <c r="AW414" s="194"/>
      <c r="AX414" s="169"/>
    </row>
    <row r="415" spans="32:50" ht="11.25" customHeight="1">
      <c r="AF415" s="413" t="s">
        <v>1330</v>
      </c>
      <c r="AL415" s="36"/>
      <c r="AM415" s="696" t="s">
        <v>1899</v>
      </c>
      <c r="AN415" s="458" t="s">
        <v>1374</v>
      </c>
      <c r="AO415" s="189" t="s">
        <v>507</v>
      </c>
      <c r="AP415" s="686">
        <f t="shared" si="24"/>
        <v>0</v>
      </c>
      <c r="AQ415" s="686">
        <f t="shared" si="24"/>
        <v>0</v>
      </c>
      <c r="AR415" s="686">
        <f t="shared" si="24"/>
        <v>0</v>
      </c>
      <c r="AS415" s="190"/>
      <c r="AT415" s="462"/>
      <c r="AU415" s="462"/>
      <c r="AV415" s="462"/>
      <c r="AW415" s="194"/>
      <c r="AX415" s="169"/>
    </row>
    <row r="416" spans="32:50" ht="11.25" customHeight="1">
      <c r="AF416" s="413" t="s">
        <v>1330</v>
      </c>
      <c r="AL416" s="36"/>
      <c r="AM416" s="696" t="s">
        <v>1900</v>
      </c>
      <c r="AN416" s="458" t="s">
        <v>1375</v>
      </c>
      <c r="AO416" s="189" t="s">
        <v>507</v>
      </c>
      <c r="AP416" s="686">
        <f t="shared" si="24"/>
        <v>0</v>
      </c>
      <c r="AQ416" s="686">
        <f t="shared" si="24"/>
        <v>0</v>
      </c>
      <c r="AR416" s="686">
        <f t="shared" si="24"/>
        <v>0</v>
      </c>
      <c r="AS416" s="190"/>
      <c r="AT416" s="462"/>
      <c r="AU416" s="462"/>
      <c r="AV416" s="462"/>
      <c r="AW416" s="194"/>
      <c r="AX416" s="169"/>
    </row>
    <row r="417" spans="32:50" ht="0.75" hidden="1" customHeight="1">
      <c r="AF417" s="115"/>
      <c r="AL417" s="36"/>
      <c r="AM417" s="492"/>
      <c r="AN417" s="464"/>
      <c r="AO417" s="189"/>
      <c r="AP417" s="195"/>
      <c r="AQ417" s="195"/>
      <c r="AR417" s="195"/>
      <c r="AS417" s="190"/>
      <c r="AT417" s="241"/>
      <c r="AU417" s="241"/>
      <c r="AV417" s="241"/>
      <c r="AW417" s="194"/>
      <c r="AX417" s="169"/>
    </row>
    <row r="418" spans="32:50" ht="24" customHeight="1">
      <c r="AF418" s="115"/>
      <c r="AL418" s="36"/>
      <c r="AM418" s="490"/>
      <c r="AN418" s="463" t="s">
        <v>759</v>
      </c>
      <c r="AO418" s="189"/>
      <c r="AP418" s="195"/>
      <c r="AQ418" s="195"/>
      <c r="AR418" s="195"/>
      <c r="AS418" s="190"/>
      <c r="AT418" s="241"/>
      <c r="AU418" s="241"/>
      <c r="AV418" s="241"/>
      <c r="AW418" s="194"/>
      <c r="AX418" s="169"/>
    </row>
    <row r="419" spans="32:50" ht="0.75" hidden="1" customHeight="1">
      <c r="AF419" s="115"/>
      <c r="AL419" s="36"/>
      <c r="AM419" s="493"/>
      <c r="AN419" s="457"/>
      <c r="AO419" s="189"/>
      <c r="AP419" s="195"/>
      <c r="AQ419" s="195"/>
      <c r="AR419" s="195"/>
      <c r="AS419" s="190"/>
      <c r="AT419" s="241"/>
      <c r="AU419" s="241"/>
      <c r="AV419" s="241"/>
      <c r="AW419" s="194"/>
      <c r="AX419" s="169"/>
    </row>
    <row r="420" spans="32:50" ht="24" customHeight="1">
      <c r="AF420" s="115"/>
      <c r="AL420" s="36"/>
      <c r="AM420" s="490" t="s">
        <v>1368</v>
      </c>
      <c r="AN420" s="463" t="s">
        <v>760</v>
      </c>
      <c r="AO420" s="189"/>
      <c r="AP420" s="195"/>
      <c r="AQ420" s="195"/>
      <c r="AR420" s="195"/>
      <c r="AS420" s="190"/>
      <c r="AT420" s="241"/>
      <c r="AU420" s="241"/>
      <c r="AV420" s="241"/>
      <c r="AW420" s="194"/>
      <c r="AX420" s="169"/>
    </row>
    <row r="421" spans="32:50" ht="12" customHeight="1">
      <c r="AF421" s="413" t="s">
        <v>1328</v>
      </c>
      <c r="AL421" s="36"/>
      <c r="AM421" s="696" t="s">
        <v>1579</v>
      </c>
      <c r="AN421" s="697" t="s">
        <v>1304</v>
      </c>
      <c r="AO421" s="189" t="s">
        <v>506</v>
      </c>
      <c r="AP421" s="686">
        <f t="shared" ref="AP421:AR436" si="26">IF(AP349=0,0,AP473/AP349*1000)</f>
        <v>6961.869999999999</v>
      </c>
      <c r="AQ421" s="686">
        <f t="shared" si="26"/>
        <v>6961.869999999999</v>
      </c>
      <c r="AR421" s="686">
        <f t="shared" si="26"/>
        <v>6961.869999999999</v>
      </c>
      <c r="AS421" s="190"/>
      <c r="AT421" s="754">
        <f>IF(AT349=0,0,AT473/AT349*1000)</f>
        <v>6961.869999999999</v>
      </c>
      <c r="AU421" s="754">
        <f>IF(AU349=0,0,AU473/AU349*1000)</f>
        <v>6961.869999999999</v>
      </c>
      <c r="AV421" s="754">
        <f>IF(AV349=0,0,AV473/AV349*1000)</f>
        <v>6961.869999999999</v>
      </c>
      <c r="AW421" s="194"/>
      <c r="AX421" s="169"/>
    </row>
    <row r="422" spans="32:50" ht="12" customHeight="1">
      <c r="AF422" s="413" t="s">
        <v>1329</v>
      </c>
      <c r="AL422" s="36"/>
      <c r="AM422" s="696" t="s">
        <v>1580</v>
      </c>
      <c r="AN422" s="699" t="s">
        <v>713</v>
      </c>
      <c r="AO422" s="189" t="s">
        <v>506</v>
      </c>
      <c r="AP422" s="686">
        <f t="shared" si="26"/>
        <v>6961.869999999999</v>
      </c>
      <c r="AQ422" s="686">
        <f t="shared" si="26"/>
        <v>6961.869999999999</v>
      </c>
      <c r="AR422" s="686">
        <f t="shared" si="26"/>
        <v>6961.869999999999</v>
      </c>
      <c r="AS422" s="190"/>
      <c r="AT422" s="754">
        <f>IF(AT350=0,0,AT474/AT350*1000)</f>
        <v>6961.869999999999</v>
      </c>
      <c r="AU422" s="196">
        <v>6961.87</v>
      </c>
      <c r="AV422" s="196">
        <v>6961.87</v>
      </c>
      <c r="AW422" s="194"/>
      <c r="AX422" s="169"/>
    </row>
    <row r="423" spans="32:50" ht="12" customHeight="1">
      <c r="AF423" s="413" t="s">
        <v>1330</v>
      </c>
      <c r="AL423" s="36"/>
      <c r="AM423" s="696" t="s">
        <v>1581</v>
      </c>
      <c r="AN423" s="699" t="s">
        <v>715</v>
      </c>
      <c r="AO423" s="189" t="s">
        <v>506</v>
      </c>
      <c r="AP423" s="686">
        <f t="shared" si="26"/>
        <v>0</v>
      </c>
      <c r="AQ423" s="686">
        <f t="shared" si="26"/>
        <v>0</v>
      </c>
      <c r="AR423" s="686">
        <f t="shared" si="26"/>
        <v>0</v>
      </c>
      <c r="AS423" s="190"/>
      <c r="AT423" s="462"/>
      <c r="AU423" s="462"/>
      <c r="AV423" s="462"/>
      <c r="AW423" s="194"/>
      <c r="AX423" s="169"/>
    </row>
    <row r="424" spans="32:50" ht="12" customHeight="1">
      <c r="AF424" s="413" t="s">
        <v>1331</v>
      </c>
      <c r="AL424" s="36"/>
      <c r="AM424" s="696" t="s">
        <v>1582</v>
      </c>
      <c r="AN424" s="699" t="s">
        <v>716</v>
      </c>
      <c r="AO424" s="189" t="s">
        <v>506</v>
      </c>
      <c r="AP424" s="686">
        <f t="shared" si="26"/>
        <v>0</v>
      </c>
      <c r="AQ424" s="686">
        <f t="shared" si="26"/>
        <v>0</v>
      </c>
      <c r="AR424" s="686">
        <f t="shared" si="26"/>
        <v>0</v>
      </c>
      <c r="AS424" s="190"/>
      <c r="AT424" s="462"/>
      <c r="AU424" s="462"/>
      <c r="AV424" s="462"/>
      <c r="AW424" s="194"/>
      <c r="AX424" s="169"/>
    </row>
    <row r="425" spans="32:50" ht="12" customHeight="1">
      <c r="AF425" s="413" t="s">
        <v>1340</v>
      </c>
      <c r="AL425" s="36"/>
      <c r="AM425" s="696" t="s">
        <v>1583</v>
      </c>
      <c r="AN425" s="700" t="s">
        <v>1305</v>
      </c>
      <c r="AO425" s="189" t="s">
        <v>506</v>
      </c>
      <c r="AP425" s="686">
        <f t="shared" si="26"/>
        <v>0</v>
      </c>
      <c r="AQ425" s="686">
        <f t="shared" si="26"/>
        <v>0</v>
      </c>
      <c r="AR425" s="686">
        <f t="shared" si="26"/>
        <v>0</v>
      </c>
      <c r="AS425" s="190"/>
      <c r="AT425" s="462"/>
      <c r="AU425" s="462"/>
      <c r="AV425" s="462"/>
      <c r="AW425" s="194"/>
      <c r="AX425" s="169"/>
    </row>
    <row r="426" spans="32:50" ht="12" customHeight="1">
      <c r="AF426" s="413" t="s">
        <v>1341</v>
      </c>
      <c r="AL426" s="36"/>
      <c r="AM426" s="696" t="s">
        <v>1584</v>
      </c>
      <c r="AN426" s="700" t="s">
        <v>1306</v>
      </c>
      <c r="AO426" s="189" t="s">
        <v>506</v>
      </c>
      <c r="AP426" s="686">
        <f t="shared" si="26"/>
        <v>0</v>
      </c>
      <c r="AQ426" s="686">
        <f t="shared" si="26"/>
        <v>0</v>
      </c>
      <c r="AR426" s="686">
        <f t="shared" si="26"/>
        <v>0</v>
      </c>
      <c r="AS426" s="190"/>
      <c r="AT426" s="462"/>
      <c r="AU426" s="462"/>
      <c r="AV426" s="462"/>
      <c r="AW426" s="194"/>
      <c r="AX426" s="169"/>
    </row>
    <row r="427" spans="32:50" ht="12" customHeight="1">
      <c r="AF427" s="413" t="s">
        <v>1342</v>
      </c>
      <c r="AL427" s="36"/>
      <c r="AM427" s="696" t="s">
        <v>1585</v>
      </c>
      <c r="AN427" s="700" t="s">
        <v>1307</v>
      </c>
      <c r="AO427" s="189" t="s">
        <v>506</v>
      </c>
      <c r="AP427" s="686">
        <f t="shared" si="26"/>
        <v>0</v>
      </c>
      <c r="AQ427" s="686">
        <f t="shared" si="26"/>
        <v>0</v>
      </c>
      <c r="AR427" s="686">
        <f t="shared" si="26"/>
        <v>0</v>
      </c>
      <c r="AS427" s="190"/>
      <c r="AT427" s="462"/>
      <c r="AU427" s="462"/>
      <c r="AV427" s="462"/>
      <c r="AW427" s="194"/>
      <c r="AX427" s="169"/>
    </row>
    <row r="428" spans="32:50" ht="12" customHeight="1">
      <c r="AF428" s="413" t="s">
        <v>1339</v>
      </c>
      <c r="AL428" s="36"/>
      <c r="AM428" s="696" t="s">
        <v>1586</v>
      </c>
      <c r="AN428" s="700" t="s">
        <v>1308</v>
      </c>
      <c r="AO428" s="189" t="s">
        <v>506</v>
      </c>
      <c r="AP428" s="686">
        <f t="shared" si="26"/>
        <v>0</v>
      </c>
      <c r="AQ428" s="686">
        <f t="shared" si="26"/>
        <v>0</v>
      </c>
      <c r="AR428" s="686">
        <f t="shared" si="26"/>
        <v>0</v>
      </c>
      <c r="AS428" s="190"/>
      <c r="AT428" s="462"/>
      <c r="AU428" s="462"/>
      <c r="AV428" s="462"/>
      <c r="AW428" s="194"/>
      <c r="AX428" s="169"/>
    </row>
    <row r="429" spans="32:50" ht="12" customHeight="1">
      <c r="AF429" s="413" t="s">
        <v>1332</v>
      </c>
      <c r="AL429" s="36"/>
      <c r="AM429" s="696" t="s">
        <v>1587</v>
      </c>
      <c r="AN429" s="701" t="s">
        <v>684</v>
      </c>
      <c r="AO429" s="189" t="s">
        <v>751</v>
      </c>
      <c r="AP429" s="686">
        <f t="shared" si="26"/>
        <v>0</v>
      </c>
      <c r="AQ429" s="686">
        <f t="shared" si="26"/>
        <v>0</v>
      </c>
      <c r="AR429" s="686">
        <f t="shared" si="26"/>
        <v>0</v>
      </c>
      <c r="AS429" s="190"/>
      <c r="AT429" s="462"/>
      <c r="AU429" s="462"/>
      <c r="AV429" s="462"/>
      <c r="AW429" s="194"/>
      <c r="AX429" s="169"/>
    </row>
    <row r="430" spans="32:50" ht="12" customHeight="1">
      <c r="AF430" s="413" t="s">
        <v>1333</v>
      </c>
      <c r="AL430" s="36"/>
      <c r="AM430" s="696" t="s">
        <v>1588</v>
      </c>
      <c r="AN430" s="702" t="s">
        <v>718</v>
      </c>
      <c r="AO430" s="189" t="s">
        <v>751</v>
      </c>
      <c r="AP430" s="686">
        <f t="shared" si="26"/>
        <v>0</v>
      </c>
      <c r="AQ430" s="686">
        <f t="shared" si="26"/>
        <v>0</v>
      </c>
      <c r="AR430" s="686">
        <f t="shared" si="26"/>
        <v>0</v>
      </c>
      <c r="AS430" s="190"/>
      <c r="AT430" s="462"/>
      <c r="AU430" s="462"/>
      <c r="AV430" s="462"/>
      <c r="AW430" s="194"/>
      <c r="AX430" s="169"/>
    </row>
    <row r="431" spans="32:50" ht="12" customHeight="1">
      <c r="AF431" s="413" t="s">
        <v>1334</v>
      </c>
      <c r="AL431" s="36"/>
      <c r="AM431" s="696" t="s">
        <v>1589</v>
      </c>
      <c r="AN431" s="703" t="s">
        <v>722</v>
      </c>
      <c r="AO431" s="189" t="s">
        <v>751</v>
      </c>
      <c r="AP431" s="686">
        <f t="shared" si="26"/>
        <v>0</v>
      </c>
      <c r="AQ431" s="686">
        <f t="shared" si="26"/>
        <v>0</v>
      </c>
      <c r="AR431" s="686">
        <f t="shared" si="26"/>
        <v>0</v>
      </c>
      <c r="AS431" s="190"/>
      <c r="AT431" s="462"/>
      <c r="AU431" s="462"/>
      <c r="AV431" s="462"/>
      <c r="AW431" s="194"/>
      <c r="AX431" s="169"/>
    </row>
    <row r="432" spans="32:50" ht="12" customHeight="1">
      <c r="AF432" s="413" t="s">
        <v>1335</v>
      </c>
      <c r="AL432" s="36"/>
      <c r="AM432" s="696" t="s">
        <v>1590</v>
      </c>
      <c r="AN432" s="704" t="s">
        <v>1309</v>
      </c>
      <c r="AO432" s="189" t="s">
        <v>751</v>
      </c>
      <c r="AP432" s="686">
        <f t="shared" si="26"/>
        <v>0</v>
      </c>
      <c r="AQ432" s="686">
        <f t="shared" si="26"/>
        <v>0</v>
      </c>
      <c r="AR432" s="686">
        <f t="shared" si="26"/>
        <v>0</v>
      </c>
      <c r="AS432" s="190"/>
      <c r="AT432" s="462"/>
      <c r="AU432" s="462"/>
      <c r="AV432" s="462"/>
      <c r="AW432" s="194"/>
      <c r="AX432" s="169"/>
    </row>
    <row r="433" spans="32:50" ht="12" customHeight="1">
      <c r="AF433" s="413" t="s">
        <v>1336</v>
      </c>
      <c r="AL433" s="36"/>
      <c r="AM433" s="696" t="s">
        <v>1591</v>
      </c>
      <c r="AN433" s="704" t="s">
        <v>1310</v>
      </c>
      <c r="AO433" s="189" t="s">
        <v>751</v>
      </c>
      <c r="AP433" s="686">
        <f t="shared" si="26"/>
        <v>0</v>
      </c>
      <c r="AQ433" s="686">
        <f t="shared" si="26"/>
        <v>0</v>
      </c>
      <c r="AR433" s="686">
        <f t="shared" si="26"/>
        <v>0</v>
      </c>
      <c r="AS433" s="190"/>
      <c r="AT433" s="462"/>
      <c r="AU433" s="462"/>
      <c r="AV433" s="462"/>
      <c r="AW433" s="194"/>
      <c r="AX433" s="169"/>
    </row>
    <row r="434" spans="32:50" ht="12" customHeight="1">
      <c r="AF434" s="413" t="s">
        <v>1337</v>
      </c>
      <c r="AL434" s="36"/>
      <c r="AM434" s="696" t="s">
        <v>1592</v>
      </c>
      <c r="AN434" s="704" t="s">
        <v>1311</v>
      </c>
      <c r="AO434" s="189" t="s">
        <v>751</v>
      </c>
      <c r="AP434" s="686">
        <f t="shared" si="26"/>
        <v>0</v>
      </c>
      <c r="AQ434" s="686">
        <f t="shared" si="26"/>
        <v>0</v>
      </c>
      <c r="AR434" s="686">
        <f t="shared" si="26"/>
        <v>0</v>
      </c>
      <c r="AS434" s="190"/>
      <c r="AT434" s="462"/>
      <c r="AU434" s="462"/>
      <c r="AV434" s="462"/>
      <c r="AW434" s="194"/>
      <c r="AX434" s="169"/>
    </row>
    <row r="435" spans="32:50" ht="12" customHeight="1">
      <c r="AF435" s="413" t="s">
        <v>1338</v>
      </c>
      <c r="AL435" s="36"/>
      <c r="AM435" s="696" t="s">
        <v>1593</v>
      </c>
      <c r="AN435" s="704" t="s">
        <v>1312</v>
      </c>
      <c r="AO435" s="189" t="s">
        <v>751</v>
      </c>
      <c r="AP435" s="686">
        <f t="shared" si="26"/>
        <v>0</v>
      </c>
      <c r="AQ435" s="686">
        <f t="shared" si="26"/>
        <v>0</v>
      </c>
      <c r="AR435" s="686">
        <f t="shared" si="26"/>
        <v>0</v>
      </c>
      <c r="AS435" s="190"/>
      <c r="AT435" s="462"/>
      <c r="AU435" s="462"/>
      <c r="AV435" s="462"/>
      <c r="AW435" s="194"/>
      <c r="AX435" s="169"/>
    </row>
    <row r="436" spans="32:50" ht="12" customHeight="1">
      <c r="AF436" s="413" t="s">
        <v>1343</v>
      </c>
      <c r="AL436" s="36"/>
      <c r="AM436" s="696" t="s">
        <v>1594</v>
      </c>
      <c r="AN436" s="705" t="s">
        <v>720</v>
      </c>
      <c r="AO436" s="189" t="s">
        <v>751</v>
      </c>
      <c r="AP436" s="686">
        <f t="shared" si="26"/>
        <v>0</v>
      </c>
      <c r="AQ436" s="686">
        <f t="shared" si="26"/>
        <v>0</v>
      </c>
      <c r="AR436" s="686">
        <f t="shared" si="26"/>
        <v>0</v>
      </c>
      <c r="AS436" s="190"/>
      <c r="AT436" s="462"/>
      <c r="AU436" s="462"/>
      <c r="AV436" s="462"/>
      <c r="AW436" s="194"/>
      <c r="AX436" s="169"/>
    </row>
    <row r="437" spans="32:50" ht="12" customHeight="1">
      <c r="AF437" s="413" t="s">
        <v>1866</v>
      </c>
      <c r="AL437" s="36"/>
      <c r="AM437" s="696" t="s">
        <v>1873</v>
      </c>
      <c r="AN437" s="706" t="s">
        <v>1313</v>
      </c>
      <c r="AO437" s="189" t="s">
        <v>751</v>
      </c>
      <c r="AP437" s="686">
        <f t="shared" ref="AP437:AR452" si="27">IF(AP365=0,0,AP489/AP365*1000)</f>
        <v>0</v>
      </c>
      <c r="AQ437" s="686">
        <f t="shared" si="27"/>
        <v>0</v>
      </c>
      <c r="AR437" s="686">
        <f t="shared" si="27"/>
        <v>0</v>
      </c>
      <c r="AS437" s="190"/>
      <c r="AT437" s="462"/>
      <c r="AU437" s="462"/>
      <c r="AV437" s="462"/>
      <c r="AW437" s="194"/>
      <c r="AX437" s="169"/>
    </row>
    <row r="438" spans="32:50" ht="12" customHeight="1">
      <c r="AF438" s="413" t="s">
        <v>1847</v>
      </c>
      <c r="AL438" s="36"/>
      <c r="AM438" s="696" t="s">
        <v>1854</v>
      </c>
      <c r="AN438" s="706" t="s">
        <v>1314</v>
      </c>
      <c r="AO438" s="189" t="s">
        <v>751</v>
      </c>
      <c r="AP438" s="686">
        <f t="shared" si="27"/>
        <v>0</v>
      </c>
      <c r="AQ438" s="686">
        <f t="shared" si="27"/>
        <v>0</v>
      </c>
      <c r="AR438" s="686">
        <f t="shared" si="27"/>
        <v>0</v>
      </c>
      <c r="AS438" s="190"/>
      <c r="AT438" s="462"/>
      <c r="AU438" s="462"/>
      <c r="AV438" s="462"/>
      <c r="AW438" s="194"/>
      <c r="AX438" s="169"/>
    </row>
    <row r="439" spans="32:50" ht="12" customHeight="1">
      <c r="AF439" s="413" t="s">
        <v>1827</v>
      </c>
      <c r="AL439" s="36"/>
      <c r="AM439" s="696" t="s">
        <v>1835</v>
      </c>
      <c r="AN439" s="706" t="s">
        <v>1315</v>
      </c>
      <c r="AO439" s="189" t="s">
        <v>751</v>
      </c>
      <c r="AP439" s="686">
        <f t="shared" si="27"/>
        <v>0</v>
      </c>
      <c r="AQ439" s="686">
        <f t="shared" si="27"/>
        <v>0</v>
      </c>
      <c r="AR439" s="686">
        <f t="shared" si="27"/>
        <v>0</v>
      </c>
      <c r="AS439" s="190"/>
      <c r="AT439" s="462"/>
      <c r="AU439" s="462"/>
      <c r="AV439" s="462"/>
      <c r="AW439" s="194"/>
      <c r="AX439" s="169"/>
    </row>
    <row r="440" spans="32:50" ht="12" customHeight="1">
      <c r="AF440" s="413" t="s">
        <v>1344</v>
      </c>
      <c r="AL440" s="36"/>
      <c r="AM440" s="696" t="s">
        <v>1595</v>
      </c>
      <c r="AN440" s="706" t="s">
        <v>1316</v>
      </c>
      <c r="AO440" s="189" t="s">
        <v>751</v>
      </c>
      <c r="AP440" s="686">
        <f t="shared" si="27"/>
        <v>0</v>
      </c>
      <c r="AQ440" s="686">
        <f t="shared" si="27"/>
        <v>0</v>
      </c>
      <c r="AR440" s="686">
        <f t="shared" si="27"/>
        <v>0</v>
      </c>
      <c r="AS440" s="190"/>
      <c r="AT440" s="462"/>
      <c r="AU440" s="462"/>
      <c r="AV440" s="462"/>
      <c r="AW440" s="194"/>
      <c r="AX440" s="169"/>
    </row>
    <row r="441" spans="32:50" ht="12" customHeight="1">
      <c r="AF441" s="413" t="s">
        <v>1345</v>
      </c>
      <c r="AL441" s="36"/>
      <c r="AM441" s="696" t="s">
        <v>1596</v>
      </c>
      <c r="AN441" s="706" t="s">
        <v>1317</v>
      </c>
      <c r="AO441" s="189" t="s">
        <v>751</v>
      </c>
      <c r="AP441" s="686">
        <f t="shared" si="27"/>
        <v>0</v>
      </c>
      <c r="AQ441" s="686">
        <f t="shared" si="27"/>
        <v>0</v>
      </c>
      <c r="AR441" s="686">
        <f t="shared" si="27"/>
        <v>0</v>
      </c>
      <c r="AS441" s="190"/>
      <c r="AT441" s="462"/>
      <c r="AU441" s="462"/>
      <c r="AV441" s="462"/>
      <c r="AW441" s="194"/>
      <c r="AX441" s="169"/>
    </row>
    <row r="442" spans="32:50" ht="12" customHeight="1">
      <c r="AF442" s="413" t="s">
        <v>1346</v>
      </c>
      <c r="AL442" s="36"/>
      <c r="AM442" s="696" t="s">
        <v>1597</v>
      </c>
      <c r="AN442" s="706" t="s">
        <v>1318</v>
      </c>
      <c r="AO442" s="189" t="s">
        <v>751</v>
      </c>
      <c r="AP442" s="686">
        <f t="shared" si="27"/>
        <v>0</v>
      </c>
      <c r="AQ442" s="686">
        <f t="shared" si="27"/>
        <v>0</v>
      </c>
      <c r="AR442" s="686">
        <f t="shared" si="27"/>
        <v>0</v>
      </c>
      <c r="AS442" s="190"/>
      <c r="AT442" s="462"/>
      <c r="AU442" s="462"/>
      <c r="AV442" s="462"/>
      <c r="AW442" s="194"/>
      <c r="AX442" s="169"/>
    </row>
    <row r="443" spans="32:50" ht="12" customHeight="1">
      <c r="AF443" s="413" t="s">
        <v>1347</v>
      </c>
      <c r="AL443" s="36"/>
      <c r="AM443" s="696" t="s">
        <v>1598</v>
      </c>
      <c r="AN443" s="707" t="s">
        <v>721</v>
      </c>
      <c r="AO443" s="189" t="s">
        <v>751</v>
      </c>
      <c r="AP443" s="686">
        <f t="shared" si="27"/>
        <v>0</v>
      </c>
      <c r="AQ443" s="686">
        <f t="shared" si="27"/>
        <v>0</v>
      </c>
      <c r="AR443" s="686">
        <f t="shared" si="27"/>
        <v>0</v>
      </c>
      <c r="AS443" s="190"/>
      <c r="AT443" s="462"/>
      <c r="AU443" s="462"/>
      <c r="AV443" s="462"/>
      <c r="AW443" s="194"/>
      <c r="AX443" s="169"/>
    </row>
    <row r="444" spans="32:50" ht="12" customHeight="1">
      <c r="AF444" s="413" t="s">
        <v>1348</v>
      </c>
      <c r="AL444" s="36"/>
      <c r="AM444" s="696" t="s">
        <v>1599</v>
      </c>
      <c r="AN444" s="708" t="s">
        <v>712</v>
      </c>
      <c r="AO444" s="189" t="s">
        <v>751</v>
      </c>
      <c r="AP444" s="686">
        <f t="shared" si="27"/>
        <v>0</v>
      </c>
      <c r="AQ444" s="686">
        <f t="shared" si="27"/>
        <v>0</v>
      </c>
      <c r="AR444" s="686">
        <f t="shared" si="27"/>
        <v>0</v>
      </c>
      <c r="AS444" s="190"/>
      <c r="AT444" s="462"/>
      <c r="AU444" s="462"/>
      <c r="AV444" s="462"/>
      <c r="AW444" s="194"/>
      <c r="AX444" s="169"/>
    </row>
    <row r="445" spans="32:50" ht="12" customHeight="1">
      <c r="AF445" s="413" t="s">
        <v>2612</v>
      </c>
      <c r="AL445" s="36"/>
      <c r="AM445" s="696" t="s">
        <v>2756</v>
      </c>
      <c r="AN445" s="709" t="s">
        <v>1319</v>
      </c>
      <c r="AO445" s="189" t="s">
        <v>751</v>
      </c>
      <c r="AP445" s="686">
        <f t="shared" si="27"/>
        <v>0</v>
      </c>
      <c r="AQ445" s="686">
        <f t="shared" si="27"/>
        <v>0</v>
      </c>
      <c r="AR445" s="686">
        <f t="shared" si="27"/>
        <v>0</v>
      </c>
      <c r="AS445" s="190"/>
      <c r="AT445" s="462"/>
      <c r="AU445" s="462"/>
      <c r="AV445" s="462"/>
      <c r="AW445" s="194"/>
      <c r="AX445" s="169"/>
    </row>
    <row r="446" spans="32:50" ht="12" customHeight="1">
      <c r="AF446" s="413" t="s">
        <v>2614</v>
      </c>
      <c r="AL446" s="36"/>
      <c r="AM446" s="696" t="s">
        <v>2757</v>
      </c>
      <c r="AN446" s="709" t="s">
        <v>1320</v>
      </c>
      <c r="AO446" s="189" t="s">
        <v>751</v>
      </c>
      <c r="AP446" s="686">
        <f t="shared" si="27"/>
        <v>0</v>
      </c>
      <c r="AQ446" s="686">
        <f t="shared" si="27"/>
        <v>0</v>
      </c>
      <c r="AR446" s="686">
        <f t="shared" si="27"/>
        <v>0</v>
      </c>
      <c r="AS446" s="190"/>
      <c r="AT446" s="462"/>
      <c r="AU446" s="462"/>
      <c r="AV446" s="462"/>
      <c r="AW446" s="194"/>
      <c r="AX446" s="169"/>
    </row>
    <row r="447" spans="32:50" ht="12" customHeight="1">
      <c r="AF447" s="413" t="s">
        <v>2616</v>
      </c>
      <c r="AL447" s="36"/>
      <c r="AM447" s="696" t="s">
        <v>2758</v>
      </c>
      <c r="AN447" s="709" t="s">
        <v>1321</v>
      </c>
      <c r="AO447" s="189" t="s">
        <v>751</v>
      </c>
      <c r="AP447" s="686">
        <f t="shared" si="27"/>
        <v>0</v>
      </c>
      <c r="AQ447" s="686">
        <f t="shared" si="27"/>
        <v>0</v>
      </c>
      <c r="AR447" s="686">
        <f t="shared" si="27"/>
        <v>0</v>
      </c>
      <c r="AS447" s="190"/>
      <c r="AT447" s="462"/>
      <c r="AU447" s="462"/>
      <c r="AV447" s="462"/>
      <c r="AW447" s="194"/>
      <c r="AX447" s="169"/>
    </row>
    <row r="448" spans="32:50" ht="12" customHeight="1">
      <c r="AF448" s="413" t="s">
        <v>2619</v>
      </c>
      <c r="AL448" s="36"/>
      <c r="AM448" s="696" t="s">
        <v>2759</v>
      </c>
      <c r="AN448" s="709" t="s">
        <v>2618</v>
      </c>
      <c r="AO448" s="189" t="s">
        <v>751</v>
      </c>
      <c r="AP448" s="686">
        <f t="shared" si="27"/>
        <v>0</v>
      </c>
      <c r="AQ448" s="686">
        <f t="shared" si="27"/>
        <v>0</v>
      </c>
      <c r="AR448" s="686">
        <f t="shared" si="27"/>
        <v>0</v>
      </c>
      <c r="AS448" s="190"/>
      <c r="AT448" s="462"/>
      <c r="AU448" s="462"/>
      <c r="AV448" s="462"/>
      <c r="AW448" s="194"/>
      <c r="AX448" s="169"/>
    </row>
    <row r="449" spans="32:50" ht="12" customHeight="1">
      <c r="AF449" s="413" t="s">
        <v>2622</v>
      </c>
      <c r="AL449" s="36"/>
      <c r="AM449" s="696" t="s">
        <v>2760</v>
      </c>
      <c r="AN449" s="709" t="s">
        <v>2621</v>
      </c>
      <c r="AO449" s="189" t="s">
        <v>751</v>
      </c>
      <c r="AP449" s="686">
        <f t="shared" si="27"/>
        <v>0</v>
      </c>
      <c r="AQ449" s="686">
        <f t="shared" si="27"/>
        <v>0</v>
      </c>
      <c r="AR449" s="686">
        <f t="shared" si="27"/>
        <v>0</v>
      </c>
      <c r="AS449" s="190"/>
      <c r="AT449" s="462"/>
      <c r="AU449" s="462"/>
      <c r="AV449" s="462"/>
      <c r="AW449" s="194"/>
      <c r="AX449" s="169"/>
    </row>
    <row r="450" spans="32:50" ht="12" customHeight="1">
      <c r="AF450" s="413" t="s">
        <v>2624</v>
      </c>
      <c r="AL450" s="36"/>
      <c r="AM450" s="696" t="s">
        <v>2761</v>
      </c>
      <c r="AN450" s="709" t="s">
        <v>1322</v>
      </c>
      <c r="AO450" s="189" t="s">
        <v>751</v>
      </c>
      <c r="AP450" s="686">
        <f t="shared" si="27"/>
        <v>0</v>
      </c>
      <c r="AQ450" s="686">
        <f t="shared" si="27"/>
        <v>0</v>
      </c>
      <c r="AR450" s="686">
        <f t="shared" si="27"/>
        <v>0</v>
      </c>
      <c r="AS450" s="190"/>
      <c r="AT450" s="462"/>
      <c r="AU450" s="462"/>
      <c r="AV450" s="462"/>
      <c r="AW450" s="194"/>
      <c r="AX450" s="169"/>
    </row>
    <row r="451" spans="32:50" ht="12" customHeight="1">
      <c r="AF451" s="413" t="s">
        <v>2627</v>
      </c>
      <c r="AL451" s="36"/>
      <c r="AM451" s="696" t="s">
        <v>2762</v>
      </c>
      <c r="AN451" s="709" t="s">
        <v>2626</v>
      </c>
      <c r="AO451" s="189" t="s">
        <v>751</v>
      </c>
      <c r="AP451" s="686">
        <f t="shared" si="27"/>
        <v>0</v>
      </c>
      <c r="AQ451" s="686">
        <f t="shared" si="27"/>
        <v>0</v>
      </c>
      <c r="AR451" s="686">
        <f t="shared" si="27"/>
        <v>0</v>
      </c>
      <c r="AS451" s="190"/>
      <c r="AT451" s="462"/>
      <c r="AU451" s="462"/>
      <c r="AV451" s="462"/>
      <c r="AW451" s="194"/>
      <c r="AX451" s="169"/>
    </row>
    <row r="452" spans="32:50" ht="12" customHeight="1">
      <c r="AF452" s="413" t="s">
        <v>2629</v>
      </c>
      <c r="AL452" s="36"/>
      <c r="AM452" s="696" t="s">
        <v>2763</v>
      </c>
      <c r="AN452" s="709" t="s">
        <v>1323</v>
      </c>
      <c r="AO452" s="189" t="s">
        <v>751</v>
      </c>
      <c r="AP452" s="686">
        <f t="shared" si="27"/>
        <v>0</v>
      </c>
      <c r="AQ452" s="686">
        <f t="shared" si="27"/>
        <v>0</v>
      </c>
      <c r="AR452" s="686">
        <f t="shared" si="27"/>
        <v>0</v>
      </c>
      <c r="AS452" s="190"/>
      <c r="AT452" s="462"/>
      <c r="AU452" s="462"/>
      <c r="AV452" s="462"/>
      <c r="AW452" s="194"/>
      <c r="AX452" s="169"/>
    </row>
    <row r="453" spans="32:50" ht="12" customHeight="1">
      <c r="AF453" s="413" t="s">
        <v>2631</v>
      </c>
      <c r="AL453" s="36"/>
      <c r="AM453" s="696" t="s">
        <v>2764</v>
      </c>
      <c r="AN453" s="709" t="s">
        <v>1324</v>
      </c>
      <c r="AO453" s="189" t="s">
        <v>751</v>
      </c>
      <c r="AP453" s="686">
        <f t="shared" ref="AP453:AR460" si="28">IF(AP381=0,0,AP505/AP381*1000)</f>
        <v>0</v>
      </c>
      <c r="AQ453" s="686">
        <f t="shared" si="28"/>
        <v>0</v>
      </c>
      <c r="AR453" s="686">
        <f t="shared" si="28"/>
        <v>0</v>
      </c>
      <c r="AS453" s="190"/>
      <c r="AT453" s="462"/>
      <c r="AU453" s="462"/>
      <c r="AV453" s="462"/>
      <c r="AW453" s="194"/>
      <c r="AX453" s="169"/>
    </row>
    <row r="454" spans="32:50" ht="12" customHeight="1">
      <c r="AF454" s="413" t="s">
        <v>2634</v>
      </c>
      <c r="AL454" s="36"/>
      <c r="AM454" s="696" t="s">
        <v>2765</v>
      </c>
      <c r="AN454" s="709" t="s">
        <v>2633</v>
      </c>
      <c r="AO454" s="189" t="s">
        <v>751</v>
      </c>
      <c r="AP454" s="686">
        <f t="shared" si="28"/>
        <v>0</v>
      </c>
      <c r="AQ454" s="686">
        <f t="shared" si="28"/>
        <v>0</v>
      </c>
      <c r="AR454" s="686">
        <f t="shared" si="28"/>
        <v>0</v>
      </c>
      <c r="AS454" s="190"/>
      <c r="AT454" s="462"/>
      <c r="AU454" s="462"/>
      <c r="AV454" s="462"/>
      <c r="AW454" s="194"/>
      <c r="AX454" s="169"/>
    </row>
    <row r="455" spans="32:50" ht="12" customHeight="1">
      <c r="AF455" s="413" t="s">
        <v>2637</v>
      </c>
      <c r="AL455" s="36"/>
      <c r="AM455" s="696" t="s">
        <v>2766</v>
      </c>
      <c r="AN455" s="709" t="s">
        <v>2636</v>
      </c>
      <c r="AO455" s="189" t="s">
        <v>751</v>
      </c>
      <c r="AP455" s="686">
        <f t="shared" si="28"/>
        <v>0</v>
      </c>
      <c r="AQ455" s="686">
        <f t="shared" si="28"/>
        <v>0</v>
      </c>
      <c r="AR455" s="686">
        <f t="shared" si="28"/>
        <v>0</v>
      </c>
      <c r="AS455" s="190"/>
      <c r="AT455" s="462"/>
      <c r="AU455" s="462"/>
      <c r="AV455" s="462"/>
      <c r="AW455" s="194"/>
      <c r="AX455" s="169"/>
    </row>
    <row r="456" spans="32:50" ht="12" customHeight="1">
      <c r="AF456" s="413" t="s">
        <v>2640</v>
      </c>
      <c r="AL456" s="36"/>
      <c r="AM456" s="696" t="s">
        <v>2767</v>
      </c>
      <c r="AN456" s="709" t="s">
        <v>2639</v>
      </c>
      <c r="AO456" s="189" t="s">
        <v>751</v>
      </c>
      <c r="AP456" s="686">
        <f t="shared" si="28"/>
        <v>0</v>
      </c>
      <c r="AQ456" s="686">
        <f t="shared" si="28"/>
        <v>0</v>
      </c>
      <c r="AR456" s="686">
        <f t="shared" si="28"/>
        <v>0</v>
      </c>
      <c r="AS456" s="190"/>
      <c r="AT456" s="462"/>
      <c r="AU456" s="462"/>
      <c r="AV456" s="462"/>
      <c r="AW456" s="194"/>
      <c r="AX456" s="169"/>
    </row>
    <row r="457" spans="32:50" ht="12" customHeight="1">
      <c r="AF457" s="413" t="s">
        <v>2643</v>
      </c>
      <c r="AL457" s="36"/>
      <c r="AM457" s="696" t="s">
        <v>2768</v>
      </c>
      <c r="AN457" s="709" t="s">
        <v>2642</v>
      </c>
      <c r="AO457" s="189" t="s">
        <v>751</v>
      </c>
      <c r="AP457" s="686">
        <f t="shared" si="28"/>
        <v>0</v>
      </c>
      <c r="AQ457" s="686">
        <f t="shared" si="28"/>
        <v>0</v>
      </c>
      <c r="AR457" s="686">
        <f t="shared" si="28"/>
        <v>0</v>
      </c>
      <c r="AS457" s="190"/>
      <c r="AT457" s="462"/>
      <c r="AU457" s="462"/>
      <c r="AV457" s="462"/>
      <c r="AW457" s="194"/>
      <c r="AX457" s="169"/>
    </row>
    <row r="458" spans="32:50" ht="12" customHeight="1">
      <c r="AF458" s="413" t="s">
        <v>2646</v>
      </c>
      <c r="AL458" s="36"/>
      <c r="AM458" s="696" t="s">
        <v>2769</v>
      </c>
      <c r="AN458" s="709" t="s">
        <v>2645</v>
      </c>
      <c r="AO458" s="189" t="s">
        <v>751</v>
      </c>
      <c r="AP458" s="686">
        <f t="shared" si="28"/>
        <v>0</v>
      </c>
      <c r="AQ458" s="686">
        <f t="shared" si="28"/>
        <v>0</v>
      </c>
      <c r="AR458" s="686">
        <f t="shared" si="28"/>
        <v>0</v>
      </c>
      <c r="AS458" s="190"/>
      <c r="AT458" s="462"/>
      <c r="AU458" s="462"/>
      <c r="AV458" s="462"/>
      <c r="AW458" s="194"/>
      <c r="AX458" s="169"/>
    </row>
    <row r="459" spans="32:50" ht="12" customHeight="1">
      <c r="AF459" s="413" t="s">
        <v>2648</v>
      </c>
      <c r="AL459" s="36"/>
      <c r="AM459" s="696" t="s">
        <v>2770</v>
      </c>
      <c r="AN459" s="709" t="s">
        <v>1325</v>
      </c>
      <c r="AO459" s="189" t="s">
        <v>751</v>
      </c>
      <c r="AP459" s="686">
        <f t="shared" si="28"/>
        <v>0</v>
      </c>
      <c r="AQ459" s="686">
        <f t="shared" si="28"/>
        <v>0</v>
      </c>
      <c r="AR459" s="686">
        <f t="shared" si="28"/>
        <v>0</v>
      </c>
      <c r="AS459" s="190"/>
      <c r="AT459" s="462"/>
      <c r="AU459" s="462"/>
      <c r="AV459" s="462"/>
      <c r="AW459" s="194"/>
      <c r="AX459" s="169"/>
    </row>
    <row r="460" spans="32:50" ht="12" customHeight="1">
      <c r="AF460" s="413" t="s">
        <v>2650</v>
      </c>
      <c r="AL460" s="36"/>
      <c r="AM460" s="696" t="s">
        <v>2771</v>
      </c>
      <c r="AN460" s="709" t="s">
        <v>1326</v>
      </c>
      <c r="AO460" s="189" t="s">
        <v>751</v>
      </c>
      <c r="AP460" s="686">
        <f t="shared" si="28"/>
        <v>0</v>
      </c>
      <c r="AQ460" s="686">
        <f t="shared" si="28"/>
        <v>0</v>
      </c>
      <c r="AR460" s="686">
        <f t="shared" si="28"/>
        <v>0</v>
      </c>
      <c r="AS460" s="190"/>
      <c r="AT460" s="462"/>
      <c r="AU460" s="462"/>
      <c r="AV460" s="462"/>
      <c r="AW460" s="194"/>
      <c r="AX460" s="169"/>
    </row>
    <row r="461" spans="32:50" ht="12" customHeight="1">
      <c r="AF461" s="413" t="s">
        <v>2653</v>
      </c>
      <c r="AL461" s="36"/>
      <c r="AM461" s="696" t="s">
        <v>2772</v>
      </c>
      <c r="AN461" s="709" t="s">
        <v>2652</v>
      </c>
      <c r="AO461" s="189" t="s">
        <v>751</v>
      </c>
      <c r="AP461" s="686">
        <f>IF(AP389=0,0,AP513/AP389*1000)</f>
        <v>0</v>
      </c>
      <c r="AQ461" s="686">
        <f>IF(AQ389=0,0,AQ513/AQ389*1000)</f>
        <v>0</v>
      </c>
      <c r="AR461" s="686">
        <f>IF(AR389=0,0,AR513/AR389*1000)</f>
        <v>0</v>
      </c>
      <c r="AS461" s="190"/>
      <c r="AT461" s="462"/>
      <c r="AU461" s="462"/>
      <c r="AV461" s="462"/>
      <c r="AW461" s="194"/>
      <c r="AX461" s="169"/>
    </row>
    <row r="462" spans="32:50" ht="0.75" hidden="1" customHeight="1">
      <c r="AF462" s="413"/>
      <c r="AL462" s="36"/>
      <c r="AM462" s="718"/>
      <c r="AN462" s="460"/>
      <c r="AO462" s="461"/>
      <c r="AP462" s="462"/>
      <c r="AQ462" s="462"/>
      <c r="AR462" s="462"/>
      <c r="AS462" s="190"/>
      <c r="AT462" s="462"/>
      <c r="AU462" s="462"/>
      <c r="AV462" s="462"/>
      <c r="AW462" s="194"/>
      <c r="AX462" s="169"/>
    </row>
    <row r="463" spans="32:50" ht="0.75" hidden="1" customHeight="1">
      <c r="AF463" s="413"/>
      <c r="AL463" s="36"/>
      <c r="AM463" s="718"/>
      <c r="AN463" s="460"/>
      <c r="AO463" s="461"/>
      <c r="AP463" s="462"/>
      <c r="AQ463" s="462"/>
      <c r="AR463" s="462"/>
      <c r="AS463" s="190"/>
      <c r="AT463" s="462"/>
      <c r="AU463" s="462"/>
      <c r="AV463" s="462"/>
      <c r="AW463" s="194"/>
      <c r="AX463" s="169"/>
    </row>
    <row r="464" spans="32:50" ht="12" customHeight="1">
      <c r="AF464" s="413" t="s">
        <v>1357</v>
      </c>
      <c r="AL464" s="36"/>
      <c r="AM464" s="696" t="s">
        <v>1600</v>
      </c>
      <c r="AN464" s="719" t="s">
        <v>1327</v>
      </c>
      <c r="AO464" s="189" t="s">
        <v>751</v>
      </c>
      <c r="AP464" s="686">
        <f t="shared" ref="AP464:AR470" si="29">IF(AP392=0,0,AP516/AP392*1000)</f>
        <v>0</v>
      </c>
      <c r="AQ464" s="686">
        <f t="shared" si="29"/>
        <v>0</v>
      </c>
      <c r="AR464" s="686">
        <f t="shared" si="29"/>
        <v>0</v>
      </c>
      <c r="AS464" s="190"/>
      <c r="AT464" s="462"/>
      <c r="AU464" s="462"/>
      <c r="AV464" s="462"/>
      <c r="AW464" s="194"/>
      <c r="AX464" s="169"/>
    </row>
    <row r="465" spans="32:50" ht="12" customHeight="1">
      <c r="AF465" s="413" t="s">
        <v>1350</v>
      </c>
      <c r="AL465" s="36"/>
      <c r="AM465" s="696" t="s">
        <v>1601</v>
      </c>
      <c r="AN465" s="712" t="s">
        <v>723</v>
      </c>
      <c r="AO465" s="189" t="s">
        <v>751</v>
      </c>
      <c r="AP465" s="686">
        <f t="shared" si="29"/>
        <v>0</v>
      </c>
      <c r="AQ465" s="686">
        <f t="shared" si="29"/>
        <v>0</v>
      </c>
      <c r="AR465" s="686">
        <f t="shared" si="29"/>
        <v>0</v>
      </c>
      <c r="AS465" s="190"/>
      <c r="AT465" s="462"/>
      <c r="AU465" s="462"/>
      <c r="AV465" s="462"/>
      <c r="AW465" s="194"/>
      <c r="AX465" s="169"/>
    </row>
    <row r="466" spans="32:50" ht="12" customHeight="1">
      <c r="AF466" s="413" t="s">
        <v>1351</v>
      </c>
      <c r="AL466" s="36"/>
      <c r="AM466" s="696" t="s">
        <v>1602</v>
      </c>
      <c r="AN466" s="713" t="s">
        <v>748</v>
      </c>
      <c r="AO466" s="189" t="s">
        <v>751</v>
      </c>
      <c r="AP466" s="686">
        <f t="shared" si="29"/>
        <v>0</v>
      </c>
      <c r="AQ466" s="686">
        <f t="shared" si="29"/>
        <v>0</v>
      </c>
      <c r="AR466" s="686">
        <f t="shared" si="29"/>
        <v>0</v>
      </c>
      <c r="AS466" s="190"/>
      <c r="AT466" s="462"/>
      <c r="AU466" s="462"/>
      <c r="AV466" s="462"/>
      <c r="AW466" s="194"/>
      <c r="AX466" s="169"/>
    </row>
    <row r="467" spans="32:50" ht="12" customHeight="1">
      <c r="AF467" s="413" t="s">
        <v>1352</v>
      </c>
      <c r="AL467" s="36"/>
      <c r="AM467" s="696" t="s">
        <v>1603</v>
      </c>
      <c r="AN467" s="714" t="s">
        <v>315</v>
      </c>
      <c r="AO467" s="189" t="s">
        <v>751</v>
      </c>
      <c r="AP467" s="686">
        <f t="shared" si="29"/>
        <v>0</v>
      </c>
      <c r="AQ467" s="686">
        <f t="shared" si="29"/>
        <v>0</v>
      </c>
      <c r="AR467" s="686">
        <f t="shared" si="29"/>
        <v>0</v>
      </c>
      <c r="AS467" s="190"/>
      <c r="AT467" s="462"/>
      <c r="AU467" s="462"/>
      <c r="AV467" s="462"/>
      <c r="AW467" s="194"/>
      <c r="AX467" s="169"/>
    </row>
    <row r="468" spans="32:50" ht="12" customHeight="1">
      <c r="AF468" s="413" t="s">
        <v>1354</v>
      </c>
      <c r="AL468" s="36"/>
      <c r="AM468" s="696" t="s">
        <v>1604</v>
      </c>
      <c r="AN468" s="715" t="s">
        <v>316</v>
      </c>
      <c r="AO468" s="189" t="s">
        <v>751</v>
      </c>
      <c r="AP468" s="686">
        <f t="shared" si="29"/>
        <v>0</v>
      </c>
      <c r="AQ468" s="686">
        <f t="shared" si="29"/>
        <v>0</v>
      </c>
      <c r="AR468" s="686">
        <f t="shared" si="29"/>
        <v>0</v>
      </c>
      <c r="AS468" s="190"/>
      <c r="AT468" s="462"/>
      <c r="AU468" s="462"/>
      <c r="AV468" s="462"/>
      <c r="AW468" s="194"/>
      <c r="AX468" s="169"/>
    </row>
    <row r="469" spans="32:50" ht="12" customHeight="1">
      <c r="AF469" s="413" t="s">
        <v>1353</v>
      </c>
      <c r="AL469" s="36"/>
      <c r="AM469" s="696" t="s">
        <v>1605</v>
      </c>
      <c r="AN469" s="716" t="s">
        <v>317</v>
      </c>
      <c r="AO469" s="189" t="s">
        <v>751</v>
      </c>
      <c r="AP469" s="686">
        <f t="shared" si="29"/>
        <v>0</v>
      </c>
      <c r="AQ469" s="686">
        <f t="shared" si="29"/>
        <v>0</v>
      </c>
      <c r="AR469" s="686">
        <f t="shared" si="29"/>
        <v>0</v>
      </c>
      <c r="AS469" s="190"/>
      <c r="AT469" s="462"/>
      <c r="AU469" s="462"/>
      <c r="AV469" s="462"/>
      <c r="AW469" s="194"/>
      <c r="AX469" s="169"/>
    </row>
    <row r="470" spans="32:50" ht="12" customHeight="1">
      <c r="AF470" s="413" t="s">
        <v>1355</v>
      </c>
      <c r="AL470" s="36"/>
      <c r="AM470" s="696" t="s">
        <v>1606</v>
      </c>
      <c r="AN470" s="701" t="s">
        <v>318</v>
      </c>
      <c r="AO470" s="189" t="s">
        <v>751</v>
      </c>
      <c r="AP470" s="686">
        <f t="shared" si="29"/>
        <v>0</v>
      </c>
      <c r="AQ470" s="686">
        <f t="shared" si="29"/>
        <v>0</v>
      </c>
      <c r="AR470" s="686">
        <f t="shared" si="29"/>
        <v>0</v>
      </c>
      <c r="AS470" s="190"/>
      <c r="AT470" s="462"/>
      <c r="AU470" s="462"/>
      <c r="AV470" s="462"/>
      <c r="AW470" s="194"/>
      <c r="AX470" s="169"/>
    </row>
    <row r="471" spans="32:50" ht="0.75" hidden="1" customHeight="1">
      <c r="AF471" s="413"/>
      <c r="AL471" s="36"/>
      <c r="AM471" s="718"/>
      <c r="AN471" s="460"/>
      <c r="AO471" s="461"/>
      <c r="AP471" s="462"/>
      <c r="AQ471" s="462"/>
      <c r="AR471" s="462"/>
      <c r="AS471" s="190"/>
      <c r="AT471" s="462"/>
      <c r="AU471" s="462"/>
      <c r="AV471" s="462"/>
      <c r="AW471" s="194"/>
      <c r="AX471" s="169"/>
    </row>
    <row r="472" spans="32:50" ht="24" customHeight="1">
      <c r="AF472" s="115"/>
      <c r="AL472" s="36"/>
      <c r="AM472" s="490" t="s">
        <v>1797</v>
      </c>
      <c r="AN472" s="463" t="s">
        <v>761</v>
      </c>
      <c r="AO472" s="189" t="s">
        <v>195</v>
      </c>
      <c r="AP472" s="686">
        <f t="shared" ref="AP472:AR491" si="30">SUMIF($AS$9:$AW$9,AP$9,$AS472:$AW472)</f>
        <v>7146.867308181957</v>
      </c>
      <c r="AQ472" s="686">
        <f t="shared" si="30"/>
        <v>3573.4336540909785</v>
      </c>
      <c r="AR472" s="686">
        <f t="shared" si="30"/>
        <v>3573.4336540909785</v>
      </c>
      <c r="AS472" s="190"/>
      <c r="AT472" s="263">
        <f>SUM(AT473,AT477:AT482,AT483,AT488,AT495,AT496,AT516:AT522)</f>
        <v>7146.867308181957</v>
      </c>
      <c r="AU472" s="263">
        <f>SUM(AU473,AU477:AU482,AU483,AU488,AU495,AU496,AU516:AU522)</f>
        <v>3573.4336540909785</v>
      </c>
      <c r="AV472" s="263">
        <f>SUM(AV473,AV477:AV482,AV483,AV488,AV495,AV496,AV516:AV522)</f>
        <v>3573.4336540909785</v>
      </c>
      <c r="AW472" s="194"/>
      <c r="AX472" s="169"/>
    </row>
    <row r="473" spans="32:50" ht="12" customHeight="1">
      <c r="AF473" s="413" t="s">
        <v>1328</v>
      </c>
      <c r="AL473" s="36"/>
      <c r="AM473" s="696" t="s">
        <v>1798</v>
      </c>
      <c r="AN473" s="697" t="s">
        <v>1304</v>
      </c>
      <c r="AO473" s="189" t="s">
        <v>195</v>
      </c>
      <c r="AP473" s="686">
        <f t="shared" si="30"/>
        <v>7146.867308181957</v>
      </c>
      <c r="AQ473" s="686">
        <f t="shared" si="30"/>
        <v>3573.4336540909785</v>
      </c>
      <c r="AR473" s="686">
        <f t="shared" si="30"/>
        <v>3573.4336540909785</v>
      </c>
      <c r="AS473" s="190"/>
      <c r="AT473" s="183">
        <f>AU473+AV473</f>
        <v>7146.867308181957</v>
      </c>
      <c r="AU473" s="183">
        <f>SUM(AU474:AU476)</f>
        <v>3573.4336540909785</v>
      </c>
      <c r="AV473" s="183">
        <f>SUM(AV474:AV476)</f>
        <v>3573.4336540909785</v>
      </c>
      <c r="AW473" s="194"/>
      <c r="AX473" s="169"/>
    </row>
    <row r="474" spans="32:50" ht="12" customHeight="1">
      <c r="AF474" s="413" t="s">
        <v>1329</v>
      </c>
      <c r="AL474" s="36"/>
      <c r="AM474" s="696" t="s">
        <v>1799</v>
      </c>
      <c r="AN474" s="699" t="s">
        <v>713</v>
      </c>
      <c r="AO474" s="189" t="s">
        <v>195</v>
      </c>
      <c r="AP474" s="686">
        <f t="shared" si="30"/>
        <v>7146.867308181957</v>
      </c>
      <c r="AQ474" s="686">
        <f t="shared" si="30"/>
        <v>3573.4336540909785</v>
      </c>
      <c r="AR474" s="686">
        <f t="shared" si="30"/>
        <v>3573.4336540909785</v>
      </c>
      <c r="AS474" s="190"/>
      <c r="AT474" s="183">
        <f>AU474+AV474</f>
        <v>7146.867308181957</v>
      </c>
      <c r="AU474" s="183">
        <f>AU422*AU350/1000</f>
        <v>3573.4336540909785</v>
      </c>
      <c r="AV474" s="183">
        <f>AV422*AV350/1000</f>
        <v>3573.4336540909785</v>
      </c>
      <c r="AW474" s="194"/>
      <c r="AX474" s="169"/>
    </row>
    <row r="475" spans="32:50" ht="12" customHeight="1">
      <c r="AF475" s="413" t="s">
        <v>1330</v>
      </c>
      <c r="AL475" s="36"/>
      <c r="AM475" s="696" t="s">
        <v>1800</v>
      </c>
      <c r="AN475" s="699" t="s">
        <v>715</v>
      </c>
      <c r="AO475" s="189" t="s">
        <v>195</v>
      </c>
      <c r="AP475" s="686">
        <f t="shared" si="30"/>
        <v>0</v>
      </c>
      <c r="AQ475" s="686">
        <f t="shared" si="30"/>
        <v>0</v>
      </c>
      <c r="AR475" s="686">
        <f t="shared" si="30"/>
        <v>0</v>
      </c>
      <c r="AS475" s="190"/>
      <c r="AT475" s="462"/>
      <c r="AU475" s="462"/>
      <c r="AV475" s="462"/>
      <c r="AW475" s="194"/>
      <c r="AX475" s="169"/>
    </row>
    <row r="476" spans="32:50" ht="12" customHeight="1">
      <c r="AF476" s="413" t="s">
        <v>1331</v>
      </c>
      <c r="AL476" s="36"/>
      <c r="AM476" s="696" t="s">
        <v>1801</v>
      </c>
      <c r="AN476" s="699" t="s">
        <v>716</v>
      </c>
      <c r="AO476" s="189" t="s">
        <v>195</v>
      </c>
      <c r="AP476" s="686">
        <f t="shared" si="30"/>
        <v>0</v>
      </c>
      <c r="AQ476" s="686">
        <f t="shared" si="30"/>
        <v>0</v>
      </c>
      <c r="AR476" s="686">
        <f t="shared" si="30"/>
        <v>0</v>
      </c>
      <c r="AS476" s="190"/>
      <c r="AT476" s="462"/>
      <c r="AU476" s="462"/>
      <c r="AV476" s="462"/>
      <c r="AW476" s="194"/>
      <c r="AX476" s="169"/>
    </row>
    <row r="477" spans="32:50" ht="12" customHeight="1">
      <c r="AF477" s="413" t="s">
        <v>1340</v>
      </c>
      <c r="AL477" s="36"/>
      <c r="AM477" s="696" t="s">
        <v>1802</v>
      </c>
      <c r="AN477" s="700" t="s">
        <v>1305</v>
      </c>
      <c r="AO477" s="189" t="s">
        <v>195</v>
      </c>
      <c r="AP477" s="686">
        <f t="shared" si="30"/>
        <v>0</v>
      </c>
      <c r="AQ477" s="686">
        <f t="shared" si="30"/>
        <v>0</v>
      </c>
      <c r="AR477" s="686">
        <f t="shared" si="30"/>
        <v>0</v>
      </c>
      <c r="AS477" s="190"/>
      <c r="AT477" s="462"/>
      <c r="AU477" s="462"/>
      <c r="AV477" s="462"/>
      <c r="AW477" s="194"/>
      <c r="AX477" s="169"/>
    </row>
    <row r="478" spans="32:50" ht="12" customHeight="1">
      <c r="AF478" s="413" t="s">
        <v>1341</v>
      </c>
      <c r="AL478" s="36"/>
      <c r="AM478" s="696" t="s">
        <v>1803</v>
      </c>
      <c r="AN478" s="700" t="s">
        <v>1306</v>
      </c>
      <c r="AO478" s="189" t="s">
        <v>195</v>
      </c>
      <c r="AP478" s="686">
        <f t="shared" si="30"/>
        <v>0</v>
      </c>
      <c r="AQ478" s="686">
        <f t="shared" si="30"/>
        <v>0</v>
      </c>
      <c r="AR478" s="686">
        <f t="shared" si="30"/>
        <v>0</v>
      </c>
      <c r="AS478" s="190"/>
      <c r="AT478" s="462"/>
      <c r="AU478" s="462"/>
      <c r="AV478" s="462"/>
      <c r="AW478" s="194"/>
      <c r="AX478" s="169"/>
    </row>
    <row r="479" spans="32:50" ht="12" customHeight="1">
      <c r="AF479" s="413" t="s">
        <v>1342</v>
      </c>
      <c r="AL479" s="36"/>
      <c r="AM479" s="696" t="s">
        <v>1804</v>
      </c>
      <c r="AN479" s="700" t="s">
        <v>1307</v>
      </c>
      <c r="AO479" s="189" t="s">
        <v>195</v>
      </c>
      <c r="AP479" s="686">
        <f t="shared" si="30"/>
        <v>0</v>
      </c>
      <c r="AQ479" s="686">
        <f t="shared" si="30"/>
        <v>0</v>
      </c>
      <c r="AR479" s="686">
        <f t="shared" si="30"/>
        <v>0</v>
      </c>
      <c r="AS479" s="190"/>
      <c r="AT479" s="462"/>
      <c r="AU479" s="462"/>
      <c r="AV479" s="462"/>
      <c r="AW479" s="194"/>
      <c r="AX479" s="169"/>
    </row>
    <row r="480" spans="32:50" ht="12" customHeight="1">
      <c r="AF480" s="413" t="s">
        <v>1339</v>
      </c>
      <c r="AL480" s="36"/>
      <c r="AM480" s="696" t="s">
        <v>1805</v>
      </c>
      <c r="AN480" s="700" t="s">
        <v>1308</v>
      </c>
      <c r="AO480" s="189" t="s">
        <v>195</v>
      </c>
      <c r="AP480" s="686">
        <f t="shared" si="30"/>
        <v>0</v>
      </c>
      <c r="AQ480" s="686">
        <f t="shared" si="30"/>
        <v>0</v>
      </c>
      <c r="AR480" s="686">
        <f t="shared" si="30"/>
        <v>0</v>
      </c>
      <c r="AS480" s="190"/>
      <c r="AT480" s="462"/>
      <c r="AU480" s="462"/>
      <c r="AV480" s="462"/>
      <c r="AW480" s="194"/>
      <c r="AX480" s="169"/>
    </row>
    <row r="481" spans="32:50" ht="12" customHeight="1">
      <c r="AF481" s="413" t="s">
        <v>1332</v>
      </c>
      <c r="AL481" s="36"/>
      <c r="AM481" s="696" t="s">
        <v>1806</v>
      </c>
      <c r="AN481" s="701" t="s">
        <v>684</v>
      </c>
      <c r="AO481" s="189" t="s">
        <v>195</v>
      </c>
      <c r="AP481" s="686">
        <f t="shared" si="30"/>
        <v>0</v>
      </c>
      <c r="AQ481" s="686">
        <f t="shared" si="30"/>
        <v>0</v>
      </c>
      <c r="AR481" s="686">
        <f t="shared" si="30"/>
        <v>0</v>
      </c>
      <c r="AS481" s="190"/>
      <c r="AT481" s="462"/>
      <c r="AU481" s="462"/>
      <c r="AV481" s="462"/>
      <c r="AW481" s="194"/>
      <c r="AX481" s="169"/>
    </row>
    <row r="482" spans="32:50" ht="12" customHeight="1">
      <c r="AF482" s="413" t="s">
        <v>1333</v>
      </c>
      <c r="AL482" s="36"/>
      <c r="AM482" s="696" t="s">
        <v>1807</v>
      </c>
      <c r="AN482" s="702" t="s">
        <v>718</v>
      </c>
      <c r="AO482" s="189" t="s">
        <v>195</v>
      </c>
      <c r="AP482" s="686">
        <f t="shared" si="30"/>
        <v>0</v>
      </c>
      <c r="AQ482" s="686">
        <f t="shared" si="30"/>
        <v>0</v>
      </c>
      <c r="AR482" s="686">
        <f t="shared" si="30"/>
        <v>0</v>
      </c>
      <c r="AS482" s="190"/>
      <c r="AT482" s="462"/>
      <c r="AU482" s="462"/>
      <c r="AV482" s="462"/>
      <c r="AW482" s="194"/>
      <c r="AX482" s="169"/>
    </row>
    <row r="483" spans="32:50" ht="12" customHeight="1">
      <c r="AF483" s="413" t="s">
        <v>1334</v>
      </c>
      <c r="AL483" s="36"/>
      <c r="AM483" s="696" t="s">
        <v>1808</v>
      </c>
      <c r="AN483" s="703" t="s">
        <v>722</v>
      </c>
      <c r="AO483" s="189" t="s">
        <v>195</v>
      </c>
      <c r="AP483" s="686">
        <f t="shared" si="30"/>
        <v>0</v>
      </c>
      <c r="AQ483" s="686">
        <f t="shared" si="30"/>
        <v>0</v>
      </c>
      <c r="AR483" s="686">
        <f t="shared" si="30"/>
        <v>0</v>
      </c>
      <c r="AS483" s="190"/>
      <c r="AT483" s="462"/>
      <c r="AU483" s="462"/>
      <c r="AV483" s="462"/>
      <c r="AW483" s="194"/>
      <c r="AX483" s="169"/>
    </row>
    <row r="484" spans="32:50" ht="12" customHeight="1">
      <c r="AF484" s="413" t="s">
        <v>1335</v>
      </c>
      <c r="AL484" s="36"/>
      <c r="AM484" s="696" t="s">
        <v>1809</v>
      </c>
      <c r="AN484" s="704" t="s">
        <v>1309</v>
      </c>
      <c r="AO484" s="189" t="s">
        <v>195</v>
      </c>
      <c r="AP484" s="686">
        <f t="shared" si="30"/>
        <v>0</v>
      </c>
      <c r="AQ484" s="686">
        <f t="shared" si="30"/>
        <v>0</v>
      </c>
      <c r="AR484" s="686">
        <f t="shared" si="30"/>
        <v>0</v>
      </c>
      <c r="AS484" s="190"/>
      <c r="AT484" s="462"/>
      <c r="AU484" s="462"/>
      <c r="AV484" s="462"/>
      <c r="AW484" s="194"/>
      <c r="AX484" s="169"/>
    </row>
    <row r="485" spans="32:50" ht="12" customHeight="1">
      <c r="AF485" s="413" t="s">
        <v>1336</v>
      </c>
      <c r="AL485" s="36"/>
      <c r="AM485" s="696" t="s">
        <v>1810</v>
      </c>
      <c r="AN485" s="704" t="s">
        <v>1310</v>
      </c>
      <c r="AO485" s="189" t="s">
        <v>195</v>
      </c>
      <c r="AP485" s="686">
        <f t="shared" si="30"/>
        <v>0</v>
      </c>
      <c r="AQ485" s="686">
        <f t="shared" si="30"/>
        <v>0</v>
      </c>
      <c r="AR485" s="686">
        <f t="shared" si="30"/>
        <v>0</v>
      </c>
      <c r="AS485" s="190"/>
      <c r="AT485" s="462"/>
      <c r="AU485" s="462"/>
      <c r="AV485" s="462"/>
      <c r="AW485" s="194"/>
      <c r="AX485" s="169"/>
    </row>
    <row r="486" spans="32:50" ht="12" customHeight="1">
      <c r="AF486" s="413" t="s">
        <v>1337</v>
      </c>
      <c r="AL486" s="36"/>
      <c r="AM486" s="696" t="s">
        <v>1811</v>
      </c>
      <c r="AN486" s="704" t="s">
        <v>1311</v>
      </c>
      <c r="AO486" s="189" t="s">
        <v>195</v>
      </c>
      <c r="AP486" s="686">
        <f t="shared" si="30"/>
        <v>0</v>
      </c>
      <c r="AQ486" s="686">
        <f t="shared" si="30"/>
        <v>0</v>
      </c>
      <c r="AR486" s="686">
        <f t="shared" si="30"/>
        <v>0</v>
      </c>
      <c r="AS486" s="190"/>
      <c r="AT486" s="462"/>
      <c r="AU486" s="462"/>
      <c r="AV486" s="462"/>
      <c r="AW486" s="194"/>
      <c r="AX486" s="169"/>
    </row>
    <row r="487" spans="32:50" ht="12" customHeight="1">
      <c r="AF487" s="413" t="s">
        <v>1338</v>
      </c>
      <c r="AL487" s="36"/>
      <c r="AM487" s="696" t="s">
        <v>1812</v>
      </c>
      <c r="AN487" s="704" t="s">
        <v>1312</v>
      </c>
      <c r="AO487" s="189" t="s">
        <v>195</v>
      </c>
      <c r="AP487" s="686">
        <f t="shared" si="30"/>
        <v>0</v>
      </c>
      <c r="AQ487" s="686">
        <f t="shared" si="30"/>
        <v>0</v>
      </c>
      <c r="AR487" s="686">
        <f t="shared" si="30"/>
        <v>0</v>
      </c>
      <c r="AS487" s="190"/>
      <c r="AT487" s="462"/>
      <c r="AU487" s="462"/>
      <c r="AV487" s="462"/>
      <c r="AW487" s="194"/>
      <c r="AX487" s="169"/>
    </row>
    <row r="488" spans="32:50" ht="12" customHeight="1">
      <c r="AF488" s="413" t="s">
        <v>1343</v>
      </c>
      <c r="AL488" s="36"/>
      <c r="AM488" s="696" t="s">
        <v>1813</v>
      </c>
      <c r="AN488" s="705" t="s">
        <v>720</v>
      </c>
      <c r="AO488" s="189" t="s">
        <v>195</v>
      </c>
      <c r="AP488" s="686">
        <f t="shared" si="30"/>
        <v>0</v>
      </c>
      <c r="AQ488" s="686">
        <f t="shared" si="30"/>
        <v>0</v>
      </c>
      <c r="AR488" s="686">
        <f t="shared" si="30"/>
        <v>0</v>
      </c>
      <c r="AS488" s="190"/>
      <c r="AT488" s="462"/>
      <c r="AU488" s="462"/>
      <c r="AV488" s="462"/>
      <c r="AW488" s="194"/>
      <c r="AX488" s="169"/>
    </row>
    <row r="489" spans="32:50" ht="12" customHeight="1">
      <c r="AF489" s="413" t="s">
        <v>1866</v>
      </c>
      <c r="AL489" s="36"/>
      <c r="AM489" s="696" t="s">
        <v>1874</v>
      </c>
      <c r="AN489" s="706" t="s">
        <v>1313</v>
      </c>
      <c r="AO489" s="189" t="s">
        <v>195</v>
      </c>
      <c r="AP489" s="686">
        <f t="shared" si="30"/>
        <v>0</v>
      </c>
      <c r="AQ489" s="686">
        <f t="shared" si="30"/>
        <v>0</v>
      </c>
      <c r="AR489" s="686">
        <f t="shared" si="30"/>
        <v>0</v>
      </c>
      <c r="AS489" s="190"/>
      <c r="AT489" s="462"/>
      <c r="AU489" s="462"/>
      <c r="AV489" s="462"/>
      <c r="AW489" s="194"/>
      <c r="AX489" s="169"/>
    </row>
    <row r="490" spans="32:50" ht="12" customHeight="1">
      <c r="AF490" s="413" t="s">
        <v>1847</v>
      </c>
      <c r="AL490" s="36"/>
      <c r="AM490" s="696" t="s">
        <v>1855</v>
      </c>
      <c r="AN490" s="706" t="s">
        <v>1314</v>
      </c>
      <c r="AO490" s="189" t="s">
        <v>195</v>
      </c>
      <c r="AP490" s="686">
        <f t="shared" si="30"/>
        <v>0</v>
      </c>
      <c r="AQ490" s="686">
        <f t="shared" si="30"/>
        <v>0</v>
      </c>
      <c r="AR490" s="686">
        <f t="shared" si="30"/>
        <v>0</v>
      </c>
      <c r="AS490" s="190"/>
      <c r="AT490" s="462"/>
      <c r="AU490" s="462"/>
      <c r="AV490" s="462"/>
      <c r="AW490" s="194"/>
      <c r="AX490" s="169"/>
    </row>
    <row r="491" spans="32:50" ht="12" customHeight="1">
      <c r="AF491" s="413" t="s">
        <v>1827</v>
      </c>
      <c r="AL491" s="36"/>
      <c r="AM491" s="696" t="s">
        <v>1836</v>
      </c>
      <c r="AN491" s="706" t="s">
        <v>1315</v>
      </c>
      <c r="AO491" s="189" t="s">
        <v>195</v>
      </c>
      <c r="AP491" s="686">
        <f t="shared" si="30"/>
        <v>0</v>
      </c>
      <c r="AQ491" s="686">
        <f t="shared" si="30"/>
        <v>0</v>
      </c>
      <c r="AR491" s="686">
        <f t="shared" si="30"/>
        <v>0</v>
      </c>
      <c r="AS491" s="190"/>
      <c r="AT491" s="462"/>
      <c r="AU491" s="462"/>
      <c r="AV491" s="462"/>
      <c r="AW491" s="194"/>
      <c r="AX491" s="169"/>
    </row>
    <row r="492" spans="32:50" ht="12" customHeight="1">
      <c r="AF492" s="413" t="s">
        <v>1344</v>
      </c>
      <c r="AL492" s="36"/>
      <c r="AM492" s="696" t="s">
        <v>1814</v>
      </c>
      <c r="AN492" s="706" t="s">
        <v>1316</v>
      </c>
      <c r="AO492" s="189" t="s">
        <v>195</v>
      </c>
      <c r="AP492" s="686">
        <f t="shared" ref="AP492:AR513" si="31">SUMIF($AS$9:$AW$9,AP$9,$AS492:$AW492)</f>
        <v>0</v>
      </c>
      <c r="AQ492" s="686">
        <f t="shared" si="31"/>
        <v>0</v>
      </c>
      <c r="AR492" s="686">
        <f t="shared" si="31"/>
        <v>0</v>
      </c>
      <c r="AS492" s="190"/>
      <c r="AT492" s="462"/>
      <c r="AU492" s="462"/>
      <c r="AV492" s="462"/>
      <c r="AW492" s="194"/>
      <c r="AX492" s="169"/>
    </row>
    <row r="493" spans="32:50" ht="12" customHeight="1">
      <c r="AF493" s="413" t="s">
        <v>1345</v>
      </c>
      <c r="AL493" s="36"/>
      <c r="AM493" s="696" t="s">
        <v>1815</v>
      </c>
      <c r="AN493" s="706" t="s">
        <v>1317</v>
      </c>
      <c r="AO493" s="189" t="s">
        <v>195</v>
      </c>
      <c r="AP493" s="686">
        <f t="shared" si="31"/>
        <v>0</v>
      </c>
      <c r="AQ493" s="686">
        <f t="shared" si="31"/>
        <v>0</v>
      </c>
      <c r="AR493" s="686">
        <f t="shared" si="31"/>
        <v>0</v>
      </c>
      <c r="AS493" s="190"/>
      <c r="AT493" s="462"/>
      <c r="AU493" s="462"/>
      <c r="AV493" s="462"/>
      <c r="AW493" s="194"/>
      <c r="AX493" s="169"/>
    </row>
    <row r="494" spans="32:50" ht="12" customHeight="1">
      <c r="AF494" s="413" t="s">
        <v>1346</v>
      </c>
      <c r="AL494" s="36"/>
      <c r="AM494" s="696" t="s">
        <v>1816</v>
      </c>
      <c r="AN494" s="706" t="s">
        <v>1318</v>
      </c>
      <c r="AO494" s="189" t="s">
        <v>195</v>
      </c>
      <c r="AP494" s="686">
        <f t="shared" si="31"/>
        <v>0</v>
      </c>
      <c r="AQ494" s="686">
        <f t="shared" si="31"/>
        <v>0</v>
      </c>
      <c r="AR494" s="686">
        <f t="shared" si="31"/>
        <v>0</v>
      </c>
      <c r="AS494" s="190"/>
      <c r="AT494" s="462"/>
      <c r="AU494" s="462"/>
      <c r="AV494" s="462"/>
      <c r="AW494" s="194"/>
      <c r="AX494" s="169"/>
    </row>
    <row r="495" spans="32:50" ht="12" customHeight="1">
      <c r="AF495" s="413" t="s">
        <v>1347</v>
      </c>
      <c r="AL495" s="36"/>
      <c r="AM495" s="696" t="s">
        <v>1817</v>
      </c>
      <c r="AN495" s="707" t="s">
        <v>721</v>
      </c>
      <c r="AO495" s="189" t="s">
        <v>195</v>
      </c>
      <c r="AP495" s="686">
        <f t="shared" si="31"/>
        <v>0</v>
      </c>
      <c r="AQ495" s="686">
        <f t="shared" si="31"/>
        <v>0</v>
      </c>
      <c r="AR495" s="686">
        <f t="shared" si="31"/>
        <v>0</v>
      </c>
      <c r="AS495" s="190"/>
      <c r="AT495" s="462"/>
      <c r="AU495" s="462"/>
      <c r="AV495" s="462"/>
      <c r="AW495" s="194"/>
      <c r="AX495" s="169"/>
    </row>
    <row r="496" spans="32:50" ht="12" customHeight="1">
      <c r="AF496" s="413" t="s">
        <v>1348</v>
      </c>
      <c r="AL496" s="36"/>
      <c r="AM496" s="696" t="s">
        <v>1818</v>
      </c>
      <c r="AN496" s="708" t="s">
        <v>712</v>
      </c>
      <c r="AO496" s="189" t="s">
        <v>195</v>
      </c>
      <c r="AP496" s="686">
        <f t="shared" si="31"/>
        <v>0</v>
      </c>
      <c r="AQ496" s="686">
        <f t="shared" si="31"/>
        <v>0</v>
      </c>
      <c r="AR496" s="686">
        <f t="shared" si="31"/>
        <v>0</v>
      </c>
      <c r="AS496" s="190"/>
      <c r="AT496" s="462"/>
      <c r="AU496" s="462"/>
      <c r="AV496" s="462"/>
      <c r="AW496" s="194"/>
      <c r="AX496" s="169"/>
    </row>
    <row r="497" spans="32:50" ht="12" customHeight="1">
      <c r="AF497" s="413" t="s">
        <v>2612</v>
      </c>
      <c r="AL497" s="36"/>
      <c r="AM497" s="696" t="s">
        <v>2773</v>
      </c>
      <c r="AN497" s="709" t="s">
        <v>1319</v>
      </c>
      <c r="AO497" s="189" t="s">
        <v>195</v>
      </c>
      <c r="AP497" s="686">
        <f t="shared" si="31"/>
        <v>0</v>
      </c>
      <c r="AQ497" s="686">
        <f t="shared" si="31"/>
        <v>0</v>
      </c>
      <c r="AR497" s="686">
        <f t="shared" si="31"/>
        <v>0</v>
      </c>
      <c r="AS497" s="190"/>
      <c r="AT497" s="462"/>
      <c r="AU497" s="462"/>
      <c r="AV497" s="462"/>
      <c r="AW497" s="194"/>
      <c r="AX497" s="169"/>
    </row>
    <row r="498" spans="32:50" ht="12" customHeight="1">
      <c r="AF498" s="413" t="s">
        <v>2614</v>
      </c>
      <c r="AL498" s="36"/>
      <c r="AM498" s="696" t="s">
        <v>2774</v>
      </c>
      <c r="AN498" s="709" t="s">
        <v>1320</v>
      </c>
      <c r="AO498" s="189" t="s">
        <v>195</v>
      </c>
      <c r="AP498" s="686">
        <f t="shared" si="31"/>
        <v>0</v>
      </c>
      <c r="AQ498" s="686">
        <f t="shared" si="31"/>
        <v>0</v>
      </c>
      <c r="AR498" s="686">
        <f t="shared" si="31"/>
        <v>0</v>
      </c>
      <c r="AS498" s="190"/>
      <c r="AT498" s="462"/>
      <c r="AU498" s="462"/>
      <c r="AV498" s="462"/>
      <c r="AW498" s="194"/>
      <c r="AX498" s="169"/>
    </row>
    <row r="499" spans="32:50" ht="12" customHeight="1">
      <c r="AF499" s="413" t="s">
        <v>2616</v>
      </c>
      <c r="AL499" s="36"/>
      <c r="AM499" s="696" t="s">
        <v>2775</v>
      </c>
      <c r="AN499" s="709" t="s">
        <v>1321</v>
      </c>
      <c r="AO499" s="189" t="s">
        <v>195</v>
      </c>
      <c r="AP499" s="686">
        <f t="shared" si="31"/>
        <v>0</v>
      </c>
      <c r="AQ499" s="686">
        <f t="shared" si="31"/>
        <v>0</v>
      </c>
      <c r="AR499" s="686">
        <f t="shared" si="31"/>
        <v>0</v>
      </c>
      <c r="AS499" s="190"/>
      <c r="AT499" s="462"/>
      <c r="AU499" s="462"/>
      <c r="AV499" s="462"/>
      <c r="AW499" s="194"/>
      <c r="AX499" s="169"/>
    </row>
    <row r="500" spans="32:50" ht="12" customHeight="1">
      <c r="AF500" s="413" t="s">
        <v>2619</v>
      </c>
      <c r="AL500" s="36"/>
      <c r="AM500" s="696" t="s">
        <v>2776</v>
      </c>
      <c r="AN500" s="709" t="s">
        <v>2618</v>
      </c>
      <c r="AO500" s="189" t="s">
        <v>195</v>
      </c>
      <c r="AP500" s="686">
        <f t="shared" si="31"/>
        <v>0</v>
      </c>
      <c r="AQ500" s="686">
        <f t="shared" si="31"/>
        <v>0</v>
      </c>
      <c r="AR500" s="686">
        <f t="shared" si="31"/>
        <v>0</v>
      </c>
      <c r="AS500" s="190"/>
      <c r="AT500" s="462"/>
      <c r="AU500" s="462"/>
      <c r="AV500" s="462"/>
      <c r="AW500" s="194"/>
      <c r="AX500" s="169"/>
    </row>
    <row r="501" spans="32:50" ht="12" customHeight="1">
      <c r="AF501" s="413" t="s">
        <v>2622</v>
      </c>
      <c r="AL501" s="36"/>
      <c r="AM501" s="696" t="s">
        <v>2777</v>
      </c>
      <c r="AN501" s="709" t="s">
        <v>2621</v>
      </c>
      <c r="AO501" s="189" t="s">
        <v>195</v>
      </c>
      <c r="AP501" s="686">
        <f t="shared" si="31"/>
        <v>0</v>
      </c>
      <c r="AQ501" s="686">
        <f t="shared" si="31"/>
        <v>0</v>
      </c>
      <c r="AR501" s="686">
        <f t="shared" si="31"/>
        <v>0</v>
      </c>
      <c r="AS501" s="190"/>
      <c r="AT501" s="462"/>
      <c r="AU501" s="462"/>
      <c r="AV501" s="462"/>
      <c r="AW501" s="194"/>
      <c r="AX501" s="169"/>
    </row>
    <row r="502" spans="32:50" ht="12" customHeight="1">
      <c r="AF502" s="413" t="s">
        <v>2624</v>
      </c>
      <c r="AL502" s="36"/>
      <c r="AM502" s="696" t="s">
        <v>2778</v>
      </c>
      <c r="AN502" s="709" t="s">
        <v>1322</v>
      </c>
      <c r="AO502" s="189" t="s">
        <v>195</v>
      </c>
      <c r="AP502" s="686">
        <f t="shared" si="31"/>
        <v>0</v>
      </c>
      <c r="AQ502" s="686">
        <f t="shared" si="31"/>
        <v>0</v>
      </c>
      <c r="AR502" s="686">
        <f t="shared" si="31"/>
        <v>0</v>
      </c>
      <c r="AS502" s="190"/>
      <c r="AT502" s="462"/>
      <c r="AU502" s="462"/>
      <c r="AV502" s="462"/>
      <c r="AW502" s="194"/>
      <c r="AX502" s="169"/>
    </row>
    <row r="503" spans="32:50" ht="12" customHeight="1">
      <c r="AF503" s="413" t="s">
        <v>2627</v>
      </c>
      <c r="AL503" s="36"/>
      <c r="AM503" s="696" t="s">
        <v>2779</v>
      </c>
      <c r="AN503" s="709" t="s">
        <v>2626</v>
      </c>
      <c r="AO503" s="189" t="s">
        <v>195</v>
      </c>
      <c r="AP503" s="686">
        <f t="shared" si="31"/>
        <v>0</v>
      </c>
      <c r="AQ503" s="686">
        <f t="shared" si="31"/>
        <v>0</v>
      </c>
      <c r="AR503" s="686">
        <f t="shared" si="31"/>
        <v>0</v>
      </c>
      <c r="AS503" s="190"/>
      <c r="AT503" s="462"/>
      <c r="AU503" s="462"/>
      <c r="AV503" s="462"/>
      <c r="AW503" s="194"/>
      <c r="AX503" s="169"/>
    </row>
    <row r="504" spans="32:50" ht="12" customHeight="1">
      <c r="AF504" s="413" t="s">
        <v>2629</v>
      </c>
      <c r="AL504" s="36"/>
      <c r="AM504" s="696" t="s">
        <v>2780</v>
      </c>
      <c r="AN504" s="709" t="s">
        <v>1323</v>
      </c>
      <c r="AO504" s="189" t="s">
        <v>195</v>
      </c>
      <c r="AP504" s="686">
        <f t="shared" si="31"/>
        <v>0</v>
      </c>
      <c r="AQ504" s="686">
        <f t="shared" si="31"/>
        <v>0</v>
      </c>
      <c r="AR504" s="686">
        <f t="shared" si="31"/>
        <v>0</v>
      </c>
      <c r="AS504" s="190"/>
      <c r="AT504" s="462"/>
      <c r="AU504" s="462"/>
      <c r="AV504" s="462"/>
      <c r="AW504" s="194"/>
      <c r="AX504" s="169"/>
    </row>
    <row r="505" spans="32:50" ht="12" customHeight="1">
      <c r="AF505" s="413" t="s">
        <v>2631</v>
      </c>
      <c r="AL505" s="36"/>
      <c r="AM505" s="696" t="s">
        <v>2781</v>
      </c>
      <c r="AN505" s="709" t="s">
        <v>1324</v>
      </c>
      <c r="AO505" s="189" t="s">
        <v>195</v>
      </c>
      <c r="AP505" s="686">
        <f t="shared" si="31"/>
        <v>0</v>
      </c>
      <c r="AQ505" s="686">
        <f t="shared" si="31"/>
        <v>0</v>
      </c>
      <c r="AR505" s="686">
        <f t="shared" si="31"/>
        <v>0</v>
      </c>
      <c r="AS505" s="190"/>
      <c r="AT505" s="462"/>
      <c r="AU505" s="462"/>
      <c r="AV505" s="462"/>
      <c r="AW505" s="194"/>
      <c r="AX505" s="169"/>
    </row>
    <row r="506" spans="32:50" ht="12" customHeight="1">
      <c r="AF506" s="413" t="s">
        <v>2634</v>
      </c>
      <c r="AL506" s="36"/>
      <c r="AM506" s="696" t="s">
        <v>2782</v>
      </c>
      <c r="AN506" s="709" t="s">
        <v>2633</v>
      </c>
      <c r="AO506" s="189" t="s">
        <v>195</v>
      </c>
      <c r="AP506" s="686">
        <f t="shared" si="31"/>
        <v>0</v>
      </c>
      <c r="AQ506" s="686">
        <f t="shared" si="31"/>
        <v>0</v>
      </c>
      <c r="AR506" s="686">
        <f t="shared" si="31"/>
        <v>0</v>
      </c>
      <c r="AS506" s="190"/>
      <c r="AT506" s="462"/>
      <c r="AU506" s="462"/>
      <c r="AV506" s="462"/>
      <c r="AW506" s="194"/>
      <c r="AX506" s="169"/>
    </row>
    <row r="507" spans="32:50" ht="12" customHeight="1">
      <c r="AF507" s="413" t="s">
        <v>2637</v>
      </c>
      <c r="AL507" s="36"/>
      <c r="AM507" s="696" t="s">
        <v>2783</v>
      </c>
      <c r="AN507" s="709" t="s">
        <v>2636</v>
      </c>
      <c r="AO507" s="189" t="s">
        <v>195</v>
      </c>
      <c r="AP507" s="686">
        <f t="shared" si="31"/>
        <v>0</v>
      </c>
      <c r="AQ507" s="686">
        <f t="shared" si="31"/>
        <v>0</v>
      </c>
      <c r="AR507" s="686">
        <f t="shared" si="31"/>
        <v>0</v>
      </c>
      <c r="AS507" s="190"/>
      <c r="AT507" s="462"/>
      <c r="AU507" s="462"/>
      <c r="AV507" s="462"/>
      <c r="AW507" s="194"/>
      <c r="AX507" s="169"/>
    </row>
    <row r="508" spans="32:50" ht="12" customHeight="1">
      <c r="AF508" s="413" t="s">
        <v>2640</v>
      </c>
      <c r="AL508" s="36"/>
      <c r="AM508" s="696" t="s">
        <v>2784</v>
      </c>
      <c r="AN508" s="709" t="s">
        <v>2639</v>
      </c>
      <c r="AO508" s="189" t="s">
        <v>195</v>
      </c>
      <c r="AP508" s="686">
        <f t="shared" si="31"/>
        <v>0</v>
      </c>
      <c r="AQ508" s="686">
        <f t="shared" si="31"/>
        <v>0</v>
      </c>
      <c r="AR508" s="686">
        <f t="shared" si="31"/>
        <v>0</v>
      </c>
      <c r="AS508" s="190"/>
      <c r="AT508" s="462"/>
      <c r="AU508" s="462"/>
      <c r="AV508" s="462"/>
      <c r="AW508" s="194"/>
      <c r="AX508" s="169"/>
    </row>
    <row r="509" spans="32:50" ht="12" customHeight="1">
      <c r="AF509" s="413" t="s">
        <v>2643</v>
      </c>
      <c r="AL509" s="36"/>
      <c r="AM509" s="696" t="s">
        <v>2785</v>
      </c>
      <c r="AN509" s="709" t="s">
        <v>2642</v>
      </c>
      <c r="AO509" s="189" t="s">
        <v>195</v>
      </c>
      <c r="AP509" s="686">
        <f t="shared" si="31"/>
        <v>0</v>
      </c>
      <c r="AQ509" s="686">
        <f t="shared" si="31"/>
        <v>0</v>
      </c>
      <c r="AR509" s="686">
        <f t="shared" si="31"/>
        <v>0</v>
      </c>
      <c r="AS509" s="190"/>
      <c r="AT509" s="462"/>
      <c r="AU509" s="462"/>
      <c r="AV509" s="462"/>
      <c r="AW509" s="194"/>
      <c r="AX509" s="169"/>
    </row>
    <row r="510" spans="32:50" ht="12" customHeight="1">
      <c r="AF510" s="413" t="s">
        <v>2646</v>
      </c>
      <c r="AL510" s="36"/>
      <c r="AM510" s="696" t="s">
        <v>2786</v>
      </c>
      <c r="AN510" s="709" t="s">
        <v>2645</v>
      </c>
      <c r="AO510" s="189" t="s">
        <v>195</v>
      </c>
      <c r="AP510" s="686">
        <f t="shared" si="31"/>
        <v>0</v>
      </c>
      <c r="AQ510" s="686">
        <f t="shared" si="31"/>
        <v>0</v>
      </c>
      <c r="AR510" s="686">
        <f t="shared" si="31"/>
        <v>0</v>
      </c>
      <c r="AS510" s="190"/>
      <c r="AT510" s="462"/>
      <c r="AU510" s="462"/>
      <c r="AV510" s="462"/>
      <c r="AW510" s="194"/>
      <c r="AX510" s="169"/>
    </row>
    <row r="511" spans="32:50" ht="12" customHeight="1">
      <c r="AF511" s="413" t="s">
        <v>2648</v>
      </c>
      <c r="AL511" s="36"/>
      <c r="AM511" s="696" t="s">
        <v>2787</v>
      </c>
      <c r="AN511" s="709" t="s">
        <v>1325</v>
      </c>
      <c r="AO511" s="189" t="s">
        <v>195</v>
      </c>
      <c r="AP511" s="686">
        <f t="shared" si="31"/>
        <v>0</v>
      </c>
      <c r="AQ511" s="686">
        <f t="shared" si="31"/>
        <v>0</v>
      </c>
      <c r="AR511" s="686">
        <f t="shared" si="31"/>
        <v>0</v>
      </c>
      <c r="AS511" s="190"/>
      <c r="AT511" s="462"/>
      <c r="AU511" s="462"/>
      <c r="AV511" s="462"/>
      <c r="AW511" s="194"/>
      <c r="AX511" s="169"/>
    </row>
    <row r="512" spans="32:50" ht="12" customHeight="1">
      <c r="AF512" s="413" t="s">
        <v>2650</v>
      </c>
      <c r="AL512" s="36"/>
      <c r="AM512" s="696" t="s">
        <v>2788</v>
      </c>
      <c r="AN512" s="709" t="s">
        <v>1326</v>
      </c>
      <c r="AO512" s="189" t="s">
        <v>195</v>
      </c>
      <c r="AP512" s="686">
        <f t="shared" si="31"/>
        <v>0</v>
      </c>
      <c r="AQ512" s="686">
        <f t="shared" si="31"/>
        <v>0</v>
      </c>
      <c r="AR512" s="686">
        <f t="shared" si="31"/>
        <v>0</v>
      </c>
      <c r="AS512" s="190"/>
      <c r="AT512" s="462"/>
      <c r="AU512" s="462"/>
      <c r="AV512" s="462"/>
      <c r="AW512" s="194"/>
      <c r="AX512" s="169"/>
    </row>
    <row r="513" spans="32:50" ht="12" customHeight="1">
      <c r="AF513" s="413" t="s">
        <v>2653</v>
      </c>
      <c r="AL513" s="36"/>
      <c r="AM513" s="696" t="s">
        <v>2789</v>
      </c>
      <c r="AN513" s="709" t="s">
        <v>2652</v>
      </c>
      <c r="AO513" s="189" t="s">
        <v>195</v>
      </c>
      <c r="AP513" s="686">
        <f t="shared" si="31"/>
        <v>0</v>
      </c>
      <c r="AQ513" s="686">
        <f t="shared" si="31"/>
        <v>0</v>
      </c>
      <c r="AR513" s="686">
        <f t="shared" si="31"/>
        <v>0</v>
      </c>
      <c r="AS513" s="190"/>
      <c r="AT513" s="462"/>
      <c r="AU513" s="462"/>
      <c r="AV513" s="462"/>
      <c r="AW513" s="194"/>
      <c r="AX513" s="169"/>
    </row>
    <row r="514" spans="32:50" ht="0.75" hidden="1" customHeight="1">
      <c r="AF514" s="413"/>
      <c r="AL514" s="36"/>
      <c r="AM514" s="718"/>
      <c r="AN514" s="460"/>
      <c r="AO514" s="461"/>
      <c r="AP514" s="462"/>
      <c r="AQ514" s="462"/>
      <c r="AR514" s="462"/>
      <c r="AS514" s="190"/>
      <c r="AT514" s="462"/>
      <c r="AU514" s="462"/>
      <c r="AV514" s="462"/>
      <c r="AW514" s="194"/>
      <c r="AX514" s="169"/>
    </row>
    <row r="515" spans="32:50" ht="0.75" hidden="1" customHeight="1">
      <c r="AF515" s="413"/>
      <c r="AL515" s="36"/>
      <c r="AM515" s="718"/>
      <c r="AN515" s="460"/>
      <c r="AO515" s="461"/>
      <c r="AP515" s="462"/>
      <c r="AQ515" s="462"/>
      <c r="AR515" s="462"/>
      <c r="AS515" s="190"/>
      <c r="AT515" s="462"/>
      <c r="AU515" s="462"/>
      <c r="AV515" s="462"/>
      <c r="AW515" s="194"/>
      <c r="AX515" s="169"/>
    </row>
    <row r="516" spans="32:50" ht="12" customHeight="1">
      <c r="AF516" s="413" t="s">
        <v>1357</v>
      </c>
      <c r="AL516" s="36"/>
      <c r="AM516" s="696" t="s">
        <v>1819</v>
      </c>
      <c r="AN516" s="719" t="s">
        <v>1327</v>
      </c>
      <c r="AO516" s="189" t="s">
        <v>195</v>
      </c>
      <c r="AP516" s="686">
        <f t="shared" ref="AP516:AR522" si="32">SUMIF($AS$9:$AW$9,AP$9,$AS516:$AW516)</f>
        <v>0</v>
      </c>
      <c r="AQ516" s="686">
        <f t="shared" si="32"/>
        <v>0</v>
      </c>
      <c r="AR516" s="686">
        <f t="shared" si="32"/>
        <v>0</v>
      </c>
      <c r="AS516" s="190"/>
      <c r="AT516" s="462"/>
      <c r="AU516" s="462"/>
      <c r="AV516" s="462"/>
      <c r="AW516" s="194"/>
      <c r="AX516" s="169"/>
    </row>
    <row r="517" spans="32:50" ht="12" customHeight="1">
      <c r="AF517" s="413" t="s">
        <v>1350</v>
      </c>
      <c r="AL517" s="36"/>
      <c r="AM517" s="696" t="s">
        <v>1820</v>
      </c>
      <c r="AN517" s="712" t="s">
        <v>723</v>
      </c>
      <c r="AO517" s="189" t="s">
        <v>195</v>
      </c>
      <c r="AP517" s="686">
        <f t="shared" si="32"/>
        <v>0</v>
      </c>
      <c r="AQ517" s="686">
        <f t="shared" si="32"/>
        <v>0</v>
      </c>
      <c r="AR517" s="686">
        <f t="shared" si="32"/>
        <v>0</v>
      </c>
      <c r="AS517" s="190"/>
      <c r="AT517" s="462"/>
      <c r="AU517" s="462"/>
      <c r="AV517" s="462"/>
      <c r="AW517" s="194"/>
      <c r="AX517" s="169"/>
    </row>
    <row r="518" spans="32:50" ht="12" customHeight="1">
      <c r="AF518" s="413" t="s">
        <v>1351</v>
      </c>
      <c r="AL518" s="36"/>
      <c r="AM518" s="696" t="s">
        <v>1821</v>
      </c>
      <c r="AN518" s="713" t="s">
        <v>748</v>
      </c>
      <c r="AO518" s="189" t="s">
        <v>195</v>
      </c>
      <c r="AP518" s="686">
        <f t="shared" si="32"/>
        <v>0</v>
      </c>
      <c r="AQ518" s="686">
        <f t="shared" si="32"/>
        <v>0</v>
      </c>
      <c r="AR518" s="686">
        <f t="shared" si="32"/>
        <v>0</v>
      </c>
      <c r="AS518" s="190"/>
      <c r="AT518" s="462"/>
      <c r="AU518" s="462"/>
      <c r="AV518" s="462"/>
      <c r="AW518" s="194"/>
      <c r="AX518" s="169"/>
    </row>
    <row r="519" spans="32:50" ht="12" customHeight="1">
      <c r="AF519" s="413" t="s">
        <v>1352</v>
      </c>
      <c r="AL519" s="36"/>
      <c r="AM519" s="696" t="s">
        <v>1822</v>
      </c>
      <c r="AN519" s="714" t="s">
        <v>315</v>
      </c>
      <c r="AO519" s="189" t="s">
        <v>195</v>
      </c>
      <c r="AP519" s="686">
        <f t="shared" si="32"/>
        <v>0</v>
      </c>
      <c r="AQ519" s="686">
        <f t="shared" si="32"/>
        <v>0</v>
      </c>
      <c r="AR519" s="686">
        <f t="shared" si="32"/>
        <v>0</v>
      </c>
      <c r="AS519" s="190"/>
      <c r="AT519" s="462"/>
      <c r="AU519" s="462"/>
      <c r="AV519" s="462"/>
      <c r="AW519" s="194"/>
      <c r="AX519" s="169"/>
    </row>
    <row r="520" spans="32:50" ht="12" customHeight="1">
      <c r="AF520" s="413" t="s">
        <v>1354</v>
      </c>
      <c r="AL520" s="36"/>
      <c r="AM520" s="696" t="s">
        <v>1823</v>
      </c>
      <c r="AN520" s="715" t="s">
        <v>316</v>
      </c>
      <c r="AO520" s="189" t="s">
        <v>195</v>
      </c>
      <c r="AP520" s="686">
        <f t="shared" si="32"/>
        <v>0</v>
      </c>
      <c r="AQ520" s="686">
        <f t="shared" si="32"/>
        <v>0</v>
      </c>
      <c r="AR520" s="686">
        <f t="shared" si="32"/>
        <v>0</v>
      </c>
      <c r="AS520" s="190"/>
      <c r="AT520" s="462"/>
      <c r="AU520" s="462"/>
      <c r="AV520" s="462"/>
      <c r="AW520" s="194"/>
      <c r="AX520" s="169"/>
    </row>
    <row r="521" spans="32:50" ht="12" customHeight="1">
      <c r="AF521" s="413" t="s">
        <v>1353</v>
      </c>
      <c r="AL521" s="36"/>
      <c r="AM521" s="696" t="s">
        <v>1824</v>
      </c>
      <c r="AN521" s="716" t="s">
        <v>317</v>
      </c>
      <c r="AO521" s="189" t="s">
        <v>195</v>
      </c>
      <c r="AP521" s="686">
        <f t="shared" si="32"/>
        <v>0</v>
      </c>
      <c r="AQ521" s="686">
        <f t="shared" si="32"/>
        <v>0</v>
      </c>
      <c r="AR521" s="686">
        <f t="shared" si="32"/>
        <v>0</v>
      </c>
      <c r="AS521" s="190"/>
      <c r="AT521" s="462"/>
      <c r="AU521" s="462"/>
      <c r="AV521" s="462"/>
      <c r="AW521" s="194"/>
      <c r="AX521" s="169"/>
    </row>
    <row r="522" spans="32:50" ht="12" customHeight="1">
      <c r="AF522" s="413" t="s">
        <v>1355</v>
      </c>
      <c r="AL522" s="36"/>
      <c r="AM522" s="696" t="s">
        <v>1825</v>
      </c>
      <c r="AN522" s="701" t="s">
        <v>318</v>
      </c>
      <c r="AO522" s="189" t="s">
        <v>195</v>
      </c>
      <c r="AP522" s="686">
        <f t="shared" si="32"/>
        <v>0</v>
      </c>
      <c r="AQ522" s="686">
        <f t="shared" si="32"/>
        <v>0</v>
      </c>
      <c r="AR522" s="686">
        <f t="shared" si="32"/>
        <v>0</v>
      </c>
      <c r="AS522" s="190"/>
      <c r="AT522" s="462"/>
      <c r="AU522" s="462"/>
      <c r="AV522" s="462"/>
      <c r="AW522" s="194"/>
      <c r="AX522" s="169"/>
    </row>
    <row r="523" spans="32:50" ht="0.75" hidden="1" customHeight="1">
      <c r="AF523" s="413"/>
      <c r="AL523" s="36"/>
      <c r="AM523" s="718"/>
      <c r="AN523" s="460"/>
      <c r="AO523" s="461"/>
      <c r="AP523" s="462"/>
      <c r="AQ523" s="462"/>
      <c r="AR523" s="462"/>
      <c r="AS523" s="190"/>
      <c r="AT523" s="462"/>
      <c r="AU523" s="462"/>
      <c r="AV523" s="462"/>
      <c r="AW523" s="194"/>
      <c r="AX523" s="169"/>
    </row>
    <row r="524" spans="32:50" ht="0.75" hidden="1" customHeight="1">
      <c r="AF524" s="115"/>
      <c r="AL524" s="36"/>
      <c r="AM524" s="492"/>
      <c r="AN524" s="464"/>
      <c r="AO524" s="189"/>
      <c r="AP524" s="195"/>
      <c r="AQ524" s="195"/>
      <c r="AR524" s="195"/>
      <c r="AS524" s="190"/>
      <c r="AT524" s="241"/>
      <c r="AU524" s="241"/>
      <c r="AV524" s="241"/>
      <c r="AW524" s="194"/>
      <c r="AX524" s="169"/>
    </row>
    <row r="525" spans="32:50" ht="22.5" customHeight="1">
      <c r="AF525" s="115"/>
      <c r="AL525" s="36"/>
      <c r="AM525" s="490"/>
      <c r="AN525" s="463" t="s">
        <v>762</v>
      </c>
      <c r="AO525" s="164"/>
      <c r="AP525" s="195"/>
      <c r="AQ525" s="195"/>
      <c r="AR525" s="195"/>
      <c r="AS525" s="190"/>
      <c r="AT525" s="241"/>
      <c r="AU525" s="241"/>
      <c r="AV525" s="241"/>
      <c r="AW525" s="194"/>
      <c r="AX525" s="169"/>
    </row>
    <row r="526" spans="32:50" ht="0.75" hidden="1" customHeight="1">
      <c r="AF526" s="115"/>
      <c r="AL526" s="36"/>
      <c r="AM526" s="493"/>
      <c r="AN526" s="457"/>
      <c r="AO526" s="189"/>
      <c r="AP526" s="195"/>
      <c r="AQ526" s="195"/>
      <c r="AR526" s="195"/>
      <c r="AS526" s="190"/>
      <c r="AT526" s="462"/>
      <c r="AU526" s="462"/>
      <c r="AV526" s="462"/>
      <c r="AW526" s="194"/>
      <c r="AX526" s="169"/>
    </row>
    <row r="527" spans="32:50" ht="24" customHeight="1">
      <c r="AF527" s="413"/>
      <c r="AL527" s="36"/>
      <c r="AM527" s="490" t="s">
        <v>673</v>
      </c>
      <c r="AN527" s="463" t="s">
        <v>644</v>
      </c>
      <c r="AO527" s="189"/>
      <c r="AP527" s="195"/>
      <c r="AQ527" s="195"/>
      <c r="AR527" s="195"/>
      <c r="AS527" s="190"/>
      <c r="AT527" s="462"/>
      <c r="AU527" s="462"/>
      <c r="AV527" s="462"/>
      <c r="AW527" s="194"/>
      <c r="AX527" s="169"/>
    </row>
    <row r="528" spans="32:50" ht="12" customHeight="1">
      <c r="AF528" s="413" t="s">
        <v>1329</v>
      </c>
      <c r="AL528" s="36"/>
      <c r="AM528" s="720" t="str">
        <f>AM527 &amp; ".1"</f>
        <v>4.0.3.1.1.1.1</v>
      </c>
      <c r="AN528" s="458" t="s">
        <v>1369</v>
      </c>
      <c r="AO528" s="189" t="s">
        <v>506</v>
      </c>
      <c r="AP528" s="686">
        <f t="shared" ref="AP528:AR534" si="33">IF(AP402=0,0,AP544/AP402*1000)</f>
        <v>0</v>
      </c>
      <c r="AQ528" s="686">
        <f t="shared" si="33"/>
        <v>0</v>
      </c>
      <c r="AR528" s="686">
        <f t="shared" si="33"/>
        <v>0</v>
      </c>
      <c r="AS528" s="190"/>
      <c r="AT528" s="754">
        <f>IF(AT402=0,0,AT544/AT402*1000)</f>
        <v>0</v>
      </c>
      <c r="AU528" s="196"/>
      <c r="AV528" s="196"/>
      <c r="AW528" s="194"/>
      <c r="AX528" s="169"/>
    </row>
    <row r="529" spans="32:50" ht="12" customHeight="1">
      <c r="AF529" s="413" t="s">
        <v>1329</v>
      </c>
      <c r="AL529" s="36"/>
      <c r="AM529" s="720" t="str">
        <f>AM527 &amp; ".2"</f>
        <v>4.0.3.1.1.1.2</v>
      </c>
      <c r="AN529" s="458" t="s">
        <v>1370</v>
      </c>
      <c r="AO529" s="189" t="s">
        <v>506</v>
      </c>
      <c r="AP529" s="686">
        <f t="shared" si="33"/>
        <v>0</v>
      </c>
      <c r="AQ529" s="686">
        <f t="shared" si="33"/>
        <v>0</v>
      </c>
      <c r="AR529" s="686">
        <f t="shared" si="33"/>
        <v>0</v>
      </c>
      <c r="AS529" s="190"/>
      <c r="AT529" s="754">
        <f t="shared" ref="AT529:AT534" si="34">IF(AT403=0,0,AT545/AT403*1000)</f>
        <v>0</v>
      </c>
      <c r="AU529" s="196"/>
      <c r="AV529" s="196"/>
      <c r="AW529" s="194"/>
      <c r="AX529" s="169"/>
    </row>
    <row r="530" spans="32:50" ht="12" customHeight="1">
      <c r="AF530" s="413" t="s">
        <v>1329</v>
      </c>
      <c r="AL530" s="36"/>
      <c r="AM530" s="720" t="str">
        <f>AM527 &amp; ".3"</f>
        <v>4.0.3.1.1.1.3</v>
      </c>
      <c r="AN530" s="458" t="s">
        <v>1371</v>
      </c>
      <c r="AO530" s="189" t="s">
        <v>506</v>
      </c>
      <c r="AP530" s="686">
        <f t="shared" si="33"/>
        <v>0</v>
      </c>
      <c r="AQ530" s="686">
        <f t="shared" si="33"/>
        <v>0</v>
      </c>
      <c r="AR530" s="686">
        <f t="shared" si="33"/>
        <v>0</v>
      </c>
      <c r="AS530" s="190"/>
      <c r="AT530" s="754">
        <f t="shared" si="34"/>
        <v>0</v>
      </c>
      <c r="AU530" s="196"/>
      <c r="AV530" s="196"/>
      <c r="AW530" s="194"/>
      <c r="AX530" s="169"/>
    </row>
    <row r="531" spans="32:50" ht="12" customHeight="1">
      <c r="AF531" s="413" t="s">
        <v>1329</v>
      </c>
      <c r="AL531" s="36"/>
      <c r="AM531" s="720" t="str">
        <f>AM527 &amp; ".4"</f>
        <v>4.0.3.1.1.1.4</v>
      </c>
      <c r="AN531" s="458" t="s">
        <v>1372</v>
      </c>
      <c r="AO531" s="189" t="s">
        <v>506</v>
      </c>
      <c r="AP531" s="686">
        <f t="shared" si="33"/>
        <v>159.67000000000002</v>
      </c>
      <c r="AQ531" s="686">
        <f t="shared" si="33"/>
        <v>159.67000000000002</v>
      </c>
      <c r="AR531" s="686">
        <f t="shared" si="33"/>
        <v>159.67000000000002</v>
      </c>
      <c r="AS531" s="190"/>
      <c r="AT531" s="754">
        <f t="shared" si="34"/>
        <v>159.67000000000002</v>
      </c>
      <c r="AU531" s="196">
        <v>159.66999999999999</v>
      </c>
      <c r="AV531" s="196">
        <v>159.66999999999999</v>
      </c>
      <c r="AW531" s="194"/>
      <c r="AX531" s="169"/>
    </row>
    <row r="532" spans="32:50" ht="12" customHeight="1">
      <c r="AF532" s="413" t="s">
        <v>1329</v>
      </c>
      <c r="AL532" s="36"/>
      <c r="AM532" s="720" t="str">
        <f>AM527 &amp; ".5"</f>
        <v>4.0.3.1.1.1.5</v>
      </c>
      <c r="AN532" s="458" t="s">
        <v>1373</v>
      </c>
      <c r="AO532" s="189" t="s">
        <v>506</v>
      </c>
      <c r="AP532" s="686">
        <f t="shared" si="33"/>
        <v>0</v>
      </c>
      <c r="AQ532" s="686">
        <f t="shared" si="33"/>
        <v>0</v>
      </c>
      <c r="AR532" s="686">
        <f t="shared" si="33"/>
        <v>0</v>
      </c>
      <c r="AS532" s="190"/>
      <c r="AT532" s="754">
        <f t="shared" si="34"/>
        <v>0</v>
      </c>
      <c r="AU532" s="196"/>
      <c r="AV532" s="196"/>
      <c r="AW532" s="194"/>
      <c r="AX532" s="169"/>
    </row>
    <row r="533" spans="32:50" ht="12" customHeight="1">
      <c r="AF533" s="413" t="s">
        <v>1329</v>
      </c>
      <c r="AL533" s="36"/>
      <c r="AM533" s="720" t="str">
        <f>AM527 &amp; ".6"</f>
        <v>4.0.3.1.1.1.6</v>
      </c>
      <c r="AN533" s="458" t="s">
        <v>1374</v>
      </c>
      <c r="AO533" s="189" t="s">
        <v>506</v>
      </c>
      <c r="AP533" s="686">
        <f t="shared" si="33"/>
        <v>0</v>
      </c>
      <c r="AQ533" s="686">
        <f t="shared" si="33"/>
        <v>0</v>
      </c>
      <c r="AR533" s="686">
        <f t="shared" si="33"/>
        <v>0</v>
      </c>
      <c r="AS533" s="190"/>
      <c r="AT533" s="754">
        <f t="shared" si="34"/>
        <v>0</v>
      </c>
      <c r="AU533" s="196"/>
      <c r="AV533" s="196"/>
      <c r="AW533" s="194"/>
      <c r="AX533" s="169"/>
    </row>
    <row r="534" spans="32:50" ht="12" customHeight="1">
      <c r="AF534" s="413" t="s">
        <v>1329</v>
      </c>
      <c r="AL534" s="36"/>
      <c r="AM534" s="720" t="str">
        <f>AM527 &amp; ".7"</f>
        <v>4.0.3.1.1.1.7</v>
      </c>
      <c r="AN534" s="458" t="s">
        <v>1375</v>
      </c>
      <c r="AO534" s="189" t="s">
        <v>506</v>
      </c>
      <c r="AP534" s="686">
        <f t="shared" si="33"/>
        <v>0</v>
      </c>
      <c r="AQ534" s="686">
        <f t="shared" si="33"/>
        <v>0</v>
      </c>
      <c r="AR534" s="686">
        <f t="shared" si="33"/>
        <v>0</v>
      </c>
      <c r="AS534" s="190"/>
      <c r="AT534" s="754">
        <f t="shared" si="34"/>
        <v>0</v>
      </c>
      <c r="AU534" s="196"/>
      <c r="AV534" s="196"/>
      <c r="AW534" s="194"/>
      <c r="AX534" s="169"/>
    </row>
    <row r="535" spans="32:50" ht="24.75" customHeight="1">
      <c r="AF535" s="413"/>
      <c r="AL535" s="36"/>
      <c r="AM535" s="490" t="s">
        <v>674</v>
      </c>
      <c r="AN535" s="463" t="s">
        <v>645</v>
      </c>
      <c r="AO535" s="189"/>
      <c r="AP535" s="195"/>
      <c r="AQ535" s="195"/>
      <c r="AR535" s="195"/>
      <c r="AS535" s="190"/>
      <c r="AT535" s="462"/>
      <c r="AU535" s="462"/>
      <c r="AV535" s="462"/>
      <c r="AW535" s="194"/>
      <c r="AX535" s="169"/>
    </row>
    <row r="536" spans="32:50" ht="12" customHeight="1">
      <c r="AF536" s="413" t="s">
        <v>1329</v>
      </c>
      <c r="AL536" s="36"/>
      <c r="AM536" s="720" t="str">
        <f>AM535 &amp; ".1"</f>
        <v>4.0.3.1.1.2.1</v>
      </c>
      <c r="AN536" s="458" t="s">
        <v>1369</v>
      </c>
      <c r="AO536" s="189" t="s">
        <v>506</v>
      </c>
      <c r="AP536" s="686">
        <f t="shared" ref="AP536:AR542" si="35">IF(AP402=0,0,AP552/AP402*1000)</f>
        <v>0</v>
      </c>
      <c r="AQ536" s="686">
        <f t="shared" si="35"/>
        <v>0</v>
      </c>
      <c r="AR536" s="686">
        <f t="shared" si="35"/>
        <v>0</v>
      </c>
      <c r="AS536" s="190"/>
      <c r="AT536" s="754">
        <f t="shared" ref="AT536:AT542" si="36">IF(AT410=0,0,AT552/AT410*1000)</f>
        <v>0</v>
      </c>
      <c r="AU536" s="196"/>
      <c r="AV536" s="196"/>
      <c r="AW536" s="194"/>
      <c r="AX536" s="169"/>
    </row>
    <row r="537" spans="32:50" ht="12" customHeight="1">
      <c r="AF537" s="413" t="s">
        <v>1329</v>
      </c>
      <c r="AL537" s="36"/>
      <c r="AM537" s="720" t="str">
        <f>AM535 &amp; ".2"</f>
        <v>4.0.3.1.1.2.2</v>
      </c>
      <c r="AN537" s="458" t="s">
        <v>1370</v>
      </c>
      <c r="AO537" s="189" t="s">
        <v>506</v>
      </c>
      <c r="AP537" s="686">
        <f t="shared" si="35"/>
        <v>0</v>
      </c>
      <c r="AQ537" s="686">
        <f t="shared" si="35"/>
        <v>0</v>
      </c>
      <c r="AR537" s="686">
        <f t="shared" si="35"/>
        <v>0</v>
      </c>
      <c r="AS537" s="190"/>
      <c r="AT537" s="754">
        <f t="shared" si="36"/>
        <v>0</v>
      </c>
      <c r="AU537" s="196"/>
      <c r="AV537" s="196"/>
      <c r="AW537" s="194"/>
      <c r="AX537" s="169"/>
    </row>
    <row r="538" spans="32:50" ht="12" customHeight="1">
      <c r="AF538" s="413" t="s">
        <v>1329</v>
      </c>
      <c r="AL538" s="36"/>
      <c r="AM538" s="720" t="str">
        <f>AM535 &amp; ".3"</f>
        <v>4.0.3.1.1.2.3</v>
      </c>
      <c r="AN538" s="458" t="s">
        <v>1371</v>
      </c>
      <c r="AO538" s="189" t="s">
        <v>506</v>
      </c>
      <c r="AP538" s="686">
        <f t="shared" si="35"/>
        <v>0</v>
      </c>
      <c r="AQ538" s="686">
        <f t="shared" si="35"/>
        <v>0</v>
      </c>
      <c r="AR538" s="686">
        <f t="shared" si="35"/>
        <v>0</v>
      </c>
      <c r="AS538" s="190"/>
      <c r="AT538" s="754">
        <f t="shared" si="36"/>
        <v>0</v>
      </c>
      <c r="AU538" s="196"/>
      <c r="AV538" s="196"/>
      <c r="AW538" s="194"/>
      <c r="AX538" s="169"/>
    </row>
    <row r="539" spans="32:50" ht="12" customHeight="1">
      <c r="AF539" s="413" t="s">
        <v>1329</v>
      </c>
      <c r="AL539" s="36"/>
      <c r="AM539" s="720" t="str">
        <f>AM535 &amp; ".4"</f>
        <v>4.0.3.1.1.2.4</v>
      </c>
      <c r="AN539" s="458" t="s">
        <v>1372</v>
      </c>
      <c r="AO539" s="189" t="s">
        <v>506</v>
      </c>
      <c r="AP539" s="686">
        <f t="shared" si="35"/>
        <v>206.11</v>
      </c>
      <c r="AQ539" s="686">
        <f t="shared" si="35"/>
        <v>206.11</v>
      </c>
      <c r="AR539" s="686">
        <f t="shared" si="35"/>
        <v>206.11</v>
      </c>
      <c r="AS539" s="190"/>
      <c r="AT539" s="754">
        <f t="shared" si="36"/>
        <v>0</v>
      </c>
      <c r="AU539" s="196">
        <v>206.11</v>
      </c>
      <c r="AV539" s="196">
        <v>206.11</v>
      </c>
      <c r="AW539" s="194"/>
      <c r="AX539" s="169"/>
    </row>
    <row r="540" spans="32:50" ht="12" customHeight="1">
      <c r="AF540" s="413" t="s">
        <v>1329</v>
      </c>
      <c r="AL540" s="36"/>
      <c r="AM540" s="720" t="str">
        <f>AM535 &amp; ".5"</f>
        <v>4.0.3.1.1.2.5</v>
      </c>
      <c r="AN540" s="458" t="s">
        <v>1373</v>
      </c>
      <c r="AO540" s="189" t="s">
        <v>506</v>
      </c>
      <c r="AP540" s="686">
        <f t="shared" si="35"/>
        <v>0</v>
      </c>
      <c r="AQ540" s="686">
        <f t="shared" si="35"/>
        <v>0</v>
      </c>
      <c r="AR540" s="686">
        <f t="shared" si="35"/>
        <v>0</v>
      </c>
      <c r="AS540" s="190"/>
      <c r="AT540" s="754">
        <f t="shared" si="36"/>
        <v>0</v>
      </c>
      <c r="AU540" s="196"/>
      <c r="AV540" s="196"/>
      <c r="AW540" s="194"/>
      <c r="AX540" s="169"/>
    </row>
    <row r="541" spans="32:50" ht="12" customHeight="1">
      <c r="AF541" s="413" t="s">
        <v>1329</v>
      </c>
      <c r="AL541" s="36"/>
      <c r="AM541" s="720" t="str">
        <f>AM535 &amp; ".6"</f>
        <v>4.0.3.1.1.2.6</v>
      </c>
      <c r="AN541" s="458" t="s">
        <v>1374</v>
      </c>
      <c r="AO541" s="189" t="s">
        <v>506</v>
      </c>
      <c r="AP541" s="686">
        <f t="shared" si="35"/>
        <v>0</v>
      </c>
      <c r="AQ541" s="686">
        <f t="shared" si="35"/>
        <v>0</v>
      </c>
      <c r="AR541" s="686">
        <f t="shared" si="35"/>
        <v>0</v>
      </c>
      <c r="AS541" s="190"/>
      <c r="AT541" s="754">
        <f t="shared" si="36"/>
        <v>0</v>
      </c>
      <c r="AU541" s="196"/>
      <c r="AV541" s="196"/>
      <c r="AW541" s="194"/>
      <c r="AX541" s="169"/>
    </row>
    <row r="542" spans="32:50" ht="12" customHeight="1">
      <c r="AF542" s="413" t="s">
        <v>1329</v>
      </c>
      <c r="AL542" s="36"/>
      <c r="AM542" s="720" t="str">
        <f>AM535 &amp; ".7"</f>
        <v>4.0.3.1.1.2.7</v>
      </c>
      <c r="AN542" s="458" t="s">
        <v>1375</v>
      </c>
      <c r="AO542" s="189" t="s">
        <v>506</v>
      </c>
      <c r="AP542" s="686">
        <f t="shared" si="35"/>
        <v>0</v>
      </c>
      <c r="AQ542" s="686">
        <f t="shared" si="35"/>
        <v>0</v>
      </c>
      <c r="AR542" s="686">
        <f t="shared" si="35"/>
        <v>0</v>
      </c>
      <c r="AS542" s="190"/>
      <c r="AT542" s="754">
        <f t="shared" si="36"/>
        <v>0</v>
      </c>
      <c r="AU542" s="196"/>
      <c r="AV542" s="196"/>
      <c r="AW542" s="194"/>
      <c r="AX542" s="169"/>
    </row>
    <row r="543" spans="32:50" ht="24" customHeight="1">
      <c r="AF543" s="413" t="s">
        <v>1329</v>
      </c>
      <c r="AL543" s="36"/>
      <c r="AM543" s="490" t="s">
        <v>675</v>
      </c>
      <c r="AN543" s="463" t="s">
        <v>646</v>
      </c>
      <c r="AO543" s="189" t="s">
        <v>195</v>
      </c>
      <c r="AP543" s="686">
        <f t="shared" ref="AP543:AR559" si="37">SUMIF($AS$9:$AW$9,AP$9,$AS543:$AW543)</f>
        <v>163.91290028360385</v>
      </c>
      <c r="AQ543" s="686">
        <f t="shared" si="37"/>
        <v>81.956450141801923</v>
      </c>
      <c r="AR543" s="686">
        <f t="shared" si="37"/>
        <v>81.956450141801923</v>
      </c>
      <c r="AS543" s="190"/>
      <c r="AT543" s="183">
        <f t="shared" ref="AT543:AT559" si="38">AU543+AV543</f>
        <v>163.91290028360385</v>
      </c>
      <c r="AU543" s="183">
        <f>SUM(AU544:AU550)</f>
        <v>81.956450141801923</v>
      </c>
      <c r="AV543" s="183">
        <f>SUM(AV544:AV550)</f>
        <v>81.956450141801923</v>
      </c>
      <c r="AW543" s="194"/>
      <c r="AX543" s="169"/>
    </row>
    <row r="544" spans="32:50" ht="12" customHeight="1">
      <c r="AF544" s="413" t="s">
        <v>1329</v>
      </c>
      <c r="AL544" s="36"/>
      <c r="AM544" s="720" t="str">
        <f>AM543 &amp; ".1"</f>
        <v>4.0.3.1.1.3.1</v>
      </c>
      <c r="AN544" s="458" t="s">
        <v>1369</v>
      </c>
      <c r="AO544" s="189" t="s">
        <v>195</v>
      </c>
      <c r="AP544" s="686">
        <f t="shared" si="37"/>
        <v>0</v>
      </c>
      <c r="AQ544" s="686">
        <f t="shared" si="37"/>
        <v>0</v>
      </c>
      <c r="AR544" s="686">
        <f t="shared" si="37"/>
        <v>0</v>
      </c>
      <c r="AS544" s="190"/>
      <c r="AT544" s="183">
        <f t="shared" si="38"/>
        <v>0</v>
      </c>
      <c r="AU544" s="183">
        <f t="shared" ref="AU544:AV550" si="39">AU528*AU402/1000</f>
        <v>0</v>
      </c>
      <c r="AV544" s="183">
        <f t="shared" si="39"/>
        <v>0</v>
      </c>
      <c r="AW544" s="194"/>
      <c r="AX544" s="169"/>
    </row>
    <row r="545" spans="32:50" ht="12" customHeight="1">
      <c r="AF545" s="413" t="s">
        <v>1329</v>
      </c>
      <c r="AL545" s="36"/>
      <c r="AM545" s="720" t="str">
        <f>AM543 &amp; ".2"</f>
        <v>4.0.3.1.1.3.2</v>
      </c>
      <c r="AN545" s="458" t="s">
        <v>1370</v>
      </c>
      <c r="AO545" s="189" t="s">
        <v>195</v>
      </c>
      <c r="AP545" s="686">
        <f t="shared" si="37"/>
        <v>0</v>
      </c>
      <c r="AQ545" s="686">
        <f t="shared" si="37"/>
        <v>0</v>
      </c>
      <c r="AR545" s="686">
        <f t="shared" si="37"/>
        <v>0</v>
      </c>
      <c r="AS545" s="190"/>
      <c r="AT545" s="183">
        <f t="shared" si="38"/>
        <v>0</v>
      </c>
      <c r="AU545" s="183">
        <f t="shared" si="39"/>
        <v>0</v>
      </c>
      <c r="AV545" s="183">
        <f t="shared" si="39"/>
        <v>0</v>
      </c>
      <c r="AW545" s="194"/>
      <c r="AX545" s="169"/>
    </row>
    <row r="546" spans="32:50" ht="12" customHeight="1">
      <c r="AF546" s="413" t="s">
        <v>1329</v>
      </c>
      <c r="AL546" s="36"/>
      <c r="AM546" s="720" t="str">
        <f>AM543 &amp; ".3"</f>
        <v>4.0.3.1.1.3.3</v>
      </c>
      <c r="AN546" s="458" t="s">
        <v>1371</v>
      </c>
      <c r="AO546" s="189" t="s">
        <v>195</v>
      </c>
      <c r="AP546" s="686">
        <f t="shared" si="37"/>
        <v>0</v>
      </c>
      <c r="AQ546" s="686">
        <f t="shared" si="37"/>
        <v>0</v>
      </c>
      <c r="AR546" s="686">
        <f t="shared" si="37"/>
        <v>0</v>
      </c>
      <c r="AS546" s="190"/>
      <c r="AT546" s="183">
        <f t="shared" si="38"/>
        <v>0</v>
      </c>
      <c r="AU546" s="183">
        <f t="shared" si="39"/>
        <v>0</v>
      </c>
      <c r="AV546" s="183">
        <f t="shared" si="39"/>
        <v>0</v>
      </c>
      <c r="AW546" s="194"/>
      <c r="AX546" s="169"/>
    </row>
    <row r="547" spans="32:50" ht="12" customHeight="1">
      <c r="AF547" s="413" t="s">
        <v>1329</v>
      </c>
      <c r="AL547" s="36"/>
      <c r="AM547" s="720" t="str">
        <f>AM543 &amp; ".4"</f>
        <v>4.0.3.1.1.3.4</v>
      </c>
      <c r="AN547" s="458" t="s">
        <v>1372</v>
      </c>
      <c r="AO547" s="189" t="s">
        <v>195</v>
      </c>
      <c r="AP547" s="686">
        <f t="shared" si="37"/>
        <v>163.91290028360385</v>
      </c>
      <c r="AQ547" s="686">
        <f t="shared" si="37"/>
        <v>81.956450141801923</v>
      </c>
      <c r="AR547" s="686">
        <f t="shared" si="37"/>
        <v>81.956450141801923</v>
      </c>
      <c r="AS547" s="190"/>
      <c r="AT547" s="183">
        <f t="shared" si="38"/>
        <v>163.91290028360385</v>
      </c>
      <c r="AU547" s="183">
        <f t="shared" si="39"/>
        <v>81.956450141801923</v>
      </c>
      <c r="AV547" s="183">
        <f t="shared" si="39"/>
        <v>81.956450141801923</v>
      </c>
      <c r="AW547" s="194"/>
      <c r="AX547" s="169"/>
    </row>
    <row r="548" spans="32:50" ht="12" customHeight="1">
      <c r="AF548" s="413" t="s">
        <v>1329</v>
      </c>
      <c r="AL548" s="36"/>
      <c r="AM548" s="720" t="str">
        <f>AM543 &amp; ".5"</f>
        <v>4.0.3.1.1.3.5</v>
      </c>
      <c r="AN548" s="458" t="s">
        <v>1373</v>
      </c>
      <c r="AO548" s="189" t="s">
        <v>195</v>
      </c>
      <c r="AP548" s="686">
        <f t="shared" si="37"/>
        <v>0</v>
      </c>
      <c r="AQ548" s="686">
        <f t="shared" si="37"/>
        <v>0</v>
      </c>
      <c r="AR548" s="686">
        <f t="shared" si="37"/>
        <v>0</v>
      </c>
      <c r="AS548" s="190"/>
      <c r="AT548" s="183">
        <f t="shared" si="38"/>
        <v>0</v>
      </c>
      <c r="AU548" s="183">
        <f t="shared" si="39"/>
        <v>0</v>
      </c>
      <c r="AV548" s="183">
        <f t="shared" si="39"/>
        <v>0</v>
      </c>
      <c r="AW548" s="194"/>
      <c r="AX548" s="169"/>
    </row>
    <row r="549" spans="32:50" ht="12" customHeight="1">
      <c r="AF549" s="413" t="s">
        <v>1329</v>
      </c>
      <c r="AL549" s="36"/>
      <c r="AM549" s="720" t="str">
        <f>AM543 &amp; ".6"</f>
        <v>4.0.3.1.1.3.6</v>
      </c>
      <c r="AN549" s="458" t="s">
        <v>1374</v>
      </c>
      <c r="AO549" s="189" t="s">
        <v>195</v>
      </c>
      <c r="AP549" s="686">
        <f t="shared" si="37"/>
        <v>0</v>
      </c>
      <c r="AQ549" s="686">
        <f t="shared" si="37"/>
        <v>0</v>
      </c>
      <c r="AR549" s="686">
        <f t="shared" si="37"/>
        <v>0</v>
      </c>
      <c r="AS549" s="190"/>
      <c r="AT549" s="183">
        <f t="shared" si="38"/>
        <v>0</v>
      </c>
      <c r="AU549" s="183">
        <f t="shared" si="39"/>
        <v>0</v>
      </c>
      <c r="AV549" s="183">
        <f t="shared" si="39"/>
        <v>0</v>
      </c>
      <c r="AW549" s="194"/>
      <c r="AX549" s="169"/>
    </row>
    <row r="550" spans="32:50" ht="12" customHeight="1">
      <c r="AF550" s="413" t="s">
        <v>1329</v>
      </c>
      <c r="AL550" s="36"/>
      <c r="AM550" s="720" t="str">
        <f>AM543 &amp; ".7"</f>
        <v>4.0.3.1.1.3.7</v>
      </c>
      <c r="AN550" s="458" t="s">
        <v>1375</v>
      </c>
      <c r="AO550" s="189" t="s">
        <v>195</v>
      </c>
      <c r="AP550" s="686">
        <f t="shared" si="37"/>
        <v>0</v>
      </c>
      <c r="AQ550" s="686">
        <f t="shared" si="37"/>
        <v>0</v>
      </c>
      <c r="AR550" s="686">
        <f t="shared" si="37"/>
        <v>0</v>
      </c>
      <c r="AS550" s="190"/>
      <c r="AT550" s="183">
        <f t="shared" si="38"/>
        <v>0</v>
      </c>
      <c r="AU550" s="183">
        <f t="shared" si="39"/>
        <v>0</v>
      </c>
      <c r="AV550" s="183">
        <f t="shared" si="39"/>
        <v>0</v>
      </c>
      <c r="AW550" s="194"/>
      <c r="AX550" s="169"/>
    </row>
    <row r="551" spans="32:50" ht="24" customHeight="1">
      <c r="AF551" s="413" t="s">
        <v>1329</v>
      </c>
      <c r="AL551" s="36"/>
      <c r="AM551" s="490" t="s">
        <v>676</v>
      </c>
      <c r="AN551" s="463" t="s">
        <v>647</v>
      </c>
      <c r="AO551" s="189" t="s">
        <v>195</v>
      </c>
      <c r="AP551" s="686">
        <f t="shared" si="37"/>
        <v>211.58694731291786</v>
      </c>
      <c r="AQ551" s="686">
        <f t="shared" si="37"/>
        <v>105.79347365645893</v>
      </c>
      <c r="AR551" s="686">
        <f t="shared" si="37"/>
        <v>105.79347365645893</v>
      </c>
      <c r="AS551" s="190"/>
      <c r="AT551" s="183">
        <f t="shared" si="38"/>
        <v>211.58694731291786</v>
      </c>
      <c r="AU551" s="183">
        <f>SUM(AU552:AU558)</f>
        <v>105.79347365645893</v>
      </c>
      <c r="AV551" s="183">
        <f>SUM(AV552:AV558)</f>
        <v>105.79347365645893</v>
      </c>
      <c r="AW551" s="194"/>
      <c r="AX551" s="169"/>
    </row>
    <row r="552" spans="32:50" ht="12" customHeight="1">
      <c r="AF552" s="413" t="s">
        <v>1329</v>
      </c>
      <c r="AL552" s="36"/>
      <c r="AM552" s="720" t="str">
        <f>AM551 &amp; ".1"</f>
        <v>4.0.3.1.1.4.1</v>
      </c>
      <c r="AN552" s="458" t="s">
        <v>1369</v>
      </c>
      <c r="AO552" s="189" t="s">
        <v>195</v>
      </c>
      <c r="AP552" s="686">
        <f t="shared" si="37"/>
        <v>0</v>
      </c>
      <c r="AQ552" s="686">
        <f t="shared" si="37"/>
        <v>0</v>
      </c>
      <c r="AR552" s="686">
        <f t="shared" si="37"/>
        <v>0</v>
      </c>
      <c r="AS552" s="190"/>
      <c r="AT552" s="183">
        <f t="shared" si="38"/>
        <v>0</v>
      </c>
      <c r="AU552" s="183">
        <f t="shared" ref="AU552:AV558" si="40">AU536*AU402/1000</f>
        <v>0</v>
      </c>
      <c r="AV552" s="183">
        <f t="shared" si="40"/>
        <v>0</v>
      </c>
      <c r="AW552" s="194"/>
      <c r="AX552" s="169"/>
    </row>
    <row r="553" spans="32:50" ht="12" customHeight="1">
      <c r="AF553" s="413" t="s">
        <v>1329</v>
      </c>
      <c r="AL553" s="36"/>
      <c r="AM553" s="720" t="str">
        <f>AM551 &amp; ".2"</f>
        <v>4.0.3.1.1.4.2</v>
      </c>
      <c r="AN553" s="458" t="s">
        <v>1370</v>
      </c>
      <c r="AO553" s="189" t="s">
        <v>195</v>
      </c>
      <c r="AP553" s="686">
        <f t="shared" si="37"/>
        <v>0</v>
      </c>
      <c r="AQ553" s="686">
        <f t="shared" si="37"/>
        <v>0</v>
      </c>
      <c r="AR553" s="686">
        <f t="shared" si="37"/>
        <v>0</v>
      </c>
      <c r="AS553" s="190"/>
      <c r="AT553" s="183">
        <f t="shared" si="38"/>
        <v>0</v>
      </c>
      <c r="AU553" s="183">
        <f t="shared" si="40"/>
        <v>0</v>
      </c>
      <c r="AV553" s="183">
        <f t="shared" si="40"/>
        <v>0</v>
      </c>
      <c r="AW553" s="194"/>
      <c r="AX553" s="169"/>
    </row>
    <row r="554" spans="32:50" ht="12" customHeight="1">
      <c r="AF554" s="413" t="s">
        <v>1329</v>
      </c>
      <c r="AL554" s="36"/>
      <c r="AM554" s="720" t="str">
        <f>AM551 &amp; ".3"</f>
        <v>4.0.3.1.1.4.3</v>
      </c>
      <c r="AN554" s="458" t="s">
        <v>1371</v>
      </c>
      <c r="AO554" s="189" t="s">
        <v>195</v>
      </c>
      <c r="AP554" s="686">
        <f t="shared" si="37"/>
        <v>0</v>
      </c>
      <c r="AQ554" s="686">
        <f t="shared" si="37"/>
        <v>0</v>
      </c>
      <c r="AR554" s="686">
        <f t="shared" si="37"/>
        <v>0</v>
      </c>
      <c r="AS554" s="190"/>
      <c r="AT554" s="183">
        <f t="shared" si="38"/>
        <v>0</v>
      </c>
      <c r="AU554" s="183">
        <f t="shared" si="40"/>
        <v>0</v>
      </c>
      <c r="AV554" s="183">
        <f t="shared" si="40"/>
        <v>0</v>
      </c>
      <c r="AW554" s="194"/>
      <c r="AX554" s="169"/>
    </row>
    <row r="555" spans="32:50" ht="12" customHeight="1">
      <c r="AF555" s="413" t="s">
        <v>1329</v>
      </c>
      <c r="AL555" s="36"/>
      <c r="AM555" s="720" t="str">
        <f>AM551 &amp; ".4"</f>
        <v>4.0.3.1.1.4.4</v>
      </c>
      <c r="AN555" s="458" t="s">
        <v>1372</v>
      </c>
      <c r="AO555" s="189" t="s">
        <v>195</v>
      </c>
      <c r="AP555" s="686">
        <f t="shared" si="37"/>
        <v>211.58694731291786</v>
      </c>
      <c r="AQ555" s="686">
        <f t="shared" si="37"/>
        <v>105.79347365645893</v>
      </c>
      <c r="AR555" s="686">
        <f t="shared" si="37"/>
        <v>105.79347365645893</v>
      </c>
      <c r="AS555" s="190"/>
      <c r="AT555" s="183">
        <f t="shared" si="38"/>
        <v>211.58694731291786</v>
      </c>
      <c r="AU555" s="183">
        <f t="shared" si="40"/>
        <v>105.79347365645893</v>
      </c>
      <c r="AV555" s="183">
        <f t="shared" si="40"/>
        <v>105.79347365645893</v>
      </c>
      <c r="AW555" s="194"/>
      <c r="AX555" s="169"/>
    </row>
    <row r="556" spans="32:50" ht="12" customHeight="1">
      <c r="AF556" s="413" t="s">
        <v>1329</v>
      </c>
      <c r="AL556" s="36"/>
      <c r="AM556" s="720" t="str">
        <f>AM551 &amp; ".5"</f>
        <v>4.0.3.1.1.4.5</v>
      </c>
      <c r="AN556" s="458" t="s">
        <v>1373</v>
      </c>
      <c r="AO556" s="189" t="s">
        <v>195</v>
      </c>
      <c r="AP556" s="686">
        <f t="shared" si="37"/>
        <v>0</v>
      </c>
      <c r="AQ556" s="686">
        <f t="shared" si="37"/>
        <v>0</v>
      </c>
      <c r="AR556" s="686">
        <f t="shared" si="37"/>
        <v>0</v>
      </c>
      <c r="AS556" s="190"/>
      <c r="AT556" s="183">
        <f t="shared" si="38"/>
        <v>0</v>
      </c>
      <c r="AU556" s="183">
        <f t="shared" si="40"/>
        <v>0</v>
      </c>
      <c r="AV556" s="183">
        <f t="shared" si="40"/>
        <v>0</v>
      </c>
      <c r="AW556" s="194"/>
      <c r="AX556" s="169"/>
    </row>
    <row r="557" spans="32:50" ht="12" customHeight="1">
      <c r="AF557" s="413" t="s">
        <v>1329</v>
      </c>
      <c r="AL557" s="36"/>
      <c r="AM557" s="720" t="str">
        <f>AM551 &amp; ".6"</f>
        <v>4.0.3.1.1.4.6</v>
      </c>
      <c r="AN557" s="458" t="s">
        <v>1374</v>
      </c>
      <c r="AO557" s="189" t="s">
        <v>195</v>
      </c>
      <c r="AP557" s="686">
        <f t="shared" si="37"/>
        <v>0</v>
      </c>
      <c r="AQ557" s="686">
        <f t="shared" si="37"/>
        <v>0</v>
      </c>
      <c r="AR557" s="686">
        <f t="shared" si="37"/>
        <v>0</v>
      </c>
      <c r="AS557" s="190"/>
      <c r="AT557" s="183">
        <f t="shared" si="38"/>
        <v>0</v>
      </c>
      <c r="AU557" s="183">
        <f t="shared" si="40"/>
        <v>0</v>
      </c>
      <c r="AV557" s="183">
        <f t="shared" si="40"/>
        <v>0</v>
      </c>
      <c r="AW557" s="194"/>
      <c r="AX557" s="169"/>
    </row>
    <row r="558" spans="32:50" ht="12" customHeight="1">
      <c r="AF558" s="413" t="s">
        <v>1329</v>
      </c>
      <c r="AL558" s="36"/>
      <c r="AM558" s="720" t="str">
        <f>AM551 &amp; ".7"</f>
        <v>4.0.3.1.1.4.7</v>
      </c>
      <c r="AN558" s="458" t="s">
        <v>1375</v>
      </c>
      <c r="AO558" s="189" t="s">
        <v>195</v>
      </c>
      <c r="AP558" s="686">
        <f t="shared" si="37"/>
        <v>0</v>
      </c>
      <c r="AQ558" s="686">
        <f t="shared" si="37"/>
        <v>0</v>
      </c>
      <c r="AR558" s="686">
        <f t="shared" si="37"/>
        <v>0</v>
      </c>
      <c r="AS558" s="190"/>
      <c r="AT558" s="183">
        <f t="shared" si="38"/>
        <v>0</v>
      </c>
      <c r="AU558" s="183">
        <f t="shared" si="40"/>
        <v>0</v>
      </c>
      <c r="AV558" s="183">
        <f t="shared" si="40"/>
        <v>0</v>
      </c>
      <c r="AW558" s="194"/>
      <c r="AX558" s="169"/>
    </row>
    <row r="559" spans="32:50" ht="24" customHeight="1">
      <c r="AF559" s="413" t="s">
        <v>1329</v>
      </c>
      <c r="AL559" s="36"/>
      <c r="AM559" s="490" t="s">
        <v>677</v>
      </c>
      <c r="AN559" s="463" t="s">
        <v>648</v>
      </c>
      <c r="AO559" s="189" t="s">
        <v>195</v>
      </c>
      <c r="AP559" s="686">
        <f t="shared" si="37"/>
        <v>0</v>
      </c>
      <c r="AQ559" s="686">
        <f t="shared" si="37"/>
        <v>0</v>
      </c>
      <c r="AR559" s="686">
        <f t="shared" si="37"/>
        <v>0</v>
      </c>
      <c r="AS559" s="190"/>
      <c r="AT559" s="183">
        <f t="shared" si="38"/>
        <v>0</v>
      </c>
      <c r="AU559" s="196"/>
      <c r="AV559" s="196"/>
      <c r="AW559" s="194"/>
      <c r="AX559" s="169"/>
    </row>
    <row r="560" spans="32:50" ht="12" customHeight="1">
      <c r="AF560" s="413" t="s">
        <v>1329</v>
      </c>
      <c r="AL560" s="36"/>
      <c r="AM560" s="720" t="str">
        <f>AM559 &amp; ".1"</f>
        <v>4.0.3.1.1.5.1</v>
      </c>
      <c r="AN560" s="459" t="s">
        <v>649</v>
      </c>
      <c r="AO560" s="189" t="s">
        <v>506</v>
      </c>
      <c r="AP560" s="686">
        <f>IF(AP561=0,0,AP559/AP561*1000)</f>
        <v>0</v>
      </c>
      <c r="AQ560" s="686">
        <f>IF(AQ561=0,0,AQ559/AQ561*1000)</f>
        <v>0</v>
      </c>
      <c r="AR560" s="686">
        <f>IF(AR561=0,0,AR559/AR561*1000)</f>
        <v>0</v>
      </c>
      <c r="AS560" s="190"/>
      <c r="AT560" s="754">
        <f>IF(AT561=0,0,AT559/AT561*1000)</f>
        <v>0</v>
      </c>
      <c r="AU560" s="754">
        <f>IF(AU561=0,0,AU559/AU561*1000)</f>
        <v>0</v>
      </c>
      <c r="AV560" s="754">
        <f>IF(AV561=0,0,AV559/AV561*1000)</f>
        <v>0</v>
      </c>
      <c r="AW560" s="194"/>
      <c r="AX560" s="169"/>
    </row>
    <row r="561" spans="32:50" ht="12" customHeight="1">
      <c r="AF561" s="413" t="s">
        <v>1329</v>
      </c>
      <c r="AL561" s="36"/>
      <c r="AM561" s="720" t="str">
        <f>AM559 &amp; ".2"</f>
        <v>4.0.3.1.1.5.2</v>
      </c>
      <c r="AN561" s="459" t="s">
        <v>650</v>
      </c>
      <c r="AO561" s="189" t="s">
        <v>507</v>
      </c>
      <c r="AP561" s="686">
        <f>SUMIF($AS$9:$AW$9,AP$9,$AS561:$AW561)</f>
        <v>0</v>
      </c>
      <c r="AQ561" s="686">
        <f>SUMIF($AS$9:$AW$9,AQ$9,$AS561:$AW561)</f>
        <v>0</v>
      </c>
      <c r="AR561" s="686">
        <f>SUMIF($AS$9:$AW$9,AR$9,$AS561:$AW561)</f>
        <v>0</v>
      </c>
      <c r="AS561" s="190"/>
      <c r="AT561" s="183">
        <f>AU561+AV561</f>
        <v>0</v>
      </c>
      <c r="AU561" s="196"/>
      <c r="AV561" s="196"/>
      <c r="AW561" s="194"/>
      <c r="AX561" s="169"/>
    </row>
    <row r="562" spans="32:50" ht="24" customHeight="1">
      <c r="AF562" s="413"/>
      <c r="AL562" s="36"/>
      <c r="AM562" s="490" t="s">
        <v>678</v>
      </c>
      <c r="AN562" s="463" t="s">
        <v>651</v>
      </c>
      <c r="AO562" s="189"/>
      <c r="AP562" s="195"/>
      <c r="AQ562" s="195"/>
      <c r="AR562" s="195"/>
      <c r="AS562" s="190"/>
      <c r="AT562" s="462"/>
      <c r="AU562" s="462"/>
      <c r="AV562" s="462"/>
      <c r="AW562" s="194"/>
      <c r="AX562" s="169"/>
    </row>
    <row r="563" spans="32:50" ht="12" customHeight="1">
      <c r="AF563" s="413" t="s">
        <v>1330</v>
      </c>
      <c r="AL563" s="36"/>
      <c r="AM563" s="720" t="str">
        <f>AM562 &amp; ".1"</f>
        <v>4.0.3.1.2.1.1</v>
      </c>
      <c r="AN563" s="458" t="s">
        <v>1369</v>
      </c>
      <c r="AO563" s="189" t="s">
        <v>506</v>
      </c>
      <c r="AP563" s="686">
        <f t="shared" ref="AP563:AR569" si="41">IF(AP410=0,0,AP579/AP410*1000)</f>
        <v>0</v>
      </c>
      <c r="AQ563" s="686">
        <f t="shared" si="41"/>
        <v>0</v>
      </c>
      <c r="AR563" s="686">
        <f t="shared" si="41"/>
        <v>0</v>
      </c>
      <c r="AS563" s="190"/>
      <c r="AT563" s="462"/>
      <c r="AU563" s="462"/>
      <c r="AV563" s="462"/>
      <c r="AW563" s="194"/>
      <c r="AX563" s="169"/>
    </row>
    <row r="564" spans="32:50" ht="12" customHeight="1">
      <c r="AF564" s="413" t="s">
        <v>1330</v>
      </c>
      <c r="AL564" s="36"/>
      <c r="AM564" s="720" t="str">
        <f>AM562 &amp; ".2"</f>
        <v>4.0.3.1.2.1.2</v>
      </c>
      <c r="AN564" s="458" t="s">
        <v>1370</v>
      </c>
      <c r="AO564" s="189" t="s">
        <v>506</v>
      </c>
      <c r="AP564" s="686">
        <f t="shared" si="41"/>
        <v>0</v>
      </c>
      <c r="AQ564" s="686">
        <f t="shared" si="41"/>
        <v>0</v>
      </c>
      <c r="AR564" s="686">
        <f t="shared" si="41"/>
        <v>0</v>
      </c>
      <c r="AS564" s="190"/>
      <c r="AT564" s="462"/>
      <c r="AU564" s="462"/>
      <c r="AV564" s="462"/>
      <c r="AW564" s="194"/>
      <c r="AX564" s="169"/>
    </row>
    <row r="565" spans="32:50" ht="12" customHeight="1">
      <c r="AF565" s="413" t="s">
        <v>1330</v>
      </c>
      <c r="AL565" s="36"/>
      <c r="AM565" s="720" t="str">
        <f>AM562 &amp; ".3"</f>
        <v>4.0.3.1.2.1.3</v>
      </c>
      <c r="AN565" s="458" t="s">
        <v>1371</v>
      </c>
      <c r="AO565" s="189" t="s">
        <v>506</v>
      </c>
      <c r="AP565" s="686">
        <f t="shared" si="41"/>
        <v>0</v>
      </c>
      <c r="AQ565" s="686">
        <f t="shared" si="41"/>
        <v>0</v>
      </c>
      <c r="AR565" s="686">
        <f t="shared" si="41"/>
        <v>0</v>
      </c>
      <c r="AS565" s="190"/>
      <c r="AT565" s="462"/>
      <c r="AU565" s="462"/>
      <c r="AV565" s="462"/>
      <c r="AW565" s="194"/>
      <c r="AX565" s="169"/>
    </row>
    <row r="566" spans="32:50" ht="12" customHeight="1">
      <c r="AF566" s="413" t="s">
        <v>1330</v>
      </c>
      <c r="AL566" s="36"/>
      <c r="AM566" s="720" t="str">
        <f>AM562 &amp; ".4"</f>
        <v>4.0.3.1.2.1.4</v>
      </c>
      <c r="AN566" s="458" t="s">
        <v>1372</v>
      </c>
      <c r="AO566" s="189" t="s">
        <v>506</v>
      </c>
      <c r="AP566" s="686">
        <f t="shared" si="41"/>
        <v>0</v>
      </c>
      <c r="AQ566" s="686">
        <f t="shared" si="41"/>
        <v>0</v>
      </c>
      <c r="AR566" s="686">
        <f t="shared" si="41"/>
        <v>0</v>
      </c>
      <c r="AS566" s="190"/>
      <c r="AT566" s="462"/>
      <c r="AU566" s="462"/>
      <c r="AV566" s="462"/>
      <c r="AW566" s="194"/>
      <c r="AX566" s="169"/>
    </row>
    <row r="567" spans="32:50" ht="12" customHeight="1">
      <c r="AF567" s="413" t="s">
        <v>1330</v>
      </c>
      <c r="AL567" s="36"/>
      <c r="AM567" s="720" t="str">
        <f>AM562 &amp; ".5"</f>
        <v>4.0.3.1.2.1.5</v>
      </c>
      <c r="AN567" s="458" t="s">
        <v>1373</v>
      </c>
      <c r="AO567" s="189" t="s">
        <v>506</v>
      </c>
      <c r="AP567" s="686">
        <f t="shared" si="41"/>
        <v>0</v>
      </c>
      <c r="AQ567" s="686">
        <f t="shared" si="41"/>
        <v>0</v>
      </c>
      <c r="AR567" s="686">
        <f t="shared" si="41"/>
        <v>0</v>
      </c>
      <c r="AS567" s="190"/>
      <c r="AT567" s="462"/>
      <c r="AU567" s="462"/>
      <c r="AV567" s="462"/>
      <c r="AW567" s="194"/>
      <c r="AX567" s="169"/>
    </row>
    <row r="568" spans="32:50" ht="12" customHeight="1">
      <c r="AF568" s="413" t="s">
        <v>1330</v>
      </c>
      <c r="AL568" s="36"/>
      <c r="AM568" s="720" t="str">
        <f>AM562 &amp; ".6"</f>
        <v>4.0.3.1.2.1.6</v>
      </c>
      <c r="AN568" s="458" t="s">
        <v>1374</v>
      </c>
      <c r="AO568" s="189" t="s">
        <v>506</v>
      </c>
      <c r="AP568" s="686">
        <f t="shared" si="41"/>
        <v>0</v>
      </c>
      <c r="AQ568" s="686">
        <f t="shared" si="41"/>
        <v>0</v>
      </c>
      <c r="AR568" s="686">
        <f t="shared" si="41"/>
        <v>0</v>
      </c>
      <c r="AS568" s="190"/>
      <c r="AT568" s="462"/>
      <c r="AU568" s="462"/>
      <c r="AV568" s="462"/>
      <c r="AW568" s="194"/>
      <c r="AX568" s="169"/>
    </row>
    <row r="569" spans="32:50" ht="12" customHeight="1">
      <c r="AF569" s="413" t="s">
        <v>1330</v>
      </c>
      <c r="AL569" s="36"/>
      <c r="AM569" s="720" t="str">
        <f>AM562 &amp; ".7"</f>
        <v>4.0.3.1.2.1.7</v>
      </c>
      <c r="AN569" s="458" t="s">
        <v>1375</v>
      </c>
      <c r="AO569" s="189" t="s">
        <v>506</v>
      </c>
      <c r="AP569" s="686">
        <f t="shared" si="41"/>
        <v>0</v>
      </c>
      <c r="AQ569" s="686">
        <f t="shared" si="41"/>
        <v>0</v>
      </c>
      <c r="AR569" s="686">
        <f t="shared" si="41"/>
        <v>0</v>
      </c>
      <c r="AS569" s="190"/>
      <c r="AT569" s="462"/>
      <c r="AU569" s="462"/>
      <c r="AV569" s="462"/>
      <c r="AW569" s="194"/>
      <c r="AX569" s="169"/>
    </row>
    <row r="570" spans="32:50" ht="24" customHeight="1">
      <c r="AF570" s="413"/>
      <c r="AL570" s="36"/>
      <c r="AM570" s="490" t="s">
        <v>679</v>
      </c>
      <c r="AN570" s="463" t="s">
        <v>652</v>
      </c>
      <c r="AO570" s="189"/>
      <c r="AP570" s="195"/>
      <c r="AQ570" s="195"/>
      <c r="AR570" s="195"/>
      <c r="AS570" s="190"/>
      <c r="AT570" s="462"/>
      <c r="AU570" s="462"/>
      <c r="AV570" s="462"/>
      <c r="AW570" s="194"/>
      <c r="AX570" s="169"/>
    </row>
    <row r="571" spans="32:50" ht="12" customHeight="1">
      <c r="AF571" s="413" t="s">
        <v>1330</v>
      </c>
      <c r="AL571" s="36"/>
      <c r="AM571" s="720" t="str">
        <f>AM570 &amp; ".1"</f>
        <v>4.0.3.1.2.2.1</v>
      </c>
      <c r="AN571" s="458" t="s">
        <v>1369</v>
      </c>
      <c r="AO571" s="189" t="s">
        <v>506</v>
      </c>
      <c r="AP571" s="686">
        <f t="shared" ref="AP571:AR577" si="42">IF(AP410=0,0,AP587/AP410*1000)</f>
        <v>0</v>
      </c>
      <c r="AQ571" s="686">
        <f t="shared" si="42"/>
        <v>0</v>
      </c>
      <c r="AR571" s="686">
        <f t="shared" si="42"/>
        <v>0</v>
      </c>
      <c r="AS571" s="190"/>
      <c r="AT571" s="462"/>
      <c r="AU571" s="462"/>
      <c r="AV571" s="462"/>
      <c r="AW571" s="194"/>
      <c r="AX571" s="169"/>
    </row>
    <row r="572" spans="32:50" ht="12" customHeight="1">
      <c r="AF572" s="413" t="s">
        <v>1330</v>
      </c>
      <c r="AL572" s="36"/>
      <c r="AM572" s="720" t="str">
        <f>AM570 &amp; ".2"</f>
        <v>4.0.3.1.2.2.2</v>
      </c>
      <c r="AN572" s="458" t="s">
        <v>1370</v>
      </c>
      <c r="AO572" s="189" t="s">
        <v>506</v>
      </c>
      <c r="AP572" s="686">
        <f t="shared" si="42"/>
        <v>0</v>
      </c>
      <c r="AQ572" s="686">
        <f t="shared" si="42"/>
        <v>0</v>
      </c>
      <c r="AR572" s="686">
        <f t="shared" si="42"/>
        <v>0</v>
      </c>
      <c r="AS572" s="190"/>
      <c r="AT572" s="462"/>
      <c r="AU572" s="462"/>
      <c r="AV572" s="462"/>
      <c r="AW572" s="194"/>
      <c r="AX572" s="169"/>
    </row>
    <row r="573" spans="32:50" ht="12" customHeight="1">
      <c r="AF573" s="413" t="s">
        <v>1330</v>
      </c>
      <c r="AL573" s="36"/>
      <c r="AM573" s="720" t="str">
        <f>AM570 &amp; ".3"</f>
        <v>4.0.3.1.2.2.3</v>
      </c>
      <c r="AN573" s="458" t="s">
        <v>1371</v>
      </c>
      <c r="AO573" s="189" t="s">
        <v>506</v>
      </c>
      <c r="AP573" s="686">
        <f t="shared" si="42"/>
        <v>0</v>
      </c>
      <c r="AQ573" s="686">
        <f t="shared" si="42"/>
        <v>0</v>
      </c>
      <c r="AR573" s="686">
        <f t="shared" si="42"/>
        <v>0</v>
      </c>
      <c r="AS573" s="190"/>
      <c r="AT573" s="462"/>
      <c r="AU573" s="462"/>
      <c r="AV573" s="462"/>
      <c r="AW573" s="194"/>
      <c r="AX573" s="169"/>
    </row>
    <row r="574" spans="32:50" ht="12" customHeight="1">
      <c r="AF574" s="413" t="s">
        <v>1330</v>
      </c>
      <c r="AL574" s="36"/>
      <c r="AM574" s="720" t="str">
        <f>AM570 &amp; ".4"</f>
        <v>4.0.3.1.2.2.4</v>
      </c>
      <c r="AN574" s="458" t="s">
        <v>1372</v>
      </c>
      <c r="AO574" s="189" t="s">
        <v>506</v>
      </c>
      <c r="AP574" s="686">
        <f t="shared" si="42"/>
        <v>0</v>
      </c>
      <c r="AQ574" s="686">
        <f t="shared" si="42"/>
        <v>0</v>
      </c>
      <c r="AR574" s="686">
        <f t="shared" si="42"/>
        <v>0</v>
      </c>
      <c r="AS574" s="190"/>
      <c r="AT574" s="462"/>
      <c r="AU574" s="462"/>
      <c r="AV574" s="462"/>
      <c r="AW574" s="194"/>
      <c r="AX574" s="169"/>
    </row>
    <row r="575" spans="32:50" ht="12" customHeight="1">
      <c r="AF575" s="413" t="s">
        <v>1330</v>
      </c>
      <c r="AL575" s="36"/>
      <c r="AM575" s="720" t="str">
        <f>AM570 &amp; ".5"</f>
        <v>4.0.3.1.2.2.5</v>
      </c>
      <c r="AN575" s="458" t="s">
        <v>1373</v>
      </c>
      <c r="AO575" s="189" t="s">
        <v>506</v>
      </c>
      <c r="AP575" s="686">
        <f t="shared" si="42"/>
        <v>0</v>
      </c>
      <c r="AQ575" s="686">
        <f t="shared" si="42"/>
        <v>0</v>
      </c>
      <c r="AR575" s="686">
        <f t="shared" si="42"/>
        <v>0</v>
      </c>
      <c r="AS575" s="190"/>
      <c r="AT575" s="462"/>
      <c r="AU575" s="462"/>
      <c r="AV575" s="462"/>
      <c r="AW575" s="194"/>
      <c r="AX575" s="169"/>
    </row>
    <row r="576" spans="32:50" ht="12" customHeight="1">
      <c r="AF576" s="413" t="s">
        <v>1330</v>
      </c>
      <c r="AL576" s="36"/>
      <c r="AM576" s="720" t="str">
        <f>AM570 &amp; ".6"</f>
        <v>4.0.3.1.2.2.6</v>
      </c>
      <c r="AN576" s="458" t="s">
        <v>1374</v>
      </c>
      <c r="AO576" s="189" t="s">
        <v>506</v>
      </c>
      <c r="AP576" s="686">
        <f t="shared" si="42"/>
        <v>0</v>
      </c>
      <c r="AQ576" s="686">
        <f t="shared" si="42"/>
        <v>0</v>
      </c>
      <c r="AR576" s="686">
        <f t="shared" si="42"/>
        <v>0</v>
      </c>
      <c r="AS576" s="190"/>
      <c r="AT576" s="462"/>
      <c r="AU576" s="462"/>
      <c r="AV576" s="462"/>
      <c r="AW576" s="194"/>
      <c r="AX576" s="169"/>
    </row>
    <row r="577" spans="32:50" ht="12" customHeight="1">
      <c r="AF577" s="413" t="s">
        <v>1330</v>
      </c>
      <c r="AL577" s="36"/>
      <c r="AM577" s="720" t="str">
        <f>AM570 &amp; ".7"</f>
        <v>4.0.3.1.2.2.7</v>
      </c>
      <c r="AN577" s="458" t="s">
        <v>1375</v>
      </c>
      <c r="AO577" s="189" t="s">
        <v>506</v>
      </c>
      <c r="AP577" s="686">
        <f t="shared" si="42"/>
        <v>0</v>
      </c>
      <c r="AQ577" s="686">
        <f t="shared" si="42"/>
        <v>0</v>
      </c>
      <c r="AR577" s="686">
        <f t="shared" si="42"/>
        <v>0</v>
      </c>
      <c r="AS577" s="190"/>
      <c r="AT577" s="462"/>
      <c r="AU577" s="462"/>
      <c r="AV577" s="462"/>
      <c r="AW577" s="194"/>
      <c r="AX577" s="169"/>
    </row>
    <row r="578" spans="32:50" ht="24" customHeight="1">
      <c r="AF578" s="413" t="s">
        <v>1330</v>
      </c>
      <c r="AL578" s="36"/>
      <c r="AM578" s="490" t="s">
        <v>680</v>
      </c>
      <c r="AN578" s="463" t="s">
        <v>653</v>
      </c>
      <c r="AO578" s="189" t="s">
        <v>195</v>
      </c>
      <c r="AP578" s="686">
        <f t="shared" ref="AP578:AR594" si="43">SUMIF($AS$9:$AW$9,AP$9,$AS578:$AW578)</f>
        <v>0</v>
      </c>
      <c r="AQ578" s="686">
        <f t="shared" si="43"/>
        <v>0</v>
      </c>
      <c r="AR578" s="686">
        <f t="shared" si="43"/>
        <v>0</v>
      </c>
      <c r="AS578" s="190"/>
      <c r="AT578" s="462"/>
      <c r="AU578" s="462"/>
      <c r="AV578" s="462"/>
      <c r="AW578" s="194"/>
      <c r="AX578" s="169"/>
    </row>
    <row r="579" spans="32:50" ht="12" customHeight="1">
      <c r="AF579" s="413" t="s">
        <v>1330</v>
      </c>
      <c r="AL579" s="36"/>
      <c r="AM579" s="720" t="str">
        <f>AM578 &amp; ".1"</f>
        <v>4.0.3.1.2.3.1</v>
      </c>
      <c r="AN579" s="458" t="s">
        <v>1369</v>
      </c>
      <c r="AO579" s="189" t="s">
        <v>195</v>
      </c>
      <c r="AP579" s="686">
        <f t="shared" si="43"/>
        <v>0</v>
      </c>
      <c r="AQ579" s="686">
        <f t="shared" si="43"/>
        <v>0</v>
      </c>
      <c r="AR579" s="686">
        <f t="shared" si="43"/>
        <v>0</v>
      </c>
      <c r="AS579" s="190"/>
      <c r="AT579" s="462"/>
      <c r="AU579" s="462"/>
      <c r="AV579" s="462"/>
      <c r="AW579" s="194"/>
      <c r="AX579" s="169"/>
    </row>
    <row r="580" spans="32:50" ht="12" customHeight="1">
      <c r="AF580" s="413" t="s">
        <v>1330</v>
      </c>
      <c r="AL580" s="36"/>
      <c r="AM580" s="720" t="str">
        <f>AM578 &amp; ".2"</f>
        <v>4.0.3.1.2.3.2</v>
      </c>
      <c r="AN580" s="458" t="s">
        <v>1370</v>
      </c>
      <c r="AO580" s="189" t="s">
        <v>195</v>
      </c>
      <c r="AP580" s="686">
        <f t="shared" si="43"/>
        <v>0</v>
      </c>
      <c r="AQ580" s="686">
        <f t="shared" si="43"/>
        <v>0</v>
      </c>
      <c r="AR580" s="686">
        <f t="shared" si="43"/>
        <v>0</v>
      </c>
      <c r="AS580" s="190"/>
      <c r="AT580" s="462"/>
      <c r="AU580" s="462"/>
      <c r="AV580" s="462"/>
      <c r="AW580" s="194"/>
      <c r="AX580" s="169"/>
    </row>
    <row r="581" spans="32:50" ht="12" customHeight="1">
      <c r="AF581" s="413" t="s">
        <v>1330</v>
      </c>
      <c r="AL581" s="36"/>
      <c r="AM581" s="720" t="str">
        <f>AM578 &amp; ".3"</f>
        <v>4.0.3.1.2.3.3</v>
      </c>
      <c r="AN581" s="458" t="s">
        <v>1371</v>
      </c>
      <c r="AO581" s="189" t="s">
        <v>195</v>
      </c>
      <c r="AP581" s="686">
        <f t="shared" si="43"/>
        <v>0</v>
      </c>
      <c r="AQ581" s="686">
        <f t="shared" si="43"/>
        <v>0</v>
      </c>
      <c r="AR581" s="686">
        <f t="shared" si="43"/>
        <v>0</v>
      </c>
      <c r="AS581" s="190"/>
      <c r="AT581" s="462"/>
      <c r="AU581" s="462"/>
      <c r="AV581" s="462"/>
      <c r="AW581" s="194"/>
      <c r="AX581" s="169"/>
    </row>
    <row r="582" spans="32:50" ht="12" customHeight="1">
      <c r="AF582" s="413" t="s">
        <v>1330</v>
      </c>
      <c r="AL582" s="36"/>
      <c r="AM582" s="720" t="str">
        <f>AM578 &amp; ".4"</f>
        <v>4.0.3.1.2.3.4</v>
      </c>
      <c r="AN582" s="458" t="s">
        <v>1372</v>
      </c>
      <c r="AO582" s="189" t="s">
        <v>195</v>
      </c>
      <c r="AP582" s="686">
        <f t="shared" si="43"/>
        <v>0</v>
      </c>
      <c r="AQ582" s="686">
        <f t="shared" si="43"/>
        <v>0</v>
      </c>
      <c r="AR582" s="686">
        <f t="shared" si="43"/>
        <v>0</v>
      </c>
      <c r="AS582" s="190"/>
      <c r="AT582" s="462"/>
      <c r="AU582" s="462"/>
      <c r="AV582" s="462"/>
      <c r="AW582" s="194"/>
      <c r="AX582" s="169"/>
    </row>
    <row r="583" spans="32:50" ht="12" customHeight="1">
      <c r="AF583" s="413" t="s">
        <v>1330</v>
      </c>
      <c r="AL583" s="36"/>
      <c r="AM583" s="720" t="str">
        <f>AM578 &amp; ".5"</f>
        <v>4.0.3.1.2.3.5</v>
      </c>
      <c r="AN583" s="458" t="s">
        <v>1373</v>
      </c>
      <c r="AO583" s="189" t="s">
        <v>195</v>
      </c>
      <c r="AP583" s="686">
        <f t="shared" si="43"/>
        <v>0</v>
      </c>
      <c r="AQ583" s="686">
        <f t="shared" si="43"/>
        <v>0</v>
      </c>
      <c r="AR583" s="686">
        <f t="shared" si="43"/>
        <v>0</v>
      </c>
      <c r="AS583" s="190"/>
      <c r="AT583" s="462"/>
      <c r="AU583" s="462"/>
      <c r="AV583" s="462"/>
      <c r="AW583" s="194"/>
      <c r="AX583" s="169"/>
    </row>
    <row r="584" spans="32:50" ht="12" customHeight="1">
      <c r="AF584" s="413" t="s">
        <v>1330</v>
      </c>
      <c r="AL584" s="36"/>
      <c r="AM584" s="720" t="str">
        <f>AM578 &amp; ".6"</f>
        <v>4.0.3.1.2.3.6</v>
      </c>
      <c r="AN584" s="458" t="s">
        <v>1374</v>
      </c>
      <c r="AO584" s="189" t="s">
        <v>195</v>
      </c>
      <c r="AP584" s="686">
        <f t="shared" si="43"/>
        <v>0</v>
      </c>
      <c r="AQ584" s="686">
        <f t="shared" si="43"/>
        <v>0</v>
      </c>
      <c r="AR584" s="686">
        <f t="shared" si="43"/>
        <v>0</v>
      </c>
      <c r="AS584" s="190"/>
      <c r="AT584" s="462"/>
      <c r="AU584" s="462"/>
      <c r="AV584" s="462"/>
      <c r="AW584" s="194"/>
      <c r="AX584" s="169"/>
    </row>
    <row r="585" spans="32:50" ht="12" customHeight="1">
      <c r="AF585" s="413" t="s">
        <v>1330</v>
      </c>
      <c r="AL585" s="36"/>
      <c r="AM585" s="720" t="str">
        <f>AM578 &amp; ".7"</f>
        <v>4.0.3.1.2.3.7</v>
      </c>
      <c r="AN585" s="458" t="s">
        <v>1375</v>
      </c>
      <c r="AO585" s="189" t="s">
        <v>195</v>
      </c>
      <c r="AP585" s="686">
        <f t="shared" si="43"/>
        <v>0</v>
      </c>
      <c r="AQ585" s="686">
        <f t="shared" si="43"/>
        <v>0</v>
      </c>
      <c r="AR585" s="686">
        <f t="shared" si="43"/>
        <v>0</v>
      </c>
      <c r="AS585" s="190"/>
      <c r="AT585" s="462"/>
      <c r="AU585" s="462"/>
      <c r="AV585" s="462"/>
      <c r="AW585" s="194"/>
      <c r="AX585" s="169"/>
    </row>
    <row r="586" spans="32:50" ht="24" customHeight="1">
      <c r="AF586" s="413" t="s">
        <v>1330</v>
      </c>
      <c r="AL586" s="36"/>
      <c r="AM586" s="490" t="s">
        <v>682</v>
      </c>
      <c r="AN586" s="463" t="s">
        <v>654</v>
      </c>
      <c r="AO586" s="189" t="s">
        <v>195</v>
      </c>
      <c r="AP586" s="686">
        <f t="shared" si="43"/>
        <v>0</v>
      </c>
      <c r="AQ586" s="686">
        <f t="shared" si="43"/>
        <v>0</v>
      </c>
      <c r="AR586" s="686">
        <f t="shared" si="43"/>
        <v>0</v>
      </c>
      <c r="AS586" s="190"/>
      <c r="AT586" s="462"/>
      <c r="AU586" s="462"/>
      <c r="AV586" s="462"/>
      <c r="AW586" s="194"/>
      <c r="AX586" s="169"/>
    </row>
    <row r="587" spans="32:50" ht="12" customHeight="1">
      <c r="AF587" s="413" t="s">
        <v>1330</v>
      </c>
      <c r="AL587" s="36"/>
      <c r="AM587" s="720" t="str">
        <f>AM586 &amp; ".1"</f>
        <v>4.0.3.1.2.4.1</v>
      </c>
      <c r="AN587" s="458" t="s">
        <v>1369</v>
      </c>
      <c r="AO587" s="189" t="s">
        <v>195</v>
      </c>
      <c r="AP587" s="686">
        <f t="shared" si="43"/>
        <v>0</v>
      </c>
      <c r="AQ587" s="686">
        <f t="shared" si="43"/>
        <v>0</v>
      </c>
      <c r="AR587" s="686">
        <f t="shared" si="43"/>
        <v>0</v>
      </c>
      <c r="AS587" s="190"/>
      <c r="AT587" s="462"/>
      <c r="AU587" s="462"/>
      <c r="AV587" s="462"/>
      <c r="AW587" s="194"/>
      <c r="AX587" s="169"/>
    </row>
    <row r="588" spans="32:50" ht="12" customHeight="1">
      <c r="AF588" s="413" t="s">
        <v>1330</v>
      </c>
      <c r="AL588" s="36"/>
      <c r="AM588" s="720" t="str">
        <f>AM586 &amp; ".2"</f>
        <v>4.0.3.1.2.4.2</v>
      </c>
      <c r="AN588" s="458" t="s">
        <v>1370</v>
      </c>
      <c r="AO588" s="189" t="s">
        <v>195</v>
      </c>
      <c r="AP588" s="686">
        <f t="shared" si="43"/>
        <v>0</v>
      </c>
      <c r="AQ588" s="686">
        <f t="shared" si="43"/>
        <v>0</v>
      </c>
      <c r="AR588" s="686">
        <f t="shared" si="43"/>
        <v>0</v>
      </c>
      <c r="AS588" s="190"/>
      <c r="AT588" s="462"/>
      <c r="AU588" s="462"/>
      <c r="AV588" s="462"/>
      <c r="AW588" s="194"/>
      <c r="AX588" s="169"/>
    </row>
    <row r="589" spans="32:50" ht="12" customHeight="1">
      <c r="AF589" s="413" t="s">
        <v>1330</v>
      </c>
      <c r="AL589" s="36"/>
      <c r="AM589" s="720" t="str">
        <f>AM586 &amp; ".3"</f>
        <v>4.0.3.1.2.4.3</v>
      </c>
      <c r="AN589" s="458" t="s">
        <v>1371</v>
      </c>
      <c r="AO589" s="189" t="s">
        <v>195</v>
      </c>
      <c r="AP589" s="686">
        <f t="shared" si="43"/>
        <v>0</v>
      </c>
      <c r="AQ589" s="686">
        <f t="shared" si="43"/>
        <v>0</v>
      </c>
      <c r="AR589" s="686">
        <f t="shared" si="43"/>
        <v>0</v>
      </c>
      <c r="AS589" s="190"/>
      <c r="AT589" s="462"/>
      <c r="AU589" s="462"/>
      <c r="AV589" s="462"/>
      <c r="AW589" s="194"/>
      <c r="AX589" s="169"/>
    </row>
    <row r="590" spans="32:50" ht="12" customHeight="1">
      <c r="AF590" s="413" t="s">
        <v>1330</v>
      </c>
      <c r="AL590" s="36"/>
      <c r="AM590" s="720" t="str">
        <f>AM586 &amp; ".4"</f>
        <v>4.0.3.1.2.4.4</v>
      </c>
      <c r="AN590" s="458" t="s">
        <v>1372</v>
      </c>
      <c r="AO590" s="189" t="s">
        <v>195</v>
      </c>
      <c r="AP590" s="686">
        <f t="shared" si="43"/>
        <v>0</v>
      </c>
      <c r="AQ590" s="686">
        <f t="shared" si="43"/>
        <v>0</v>
      </c>
      <c r="AR590" s="686">
        <f t="shared" si="43"/>
        <v>0</v>
      </c>
      <c r="AS590" s="190"/>
      <c r="AT590" s="462"/>
      <c r="AU590" s="462"/>
      <c r="AV590" s="462"/>
      <c r="AW590" s="194"/>
      <c r="AX590" s="169"/>
    </row>
    <row r="591" spans="32:50" ht="12" customHeight="1">
      <c r="AF591" s="413" t="s">
        <v>1330</v>
      </c>
      <c r="AL591" s="36"/>
      <c r="AM591" s="720" t="str">
        <f>AM586 &amp; ".5"</f>
        <v>4.0.3.1.2.4.5</v>
      </c>
      <c r="AN591" s="458" t="s">
        <v>1373</v>
      </c>
      <c r="AO591" s="189" t="s">
        <v>195</v>
      </c>
      <c r="AP591" s="686">
        <f t="shared" si="43"/>
        <v>0</v>
      </c>
      <c r="AQ591" s="686">
        <f t="shared" si="43"/>
        <v>0</v>
      </c>
      <c r="AR591" s="686">
        <f t="shared" si="43"/>
        <v>0</v>
      </c>
      <c r="AS591" s="190"/>
      <c r="AT591" s="462"/>
      <c r="AU591" s="462"/>
      <c r="AV591" s="462"/>
      <c r="AW591" s="194"/>
      <c r="AX591" s="169"/>
    </row>
    <row r="592" spans="32:50" ht="12" customHeight="1">
      <c r="AF592" s="413" t="s">
        <v>1330</v>
      </c>
      <c r="AL592" s="36"/>
      <c r="AM592" s="720" t="str">
        <f>AM586 &amp; ".6"</f>
        <v>4.0.3.1.2.4.6</v>
      </c>
      <c r="AN592" s="458" t="s">
        <v>1374</v>
      </c>
      <c r="AO592" s="189" t="s">
        <v>195</v>
      </c>
      <c r="AP592" s="686">
        <f t="shared" si="43"/>
        <v>0</v>
      </c>
      <c r="AQ592" s="686">
        <f t="shared" si="43"/>
        <v>0</v>
      </c>
      <c r="AR592" s="686">
        <f t="shared" si="43"/>
        <v>0</v>
      </c>
      <c r="AS592" s="190"/>
      <c r="AT592" s="462"/>
      <c r="AU592" s="462"/>
      <c r="AV592" s="462"/>
      <c r="AW592" s="194"/>
      <c r="AX592" s="169"/>
    </row>
    <row r="593" spans="32:50" ht="12" customHeight="1">
      <c r="AF593" s="413" t="s">
        <v>1330</v>
      </c>
      <c r="AL593" s="36"/>
      <c r="AM593" s="720" t="str">
        <f>AM586 &amp; ".7"</f>
        <v>4.0.3.1.2.4.7</v>
      </c>
      <c r="AN593" s="458" t="s">
        <v>1375</v>
      </c>
      <c r="AO593" s="189" t="s">
        <v>195</v>
      </c>
      <c r="AP593" s="686">
        <f t="shared" si="43"/>
        <v>0</v>
      </c>
      <c r="AQ593" s="686">
        <f t="shared" si="43"/>
        <v>0</v>
      </c>
      <c r="AR593" s="686">
        <f t="shared" si="43"/>
        <v>0</v>
      </c>
      <c r="AS593" s="190"/>
      <c r="AT593" s="462"/>
      <c r="AU593" s="462"/>
      <c r="AV593" s="462"/>
      <c r="AW593" s="194"/>
      <c r="AX593" s="169"/>
    </row>
    <row r="594" spans="32:50" ht="24" customHeight="1">
      <c r="AF594" s="413" t="s">
        <v>1330</v>
      </c>
      <c r="AL594" s="36"/>
      <c r="AM594" s="490" t="s">
        <v>681</v>
      </c>
      <c r="AN594" s="463" t="s">
        <v>655</v>
      </c>
      <c r="AO594" s="189" t="s">
        <v>195</v>
      </c>
      <c r="AP594" s="686">
        <f t="shared" si="43"/>
        <v>0</v>
      </c>
      <c r="AQ594" s="686">
        <f t="shared" si="43"/>
        <v>0</v>
      </c>
      <c r="AR594" s="686">
        <f t="shared" si="43"/>
        <v>0</v>
      </c>
      <c r="AS594" s="190"/>
      <c r="AT594" s="462"/>
      <c r="AU594" s="462"/>
      <c r="AV594" s="462"/>
      <c r="AW594" s="194"/>
      <c r="AX594" s="169"/>
    </row>
    <row r="595" spans="32:50" ht="12" customHeight="1">
      <c r="AF595" s="413" t="s">
        <v>1330</v>
      </c>
      <c r="AL595" s="36"/>
      <c r="AM595" s="720" t="str">
        <f>AM594 &amp; ".1"</f>
        <v>4.0.3.1.2.5.1</v>
      </c>
      <c r="AN595" s="459" t="s">
        <v>649</v>
      </c>
      <c r="AO595" s="189" t="s">
        <v>506</v>
      </c>
      <c r="AP595" s="686">
        <f>IF(AP596=0,0,AP594/AP596*1000)</f>
        <v>0</v>
      </c>
      <c r="AQ595" s="686">
        <f>IF(AQ596=0,0,AQ594/AQ596*1000)</f>
        <v>0</v>
      </c>
      <c r="AR595" s="686">
        <f>IF(AR596=0,0,AR594/AR596*1000)</f>
        <v>0</v>
      </c>
      <c r="AS595" s="190"/>
      <c r="AT595" s="462"/>
      <c r="AU595" s="462"/>
      <c r="AV595" s="462"/>
      <c r="AW595" s="194"/>
      <c r="AX595" s="169"/>
    </row>
    <row r="596" spans="32:50" ht="12" customHeight="1">
      <c r="AF596" s="413" t="s">
        <v>1330</v>
      </c>
      <c r="AL596" s="36"/>
      <c r="AM596" s="720" t="str">
        <f>AM594 &amp; ".2"</f>
        <v>4.0.3.1.2.5.2</v>
      </c>
      <c r="AN596" s="459" t="s">
        <v>650</v>
      </c>
      <c r="AO596" s="189" t="s">
        <v>507</v>
      </c>
      <c r="AP596" s="686">
        <f>SUMIF($AS$9:$AW$9,AP$9,$AS596:$AW596)</f>
        <v>0</v>
      </c>
      <c r="AQ596" s="686">
        <f>SUMIF($AS$9:$AW$9,AQ$9,$AS596:$AW596)</f>
        <v>0</v>
      </c>
      <c r="AR596" s="686">
        <f>SUMIF($AS$9:$AW$9,AR$9,$AS596:$AW596)</f>
        <v>0</v>
      </c>
      <c r="AS596" s="190"/>
      <c r="AT596" s="462"/>
      <c r="AU596" s="462"/>
      <c r="AV596" s="462"/>
      <c r="AW596" s="194"/>
      <c r="AX596" s="169"/>
    </row>
    <row r="597" spans="32:50" ht="24" customHeight="1">
      <c r="AF597" s="115"/>
      <c r="AL597" s="36"/>
      <c r="AM597" s="490" t="s">
        <v>1607</v>
      </c>
      <c r="AN597" s="463" t="s">
        <v>656</v>
      </c>
      <c r="AO597" s="189"/>
      <c r="AP597" s="195"/>
      <c r="AQ597" s="195"/>
      <c r="AR597" s="195"/>
      <c r="AS597" s="190"/>
      <c r="AT597" s="462"/>
      <c r="AU597" s="462"/>
      <c r="AV597" s="462"/>
      <c r="AW597" s="194"/>
      <c r="AX597" s="169"/>
    </row>
    <row r="598" spans="32:50" ht="0.75" hidden="1" customHeight="1">
      <c r="AF598" s="413"/>
      <c r="AL598" s="36"/>
      <c r="AM598" s="718"/>
      <c r="AN598" s="460"/>
      <c r="AO598" s="461"/>
      <c r="AP598" s="462"/>
      <c r="AQ598" s="462"/>
      <c r="AR598" s="462"/>
      <c r="AS598" s="190"/>
      <c r="AT598" s="462"/>
      <c r="AU598" s="462"/>
      <c r="AV598" s="462"/>
      <c r="AW598" s="194"/>
      <c r="AX598" s="169"/>
    </row>
    <row r="599" spans="32:50" ht="0.75" hidden="1" customHeight="1">
      <c r="AF599" s="413"/>
      <c r="AL599" s="36"/>
      <c r="AM599" s="718"/>
      <c r="AN599" s="460"/>
      <c r="AO599" s="461"/>
      <c r="AP599" s="462"/>
      <c r="AQ599" s="462"/>
      <c r="AR599" s="462"/>
      <c r="AS599" s="190"/>
      <c r="AT599" s="462"/>
      <c r="AU599" s="462"/>
      <c r="AV599" s="462"/>
      <c r="AW599" s="194"/>
      <c r="AX599" s="169"/>
    </row>
    <row r="600" spans="32:50" ht="0.75" hidden="1" customHeight="1">
      <c r="AF600" s="413"/>
      <c r="AL600" s="36"/>
      <c r="AM600" s="718"/>
      <c r="AN600" s="460"/>
      <c r="AO600" s="461"/>
      <c r="AP600" s="462"/>
      <c r="AQ600" s="462"/>
      <c r="AR600" s="462"/>
      <c r="AS600" s="190"/>
      <c r="AT600" s="462"/>
      <c r="AU600" s="462"/>
      <c r="AV600" s="462"/>
      <c r="AW600" s="194"/>
      <c r="AX600" s="169"/>
    </row>
    <row r="601" spans="32:50" ht="0.75" hidden="1" customHeight="1">
      <c r="AF601" s="413"/>
      <c r="AL601" s="36"/>
      <c r="AM601" s="718"/>
      <c r="AN601" s="460"/>
      <c r="AO601" s="461"/>
      <c r="AP601" s="462"/>
      <c r="AQ601" s="462"/>
      <c r="AR601" s="462"/>
      <c r="AS601" s="190"/>
      <c r="AT601" s="462"/>
      <c r="AU601" s="462"/>
      <c r="AV601" s="462"/>
      <c r="AW601" s="194"/>
      <c r="AX601" s="169"/>
    </row>
    <row r="602" spans="32:50" ht="0.75" hidden="1" customHeight="1">
      <c r="AF602" s="413"/>
      <c r="AL602" s="36"/>
      <c r="AM602" s="718"/>
      <c r="AN602" s="460"/>
      <c r="AO602" s="461"/>
      <c r="AP602" s="462"/>
      <c r="AQ602" s="462"/>
      <c r="AR602" s="462"/>
      <c r="AS602" s="190"/>
      <c r="AT602" s="462"/>
      <c r="AU602" s="462"/>
      <c r="AV602" s="462"/>
      <c r="AW602" s="194"/>
      <c r="AX602" s="169"/>
    </row>
    <row r="603" spans="32:50" ht="0.75" hidden="1" customHeight="1">
      <c r="AF603" s="413"/>
      <c r="AL603" s="36"/>
      <c r="AM603" s="718"/>
      <c r="AN603" s="460"/>
      <c r="AO603" s="461"/>
      <c r="AP603" s="462"/>
      <c r="AQ603" s="462"/>
      <c r="AR603" s="462"/>
      <c r="AS603" s="190"/>
      <c r="AT603" s="462"/>
      <c r="AU603" s="462"/>
      <c r="AV603" s="462"/>
      <c r="AW603" s="194"/>
      <c r="AX603" s="169"/>
    </row>
    <row r="604" spans="32:50" ht="0.75" hidden="1" customHeight="1">
      <c r="AF604" s="413"/>
      <c r="AL604" s="36"/>
      <c r="AM604" s="718"/>
      <c r="AN604" s="460"/>
      <c r="AO604" s="461"/>
      <c r="AP604" s="462"/>
      <c r="AQ604" s="462"/>
      <c r="AR604" s="462"/>
      <c r="AS604" s="190"/>
      <c r="AT604" s="462"/>
      <c r="AU604" s="462"/>
      <c r="AV604" s="462"/>
      <c r="AW604" s="194"/>
      <c r="AX604" s="169"/>
    </row>
    <row r="605" spans="32:50" ht="0.75" hidden="1" customHeight="1">
      <c r="AF605" s="413"/>
      <c r="AL605" s="36"/>
      <c r="AM605" s="718"/>
      <c r="AN605" s="460"/>
      <c r="AO605" s="461"/>
      <c r="AP605" s="462"/>
      <c r="AQ605" s="462"/>
      <c r="AR605" s="462"/>
      <c r="AS605" s="190"/>
      <c r="AT605" s="462"/>
      <c r="AU605" s="462"/>
      <c r="AV605" s="462"/>
      <c r="AW605" s="194"/>
      <c r="AX605" s="169"/>
    </row>
    <row r="606" spans="32:50" ht="12" customHeight="1">
      <c r="AF606" s="413" t="s">
        <v>1332</v>
      </c>
      <c r="AL606" s="36"/>
      <c r="AM606" s="696" t="s">
        <v>1612</v>
      </c>
      <c r="AN606" s="701" t="s">
        <v>684</v>
      </c>
      <c r="AO606" s="189" t="s">
        <v>751</v>
      </c>
      <c r="AP606" s="686">
        <f t="shared" ref="AP606:AR621" si="44">IF(AP658=0,0,AP710/AP658*1000)</f>
        <v>0</v>
      </c>
      <c r="AQ606" s="686">
        <f t="shared" si="44"/>
        <v>0</v>
      </c>
      <c r="AR606" s="686">
        <f t="shared" si="44"/>
        <v>0</v>
      </c>
      <c r="AS606" s="190"/>
      <c r="AT606" s="462"/>
      <c r="AU606" s="462"/>
      <c r="AV606" s="462"/>
      <c r="AW606" s="194"/>
      <c r="AX606" s="169"/>
    </row>
    <row r="607" spans="32:50" ht="12" customHeight="1">
      <c r="AF607" s="413" t="s">
        <v>1333</v>
      </c>
      <c r="AL607" s="36"/>
      <c r="AM607" s="696" t="s">
        <v>1613</v>
      </c>
      <c r="AN607" s="702" t="s">
        <v>718</v>
      </c>
      <c r="AO607" s="189" t="s">
        <v>751</v>
      </c>
      <c r="AP607" s="686">
        <f t="shared" si="44"/>
        <v>0</v>
      </c>
      <c r="AQ607" s="686">
        <f t="shared" si="44"/>
        <v>0</v>
      </c>
      <c r="AR607" s="686">
        <f t="shared" si="44"/>
        <v>0</v>
      </c>
      <c r="AS607" s="190"/>
      <c r="AT607" s="462"/>
      <c r="AU607" s="462"/>
      <c r="AV607" s="462"/>
      <c r="AW607" s="194"/>
      <c r="AX607" s="169"/>
    </row>
    <row r="608" spans="32:50" ht="12" customHeight="1">
      <c r="AF608" s="413" t="s">
        <v>1334</v>
      </c>
      <c r="AL608" s="36"/>
      <c r="AM608" s="696" t="s">
        <v>1614</v>
      </c>
      <c r="AN608" s="703" t="s">
        <v>722</v>
      </c>
      <c r="AO608" s="189" t="s">
        <v>751</v>
      </c>
      <c r="AP608" s="686">
        <f t="shared" si="44"/>
        <v>0</v>
      </c>
      <c r="AQ608" s="686">
        <f t="shared" si="44"/>
        <v>0</v>
      </c>
      <c r="AR608" s="686">
        <f t="shared" si="44"/>
        <v>0</v>
      </c>
      <c r="AS608" s="190"/>
      <c r="AT608" s="462"/>
      <c r="AU608" s="462"/>
      <c r="AV608" s="462"/>
      <c r="AW608" s="194"/>
      <c r="AX608" s="169"/>
    </row>
    <row r="609" spans="32:50" ht="12" customHeight="1">
      <c r="AF609" s="413" t="s">
        <v>1335</v>
      </c>
      <c r="AL609" s="36"/>
      <c r="AM609" s="696" t="s">
        <v>1615</v>
      </c>
      <c r="AN609" s="704" t="s">
        <v>1309</v>
      </c>
      <c r="AO609" s="189" t="s">
        <v>751</v>
      </c>
      <c r="AP609" s="686">
        <f t="shared" si="44"/>
        <v>0</v>
      </c>
      <c r="AQ609" s="686">
        <f t="shared" si="44"/>
        <v>0</v>
      </c>
      <c r="AR609" s="686">
        <f t="shared" si="44"/>
        <v>0</v>
      </c>
      <c r="AS609" s="190"/>
      <c r="AT609" s="462"/>
      <c r="AU609" s="462"/>
      <c r="AV609" s="462"/>
      <c r="AW609" s="194"/>
      <c r="AX609" s="169"/>
    </row>
    <row r="610" spans="32:50" ht="12" customHeight="1">
      <c r="AF610" s="413" t="s">
        <v>1336</v>
      </c>
      <c r="AL610" s="36"/>
      <c r="AM610" s="696" t="s">
        <v>1616</v>
      </c>
      <c r="AN610" s="704" t="s">
        <v>1310</v>
      </c>
      <c r="AO610" s="189" t="s">
        <v>751</v>
      </c>
      <c r="AP610" s="686">
        <f t="shared" si="44"/>
        <v>0</v>
      </c>
      <c r="AQ610" s="686">
        <f t="shared" si="44"/>
        <v>0</v>
      </c>
      <c r="AR610" s="686">
        <f t="shared" si="44"/>
        <v>0</v>
      </c>
      <c r="AS610" s="190"/>
      <c r="AT610" s="462"/>
      <c r="AU610" s="462"/>
      <c r="AV610" s="462"/>
      <c r="AW610" s="194"/>
      <c r="AX610" s="169"/>
    </row>
    <row r="611" spans="32:50" ht="12" customHeight="1">
      <c r="AF611" s="413" t="s">
        <v>1337</v>
      </c>
      <c r="AL611" s="36"/>
      <c r="AM611" s="696" t="s">
        <v>1617</v>
      </c>
      <c r="AN611" s="704" t="s">
        <v>1311</v>
      </c>
      <c r="AO611" s="189" t="s">
        <v>751</v>
      </c>
      <c r="AP611" s="686">
        <f t="shared" si="44"/>
        <v>0</v>
      </c>
      <c r="AQ611" s="686">
        <f t="shared" si="44"/>
        <v>0</v>
      </c>
      <c r="AR611" s="686">
        <f t="shared" si="44"/>
        <v>0</v>
      </c>
      <c r="AS611" s="190"/>
      <c r="AT611" s="462"/>
      <c r="AU611" s="462"/>
      <c r="AV611" s="462"/>
      <c r="AW611" s="194"/>
      <c r="AX611" s="169"/>
    </row>
    <row r="612" spans="32:50" ht="12" customHeight="1">
      <c r="AF612" s="413" t="s">
        <v>1338</v>
      </c>
      <c r="AL612" s="36"/>
      <c r="AM612" s="696" t="s">
        <v>1618</v>
      </c>
      <c r="AN612" s="704" t="s">
        <v>1312</v>
      </c>
      <c r="AO612" s="189" t="s">
        <v>751</v>
      </c>
      <c r="AP612" s="686">
        <f t="shared" si="44"/>
        <v>0</v>
      </c>
      <c r="AQ612" s="686">
        <f t="shared" si="44"/>
        <v>0</v>
      </c>
      <c r="AR612" s="686">
        <f t="shared" si="44"/>
        <v>0</v>
      </c>
      <c r="AS612" s="190"/>
      <c r="AT612" s="462"/>
      <c r="AU612" s="462"/>
      <c r="AV612" s="462"/>
      <c r="AW612" s="194"/>
      <c r="AX612" s="169"/>
    </row>
    <row r="613" spans="32:50" ht="12" customHeight="1">
      <c r="AF613" s="413" t="s">
        <v>1343</v>
      </c>
      <c r="AL613" s="36"/>
      <c r="AM613" s="696" t="s">
        <v>1619</v>
      </c>
      <c r="AN613" s="705" t="s">
        <v>720</v>
      </c>
      <c r="AO613" s="189" t="s">
        <v>751</v>
      </c>
      <c r="AP613" s="686">
        <f t="shared" si="44"/>
        <v>0</v>
      </c>
      <c r="AQ613" s="686">
        <f t="shared" si="44"/>
        <v>0</v>
      </c>
      <c r="AR613" s="686">
        <f t="shared" si="44"/>
        <v>0</v>
      </c>
      <c r="AS613" s="190"/>
      <c r="AT613" s="462"/>
      <c r="AU613" s="462"/>
      <c r="AV613" s="462"/>
      <c r="AW613" s="194"/>
      <c r="AX613" s="169"/>
    </row>
    <row r="614" spans="32:50" ht="12" customHeight="1">
      <c r="AF614" s="413" t="s">
        <v>1866</v>
      </c>
      <c r="AL614" s="36"/>
      <c r="AM614" s="696" t="s">
        <v>1875</v>
      </c>
      <c r="AN614" s="706" t="s">
        <v>1313</v>
      </c>
      <c r="AO614" s="189" t="s">
        <v>751</v>
      </c>
      <c r="AP614" s="686">
        <f t="shared" si="44"/>
        <v>0</v>
      </c>
      <c r="AQ614" s="686">
        <f t="shared" si="44"/>
        <v>0</v>
      </c>
      <c r="AR614" s="686">
        <f t="shared" si="44"/>
        <v>0</v>
      </c>
      <c r="AS614" s="190"/>
      <c r="AT614" s="462"/>
      <c r="AU614" s="462"/>
      <c r="AV614" s="462"/>
      <c r="AW614" s="194"/>
      <c r="AX614" s="169"/>
    </row>
    <row r="615" spans="32:50" ht="12" customHeight="1">
      <c r="AF615" s="413" t="s">
        <v>1847</v>
      </c>
      <c r="AL615" s="36"/>
      <c r="AM615" s="696" t="s">
        <v>1856</v>
      </c>
      <c r="AN615" s="706" t="s">
        <v>1314</v>
      </c>
      <c r="AO615" s="189" t="s">
        <v>751</v>
      </c>
      <c r="AP615" s="686">
        <f t="shared" si="44"/>
        <v>0</v>
      </c>
      <c r="AQ615" s="686">
        <f t="shared" si="44"/>
        <v>0</v>
      </c>
      <c r="AR615" s="686">
        <f t="shared" si="44"/>
        <v>0</v>
      </c>
      <c r="AS615" s="190"/>
      <c r="AT615" s="462"/>
      <c r="AU615" s="462"/>
      <c r="AV615" s="462"/>
      <c r="AW615" s="194"/>
      <c r="AX615" s="169"/>
    </row>
    <row r="616" spans="32:50" ht="12" customHeight="1">
      <c r="AF616" s="413" t="s">
        <v>1827</v>
      </c>
      <c r="AL616" s="36"/>
      <c r="AM616" s="696" t="s">
        <v>1837</v>
      </c>
      <c r="AN616" s="706" t="s">
        <v>1315</v>
      </c>
      <c r="AO616" s="189" t="s">
        <v>751</v>
      </c>
      <c r="AP616" s="686">
        <f t="shared" si="44"/>
        <v>0</v>
      </c>
      <c r="AQ616" s="686">
        <f t="shared" si="44"/>
        <v>0</v>
      </c>
      <c r="AR616" s="686">
        <f t="shared" si="44"/>
        <v>0</v>
      </c>
      <c r="AS616" s="190"/>
      <c r="AT616" s="462"/>
      <c r="AU616" s="462"/>
      <c r="AV616" s="462"/>
      <c r="AW616" s="194"/>
      <c r="AX616" s="169"/>
    </row>
    <row r="617" spans="32:50" ht="12" customHeight="1">
      <c r="AF617" s="413" t="s">
        <v>1344</v>
      </c>
      <c r="AL617" s="36"/>
      <c r="AM617" s="696" t="s">
        <v>1620</v>
      </c>
      <c r="AN617" s="706" t="s">
        <v>1316</v>
      </c>
      <c r="AO617" s="189" t="s">
        <v>751</v>
      </c>
      <c r="AP617" s="686">
        <f t="shared" si="44"/>
        <v>0</v>
      </c>
      <c r="AQ617" s="686">
        <f t="shared" si="44"/>
        <v>0</v>
      </c>
      <c r="AR617" s="686">
        <f t="shared" si="44"/>
        <v>0</v>
      </c>
      <c r="AS617" s="190"/>
      <c r="AT617" s="462"/>
      <c r="AU617" s="462"/>
      <c r="AV617" s="462"/>
      <c r="AW617" s="194"/>
      <c r="AX617" s="169"/>
    </row>
    <row r="618" spans="32:50" ht="12" customHeight="1">
      <c r="AF618" s="413" t="s">
        <v>1345</v>
      </c>
      <c r="AL618" s="36"/>
      <c r="AM618" s="696" t="s">
        <v>1621</v>
      </c>
      <c r="AN618" s="706" t="s">
        <v>1317</v>
      </c>
      <c r="AO618" s="189" t="s">
        <v>751</v>
      </c>
      <c r="AP618" s="686">
        <f t="shared" si="44"/>
        <v>0</v>
      </c>
      <c r="AQ618" s="686">
        <f t="shared" si="44"/>
        <v>0</v>
      </c>
      <c r="AR618" s="686">
        <f t="shared" si="44"/>
        <v>0</v>
      </c>
      <c r="AS618" s="190"/>
      <c r="AT618" s="462"/>
      <c r="AU618" s="462"/>
      <c r="AV618" s="462"/>
      <c r="AW618" s="194"/>
      <c r="AX618" s="169"/>
    </row>
    <row r="619" spans="32:50" ht="12" customHeight="1">
      <c r="AF619" s="413" t="s">
        <v>1346</v>
      </c>
      <c r="AL619" s="36"/>
      <c r="AM619" s="696" t="s">
        <v>1622</v>
      </c>
      <c r="AN619" s="706" t="s">
        <v>1318</v>
      </c>
      <c r="AO619" s="189" t="s">
        <v>751</v>
      </c>
      <c r="AP619" s="686">
        <f t="shared" si="44"/>
        <v>0</v>
      </c>
      <c r="AQ619" s="686">
        <f t="shared" si="44"/>
        <v>0</v>
      </c>
      <c r="AR619" s="686">
        <f t="shared" si="44"/>
        <v>0</v>
      </c>
      <c r="AS619" s="190"/>
      <c r="AT619" s="462"/>
      <c r="AU619" s="462"/>
      <c r="AV619" s="462"/>
      <c r="AW619" s="194"/>
      <c r="AX619" s="169"/>
    </row>
    <row r="620" spans="32:50" ht="12" customHeight="1">
      <c r="AF620" s="413" t="s">
        <v>1347</v>
      </c>
      <c r="AL620" s="36"/>
      <c r="AM620" s="696" t="s">
        <v>1623</v>
      </c>
      <c r="AN620" s="707" t="s">
        <v>721</v>
      </c>
      <c r="AO620" s="189" t="s">
        <v>751</v>
      </c>
      <c r="AP620" s="686">
        <f t="shared" si="44"/>
        <v>0</v>
      </c>
      <c r="AQ620" s="686">
        <f t="shared" si="44"/>
        <v>0</v>
      </c>
      <c r="AR620" s="686">
        <f t="shared" si="44"/>
        <v>0</v>
      </c>
      <c r="AS620" s="190"/>
      <c r="AT620" s="462"/>
      <c r="AU620" s="462"/>
      <c r="AV620" s="462"/>
      <c r="AW620" s="194"/>
      <c r="AX620" s="169"/>
    </row>
    <row r="621" spans="32:50" ht="12" customHeight="1">
      <c r="AF621" s="413" t="s">
        <v>1348</v>
      </c>
      <c r="AL621" s="36"/>
      <c r="AM621" s="696" t="s">
        <v>1624</v>
      </c>
      <c r="AN621" s="708" t="s">
        <v>712</v>
      </c>
      <c r="AO621" s="189" t="s">
        <v>751</v>
      </c>
      <c r="AP621" s="686">
        <f t="shared" si="44"/>
        <v>0</v>
      </c>
      <c r="AQ621" s="686">
        <f t="shared" si="44"/>
        <v>0</v>
      </c>
      <c r="AR621" s="686">
        <f t="shared" si="44"/>
        <v>0</v>
      </c>
      <c r="AS621" s="190"/>
      <c r="AT621" s="462"/>
      <c r="AU621" s="462"/>
      <c r="AV621" s="462"/>
      <c r="AW621" s="194"/>
      <c r="AX621" s="169"/>
    </row>
    <row r="622" spans="32:50" ht="12" customHeight="1">
      <c r="AF622" s="413" t="s">
        <v>2612</v>
      </c>
      <c r="AL622" s="36"/>
      <c r="AM622" s="696" t="s">
        <v>2790</v>
      </c>
      <c r="AN622" s="709" t="s">
        <v>1319</v>
      </c>
      <c r="AO622" s="189" t="s">
        <v>751</v>
      </c>
      <c r="AP622" s="686">
        <f t="shared" ref="AP622:AR637" si="45">IF(AP674=0,0,AP726/AP674*1000)</f>
        <v>0</v>
      </c>
      <c r="AQ622" s="686">
        <f t="shared" si="45"/>
        <v>0</v>
      </c>
      <c r="AR622" s="686">
        <f t="shared" si="45"/>
        <v>0</v>
      </c>
      <c r="AS622" s="190"/>
      <c r="AT622" s="462"/>
      <c r="AU622" s="462"/>
      <c r="AV622" s="462"/>
      <c r="AW622" s="194"/>
      <c r="AX622" s="169"/>
    </row>
    <row r="623" spans="32:50" ht="12" customHeight="1">
      <c r="AF623" s="413" t="s">
        <v>2614</v>
      </c>
      <c r="AL623" s="36"/>
      <c r="AM623" s="696" t="s">
        <v>2791</v>
      </c>
      <c r="AN623" s="709" t="s">
        <v>1320</v>
      </c>
      <c r="AO623" s="189" t="s">
        <v>751</v>
      </c>
      <c r="AP623" s="686">
        <f t="shared" si="45"/>
        <v>0</v>
      </c>
      <c r="AQ623" s="686">
        <f t="shared" si="45"/>
        <v>0</v>
      </c>
      <c r="AR623" s="686">
        <f t="shared" si="45"/>
        <v>0</v>
      </c>
      <c r="AS623" s="190"/>
      <c r="AT623" s="462"/>
      <c r="AU623" s="462"/>
      <c r="AV623" s="462"/>
      <c r="AW623" s="194"/>
      <c r="AX623" s="169"/>
    </row>
    <row r="624" spans="32:50" ht="12" customHeight="1">
      <c r="AF624" s="413" t="s">
        <v>2616</v>
      </c>
      <c r="AL624" s="36"/>
      <c r="AM624" s="696" t="s">
        <v>2792</v>
      </c>
      <c r="AN624" s="709" t="s">
        <v>1321</v>
      </c>
      <c r="AO624" s="189" t="s">
        <v>751</v>
      </c>
      <c r="AP624" s="686">
        <f t="shared" si="45"/>
        <v>0</v>
      </c>
      <c r="AQ624" s="686">
        <f t="shared" si="45"/>
        <v>0</v>
      </c>
      <c r="AR624" s="686">
        <f t="shared" si="45"/>
        <v>0</v>
      </c>
      <c r="AS624" s="190"/>
      <c r="AT624" s="462"/>
      <c r="AU624" s="462"/>
      <c r="AV624" s="462"/>
      <c r="AW624" s="194"/>
      <c r="AX624" s="169"/>
    </row>
    <row r="625" spans="32:50" ht="12" customHeight="1">
      <c r="AF625" s="413" t="s">
        <v>2619</v>
      </c>
      <c r="AL625" s="36"/>
      <c r="AM625" s="696" t="s">
        <v>2793</v>
      </c>
      <c r="AN625" s="709" t="s">
        <v>2618</v>
      </c>
      <c r="AO625" s="189" t="s">
        <v>751</v>
      </c>
      <c r="AP625" s="686">
        <f t="shared" si="45"/>
        <v>0</v>
      </c>
      <c r="AQ625" s="686">
        <f t="shared" si="45"/>
        <v>0</v>
      </c>
      <c r="AR625" s="686">
        <f t="shared" si="45"/>
        <v>0</v>
      </c>
      <c r="AS625" s="190"/>
      <c r="AT625" s="462"/>
      <c r="AU625" s="462"/>
      <c r="AV625" s="462"/>
      <c r="AW625" s="194"/>
      <c r="AX625" s="169"/>
    </row>
    <row r="626" spans="32:50" ht="12" customHeight="1">
      <c r="AF626" s="413" t="s">
        <v>2622</v>
      </c>
      <c r="AL626" s="36"/>
      <c r="AM626" s="696" t="s">
        <v>2794</v>
      </c>
      <c r="AN626" s="709" t="s">
        <v>2621</v>
      </c>
      <c r="AO626" s="189" t="s">
        <v>751</v>
      </c>
      <c r="AP626" s="686">
        <f t="shared" si="45"/>
        <v>0</v>
      </c>
      <c r="AQ626" s="686">
        <f t="shared" si="45"/>
        <v>0</v>
      </c>
      <c r="AR626" s="686">
        <f t="shared" si="45"/>
        <v>0</v>
      </c>
      <c r="AS626" s="190"/>
      <c r="AT626" s="462"/>
      <c r="AU626" s="462"/>
      <c r="AV626" s="462"/>
      <c r="AW626" s="194"/>
      <c r="AX626" s="169"/>
    </row>
    <row r="627" spans="32:50" ht="12" customHeight="1">
      <c r="AF627" s="413" t="s">
        <v>2624</v>
      </c>
      <c r="AL627" s="36"/>
      <c r="AM627" s="696" t="s">
        <v>2795</v>
      </c>
      <c r="AN627" s="709" t="s">
        <v>1322</v>
      </c>
      <c r="AO627" s="189" t="s">
        <v>751</v>
      </c>
      <c r="AP627" s="686">
        <f t="shared" si="45"/>
        <v>0</v>
      </c>
      <c r="AQ627" s="686">
        <f t="shared" si="45"/>
        <v>0</v>
      </c>
      <c r="AR627" s="686">
        <f t="shared" si="45"/>
        <v>0</v>
      </c>
      <c r="AS627" s="190"/>
      <c r="AT627" s="462"/>
      <c r="AU627" s="462"/>
      <c r="AV627" s="462"/>
      <c r="AW627" s="194"/>
      <c r="AX627" s="169"/>
    </row>
    <row r="628" spans="32:50" ht="12" customHeight="1">
      <c r="AF628" s="413" t="s">
        <v>2627</v>
      </c>
      <c r="AL628" s="36"/>
      <c r="AM628" s="696" t="s">
        <v>2796</v>
      </c>
      <c r="AN628" s="709" t="s">
        <v>2626</v>
      </c>
      <c r="AO628" s="189" t="s">
        <v>751</v>
      </c>
      <c r="AP628" s="686">
        <f t="shared" si="45"/>
        <v>0</v>
      </c>
      <c r="AQ628" s="686">
        <f t="shared" si="45"/>
        <v>0</v>
      </c>
      <c r="AR628" s="686">
        <f t="shared" si="45"/>
        <v>0</v>
      </c>
      <c r="AS628" s="190"/>
      <c r="AT628" s="462"/>
      <c r="AU628" s="462"/>
      <c r="AV628" s="462"/>
      <c r="AW628" s="194"/>
      <c r="AX628" s="169"/>
    </row>
    <row r="629" spans="32:50" ht="12" customHeight="1">
      <c r="AF629" s="413" t="s">
        <v>2629</v>
      </c>
      <c r="AL629" s="36"/>
      <c r="AM629" s="696" t="s">
        <v>2797</v>
      </c>
      <c r="AN629" s="709" t="s">
        <v>1323</v>
      </c>
      <c r="AO629" s="189" t="s">
        <v>751</v>
      </c>
      <c r="AP629" s="686">
        <f t="shared" si="45"/>
        <v>0</v>
      </c>
      <c r="AQ629" s="686">
        <f t="shared" si="45"/>
        <v>0</v>
      </c>
      <c r="AR629" s="686">
        <f t="shared" si="45"/>
        <v>0</v>
      </c>
      <c r="AS629" s="190"/>
      <c r="AT629" s="462"/>
      <c r="AU629" s="462"/>
      <c r="AV629" s="462"/>
      <c r="AW629" s="194"/>
      <c r="AX629" s="169"/>
    </row>
    <row r="630" spans="32:50" ht="12" customHeight="1">
      <c r="AF630" s="413" t="s">
        <v>2631</v>
      </c>
      <c r="AL630" s="36"/>
      <c r="AM630" s="696" t="s">
        <v>2798</v>
      </c>
      <c r="AN630" s="709" t="s">
        <v>1324</v>
      </c>
      <c r="AO630" s="189" t="s">
        <v>751</v>
      </c>
      <c r="AP630" s="686">
        <f t="shared" si="45"/>
        <v>0</v>
      </c>
      <c r="AQ630" s="686">
        <f t="shared" si="45"/>
        <v>0</v>
      </c>
      <c r="AR630" s="686">
        <f t="shared" si="45"/>
        <v>0</v>
      </c>
      <c r="AS630" s="190"/>
      <c r="AT630" s="462"/>
      <c r="AU630" s="462"/>
      <c r="AV630" s="462"/>
      <c r="AW630" s="194"/>
      <c r="AX630" s="169"/>
    </row>
    <row r="631" spans="32:50" ht="12" customHeight="1">
      <c r="AF631" s="413" t="s">
        <v>2634</v>
      </c>
      <c r="AL631" s="36"/>
      <c r="AM631" s="696" t="s">
        <v>2799</v>
      </c>
      <c r="AN631" s="709" t="s">
        <v>2633</v>
      </c>
      <c r="AO631" s="189" t="s">
        <v>751</v>
      </c>
      <c r="AP631" s="686">
        <f t="shared" si="45"/>
        <v>0</v>
      </c>
      <c r="AQ631" s="686">
        <f t="shared" si="45"/>
        <v>0</v>
      </c>
      <c r="AR631" s="686">
        <f t="shared" si="45"/>
        <v>0</v>
      </c>
      <c r="AS631" s="190"/>
      <c r="AT631" s="462"/>
      <c r="AU631" s="462"/>
      <c r="AV631" s="462"/>
      <c r="AW631" s="194"/>
      <c r="AX631" s="169"/>
    </row>
    <row r="632" spans="32:50" ht="12" customHeight="1">
      <c r="AF632" s="413" t="s">
        <v>2637</v>
      </c>
      <c r="AL632" s="36"/>
      <c r="AM632" s="696" t="s">
        <v>2800</v>
      </c>
      <c r="AN632" s="709" t="s">
        <v>2636</v>
      </c>
      <c r="AO632" s="189" t="s">
        <v>751</v>
      </c>
      <c r="AP632" s="686">
        <f t="shared" si="45"/>
        <v>0</v>
      </c>
      <c r="AQ632" s="686">
        <f t="shared" si="45"/>
        <v>0</v>
      </c>
      <c r="AR632" s="686">
        <f t="shared" si="45"/>
        <v>0</v>
      </c>
      <c r="AS632" s="190"/>
      <c r="AT632" s="462"/>
      <c r="AU632" s="462"/>
      <c r="AV632" s="462"/>
      <c r="AW632" s="194"/>
      <c r="AX632" s="169"/>
    </row>
    <row r="633" spans="32:50" ht="12" customHeight="1">
      <c r="AF633" s="413" t="s">
        <v>2640</v>
      </c>
      <c r="AL633" s="36"/>
      <c r="AM633" s="696" t="s">
        <v>2801</v>
      </c>
      <c r="AN633" s="709" t="s">
        <v>2639</v>
      </c>
      <c r="AO633" s="189" t="s">
        <v>751</v>
      </c>
      <c r="AP633" s="686">
        <f t="shared" si="45"/>
        <v>0</v>
      </c>
      <c r="AQ633" s="686">
        <f t="shared" si="45"/>
        <v>0</v>
      </c>
      <c r="AR633" s="686">
        <f t="shared" si="45"/>
        <v>0</v>
      </c>
      <c r="AS633" s="190"/>
      <c r="AT633" s="462"/>
      <c r="AU633" s="462"/>
      <c r="AV633" s="462"/>
      <c r="AW633" s="194"/>
      <c r="AX633" s="169"/>
    </row>
    <row r="634" spans="32:50" ht="12" customHeight="1">
      <c r="AF634" s="413" t="s">
        <v>2643</v>
      </c>
      <c r="AL634" s="36"/>
      <c r="AM634" s="696" t="s">
        <v>2802</v>
      </c>
      <c r="AN634" s="709" t="s">
        <v>2642</v>
      </c>
      <c r="AO634" s="189" t="s">
        <v>751</v>
      </c>
      <c r="AP634" s="686">
        <f t="shared" si="45"/>
        <v>0</v>
      </c>
      <c r="AQ634" s="686">
        <f t="shared" si="45"/>
        <v>0</v>
      </c>
      <c r="AR634" s="686">
        <f t="shared" si="45"/>
        <v>0</v>
      </c>
      <c r="AS634" s="190"/>
      <c r="AT634" s="462"/>
      <c r="AU634" s="462"/>
      <c r="AV634" s="462"/>
      <c r="AW634" s="194"/>
      <c r="AX634" s="169"/>
    </row>
    <row r="635" spans="32:50" ht="12" customHeight="1">
      <c r="AF635" s="413" t="s">
        <v>2646</v>
      </c>
      <c r="AL635" s="36"/>
      <c r="AM635" s="696" t="s">
        <v>2803</v>
      </c>
      <c r="AN635" s="709" t="s">
        <v>2645</v>
      </c>
      <c r="AO635" s="189" t="s">
        <v>751</v>
      </c>
      <c r="AP635" s="686">
        <f t="shared" si="45"/>
        <v>0</v>
      </c>
      <c r="AQ635" s="686">
        <f t="shared" si="45"/>
        <v>0</v>
      </c>
      <c r="AR635" s="686">
        <f t="shared" si="45"/>
        <v>0</v>
      </c>
      <c r="AS635" s="190"/>
      <c r="AT635" s="462"/>
      <c r="AU635" s="462"/>
      <c r="AV635" s="462"/>
      <c r="AW635" s="194"/>
      <c r="AX635" s="169"/>
    </row>
    <row r="636" spans="32:50" ht="12" customHeight="1">
      <c r="AF636" s="413" t="s">
        <v>2648</v>
      </c>
      <c r="AL636" s="36"/>
      <c r="AM636" s="696" t="s">
        <v>2804</v>
      </c>
      <c r="AN636" s="709" t="s">
        <v>1325</v>
      </c>
      <c r="AO636" s="189" t="s">
        <v>751</v>
      </c>
      <c r="AP636" s="686">
        <f t="shared" si="45"/>
        <v>0</v>
      </c>
      <c r="AQ636" s="686">
        <f t="shared" si="45"/>
        <v>0</v>
      </c>
      <c r="AR636" s="686">
        <f t="shared" si="45"/>
        <v>0</v>
      </c>
      <c r="AS636" s="190"/>
      <c r="AT636" s="462"/>
      <c r="AU636" s="462"/>
      <c r="AV636" s="462"/>
      <c r="AW636" s="194"/>
      <c r="AX636" s="169"/>
    </row>
    <row r="637" spans="32:50" ht="12" customHeight="1">
      <c r="AF637" s="413" t="s">
        <v>2650</v>
      </c>
      <c r="AL637" s="36"/>
      <c r="AM637" s="696" t="s">
        <v>2805</v>
      </c>
      <c r="AN637" s="709" t="s">
        <v>1326</v>
      </c>
      <c r="AO637" s="189" t="s">
        <v>751</v>
      </c>
      <c r="AP637" s="686">
        <f t="shared" si="45"/>
        <v>0</v>
      </c>
      <c r="AQ637" s="686">
        <f t="shared" si="45"/>
        <v>0</v>
      </c>
      <c r="AR637" s="686">
        <f t="shared" si="45"/>
        <v>0</v>
      </c>
      <c r="AS637" s="190"/>
      <c r="AT637" s="462"/>
      <c r="AU637" s="462"/>
      <c r="AV637" s="462"/>
      <c r="AW637" s="194"/>
      <c r="AX637" s="169"/>
    </row>
    <row r="638" spans="32:50" ht="12" customHeight="1">
      <c r="AF638" s="413" t="s">
        <v>2653</v>
      </c>
      <c r="AL638" s="36"/>
      <c r="AM638" s="696" t="s">
        <v>2806</v>
      </c>
      <c r="AN638" s="709" t="s">
        <v>2652</v>
      </c>
      <c r="AO638" s="189" t="s">
        <v>751</v>
      </c>
      <c r="AP638" s="686">
        <f>IF(AP690=0,0,AP742/AP690*1000)</f>
        <v>0</v>
      </c>
      <c r="AQ638" s="686">
        <f>IF(AQ690=0,0,AQ742/AQ690*1000)</f>
        <v>0</v>
      </c>
      <c r="AR638" s="686">
        <f>IF(AR690=0,0,AR742/AR690*1000)</f>
        <v>0</v>
      </c>
      <c r="AS638" s="190"/>
      <c r="AT638" s="462"/>
      <c r="AU638" s="462"/>
      <c r="AV638" s="462"/>
      <c r="AW638" s="194"/>
      <c r="AX638" s="169"/>
    </row>
    <row r="639" spans="32:50" ht="0.75" hidden="1" customHeight="1">
      <c r="AF639" s="413"/>
      <c r="AL639" s="36"/>
      <c r="AM639" s="718"/>
      <c r="AN639" s="460"/>
      <c r="AO639" s="461"/>
      <c r="AP639" s="462"/>
      <c r="AQ639" s="462"/>
      <c r="AR639" s="462"/>
      <c r="AS639" s="190"/>
      <c r="AT639" s="462"/>
      <c r="AU639" s="462"/>
      <c r="AV639" s="462"/>
      <c r="AW639" s="194"/>
      <c r="AX639" s="169"/>
    </row>
    <row r="640" spans="32:50" ht="0.75" hidden="1" customHeight="1">
      <c r="AF640" s="413"/>
      <c r="AL640" s="36"/>
      <c r="AM640" s="718"/>
      <c r="AN640" s="460"/>
      <c r="AO640" s="461"/>
      <c r="AP640" s="462"/>
      <c r="AQ640" s="462"/>
      <c r="AR640" s="462"/>
      <c r="AS640" s="190"/>
      <c r="AT640" s="462"/>
      <c r="AU640" s="462"/>
      <c r="AV640" s="462"/>
      <c r="AW640" s="194"/>
      <c r="AX640" s="169"/>
    </row>
    <row r="641" spans="32:50" ht="12" customHeight="1">
      <c r="AF641" s="413" t="s">
        <v>1357</v>
      </c>
      <c r="AL641" s="36"/>
      <c r="AM641" s="696" t="s">
        <v>1625</v>
      </c>
      <c r="AN641" s="719" t="s">
        <v>1327</v>
      </c>
      <c r="AO641" s="189" t="s">
        <v>751</v>
      </c>
      <c r="AP641" s="686">
        <f t="shared" ref="AP641:AR647" si="46">IF(AP693=0,0,AP745/AP693*1000)</f>
        <v>0</v>
      </c>
      <c r="AQ641" s="686">
        <f t="shared" si="46"/>
        <v>0</v>
      </c>
      <c r="AR641" s="686">
        <f t="shared" si="46"/>
        <v>0</v>
      </c>
      <c r="AS641" s="190"/>
      <c r="AT641" s="462"/>
      <c r="AU641" s="462"/>
      <c r="AV641" s="462"/>
      <c r="AW641" s="194"/>
      <c r="AX641" s="169"/>
    </row>
    <row r="642" spans="32:50" ht="12" customHeight="1">
      <c r="AF642" s="413" t="s">
        <v>1350</v>
      </c>
      <c r="AL642" s="36"/>
      <c r="AM642" s="696" t="s">
        <v>1626</v>
      </c>
      <c r="AN642" s="712" t="s">
        <v>723</v>
      </c>
      <c r="AO642" s="189" t="s">
        <v>751</v>
      </c>
      <c r="AP642" s="686">
        <f t="shared" si="46"/>
        <v>0</v>
      </c>
      <c r="AQ642" s="686">
        <f t="shared" si="46"/>
        <v>0</v>
      </c>
      <c r="AR642" s="686">
        <f t="shared" si="46"/>
        <v>0</v>
      </c>
      <c r="AS642" s="190"/>
      <c r="AT642" s="462"/>
      <c r="AU642" s="462"/>
      <c r="AV642" s="462"/>
      <c r="AW642" s="194"/>
      <c r="AX642" s="169"/>
    </row>
    <row r="643" spans="32:50" ht="12" customHeight="1">
      <c r="AF643" s="413" t="s">
        <v>1351</v>
      </c>
      <c r="AL643" s="36"/>
      <c r="AM643" s="696" t="s">
        <v>1627</v>
      </c>
      <c r="AN643" s="713" t="s">
        <v>748</v>
      </c>
      <c r="AO643" s="189" t="s">
        <v>751</v>
      </c>
      <c r="AP643" s="686">
        <f t="shared" si="46"/>
        <v>0</v>
      </c>
      <c r="AQ643" s="686">
        <f t="shared" si="46"/>
        <v>0</v>
      </c>
      <c r="AR643" s="686">
        <f t="shared" si="46"/>
        <v>0</v>
      </c>
      <c r="AS643" s="190"/>
      <c r="AT643" s="462"/>
      <c r="AU643" s="462"/>
      <c r="AV643" s="462"/>
      <c r="AW643" s="194"/>
      <c r="AX643" s="169"/>
    </row>
    <row r="644" spans="32:50" ht="12" customHeight="1">
      <c r="AF644" s="413" t="s">
        <v>1352</v>
      </c>
      <c r="AL644" s="36"/>
      <c r="AM644" s="696" t="s">
        <v>1628</v>
      </c>
      <c r="AN644" s="714" t="s">
        <v>315</v>
      </c>
      <c r="AO644" s="189" t="s">
        <v>751</v>
      </c>
      <c r="AP644" s="686">
        <f t="shared" si="46"/>
        <v>0</v>
      </c>
      <c r="AQ644" s="686">
        <f t="shared" si="46"/>
        <v>0</v>
      </c>
      <c r="AR644" s="686">
        <f t="shared" si="46"/>
        <v>0</v>
      </c>
      <c r="AS644" s="190"/>
      <c r="AT644" s="462"/>
      <c r="AU644" s="462"/>
      <c r="AV644" s="462"/>
      <c r="AW644" s="194"/>
      <c r="AX644" s="169"/>
    </row>
    <row r="645" spans="32:50" ht="12" customHeight="1">
      <c r="AF645" s="413" t="s">
        <v>1354</v>
      </c>
      <c r="AL645" s="36"/>
      <c r="AM645" s="696" t="s">
        <v>1629</v>
      </c>
      <c r="AN645" s="715" t="s">
        <v>316</v>
      </c>
      <c r="AO645" s="189" t="s">
        <v>751</v>
      </c>
      <c r="AP645" s="686">
        <f t="shared" si="46"/>
        <v>0</v>
      </c>
      <c r="AQ645" s="686">
        <f t="shared" si="46"/>
        <v>0</v>
      </c>
      <c r="AR645" s="686">
        <f t="shared" si="46"/>
        <v>0</v>
      </c>
      <c r="AS645" s="190"/>
      <c r="AT645" s="462"/>
      <c r="AU645" s="462"/>
      <c r="AV645" s="462"/>
      <c r="AW645" s="194"/>
      <c r="AX645" s="169"/>
    </row>
    <row r="646" spans="32:50" ht="12" customHeight="1">
      <c r="AF646" s="413" t="s">
        <v>1353</v>
      </c>
      <c r="AL646" s="36"/>
      <c r="AM646" s="696" t="s">
        <v>1630</v>
      </c>
      <c r="AN646" s="716" t="s">
        <v>317</v>
      </c>
      <c r="AO646" s="189" t="s">
        <v>751</v>
      </c>
      <c r="AP646" s="686">
        <f t="shared" si="46"/>
        <v>0</v>
      </c>
      <c r="AQ646" s="686">
        <f t="shared" si="46"/>
        <v>0</v>
      </c>
      <c r="AR646" s="686">
        <f t="shared" si="46"/>
        <v>0</v>
      </c>
      <c r="AS646" s="190"/>
      <c r="AT646" s="462"/>
      <c r="AU646" s="462"/>
      <c r="AV646" s="462"/>
      <c r="AW646" s="194"/>
      <c r="AX646" s="169"/>
    </row>
    <row r="647" spans="32:50" ht="12" customHeight="1">
      <c r="AF647" s="413" t="s">
        <v>1355</v>
      </c>
      <c r="AL647" s="36"/>
      <c r="AM647" s="696" t="s">
        <v>1631</v>
      </c>
      <c r="AN647" s="701" t="s">
        <v>318</v>
      </c>
      <c r="AO647" s="189" t="s">
        <v>751</v>
      </c>
      <c r="AP647" s="686">
        <f t="shared" si="46"/>
        <v>0</v>
      </c>
      <c r="AQ647" s="686">
        <f t="shared" si="46"/>
        <v>0</v>
      </c>
      <c r="AR647" s="686">
        <f t="shared" si="46"/>
        <v>0</v>
      </c>
      <c r="AS647" s="190"/>
      <c r="AT647" s="462"/>
      <c r="AU647" s="462"/>
      <c r="AV647" s="462"/>
      <c r="AW647" s="194"/>
      <c r="AX647" s="169"/>
    </row>
    <row r="648" spans="32:50" ht="0.75" hidden="1" customHeight="1">
      <c r="AF648" s="413"/>
      <c r="AL648" s="36"/>
      <c r="AM648" s="718"/>
      <c r="AN648" s="460"/>
      <c r="AO648" s="461"/>
      <c r="AP648" s="462"/>
      <c r="AQ648" s="462"/>
      <c r="AR648" s="462"/>
      <c r="AS648" s="190"/>
      <c r="AT648" s="462"/>
      <c r="AU648" s="462"/>
      <c r="AV648" s="462"/>
      <c r="AW648" s="194"/>
      <c r="AX648" s="169"/>
    </row>
    <row r="649" spans="32:50" ht="24" customHeight="1">
      <c r="AF649" s="115"/>
      <c r="AL649" s="36"/>
      <c r="AM649" s="490" t="s">
        <v>1608</v>
      </c>
      <c r="AN649" s="463" t="s">
        <v>657</v>
      </c>
      <c r="AO649" s="189"/>
      <c r="AP649" s="195"/>
      <c r="AQ649" s="195"/>
      <c r="AR649" s="195"/>
      <c r="AS649" s="190"/>
      <c r="AT649" s="462"/>
      <c r="AU649" s="462"/>
      <c r="AV649" s="462"/>
      <c r="AW649" s="194"/>
      <c r="AX649" s="169"/>
    </row>
    <row r="650" spans="32:50" ht="0.75" hidden="1" customHeight="1">
      <c r="AF650" s="413"/>
      <c r="AL650" s="36"/>
      <c r="AM650" s="718"/>
      <c r="AN650" s="460"/>
      <c r="AO650" s="461"/>
      <c r="AP650" s="462"/>
      <c r="AQ650" s="462"/>
      <c r="AR650" s="462"/>
      <c r="AS650" s="190"/>
      <c r="AT650" s="462"/>
      <c r="AU650" s="462"/>
      <c r="AV650" s="462"/>
      <c r="AW650" s="194"/>
      <c r="AX650" s="169"/>
    </row>
    <row r="651" spans="32:50" ht="0.75" hidden="1" customHeight="1">
      <c r="AF651" s="413"/>
      <c r="AL651" s="36"/>
      <c r="AM651" s="718"/>
      <c r="AN651" s="460"/>
      <c r="AO651" s="461"/>
      <c r="AP651" s="462"/>
      <c r="AQ651" s="462"/>
      <c r="AR651" s="462"/>
      <c r="AS651" s="190"/>
      <c r="AT651" s="462"/>
      <c r="AU651" s="462"/>
      <c r="AV651" s="462"/>
      <c r="AW651" s="194"/>
      <c r="AX651" s="169"/>
    </row>
    <row r="652" spans="32:50" ht="0.75" hidden="1" customHeight="1">
      <c r="AF652" s="413"/>
      <c r="AL652" s="36"/>
      <c r="AM652" s="718"/>
      <c r="AN652" s="460"/>
      <c r="AO652" s="461"/>
      <c r="AP652" s="462"/>
      <c r="AQ652" s="462"/>
      <c r="AR652" s="462"/>
      <c r="AS652" s="190"/>
      <c r="AT652" s="462"/>
      <c r="AU652" s="462"/>
      <c r="AV652" s="462"/>
      <c r="AW652" s="194"/>
      <c r="AX652" s="169"/>
    </row>
    <row r="653" spans="32:50" ht="0.75" hidden="1" customHeight="1">
      <c r="AF653" s="413"/>
      <c r="AL653" s="36"/>
      <c r="AM653" s="718"/>
      <c r="AN653" s="460"/>
      <c r="AO653" s="461"/>
      <c r="AP653" s="462"/>
      <c r="AQ653" s="462"/>
      <c r="AR653" s="462"/>
      <c r="AS653" s="190"/>
      <c r="AT653" s="462"/>
      <c r="AU653" s="462"/>
      <c r="AV653" s="462"/>
      <c r="AW653" s="194"/>
      <c r="AX653" s="169"/>
    </row>
    <row r="654" spans="32:50" ht="0.75" hidden="1" customHeight="1">
      <c r="AF654" s="413"/>
      <c r="AL654" s="36"/>
      <c r="AM654" s="718"/>
      <c r="AN654" s="460"/>
      <c r="AO654" s="461"/>
      <c r="AP654" s="462"/>
      <c r="AQ654" s="462"/>
      <c r="AR654" s="462"/>
      <c r="AS654" s="190"/>
      <c r="AT654" s="462"/>
      <c r="AU654" s="462"/>
      <c r="AV654" s="462"/>
      <c r="AW654" s="194"/>
      <c r="AX654" s="169"/>
    </row>
    <row r="655" spans="32:50" ht="0.75" hidden="1" customHeight="1">
      <c r="AF655" s="413"/>
      <c r="AL655" s="36"/>
      <c r="AM655" s="718"/>
      <c r="AN655" s="460"/>
      <c r="AO655" s="461"/>
      <c r="AP655" s="462"/>
      <c r="AQ655" s="462"/>
      <c r="AR655" s="462"/>
      <c r="AS655" s="190"/>
      <c r="AT655" s="462"/>
      <c r="AU655" s="462"/>
      <c r="AV655" s="462"/>
      <c r="AW655" s="194"/>
      <c r="AX655" s="169"/>
    </row>
    <row r="656" spans="32:50" ht="0.75" hidden="1" customHeight="1">
      <c r="AF656" s="413"/>
      <c r="AL656" s="36"/>
      <c r="AM656" s="718"/>
      <c r="AN656" s="460"/>
      <c r="AO656" s="461"/>
      <c r="AP656" s="462"/>
      <c r="AQ656" s="462"/>
      <c r="AR656" s="462"/>
      <c r="AS656" s="190"/>
      <c r="AT656" s="462"/>
      <c r="AU656" s="462"/>
      <c r="AV656" s="462"/>
      <c r="AW656" s="194"/>
      <c r="AX656" s="169"/>
    </row>
    <row r="657" spans="32:50" ht="0.75" hidden="1" customHeight="1">
      <c r="AF657" s="413"/>
      <c r="AL657" s="36"/>
      <c r="AM657" s="718"/>
      <c r="AN657" s="460"/>
      <c r="AO657" s="461"/>
      <c r="AP657" s="462"/>
      <c r="AQ657" s="462"/>
      <c r="AR657" s="462"/>
      <c r="AS657" s="190"/>
      <c r="AT657" s="462"/>
      <c r="AU657" s="462"/>
      <c r="AV657" s="462"/>
      <c r="AW657" s="194"/>
      <c r="AX657" s="169"/>
    </row>
    <row r="658" spans="32:50" ht="12" customHeight="1">
      <c r="AF658" s="413" t="s">
        <v>1332</v>
      </c>
      <c r="AL658" s="36"/>
      <c r="AM658" s="696" t="s">
        <v>1632</v>
      </c>
      <c r="AN658" s="701" t="s">
        <v>684</v>
      </c>
      <c r="AO658" s="189" t="s">
        <v>758</v>
      </c>
      <c r="AP658" s="686">
        <f t="shared" ref="AP658:AR677" si="47">SUMIF($AS$9:$AW$9,AP$9,$AS658:$AW658)</f>
        <v>0</v>
      </c>
      <c r="AQ658" s="686">
        <f t="shared" si="47"/>
        <v>0</v>
      </c>
      <c r="AR658" s="686">
        <f t="shared" si="47"/>
        <v>0</v>
      </c>
      <c r="AS658" s="190"/>
      <c r="AT658" s="462"/>
      <c r="AU658" s="462"/>
      <c r="AV658" s="462"/>
      <c r="AW658" s="194"/>
      <c r="AX658" s="169"/>
    </row>
    <row r="659" spans="32:50" ht="12" customHeight="1">
      <c r="AF659" s="413" t="s">
        <v>1333</v>
      </c>
      <c r="AL659" s="36"/>
      <c r="AM659" s="696" t="s">
        <v>1633</v>
      </c>
      <c r="AN659" s="702" t="s">
        <v>718</v>
      </c>
      <c r="AO659" s="189" t="s">
        <v>758</v>
      </c>
      <c r="AP659" s="686">
        <f t="shared" si="47"/>
        <v>0</v>
      </c>
      <c r="AQ659" s="686">
        <f t="shared" si="47"/>
        <v>0</v>
      </c>
      <c r="AR659" s="686">
        <f t="shared" si="47"/>
        <v>0</v>
      </c>
      <c r="AS659" s="190"/>
      <c r="AT659" s="462"/>
      <c r="AU659" s="462"/>
      <c r="AV659" s="462"/>
      <c r="AW659" s="194"/>
      <c r="AX659" s="169"/>
    </row>
    <row r="660" spans="32:50" ht="12" customHeight="1">
      <c r="AF660" s="413" t="s">
        <v>1334</v>
      </c>
      <c r="AL660" s="36"/>
      <c r="AM660" s="696" t="s">
        <v>1634</v>
      </c>
      <c r="AN660" s="703" t="s">
        <v>722</v>
      </c>
      <c r="AO660" s="189" t="s">
        <v>758</v>
      </c>
      <c r="AP660" s="686">
        <f t="shared" si="47"/>
        <v>0</v>
      </c>
      <c r="AQ660" s="686">
        <f t="shared" si="47"/>
        <v>0</v>
      </c>
      <c r="AR660" s="686">
        <f t="shared" si="47"/>
        <v>0</v>
      </c>
      <c r="AS660" s="190"/>
      <c r="AT660" s="462"/>
      <c r="AU660" s="462"/>
      <c r="AV660" s="462"/>
      <c r="AW660" s="194"/>
      <c r="AX660" s="169"/>
    </row>
    <row r="661" spans="32:50" ht="12" customHeight="1">
      <c r="AF661" s="413" t="s">
        <v>1335</v>
      </c>
      <c r="AL661" s="36"/>
      <c r="AM661" s="696" t="s">
        <v>1635</v>
      </c>
      <c r="AN661" s="704" t="s">
        <v>1309</v>
      </c>
      <c r="AO661" s="189" t="s">
        <v>758</v>
      </c>
      <c r="AP661" s="686">
        <f t="shared" si="47"/>
        <v>0</v>
      </c>
      <c r="AQ661" s="686">
        <f t="shared" si="47"/>
        <v>0</v>
      </c>
      <c r="AR661" s="686">
        <f t="shared" si="47"/>
        <v>0</v>
      </c>
      <c r="AS661" s="190"/>
      <c r="AT661" s="462"/>
      <c r="AU661" s="462"/>
      <c r="AV661" s="462"/>
      <c r="AW661" s="194"/>
      <c r="AX661" s="169"/>
    </row>
    <row r="662" spans="32:50" ht="12" customHeight="1">
      <c r="AF662" s="413" t="s">
        <v>1336</v>
      </c>
      <c r="AL662" s="36"/>
      <c r="AM662" s="696" t="s">
        <v>1636</v>
      </c>
      <c r="AN662" s="704" t="s">
        <v>1310</v>
      </c>
      <c r="AO662" s="189" t="s">
        <v>758</v>
      </c>
      <c r="AP662" s="686">
        <f t="shared" si="47"/>
        <v>0</v>
      </c>
      <c r="AQ662" s="686">
        <f t="shared" si="47"/>
        <v>0</v>
      </c>
      <c r="AR662" s="686">
        <f t="shared" si="47"/>
        <v>0</v>
      </c>
      <c r="AS662" s="190"/>
      <c r="AT662" s="462"/>
      <c r="AU662" s="462"/>
      <c r="AV662" s="462"/>
      <c r="AW662" s="194"/>
      <c r="AX662" s="169"/>
    </row>
    <row r="663" spans="32:50" ht="12" customHeight="1">
      <c r="AF663" s="413" t="s">
        <v>1337</v>
      </c>
      <c r="AL663" s="36"/>
      <c r="AM663" s="696" t="s">
        <v>1637</v>
      </c>
      <c r="AN663" s="704" t="s">
        <v>1311</v>
      </c>
      <c r="AO663" s="189" t="s">
        <v>758</v>
      </c>
      <c r="AP663" s="686">
        <f t="shared" si="47"/>
        <v>0</v>
      </c>
      <c r="AQ663" s="686">
        <f t="shared" si="47"/>
        <v>0</v>
      </c>
      <c r="AR663" s="686">
        <f t="shared" si="47"/>
        <v>0</v>
      </c>
      <c r="AS663" s="190"/>
      <c r="AT663" s="462"/>
      <c r="AU663" s="462"/>
      <c r="AV663" s="462"/>
      <c r="AW663" s="194"/>
      <c r="AX663" s="169"/>
    </row>
    <row r="664" spans="32:50" ht="12" customHeight="1">
      <c r="AF664" s="413" t="s">
        <v>1338</v>
      </c>
      <c r="AL664" s="36"/>
      <c r="AM664" s="696" t="s">
        <v>1638</v>
      </c>
      <c r="AN664" s="704" t="s">
        <v>1312</v>
      </c>
      <c r="AO664" s="189" t="s">
        <v>758</v>
      </c>
      <c r="AP664" s="686">
        <f t="shared" si="47"/>
        <v>0</v>
      </c>
      <c r="AQ664" s="686">
        <f t="shared" si="47"/>
        <v>0</v>
      </c>
      <c r="AR664" s="686">
        <f t="shared" si="47"/>
        <v>0</v>
      </c>
      <c r="AS664" s="190"/>
      <c r="AT664" s="462"/>
      <c r="AU664" s="462"/>
      <c r="AV664" s="462"/>
      <c r="AW664" s="194"/>
      <c r="AX664" s="169"/>
    </row>
    <row r="665" spans="32:50" ht="12" customHeight="1">
      <c r="AF665" s="413" t="s">
        <v>1343</v>
      </c>
      <c r="AL665" s="36"/>
      <c r="AM665" s="696" t="s">
        <v>1639</v>
      </c>
      <c r="AN665" s="705" t="s">
        <v>720</v>
      </c>
      <c r="AO665" s="189" t="s">
        <v>758</v>
      </c>
      <c r="AP665" s="686">
        <f t="shared" si="47"/>
        <v>0</v>
      </c>
      <c r="AQ665" s="686">
        <f t="shared" si="47"/>
        <v>0</v>
      </c>
      <c r="AR665" s="686">
        <f t="shared" si="47"/>
        <v>0</v>
      </c>
      <c r="AS665" s="190"/>
      <c r="AT665" s="462"/>
      <c r="AU665" s="462"/>
      <c r="AV665" s="462"/>
      <c r="AW665" s="194"/>
      <c r="AX665" s="169"/>
    </row>
    <row r="666" spans="32:50" ht="12" customHeight="1">
      <c r="AF666" s="413" t="s">
        <v>1866</v>
      </c>
      <c r="AL666" s="36"/>
      <c r="AM666" s="696" t="s">
        <v>1876</v>
      </c>
      <c r="AN666" s="706" t="s">
        <v>1313</v>
      </c>
      <c r="AO666" s="189" t="s">
        <v>758</v>
      </c>
      <c r="AP666" s="686">
        <f t="shared" si="47"/>
        <v>0</v>
      </c>
      <c r="AQ666" s="686">
        <f t="shared" si="47"/>
        <v>0</v>
      </c>
      <c r="AR666" s="686">
        <f t="shared" si="47"/>
        <v>0</v>
      </c>
      <c r="AS666" s="190"/>
      <c r="AT666" s="462"/>
      <c r="AU666" s="462"/>
      <c r="AV666" s="462"/>
      <c r="AW666" s="194"/>
      <c r="AX666" s="169"/>
    </row>
    <row r="667" spans="32:50" ht="12" customHeight="1">
      <c r="AF667" s="413" t="s">
        <v>1847</v>
      </c>
      <c r="AL667" s="36"/>
      <c r="AM667" s="696" t="s">
        <v>1857</v>
      </c>
      <c r="AN667" s="706" t="s">
        <v>1314</v>
      </c>
      <c r="AO667" s="189" t="s">
        <v>758</v>
      </c>
      <c r="AP667" s="686">
        <f t="shared" si="47"/>
        <v>0</v>
      </c>
      <c r="AQ667" s="686">
        <f t="shared" si="47"/>
        <v>0</v>
      </c>
      <c r="AR667" s="686">
        <f t="shared" si="47"/>
        <v>0</v>
      </c>
      <c r="AS667" s="190"/>
      <c r="AT667" s="462"/>
      <c r="AU667" s="462"/>
      <c r="AV667" s="462"/>
      <c r="AW667" s="194"/>
      <c r="AX667" s="169"/>
    </row>
    <row r="668" spans="32:50" ht="12" customHeight="1">
      <c r="AF668" s="413" t="s">
        <v>1827</v>
      </c>
      <c r="AL668" s="36"/>
      <c r="AM668" s="696" t="s">
        <v>1838</v>
      </c>
      <c r="AN668" s="706" t="s">
        <v>1315</v>
      </c>
      <c r="AO668" s="189" t="s">
        <v>758</v>
      </c>
      <c r="AP668" s="686">
        <f t="shared" si="47"/>
        <v>0</v>
      </c>
      <c r="AQ668" s="686">
        <f t="shared" si="47"/>
        <v>0</v>
      </c>
      <c r="AR668" s="686">
        <f t="shared" si="47"/>
        <v>0</v>
      </c>
      <c r="AS668" s="190"/>
      <c r="AT668" s="462"/>
      <c r="AU668" s="462"/>
      <c r="AV668" s="462"/>
      <c r="AW668" s="194"/>
      <c r="AX668" s="169"/>
    </row>
    <row r="669" spans="32:50" ht="12" customHeight="1">
      <c r="AF669" s="413" t="s">
        <v>1344</v>
      </c>
      <c r="AL669" s="36"/>
      <c r="AM669" s="696" t="s">
        <v>1640</v>
      </c>
      <c r="AN669" s="706" t="s">
        <v>1316</v>
      </c>
      <c r="AO669" s="189" t="s">
        <v>758</v>
      </c>
      <c r="AP669" s="686">
        <f t="shared" si="47"/>
        <v>0</v>
      </c>
      <c r="AQ669" s="686">
        <f t="shared" si="47"/>
        <v>0</v>
      </c>
      <c r="AR669" s="686">
        <f t="shared" si="47"/>
        <v>0</v>
      </c>
      <c r="AS669" s="190"/>
      <c r="AT669" s="462"/>
      <c r="AU669" s="462"/>
      <c r="AV669" s="462"/>
      <c r="AW669" s="194"/>
      <c r="AX669" s="169"/>
    </row>
    <row r="670" spans="32:50" ht="12" customHeight="1">
      <c r="AF670" s="413" t="s">
        <v>1345</v>
      </c>
      <c r="AL670" s="36"/>
      <c r="AM670" s="696" t="s">
        <v>1641</v>
      </c>
      <c r="AN670" s="706" t="s">
        <v>1317</v>
      </c>
      <c r="AO670" s="189" t="s">
        <v>758</v>
      </c>
      <c r="AP670" s="686">
        <f t="shared" si="47"/>
        <v>0</v>
      </c>
      <c r="AQ670" s="686">
        <f t="shared" si="47"/>
        <v>0</v>
      </c>
      <c r="AR670" s="686">
        <f t="shared" si="47"/>
        <v>0</v>
      </c>
      <c r="AS670" s="190"/>
      <c r="AT670" s="462"/>
      <c r="AU670" s="462"/>
      <c r="AV670" s="462"/>
      <c r="AW670" s="194"/>
      <c r="AX670" s="169"/>
    </row>
    <row r="671" spans="32:50" ht="12" customHeight="1">
      <c r="AF671" s="413" t="s">
        <v>1346</v>
      </c>
      <c r="AL671" s="36"/>
      <c r="AM671" s="696" t="s">
        <v>1642</v>
      </c>
      <c r="AN671" s="706" t="s">
        <v>1318</v>
      </c>
      <c r="AO671" s="189" t="s">
        <v>758</v>
      </c>
      <c r="AP671" s="686">
        <f t="shared" si="47"/>
        <v>0</v>
      </c>
      <c r="AQ671" s="686">
        <f t="shared" si="47"/>
        <v>0</v>
      </c>
      <c r="AR671" s="686">
        <f t="shared" si="47"/>
        <v>0</v>
      </c>
      <c r="AS671" s="190"/>
      <c r="AT671" s="462"/>
      <c r="AU671" s="462"/>
      <c r="AV671" s="462"/>
      <c r="AW671" s="194"/>
      <c r="AX671" s="169"/>
    </row>
    <row r="672" spans="32:50" ht="12" customHeight="1">
      <c r="AF672" s="413" t="s">
        <v>1347</v>
      </c>
      <c r="AL672" s="36"/>
      <c r="AM672" s="696" t="s">
        <v>1643</v>
      </c>
      <c r="AN672" s="707" t="s">
        <v>721</v>
      </c>
      <c r="AO672" s="189" t="s">
        <v>758</v>
      </c>
      <c r="AP672" s="686">
        <f t="shared" si="47"/>
        <v>0</v>
      </c>
      <c r="AQ672" s="686">
        <f t="shared" si="47"/>
        <v>0</v>
      </c>
      <c r="AR672" s="686">
        <f t="shared" si="47"/>
        <v>0</v>
      </c>
      <c r="AS672" s="190"/>
      <c r="AT672" s="462"/>
      <c r="AU672" s="462"/>
      <c r="AV672" s="462"/>
      <c r="AW672" s="194"/>
      <c r="AX672" s="169"/>
    </row>
    <row r="673" spans="32:50" ht="12" customHeight="1">
      <c r="AF673" s="413" t="s">
        <v>1348</v>
      </c>
      <c r="AL673" s="36"/>
      <c r="AM673" s="696" t="s">
        <v>1644</v>
      </c>
      <c r="AN673" s="708" t="s">
        <v>712</v>
      </c>
      <c r="AO673" s="189" t="s">
        <v>758</v>
      </c>
      <c r="AP673" s="686">
        <f t="shared" si="47"/>
        <v>0</v>
      </c>
      <c r="AQ673" s="686">
        <f t="shared" si="47"/>
        <v>0</v>
      </c>
      <c r="AR673" s="686">
        <f t="shared" si="47"/>
        <v>0</v>
      </c>
      <c r="AS673" s="190"/>
      <c r="AT673" s="462"/>
      <c r="AU673" s="462"/>
      <c r="AV673" s="462"/>
      <c r="AW673" s="194"/>
      <c r="AX673" s="169"/>
    </row>
    <row r="674" spans="32:50" ht="12" customHeight="1">
      <c r="AF674" s="413" t="s">
        <v>2612</v>
      </c>
      <c r="AL674" s="36"/>
      <c r="AM674" s="696" t="s">
        <v>2807</v>
      </c>
      <c r="AN674" s="709" t="s">
        <v>1319</v>
      </c>
      <c r="AO674" s="189" t="s">
        <v>758</v>
      </c>
      <c r="AP674" s="686">
        <f t="shared" si="47"/>
        <v>0</v>
      </c>
      <c r="AQ674" s="686">
        <f t="shared" si="47"/>
        <v>0</v>
      </c>
      <c r="AR674" s="686">
        <f t="shared" si="47"/>
        <v>0</v>
      </c>
      <c r="AS674" s="190"/>
      <c r="AT674" s="462"/>
      <c r="AU674" s="462"/>
      <c r="AV674" s="462"/>
      <c r="AW674" s="194"/>
      <c r="AX674" s="169"/>
    </row>
    <row r="675" spans="32:50" ht="12" customHeight="1">
      <c r="AF675" s="413" t="s">
        <v>2614</v>
      </c>
      <c r="AL675" s="36"/>
      <c r="AM675" s="696" t="s">
        <v>2808</v>
      </c>
      <c r="AN675" s="709" t="s">
        <v>1320</v>
      </c>
      <c r="AO675" s="189" t="s">
        <v>758</v>
      </c>
      <c r="AP675" s="686">
        <f t="shared" si="47"/>
        <v>0</v>
      </c>
      <c r="AQ675" s="686">
        <f t="shared" si="47"/>
        <v>0</v>
      </c>
      <c r="AR675" s="686">
        <f t="shared" si="47"/>
        <v>0</v>
      </c>
      <c r="AS675" s="190"/>
      <c r="AT675" s="462"/>
      <c r="AU675" s="462"/>
      <c r="AV675" s="462"/>
      <c r="AW675" s="194"/>
      <c r="AX675" s="169"/>
    </row>
    <row r="676" spans="32:50" ht="12" customHeight="1">
      <c r="AF676" s="413" t="s">
        <v>2616</v>
      </c>
      <c r="AL676" s="36"/>
      <c r="AM676" s="696" t="s">
        <v>2809</v>
      </c>
      <c r="AN676" s="709" t="s">
        <v>1321</v>
      </c>
      <c r="AO676" s="189" t="s">
        <v>758</v>
      </c>
      <c r="AP676" s="686">
        <f t="shared" si="47"/>
        <v>0</v>
      </c>
      <c r="AQ676" s="686">
        <f t="shared" si="47"/>
        <v>0</v>
      </c>
      <c r="AR676" s="686">
        <f t="shared" si="47"/>
        <v>0</v>
      </c>
      <c r="AS676" s="190"/>
      <c r="AT676" s="462"/>
      <c r="AU676" s="462"/>
      <c r="AV676" s="462"/>
      <c r="AW676" s="194"/>
      <c r="AX676" s="169"/>
    </row>
    <row r="677" spans="32:50" ht="12" customHeight="1">
      <c r="AF677" s="413" t="s">
        <v>2619</v>
      </c>
      <c r="AL677" s="36"/>
      <c r="AM677" s="696" t="s">
        <v>2810</v>
      </c>
      <c r="AN677" s="709" t="s">
        <v>2618</v>
      </c>
      <c r="AO677" s="189" t="s">
        <v>758</v>
      </c>
      <c r="AP677" s="686">
        <f t="shared" si="47"/>
        <v>0</v>
      </c>
      <c r="AQ677" s="686">
        <f t="shared" si="47"/>
        <v>0</v>
      </c>
      <c r="AR677" s="686">
        <f t="shared" si="47"/>
        <v>0</v>
      </c>
      <c r="AS677" s="190"/>
      <c r="AT677" s="462"/>
      <c r="AU677" s="462"/>
      <c r="AV677" s="462"/>
      <c r="AW677" s="194"/>
      <c r="AX677" s="169"/>
    </row>
    <row r="678" spans="32:50" ht="12" customHeight="1">
      <c r="AF678" s="413" t="s">
        <v>2622</v>
      </c>
      <c r="AL678" s="36"/>
      <c r="AM678" s="696" t="s">
        <v>2811</v>
      </c>
      <c r="AN678" s="709" t="s">
        <v>2621</v>
      </c>
      <c r="AO678" s="189" t="s">
        <v>758</v>
      </c>
      <c r="AP678" s="686">
        <f t="shared" ref="AP678:AR690" si="48">SUMIF($AS$9:$AW$9,AP$9,$AS678:$AW678)</f>
        <v>0</v>
      </c>
      <c r="AQ678" s="686">
        <f t="shared" si="48"/>
        <v>0</v>
      </c>
      <c r="AR678" s="686">
        <f t="shared" si="48"/>
        <v>0</v>
      </c>
      <c r="AS678" s="190"/>
      <c r="AT678" s="462"/>
      <c r="AU678" s="462"/>
      <c r="AV678" s="462"/>
      <c r="AW678" s="194"/>
      <c r="AX678" s="169"/>
    </row>
    <row r="679" spans="32:50" ht="12" customHeight="1">
      <c r="AF679" s="413" t="s">
        <v>2624</v>
      </c>
      <c r="AL679" s="36"/>
      <c r="AM679" s="696" t="s">
        <v>2812</v>
      </c>
      <c r="AN679" s="709" t="s">
        <v>1322</v>
      </c>
      <c r="AO679" s="189" t="s">
        <v>758</v>
      </c>
      <c r="AP679" s="686">
        <f t="shared" si="48"/>
        <v>0</v>
      </c>
      <c r="AQ679" s="686">
        <f t="shared" si="48"/>
        <v>0</v>
      </c>
      <c r="AR679" s="686">
        <f t="shared" si="48"/>
        <v>0</v>
      </c>
      <c r="AS679" s="190"/>
      <c r="AT679" s="462"/>
      <c r="AU679" s="462"/>
      <c r="AV679" s="462"/>
      <c r="AW679" s="194"/>
      <c r="AX679" s="169"/>
    </row>
    <row r="680" spans="32:50" ht="12" customHeight="1">
      <c r="AF680" s="413" t="s">
        <v>2627</v>
      </c>
      <c r="AL680" s="36"/>
      <c r="AM680" s="696" t="s">
        <v>2813</v>
      </c>
      <c r="AN680" s="709" t="s">
        <v>2626</v>
      </c>
      <c r="AO680" s="189" t="s">
        <v>758</v>
      </c>
      <c r="AP680" s="686">
        <f t="shared" si="48"/>
        <v>0</v>
      </c>
      <c r="AQ680" s="686">
        <f t="shared" si="48"/>
        <v>0</v>
      </c>
      <c r="AR680" s="686">
        <f t="shared" si="48"/>
        <v>0</v>
      </c>
      <c r="AS680" s="190"/>
      <c r="AT680" s="462"/>
      <c r="AU680" s="462"/>
      <c r="AV680" s="462"/>
      <c r="AW680" s="194"/>
      <c r="AX680" s="169"/>
    </row>
    <row r="681" spans="32:50" ht="12" customHeight="1">
      <c r="AF681" s="413" t="s">
        <v>2629</v>
      </c>
      <c r="AL681" s="36"/>
      <c r="AM681" s="696" t="s">
        <v>2814</v>
      </c>
      <c r="AN681" s="709" t="s">
        <v>1323</v>
      </c>
      <c r="AO681" s="189" t="s">
        <v>758</v>
      </c>
      <c r="AP681" s="686">
        <f t="shared" si="48"/>
        <v>0</v>
      </c>
      <c r="AQ681" s="686">
        <f t="shared" si="48"/>
        <v>0</v>
      </c>
      <c r="AR681" s="686">
        <f t="shared" si="48"/>
        <v>0</v>
      </c>
      <c r="AS681" s="190"/>
      <c r="AT681" s="462"/>
      <c r="AU681" s="462"/>
      <c r="AV681" s="462"/>
      <c r="AW681" s="194"/>
      <c r="AX681" s="169"/>
    </row>
    <row r="682" spans="32:50" ht="12" customHeight="1">
      <c r="AF682" s="413" t="s">
        <v>2631</v>
      </c>
      <c r="AL682" s="36"/>
      <c r="AM682" s="696" t="s">
        <v>2815</v>
      </c>
      <c r="AN682" s="709" t="s">
        <v>1324</v>
      </c>
      <c r="AO682" s="189" t="s">
        <v>758</v>
      </c>
      <c r="AP682" s="686">
        <f t="shared" si="48"/>
        <v>0</v>
      </c>
      <c r="AQ682" s="686">
        <f t="shared" si="48"/>
        <v>0</v>
      </c>
      <c r="AR682" s="686">
        <f t="shared" si="48"/>
        <v>0</v>
      </c>
      <c r="AS682" s="190"/>
      <c r="AT682" s="462"/>
      <c r="AU682" s="462"/>
      <c r="AV682" s="462"/>
      <c r="AW682" s="194"/>
      <c r="AX682" s="169"/>
    </row>
    <row r="683" spans="32:50" ht="12" customHeight="1">
      <c r="AF683" s="413" t="s">
        <v>2634</v>
      </c>
      <c r="AL683" s="36"/>
      <c r="AM683" s="696" t="s">
        <v>2816</v>
      </c>
      <c r="AN683" s="709" t="s">
        <v>2633</v>
      </c>
      <c r="AO683" s="189" t="s">
        <v>758</v>
      </c>
      <c r="AP683" s="686">
        <f t="shared" si="48"/>
        <v>0</v>
      </c>
      <c r="AQ683" s="686">
        <f t="shared" si="48"/>
        <v>0</v>
      </c>
      <c r="AR683" s="686">
        <f t="shared" si="48"/>
        <v>0</v>
      </c>
      <c r="AS683" s="190"/>
      <c r="AT683" s="462"/>
      <c r="AU683" s="462"/>
      <c r="AV683" s="462"/>
      <c r="AW683" s="194"/>
      <c r="AX683" s="169"/>
    </row>
    <row r="684" spans="32:50" ht="12" customHeight="1">
      <c r="AF684" s="413" t="s">
        <v>2637</v>
      </c>
      <c r="AL684" s="36"/>
      <c r="AM684" s="696" t="s">
        <v>2817</v>
      </c>
      <c r="AN684" s="709" t="s">
        <v>2636</v>
      </c>
      <c r="AO684" s="189" t="s">
        <v>758</v>
      </c>
      <c r="AP684" s="686">
        <f t="shared" si="48"/>
        <v>0</v>
      </c>
      <c r="AQ684" s="686">
        <f t="shared" si="48"/>
        <v>0</v>
      </c>
      <c r="AR684" s="686">
        <f t="shared" si="48"/>
        <v>0</v>
      </c>
      <c r="AS684" s="190"/>
      <c r="AT684" s="462"/>
      <c r="AU684" s="462"/>
      <c r="AV684" s="462"/>
      <c r="AW684" s="194"/>
      <c r="AX684" s="169"/>
    </row>
    <row r="685" spans="32:50" ht="12" customHeight="1">
      <c r="AF685" s="413" t="s">
        <v>2640</v>
      </c>
      <c r="AL685" s="36"/>
      <c r="AM685" s="696" t="s">
        <v>2818</v>
      </c>
      <c r="AN685" s="709" t="s">
        <v>2639</v>
      </c>
      <c r="AO685" s="189" t="s">
        <v>758</v>
      </c>
      <c r="AP685" s="686">
        <f t="shared" si="48"/>
        <v>0</v>
      </c>
      <c r="AQ685" s="686">
        <f t="shared" si="48"/>
        <v>0</v>
      </c>
      <c r="AR685" s="686">
        <f t="shared" si="48"/>
        <v>0</v>
      </c>
      <c r="AS685" s="190"/>
      <c r="AT685" s="462"/>
      <c r="AU685" s="462"/>
      <c r="AV685" s="462"/>
      <c r="AW685" s="194"/>
      <c r="AX685" s="169"/>
    </row>
    <row r="686" spans="32:50" ht="12" customHeight="1">
      <c r="AF686" s="413" t="s">
        <v>2643</v>
      </c>
      <c r="AL686" s="36"/>
      <c r="AM686" s="696" t="s">
        <v>2819</v>
      </c>
      <c r="AN686" s="709" t="s">
        <v>2642</v>
      </c>
      <c r="AO686" s="189" t="s">
        <v>758</v>
      </c>
      <c r="AP686" s="686">
        <f t="shared" si="48"/>
        <v>0</v>
      </c>
      <c r="AQ686" s="686">
        <f t="shared" si="48"/>
        <v>0</v>
      </c>
      <c r="AR686" s="686">
        <f t="shared" si="48"/>
        <v>0</v>
      </c>
      <c r="AS686" s="190"/>
      <c r="AT686" s="462"/>
      <c r="AU686" s="462"/>
      <c r="AV686" s="462"/>
      <c r="AW686" s="194"/>
      <c r="AX686" s="169"/>
    </row>
    <row r="687" spans="32:50" ht="12" customHeight="1">
      <c r="AF687" s="413" t="s">
        <v>2646</v>
      </c>
      <c r="AL687" s="36"/>
      <c r="AM687" s="696" t="s">
        <v>2820</v>
      </c>
      <c r="AN687" s="709" t="s">
        <v>2645</v>
      </c>
      <c r="AO687" s="189" t="s">
        <v>758</v>
      </c>
      <c r="AP687" s="686">
        <f t="shared" si="48"/>
        <v>0</v>
      </c>
      <c r="AQ687" s="686">
        <f t="shared" si="48"/>
        <v>0</v>
      </c>
      <c r="AR687" s="686">
        <f t="shared" si="48"/>
        <v>0</v>
      </c>
      <c r="AS687" s="190"/>
      <c r="AT687" s="462"/>
      <c r="AU687" s="462"/>
      <c r="AV687" s="462"/>
      <c r="AW687" s="194"/>
      <c r="AX687" s="169"/>
    </row>
    <row r="688" spans="32:50" ht="12" customHeight="1">
      <c r="AF688" s="413" t="s">
        <v>2648</v>
      </c>
      <c r="AL688" s="36"/>
      <c r="AM688" s="696" t="s">
        <v>2821</v>
      </c>
      <c r="AN688" s="709" t="s">
        <v>1325</v>
      </c>
      <c r="AO688" s="189" t="s">
        <v>758</v>
      </c>
      <c r="AP688" s="686">
        <f t="shared" si="48"/>
        <v>0</v>
      </c>
      <c r="AQ688" s="686">
        <f t="shared" si="48"/>
        <v>0</v>
      </c>
      <c r="AR688" s="686">
        <f t="shared" si="48"/>
        <v>0</v>
      </c>
      <c r="AS688" s="190"/>
      <c r="AT688" s="462"/>
      <c r="AU688" s="462"/>
      <c r="AV688" s="462"/>
      <c r="AW688" s="194"/>
      <c r="AX688" s="169"/>
    </row>
    <row r="689" spans="32:50" ht="12" customHeight="1">
      <c r="AF689" s="413" t="s">
        <v>2650</v>
      </c>
      <c r="AL689" s="36"/>
      <c r="AM689" s="696" t="s">
        <v>2822</v>
      </c>
      <c r="AN689" s="709" t="s">
        <v>1326</v>
      </c>
      <c r="AO689" s="189" t="s">
        <v>758</v>
      </c>
      <c r="AP689" s="686">
        <f t="shared" si="48"/>
        <v>0</v>
      </c>
      <c r="AQ689" s="686">
        <f t="shared" si="48"/>
        <v>0</v>
      </c>
      <c r="AR689" s="686">
        <f t="shared" si="48"/>
        <v>0</v>
      </c>
      <c r="AS689" s="190"/>
      <c r="AT689" s="462"/>
      <c r="AU689" s="462"/>
      <c r="AV689" s="462"/>
      <c r="AW689" s="194"/>
      <c r="AX689" s="169"/>
    </row>
    <row r="690" spans="32:50" ht="12" customHeight="1">
      <c r="AF690" s="413" t="s">
        <v>2653</v>
      </c>
      <c r="AL690" s="36"/>
      <c r="AM690" s="696" t="s">
        <v>2823</v>
      </c>
      <c r="AN690" s="709" t="s">
        <v>2652</v>
      </c>
      <c r="AO690" s="189" t="s">
        <v>758</v>
      </c>
      <c r="AP690" s="686">
        <f t="shared" si="48"/>
        <v>0</v>
      </c>
      <c r="AQ690" s="686">
        <f t="shared" si="48"/>
        <v>0</v>
      </c>
      <c r="AR690" s="686">
        <f t="shared" si="48"/>
        <v>0</v>
      </c>
      <c r="AS690" s="190"/>
      <c r="AT690" s="462"/>
      <c r="AU690" s="462"/>
      <c r="AV690" s="462"/>
      <c r="AW690" s="194"/>
      <c r="AX690" s="169"/>
    </row>
    <row r="691" spans="32:50" ht="0.75" hidden="1" customHeight="1">
      <c r="AF691" s="413"/>
      <c r="AL691" s="36"/>
      <c r="AM691" s="718"/>
      <c r="AN691" s="460"/>
      <c r="AO691" s="461"/>
      <c r="AP691" s="462"/>
      <c r="AQ691" s="462"/>
      <c r="AR691" s="462"/>
      <c r="AS691" s="190"/>
      <c r="AT691" s="462"/>
      <c r="AU691" s="462"/>
      <c r="AV691" s="462"/>
      <c r="AW691" s="194"/>
      <c r="AX691" s="169"/>
    </row>
    <row r="692" spans="32:50" ht="0.75" hidden="1" customHeight="1">
      <c r="AF692" s="413"/>
      <c r="AL692" s="36"/>
      <c r="AM692" s="718"/>
      <c r="AN692" s="460"/>
      <c r="AO692" s="461"/>
      <c r="AP692" s="462"/>
      <c r="AQ692" s="462"/>
      <c r="AR692" s="462"/>
      <c r="AS692" s="190"/>
      <c r="AT692" s="462"/>
      <c r="AU692" s="462"/>
      <c r="AV692" s="462"/>
      <c r="AW692" s="194"/>
      <c r="AX692" s="169"/>
    </row>
    <row r="693" spans="32:50" ht="12" customHeight="1">
      <c r="AF693" s="413" t="s">
        <v>1357</v>
      </c>
      <c r="AL693" s="36"/>
      <c r="AM693" s="696" t="s">
        <v>1645</v>
      </c>
      <c r="AN693" s="719" t="s">
        <v>1327</v>
      </c>
      <c r="AO693" s="189" t="s">
        <v>758</v>
      </c>
      <c r="AP693" s="686">
        <f t="shared" ref="AP693:AR699" si="49">SUMIF($AS$9:$AW$9,AP$9,$AS693:$AW693)</f>
        <v>0</v>
      </c>
      <c r="AQ693" s="686">
        <f t="shared" si="49"/>
        <v>0</v>
      </c>
      <c r="AR693" s="686">
        <f t="shared" si="49"/>
        <v>0</v>
      </c>
      <c r="AS693" s="190"/>
      <c r="AT693" s="462"/>
      <c r="AU693" s="462"/>
      <c r="AV693" s="462"/>
      <c r="AW693" s="194"/>
      <c r="AX693" s="169"/>
    </row>
    <row r="694" spans="32:50" ht="12" customHeight="1">
      <c r="AF694" s="413" t="s">
        <v>1350</v>
      </c>
      <c r="AL694" s="36"/>
      <c r="AM694" s="696" t="s">
        <v>1646</v>
      </c>
      <c r="AN694" s="712" t="s">
        <v>723</v>
      </c>
      <c r="AO694" s="189" t="s">
        <v>758</v>
      </c>
      <c r="AP694" s="686">
        <f t="shared" si="49"/>
        <v>0</v>
      </c>
      <c r="AQ694" s="686">
        <f t="shared" si="49"/>
        <v>0</v>
      </c>
      <c r="AR694" s="686">
        <f t="shared" si="49"/>
        <v>0</v>
      </c>
      <c r="AS694" s="190"/>
      <c r="AT694" s="462"/>
      <c r="AU694" s="462"/>
      <c r="AV694" s="462"/>
      <c r="AW694" s="194"/>
      <c r="AX694" s="169"/>
    </row>
    <row r="695" spans="32:50" ht="12" customHeight="1">
      <c r="AF695" s="413" t="s">
        <v>1351</v>
      </c>
      <c r="AL695" s="36"/>
      <c r="AM695" s="696" t="s">
        <v>1647</v>
      </c>
      <c r="AN695" s="713" t="s">
        <v>748</v>
      </c>
      <c r="AO695" s="189" t="s">
        <v>758</v>
      </c>
      <c r="AP695" s="686">
        <f t="shared" si="49"/>
        <v>0</v>
      </c>
      <c r="AQ695" s="686">
        <f t="shared" si="49"/>
        <v>0</v>
      </c>
      <c r="AR695" s="686">
        <f t="shared" si="49"/>
        <v>0</v>
      </c>
      <c r="AS695" s="190"/>
      <c r="AT695" s="462"/>
      <c r="AU695" s="462"/>
      <c r="AV695" s="462"/>
      <c r="AW695" s="194"/>
      <c r="AX695" s="169"/>
    </row>
    <row r="696" spans="32:50" ht="12" customHeight="1">
      <c r="AF696" s="413" t="s">
        <v>1352</v>
      </c>
      <c r="AL696" s="36"/>
      <c r="AM696" s="696" t="s">
        <v>1648</v>
      </c>
      <c r="AN696" s="714" t="s">
        <v>315</v>
      </c>
      <c r="AO696" s="189" t="s">
        <v>758</v>
      </c>
      <c r="AP696" s="686">
        <f t="shared" si="49"/>
        <v>0</v>
      </c>
      <c r="AQ696" s="686">
        <f t="shared" si="49"/>
        <v>0</v>
      </c>
      <c r="AR696" s="686">
        <f t="shared" si="49"/>
        <v>0</v>
      </c>
      <c r="AS696" s="190"/>
      <c r="AT696" s="462"/>
      <c r="AU696" s="462"/>
      <c r="AV696" s="462"/>
      <c r="AW696" s="194"/>
      <c r="AX696" s="169"/>
    </row>
    <row r="697" spans="32:50" ht="12" customHeight="1">
      <c r="AF697" s="413" t="s">
        <v>1354</v>
      </c>
      <c r="AL697" s="36"/>
      <c r="AM697" s="696" t="s">
        <v>1649</v>
      </c>
      <c r="AN697" s="715" t="s">
        <v>316</v>
      </c>
      <c r="AO697" s="189" t="s">
        <v>758</v>
      </c>
      <c r="AP697" s="686">
        <f t="shared" si="49"/>
        <v>0</v>
      </c>
      <c r="AQ697" s="686">
        <f t="shared" si="49"/>
        <v>0</v>
      </c>
      <c r="AR697" s="686">
        <f t="shared" si="49"/>
        <v>0</v>
      </c>
      <c r="AS697" s="190"/>
      <c r="AT697" s="462"/>
      <c r="AU697" s="462"/>
      <c r="AV697" s="462"/>
      <c r="AW697" s="194"/>
      <c r="AX697" s="169"/>
    </row>
    <row r="698" spans="32:50" ht="12" customHeight="1">
      <c r="AF698" s="413" t="s">
        <v>1353</v>
      </c>
      <c r="AL698" s="36"/>
      <c r="AM698" s="696" t="s">
        <v>1650</v>
      </c>
      <c r="AN698" s="716" t="s">
        <v>317</v>
      </c>
      <c r="AO698" s="189" t="s">
        <v>758</v>
      </c>
      <c r="AP698" s="686">
        <f t="shared" si="49"/>
        <v>0</v>
      </c>
      <c r="AQ698" s="686">
        <f t="shared" si="49"/>
        <v>0</v>
      </c>
      <c r="AR698" s="686">
        <f t="shared" si="49"/>
        <v>0</v>
      </c>
      <c r="AS698" s="190"/>
      <c r="AT698" s="462"/>
      <c r="AU698" s="462"/>
      <c r="AV698" s="462"/>
      <c r="AW698" s="194"/>
      <c r="AX698" s="169"/>
    </row>
    <row r="699" spans="32:50" ht="12" customHeight="1">
      <c r="AF699" s="413" t="s">
        <v>1355</v>
      </c>
      <c r="AL699" s="36"/>
      <c r="AM699" s="696" t="s">
        <v>1651</v>
      </c>
      <c r="AN699" s="701" t="s">
        <v>318</v>
      </c>
      <c r="AO699" s="189" t="s">
        <v>758</v>
      </c>
      <c r="AP699" s="686">
        <f t="shared" si="49"/>
        <v>0</v>
      </c>
      <c r="AQ699" s="686">
        <f t="shared" si="49"/>
        <v>0</v>
      </c>
      <c r="AR699" s="686">
        <f t="shared" si="49"/>
        <v>0</v>
      </c>
      <c r="AS699" s="190"/>
      <c r="AT699" s="462"/>
      <c r="AU699" s="462"/>
      <c r="AV699" s="462"/>
      <c r="AW699" s="194"/>
      <c r="AX699" s="169"/>
    </row>
    <row r="700" spans="32:50" ht="0.75" hidden="1" customHeight="1">
      <c r="AF700" s="413"/>
      <c r="AL700" s="36"/>
      <c r="AM700" s="718"/>
      <c r="AN700" s="460"/>
      <c r="AO700" s="461"/>
      <c r="AP700" s="462"/>
      <c r="AQ700" s="462"/>
      <c r="AR700" s="462"/>
      <c r="AS700" s="190"/>
      <c r="AT700" s="462"/>
      <c r="AU700" s="462"/>
      <c r="AV700" s="462"/>
      <c r="AW700" s="194"/>
      <c r="AX700" s="169"/>
    </row>
    <row r="701" spans="32:50" ht="24" customHeight="1">
      <c r="AF701" s="115"/>
      <c r="AL701" s="36"/>
      <c r="AM701" s="490" t="s">
        <v>1776</v>
      </c>
      <c r="AN701" s="463" t="s">
        <v>658</v>
      </c>
      <c r="AO701" s="189" t="s">
        <v>195</v>
      </c>
      <c r="AP701" s="686">
        <f>SUMIF($AS$9:$AW$9,AP$9,$AS701:$AW701)</f>
        <v>0</v>
      </c>
      <c r="AQ701" s="686">
        <f>SUMIF($AS$9:$AW$9,AQ$9,$AS701:$AW701)</f>
        <v>0</v>
      </c>
      <c r="AR701" s="686">
        <f>SUMIF($AS$9:$AW$9,AR$9,$AS701:$AW701)</f>
        <v>0</v>
      </c>
      <c r="AS701" s="190"/>
      <c r="AT701" s="263">
        <f>SUM(AT702,AT706:AT711,AT712,AT717,AT724,AT725,AT745:AT751)</f>
        <v>0</v>
      </c>
      <c r="AU701" s="263">
        <f>SUM(AU702,AU706:AU711,AU712,AU717,AU724,AU725,AU745:AU751)</f>
        <v>0</v>
      </c>
      <c r="AV701" s="263">
        <f>SUM(AV702,AV706:AV711,AV712,AV717,AV724,AV725,AV745:AV751)</f>
        <v>0</v>
      </c>
      <c r="AW701" s="194"/>
      <c r="AX701" s="169"/>
    </row>
    <row r="702" spans="32:50" ht="0.75" hidden="1" customHeight="1">
      <c r="AF702" s="413"/>
      <c r="AL702" s="36"/>
      <c r="AM702" s="718"/>
      <c r="AN702" s="460"/>
      <c r="AO702" s="461"/>
      <c r="AP702" s="462"/>
      <c r="AQ702" s="462"/>
      <c r="AR702" s="462"/>
      <c r="AS702" s="190"/>
      <c r="AT702" s="462"/>
      <c r="AU702" s="462"/>
      <c r="AV702" s="462"/>
      <c r="AW702" s="194"/>
      <c r="AX702" s="169"/>
    </row>
    <row r="703" spans="32:50" ht="0.75" hidden="1" customHeight="1">
      <c r="AF703" s="413"/>
      <c r="AL703" s="36"/>
      <c r="AM703" s="718"/>
      <c r="AN703" s="460"/>
      <c r="AO703" s="461"/>
      <c r="AP703" s="462"/>
      <c r="AQ703" s="462"/>
      <c r="AR703" s="462"/>
      <c r="AS703" s="190"/>
      <c r="AT703" s="462"/>
      <c r="AU703" s="462"/>
      <c r="AV703" s="462"/>
      <c r="AW703" s="194"/>
      <c r="AX703" s="169"/>
    </row>
    <row r="704" spans="32:50" ht="0.75" hidden="1" customHeight="1">
      <c r="AF704" s="413"/>
      <c r="AL704" s="36"/>
      <c r="AM704" s="718"/>
      <c r="AN704" s="460"/>
      <c r="AO704" s="461"/>
      <c r="AP704" s="462"/>
      <c r="AQ704" s="462"/>
      <c r="AR704" s="462"/>
      <c r="AS704" s="190"/>
      <c r="AT704" s="462"/>
      <c r="AU704" s="462"/>
      <c r="AV704" s="462"/>
      <c r="AW704" s="194"/>
      <c r="AX704" s="169"/>
    </row>
    <row r="705" spans="32:50" ht="0.75" hidden="1" customHeight="1">
      <c r="AF705" s="413"/>
      <c r="AL705" s="36"/>
      <c r="AM705" s="718"/>
      <c r="AN705" s="460"/>
      <c r="AO705" s="461"/>
      <c r="AP705" s="462"/>
      <c r="AQ705" s="462"/>
      <c r="AR705" s="462"/>
      <c r="AS705" s="190"/>
      <c r="AT705" s="462"/>
      <c r="AU705" s="462"/>
      <c r="AV705" s="462"/>
      <c r="AW705" s="194"/>
      <c r="AX705" s="169"/>
    </row>
    <row r="706" spans="32:50" ht="0.75" hidden="1" customHeight="1">
      <c r="AF706" s="413"/>
      <c r="AL706" s="36"/>
      <c r="AM706" s="718"/>
      <c r="AN706" s="460"/>
      <c r="AO706" s="461"/>
      <c r="AP706" s="462"/>
      <c r="AQ706" s="462"/>
      <c r="AR706" s="462"/>
      <c r="AS706" s="190"/>
      <c r="AT706" s="462"/>
      <c r="AU706" s="462"/>
      <c r="AV706" s="462"/>
      <c r="AW706" s="194"/>
      <c r="AX706" s="169"/>
    </row>
    <row r="707" spans="32:50" ht="0.75" hidden="1" customHeight="1">
      <c r="AF707" s="413"/>
      <c r="AL707" s="36"/>
      <c r="AM707" s="718"/>
      <c r="AN707" s="460"/>
      <c r="AO707" s="461"/>
      <c r="AP707" s="462"/>
      <c r="AQ707" s="462"/>
      <c r="AR707" s="462"/>
      <c r="AS707" s="190"/>
      <c r="AT707" s="462"/>
      <c r="AU707" s="462"/>
      <c r="AV707" s="462"/>
      <c r="AW707" s="194"/>
      <c r="AX707" s="169"/>
    </row>
    <row r="708" spans="32:50" ht="0.75" hidden="1" customHeight="1">
      <c r="AF708" s="413"/>
      <c r="AL708" s="36"/>
      <c r="AM708" s="718"/>
      <c r="AN708" s="460"/>
      <c r="AO708" s="461"/>
      <c r="AP708" s="462"/>
      <c r="AQ708" s="462"/>
      <c r="AR708" s="462"/>
      <c r="AS708" s="190"/>
      <c r="AT708" s="462"/>
      <c r="AU708" s="462"/>
      <c r="AV708" s="462"/>
      <c r="AW708" s="194"/>
      <c r="AX708" s="169"/>
    </row>
    <row r="709" spans="32:50" ht="0.75" hidden="1" customHeight="1">
      <c r="AF709" s="413"/>
      <c r="AL709" s="36"/>
      <c r="AM709" s="718"/>
      <c r="AN709" s="460"/>
      <c r="AO709" s="461"/>
      <c r="AP709" s="462"/>
      <c r="AQ709" s="462"/>
      <c r="AR709" s="462"/>
      <c r="AS709" s="190"/>
      <c r="AT709" s="462"/>
      <c r="AU709" s="462"/>
      <c r="AV709" s="462"/>
      <c r="AW709" s="194"/>
      <c r="AX709" s="169"/>
    </row>
    <row r="710" spans="32:50" ht="12" customHeight="1">
      <c r="AF710" s="413" t="s">
        <v>1332</v>
      </c>
      <c r="AL710" s="36"/>
      <c r="AM710" s="696" t="s">
        <v>1777</v>
      </c>
      <c r="AN710" s="701" t="s">
        <v>684</v>
      </c>
      <c r="AO710" s="189" t="s">
        <v>195</v>
      </c>
      <c r="AP710" s="686">
        <f t="shared" ref="AP710:AR729" si="50">SUMIF($AS$9:$AW$9,AP$9,$AS710:$AW710)</f>
        <v>0</v>
      </c>
      <c r="AQ710" s="686">
        <f t="shared" si="50"/>
        <v>0</v>
      </c>
      <c r="AR710" s="686">
        <f t="shared" si="50"/>
        <v>0</v>
      </c>
      <c r="AS710" s="190"/>
      <c r="AT710" s="462"/>
      <c r="AU710" s="462"/>
      <c r="AV710" s="462"/>
      <c r="AW710" s="194"/>
      <c r="AX710" s="169"/>
    </row>
    <row r="711" spans="32:50" ht="12" customHeight="1">
      <c r="AF711" s="413" t="s">
        <v>1333</v>
      </c>
      <c r="AL711" s="36"/>
      <c r="AM711" s="696" t="s">
        <v>1778</v>
      </c>
      <c r="AN711" s="702" t="s">
        <v>718</v>
      </c>
      <c r="AO711" s="189" t="s">
        <v>195</v>
      </c>
      <c r="AP711" s="686">
        <f t="shared" si="50"/>
        <v>0</v>
      </c>
      <c r="AQ711" s="686">
        <f t="shared" si="50"/>
        <v>0</v>
      </c>
      <c r="AR711" s="686">
        <f t="shared" si="50"/>
        <v>0</v>
      </c>
      <c r="AS711" s="190"/>
      <c r="AT711" s="462"/>
      <c r="AU711" s="462"/>
      <c r="AV711" s="462"/>
      <c r="AW711" s="194"/>
      <c r="AX711" s="169"/>
    </row>
    <row r="712" spans="32:50" ht="12" customHeight="1">
      <c r="AF712" s="413" t="s">
        <v>1334</v>
      </c>
      <c r="AL712" s="36"/>
      <c r="AM712" s="696" t="s">
        <v>1779</v>
      </c>
      <c r="AN712" s="703" t="s">
        <v>722</v>
      </c>
      <c r="AO712" s="189" t="s">
        <v>195</v>
      </c>
      <c r="AP712" s="686">
        <f t="shared" si="50"/>
        <v>0</v>
      </c>
      <c r="AQ712" s="686">
        <f t="shared" si="50"/>
        <v>0</v>
      </c>
      <c r="AR712" s="686">
        <f t="shared" si="50"/>
        <v>0</v>
      </c>
      <c r="AS712" s="190"/>
      <c r="AT712" s="462"/>
      <c r="AU712" s="462"/>
      <c r="AV712" s="462"/>
      <c r="AW712" s="194"/>
      <c r="AX712" s="169"/>
    </row>
    <row r="713" spans="32:50" ht="12" customHeight="1">
      <c r="AF713" s="413" t="s">
        <v>1335</v>
      </c>
      <c r="AL713" s="36"/>
      <c r="AM713" s="696" t="s">
        <v>1780</v>
      </c>
      <c r="AN713" s="704" t="s">
        <v>1309</v>
      </c>
      <c r="AO713" s="189" t="s">
        <v>195</v>
      </c>
      <c r="AP713" s="686">
        <f t="shared" si="50"/>
        <v>0</v>
      </c>
      <c r="AQ713" s="686">
        <f t="shared" si="50"/>
        <v>0</v>
      </c>
      <c r="AR713" s="686">
        <f t="shared" si="50"/>
        <v>0</v>
      </c>
      <c r="AS713" s="190"/>
      <c r="AT713" s="462"/>
      <c r="AU713" s="462"/>
      <c r="AV713" s="462"/>
      <c r="AW713" s="194"/>
      <c r="AX713" s="169"/>
    </row>
    <row r="714" spans="32:50" ht="12" customHeight="1">
      <c r="AF714" s="413" t="s">
        <v>1336</v>
      </c>
      <c r="AL714" s="36"/>
      <c r="AM714" s="696" t="s">
        <v>1781</v>
      </c>
      <c r="AN714" s="704" t="s">
        <v>1310</v>
      </c>
      <c r="AO714" s="189" t="s">
        <v>195</v>
      </c>
      <c r="AP714" s="686">
        <f t="shared" si="50"/>
        <v>0</v>
      </c>
      <c r="AQ714" s="686">
        <f t="shared" si="50"/>
        <v>0</v>
      </c>
      <c r="AR714" s="686">
        <f t="shared" si="50"/>
        <v>0</v>
      </c>
      <c r="AS714" s="190"/>
      <c r="AT714" s="462"/>
      <c r="AU714" s="462"/>
      <c r="AV714" s="462"/>
      <c r="AW714" s="194"/>
      <c r="AX714" s="169"/>
    </row>
    <row r="715" spans="32:50" ht="12" customHeight="1">
      <c r="AF715" s="413" t="s">
        <v>1337</v>
      </c>
      <c r="AL715" s="36"/>
      <c r="AM715" s="696" t="s">
        <v>1782</v>
      </c>
      <c r="AN715" s="704" t="s">
        <v>1311</v>
      </c>
      <c r="AO715" s="189" t="s">
        <v>195</v>
      </c>
      <c r="AP715" s="686">
        <f t="shared" si="50"/>
        <v>0</v>
      </c>
      <c r="AQ715" s="686">
        <f t="shared" si="50"/>
        <v>0</v>
      </c>
      <c r="AR715" s="686">
        <f t="shared" si="50"/>
        <v>0</v>
      </c>
      <c r="AS715" s="190"/>
      <c r="AT715" s="462"/>
      <c r="AU715" s="462"/>
      <c r="AV715" s="462"/>
      <c r="AW715" s="194"/>
      <c r="AX715" s="169"/>
    </row>
    <row r="716" spans="32:50" ht="12" customHeight="1">
      <c r="AF716" s="413" t="s">
        <v>1338</v>
      </c>
      <c r="AL716" s="36"/>
      <c r="AM716" s="696" t="s">
        <v>1783</v>
      </c>
      <c r="AN716" s="704" t="s">
        <v>1312</v>
      </c>
      <c r="AO716" s="189" t="s">
        <v>195</v>
      </c>
      <c r="AP716" s="686">
        <f t="shared" si="50"/>
        <v>0</v>
      </c>
      <c r="AQ716" s="686">
        <f t="shared" si="50"/>
        <v>0</v>
      </c>
      <c r="AR716" s="686">
        <f t="shared" si="50"/>
        <v>0</v>
      </c>
      <c r="AS716" s="190"/>
      <c r="AT716" s="462"/>
      <c r="AU716" s="462"/>
      <c r="AV716" s="462"/>
      <c r="AW716" s="194"/>
      <c r="AX716" s="169"/>
    </row>
    <row r="717" spans="32:50" ht="12" customHeight="1">
      <c r="AF717" s="413" t="s">
        <v>1343</v>
      </c>
      <c r="AL717" s="36"/>
      <c r="AM717" s="696" t="s">
        <v>1784</v>
      </c>
      <c r="AN717" s="705" t="s">
        <v>720</v>
      </c>
      <c r="AO717" s="189" t="s">
        <v>195</v>
      </c>
      <c r="AP717" s="686">
        <f t="shared" si="50"/>
        <v>0</v>
      </c>
      <c r="AQ717" s="686">
        <f t="shared" si="50"/>
        <v>0</v>
      </c>
      <c r="AR717" s="686">
        <f t="shared" si="50"/>
        <v>0</v>
      </c>
      <c r="AS717" s="190"/>
      <c r="AT717" s="462"/>
      <c r="AU717" s="462"/>
      <c r="AV717" s="462"/>
      <c r="AW717" s="194"/>
      <c r="AX717" s="169"/>
    </row>
    <row r="718" spans="32:50" ht="12" customHeight="1">
      <c r="AF718" s="413" t="s">
        <v>1866</v>
      </c>
      <c r="AL718" s="36"/>
      <c r="AM718" s="696" t="s">
        <v>1877</v>
      </c>
      <c r="AN718" s="706" t="s">
        <v>1313</v>
      </c>
      <c r="AO718" s="189" t="s">
        <v>195</v>
      </c>
      <c r="AP718" s="686">
        <f t="shared" si="50"/>
        <v>0</v>
      </c>
      <c r="AQ718" s="686">
        <f t="shared" si="50"/>
        <v>0</v>
      </c>
      <c r="AR718" s="686">
        <f t="shared" si="50"/>
        <v>0</v>
      </c>
      <c r="AS718" s="190"/>
      <c r="AT718" s="462"/>
      <c r="AU718" s="462"/>
      <c r="AV718" s="462"/>
      <c r="AW718" s="194"/>
      <c r="AX718" s="169"/>
    </row>
    <row r="719" spans="32:50" ht="12" customHeight="1">
      <c r="AF719" s="413" t="s">
        <v>1847</v>
      </c>
      <c r="AL719" s="36"/>
      <c r="AM719" s="696" t="s">
        <v>1858</v>
      </c>
      <c r="AN719" s="706" t="s">
        <v>1314</v>
      </c>
      <c r="AO719" s="189" t="s">
        <v>195</v>
      </c>
      <c r="AP719" s="686">
        <f t="shared" si="50"/>
        <v>0</v>
      </c>
      <c r="AQ719" s="686">
        <f t="shared" si="50"/>
        <v>0</v>
      </c>
      <c r="AR719" s="686">
        <f t="shared" si="50"/>
        <v>0</v>
      </c>
      <c r="AS719" s="190"/>
      <c r="AT719" s="462"/>
      <c r="AU719" s="462"/>
      <c r="AV719" s="462"/>
      <c r="AW719" s="194"/>
      <c r="AX719" s="169"/>
    </row>
    <row r="720" spans="32:50" ht="12" customHeight="1">
      <c r="AF720" s="413" t="s">
        <v>1827</v>
      </c>
      <c r="AL720" s="36"/>
      <c r="AM720" s="696" t="s">
        <v>1839</v>
      </c>
      <c r="AN720" s="706" t="s">
        <v>1315</v>
      </c>
      <c r="AO720" s="189" t="s">
        <v>195</v>
      </c>
      <c r="AP720" s="686">
        <f t="shared" si="50"/>
        <v>0</v>
      </c>
      <c r="AQ720" s="686">
        <f t="shared" si="50"/>
        <v>0</v>
      </c>
      <c r="AR720" s="686">
        <f t="shared" si="50"/>
        <v>0</v>
      </c>
      <c r="AS720" s="190"/>
      <c r="AT720" s="462"/>
      <c r="AU720" s="462"/>
      <c r="AV720" s="462"/>
      <c r="AW720" s="194"/>
      <c r="AX720" s="169"/>
    </row>
    <row r="721" spans="32:50" ht="12" customHeight="1">
      <c r="AF721" s="413" t="s">
        <v>1344</v>
      </c>
      <c r="AL721" s="36"/>
      <c r="AM721" s="696" t="s">
        <v>1785</v>
      </c>
      <c r="AN721" s="706" t="s">
        <v>1316</v>
      </c>
      <c r="AO721" s="189" t="s">
        <v>195</v>
      </c>
      <c r="AP721" s="686">
        <f t="shared" si="50"/>
        <v>0</v>
      </c>
      <c r="AQ721" s="686">
        <f t="shared" si="50"/>
        <v>0</v>
      </c>
      <c r="AR721" s="686">
        <f t="shared" si="50"/>
        <v>0</v>
      </c>
      <c r="AS721" s="190"/>
      <c r="AT721" s="462"/>
      <c r="AU721" s="462"/>
      <c r="AV721" s="462"/>
      <c r="AW721" s="194"/>
      <c r="AX721" s="169"/>
    </row>
    <row r="722" spans="32:50" ht="12" customHeight="1">
      <c r="AF722" s="413" t="s">
        <v>1345</v>
      </c>
      <c r="AL722" s="36"/>
      <c r="AM722" s="696" t="s">
        <v>1786</v>
      </c>
      <c r="AN722" s="706" t="s">
        <v>1317</v>
      </c>
      <c r="AO722" s="189" t="s">
        <v>195</v>
      </c>
      <c r="AP722" s="686">
        <f t="shared" si="50"/>
        <v>0</v>
      </c>
      <c r="AQ722" s="686">
        <f t="shared" si="50"/>
        <v>0</v>
      </c>
      <c r="AR722" s="686">
        <f t="shared" si="50"/>
        <v>0</v>
      </c>
      <c r="AS722" s="190"/>
      <c r="AT722" s="462"/>
      <c r="AU722" s="462"/>
      <c r="AV722" s="462"/>
      <c r="AW722" s="194"/>
      <c r="AX722" s="169"/>
    </row>
    <row r="723" spans="32:50" ht="12" customHeight="1">
      <c r="AF723" s="413" t="s">
        <v>1346</v>
      </c>
      <c r="AL723" s="36"/>
      <c r="AM723" s="696" t="s">
        <v>1787</v>
      </c>
      <c r="AN723" s="706" t="s">
        <v>1318</v>
      </c>
      <c r="AO723" s="189" t="s">
        <v>195</v>
      </c>
      <c r="AP723" s="686">
        <f t="shared" si="50"/>
        <v>0</v>
      </c>
      <c r="AQ723" s="686">
        <f t="shared" si="50"/>
        <v>0</v>
      </c>
      <c r="AR723" s="686">
        <f t="shared" si="50"/>
        <v>0</v>
      </c>
      <c r="AS723" s="190"/>
      <c r="AT723" s="462"/>
      <c r="AU723" s="462"/>
      <c r="AV723" s="462"/>
      <c r="AW723" s="194"/>
      <c r="AX723" s="169"/>
    </row>
    <row r="724" spans="32:50" ht="12" customHeight="1">
      <c r="AF724" s="413" t="s">
        <v>1347</v>
      </c>
      <c r="AL724" s="36"/>
      <c r="AM724" s="696" t="s">
        <v>1788</v>
      </c>
      <c r="AN724" s="707" t="s">
        <v>721</v>
      </c>
      <c r="AO724" s="189" t="s">
        <v>195</v>
      </c>
      <c r="AP724" s="686">
        <f t="shared" si="50"/>
        <v>0</v>
      </c>
      <c r="AQ724" s="686">
        <f t="shared" si="50"/>
        <v>0</v>
      </c>
      <c r="AR724" s="686">
        <f t="shared" si="50"/>
        <v>0</v>
      </c>
      <c r="AS724" s="190"/>
      <c r="AT724" s="462"/>
      <c r="AU724" s="462"/>
      <c r="AV724" s="462"/>
      <c r="AW724" s="194"/>
      <c r="AX724" s="169"/>
    </row>
    <row r="725" spans="32:50" ht="12" customHeight="1">
      <c r="AF725" s="413" t="s">
        <v>1348</v>
      </c>
      <c r="AL725" s="36"/>
      <c r="AM725" s="696" t="s">
        <v>1789</v>
      </c>
      <c r="AN725" s="708" t="s">
        <v>712</v>
      </c>
      <c r="AO725" s="189" t="s">
        <v>195</v>
      </c>
      <c r="AP725" s="686">
        <f t="shared" si="50"/>
        <v>0</v>
      </c>
      <c r="AQ725" s="686">
        <f t="shared" si="50"/>
        <v>0</v>
      </c>
      <c r="AR725" s="686">
        <f t="shared" si="50"/>
        <v>0</v>
      </c>
      <c r="AS725" s="190"/>
      <c r="AT725" s="462"/>
      <c r="AU725" s="462"/>
      <c r="AV725" s="462"/>
      <c r="AW725" s="194"/>
      <c r="AX725" s="169"/>
    </row>
    <row r="726" spans="32:50" ht="12" customHeight="1">
      <c r="AF726" s="413" t="s">
        <v>2612</v>
      </c>
      <c r="AL726" s="36"/>
      <c r="AM726" s="696" t="s">
        <v>2824</v>
      </c>
      <c r="AN726" s="709" t="s">
        <v>1319</v>
      </c>
      <c r="AO726" s="189" t="s">
        <v>195</v>
      </c>
      <c r="AP726" s="686">
        <f t="shared" si="50"/>
        <v>0</v>
      </c>
      <c r="AQ726" s="686">
        <f t="shared" si="50"/>
        <v>0</v>
      </c>
      <c r="AR726" s="686">
        <f t="shared" si="50"/>
        <v>0</v>
      </c>
      <c r="AS726" s="190"/>
      <c r="AT726" s="462"/>
      <c r="AU726" s="462"/>
      <c r="AV726" s="462"/>
      <c r="AW726" s="194"/>
      <c r="AX726" s="169"/>
    </row>
    <row r="727" spans="32:50" ht="12" customHeight="1">
      <c r="AF727" s="413" t="s">
        <v>2614</v>
      </c>
      <c r="AL727" s="36"/>
      <c r="AM727" s="696" t="s">
        <v>2825</v>
      </c>
      <c r="AN727" s="709" t="s">
        <v>1320</v>
      </c>
      <c r="AO727" s="189" t="s">
        <v>195</v>
      </c>
      <c r="AP727" s="686">
        <f t="shared" si="50"/>
        <v>0</v>
      </c>
      <c r="AQ727" s="686">
        <f t="shared" si="50"/>
        <v>0</v>
      </c>
      <c r="AR727" s="686">
        <f t="shared" si="50"/>
        <v>0</v>
      </c>
      <c r="AS727" s="190"/>
      <c r="AT727" s="462"/>
      <c r="AU727" s="462"/>
      <c r="AV727" s="462"/>
      <c r="AW727" s="194"/>
      <c r="AX727" s="169"/>
    </row>
    <row r="728" spans="32:50" ht="12" customHeight="1">
      <c r="AF728" s="413" t="s">
        <v>2616</v>
      </c>
      <c r="AL728" s="36"/>
      <c r="AM728" s="696" t="s">
        <v>2826</v>
      </c>
      <c r="AN728" s="709" t="s">
        <v>1321</v>
      </c>
      <c r="AO728" s="189" t="s">
        <v>195</v>
      </c>
      <c r="AP728" s="686">
        <f t="shared" si="50"/>
        <v>0</v>
      </c>
      <c r="AQ728" s="686">
        <f t="shared" si="50"/>
        <v>0</v>
      </c>
      <c r="AR728" s="686">
        <f t="shared" si="50"/>
        <v>0</v>
      </c>
      <c r="AS728" s="190"/>
      <c r="AT728" s="462"/>
      <c r="AU728" s="462"/>
      <c r="AV728" s="462"/>
      <c r="AW728" s="194"/>
      <c r="AX728" s="169"/>
    </row>
    <row r="729" spans="32:50" ht="12" customHeight="1">
      <c r="AF729" s="413" t="s">
        <v>2619</v>
      </c>
      <c r="AL729" s="36"/>
      <c r="AM729" s="696" t="s">
        <v>2827</v>
      </c>
      <c r="AN729" s="709" t="s">
        <v>2618</v>
      </c>
      <c r="AO729" s="189" t="s">
        <v>195</v>
      </c>
      <c r="AP729" s="686">
        <f t="shared" si="50"/>
        <v>0</v>
      </c>
      <c r="AQ729" s="686">
        <f t="shared" si="50"/>
        <v>0</v>
      </c>
      <c r="AR729" s="686">
        <f t="shared" si="50"/>
        <v>0</v>
      </c>
      <c r="AS729" s="190"/>
      <c r="AT729" s="462"/>
      <c r="AU729" s="462"/>
      <c r="AV729" s="462"/>
      <c r="AW729" s="194"/>
      <c r="AX729" s="169"/>
    </row>
    <row r="730" spans="32:50" ht="12" customHeight="1">
      <c r="AF730" s="413" t="s">
        <v>2622</v>
      </c>
      <c r="AL730" s="36"/>
      <c r="AM730" s="696" t="s">
        <v>2828</v>
      </c>
      <c r="AN730" s="709" t="s">
        <v>2621</v>
      </c>
      <c r="AO730" s="189" t="s">
        <v>195</v>
      </c>
      <c r="AP730" s="686">
        <f t="shared" ref="AP730:AR742" si="51">SUMIF($AS$9:$AW$9,AP$9,$AS730:$AW730)</f>
        <v>0</v>
      </c>
      <c r="AQ730" s="686">
        <f t="shared" si="51"/>
        <v>0</v>
      </c>
      <c r="AR730" s="686">
        <f t="shared" si="51"/>
        <v>0</v>
      </c>
      <c r="AS730" s="190"/>
      <c r="AT730" s="462"/>
      <c r="AU730" s="462"/>
      <c r="AV730" s="462"/>
      <c r="AW730" s="194"/>
      <c r="AX730" s="169"/>
    </row>
    <row r="731" spans="32:50" ht="12" customHeight="1">
      <c r="AF731" s="413" t="s">
        <v>2624</v>
      </c>
      <c r="AL731" s="36"/>
      <c r="AM731" s="696" t="s">
        <v>2829</v>
      </c>
      <c r="AN731" s="709" t="s">
        <v>1322</v>
      </c>
      <c r="AO731" s="189" t="s">
        <v>195</v>
      </c>
      <c r="AP731" s="686">
        <f t="shared" si="51"/>
        <v>0</v>
      </c>
      <c r="AQ731" s="686">
        <f t="shared" si="51"/>
        <v>0</v>
      </c>
      <c r="AR731" s="686">
        <f t="shared" si="51"/>
        <v>0</v>
      </c>
      <c r="AS731" s="190"/>
      <c r="AT731" s="462"/>
      <c r="AU731" s="462"/>
      <c r="AV731" s="462"/>
      <c r="AW731" s="194"/>
      <c r="AX731" s="169"/>
    </row>
    <row r="732" spans="32:50" ht="12" customHeight="1">
      <c r="AF732" s="413" t="s">
        <v>2627</v>
      </c>
      <c r="AL732" s="36"/>
      <c r="AM732" s="696" t="s">
        <v>2830</v>
      </c>
      <c r="AN732" s="709" t="s">
        <v>2626</v>
      </c>
      <c r="AO732" s="189" t="s">
        <v>195</v>
      </c>
      <c r="AP732" s="686">
        <f t="shared" si="51"/>
        <v>0</v>
      </c>
      <c r="AQ732" s="686">
        <f t="shared" si="51"/>
        <v>0</v>
      </c>
      <c r="AR732" s="686">
        <f t="shared" si="51"/>
        <v>0</v>
      </c>
      <c r="AS732" s="190"/>
      <c r="AT732" s="462"/>
      <c r="AU732" s="462"/>
      <c r="AV732" s="462"/>
      <c r="AW732" s="194"/>
      <c r="AX732" s="169"/>
    </row>
    <row r="733" spans="32:50" ht="12" customHeight="1">
      <c r="AF733" s="413" t="s">
        <v>2629</v>
      </c>
      <c r="AL733" s="36"/>
      <c r="AM733" s="696" t="s">
        <v>2831</v>
      </c>
      <c r="AN733" s="709" t="s">
        <v>1323</v>
      </c>
      <c r="AO733" s="189" t="s">
        <v>195</v>
      </c>
      <c r="AP733" s="686">
        <f t="shared" si="51"/>
        <v>0</v>
      </c>
      <c r="AQ733" s="686">
        <f t="shared" si="51"/>
        <v>0</v>
      </c>
      <c r="AR733" s="686">
        <f t="shared" si="51"/>
        <v>0</v>
      </c>
      <c r="AS733" s="190"/>
      <c r="AT733" s="462"/>
      <c r="AU733" s="462"/>
      <c r="AV733" s="462"/>
      <c r="AW733" s="194"/>
      <c r="AX733" s="169"/>
    </row>
    <row r="734" spans="32:50" ht="12" customHeight="1">
      <c r="AF734" s="413" t="s">
        <v>2631</v>
      </c>
      <c r="AL734" s="36"/>
      <c r="AM734" s="696" t="s">
        <v>2832</v>
      </c>
      <c r="AN734" s="709" t="s">
        <v>1324</v>
      </c>
      <c r="AO734" s="189" t="s">
        <v>195</v>
      </c>
      <c r="AP734" s="686">
        <f t="shared" si="51"/>
        <v>0</v>
      </c>
      <c r="AQ734" s="686">
        <f t="shared" si="51"/>
        <v>0</v>
      </c>
      <c r="AR734" s="686">
        <f t="shared" si="51"/>
        <v>0</v>
      </c>
      <c r="AS734" s="190"/>
      <c r="AT734" s="462"/>
      <c r="AU734" s="462"/>
      <c r="AV734" s="462"/>
      <c r="AW734" s="194"/>
      <c r="AX734" s="169"/>
    </row>
    <row r="735" spans="32:50" ht="12" customHeight="1">
      <c r="AF735" s="413" t="s">
        <v>2634</v>
      </c>
      <c r="AL735" s="36"/>
      <c r="AM735" s="696" t="s">
        <v>2833</v>
      </c>
      <c r="AN735" s="709" t="s">
        <v>2633</v>
      </c>
      <c r="AO735" s="189" t="s">
        <v>195</v>
      </c>
      <c r="AP735" s="686">
        <f t="shared" si="51"/>
        <v>0</v>
      </c>
      <c r="AQ735" s="686">
        <f t="shared" si="51"/>
        <v>0</v>
      </c>
      <c r="AR735" s="686">
        <f t="shared" si="51"/>
        <v>0</v>
      </c>
      <c r="AS735" s="190"/>
      <c r="AT735" s="462"/>
      <c r="AU735" s="462"/>
      <c r="AV735" s="462"/>
      <c r="AW735" s="194"/>
      <c r="AX735" s="169"/>
    </row>
    <row r="736" spans="32:50" ht="12" customHeight="1">
      <c r="AF736" s="413" t="s">
        <v>2637</v>
      </c>
      <c r="AL736" s="36"/>
      <c r="AM736" s="696" t="s">
        <v>2834</v>
      </c>
      <c r="AN736" s="709" t="s">
        <v>2636</v>
      </c>
      <c r="AO736" s="189" t="s">
        <v>195</v>
      </c>
      <c r="AP736" s="686">
        <f t="shared" si="51"/>
        <v>0</v>
      </c>
      <c r="AQ736" s="686">
        <f t="shared" si="51"/>
        <v>0</v>
      </c>
      <c r="AR736" s="686">
        <f t="shared" si="51"/>
        <v>0</v>
      </c>
      <c r="AS736" s="190"/>
      <c r="AT736" s="462"/>
      <c r="AU736" s="462"/>
      <c r="AV736" s="462"/>
      <c r="AW736" s="194"/>
      <c r="AX736" s="169"/>
    </row>
    <row r="737" spans="32:50" ht="12" customHeight="1">
      <c r="AF737" s="413" t="s">
        <v>2640</v>
      </c>
      <c r="AL737" s="36"/>
      <c r="AM737" s="696" t="s">
        <v>2835</v>
      </c>
      <c r="AN737" s="709" t="s">
        <v>2639</v>
      </c>
      <c r="AO737" s="189" t="s">
        <v>195</v>
      </c>
      <c r="AP737" s="686">
        <f t="shared" si="51"/>
        <v>0</v>
      </c>
      <c r="AQ737" s="686">
        <f t="shared" si="51"/>
        <v>0</v>
      </c>
      <c r="AR737" s="686">
        <f t="shared" si="51"/>
        <v>0</v>
      </c>
      <c r="AS737" s="190"/>
      <c r="AT737" s="462"/>
      <c r="AU737" s="462"/>
      <c r="AV737" s="462"/>
      <c r="AW737" s="194"/>
      <c r="AX737" s="169"/>
    </row>
    <row r="738" spans="32:50" ht="12" customHeight="1">
      <c r="AF738" s="413" t="s">
        <v>2643</v>
      </c>
      <c r="AL738" s="36"/>
      <c r="AM738" s="696" t="s">
        <v>2836</v>
      </c>
      <c r="AN738" s="709" t="s">
        <v>2642</v>
      </c>
      <c r="AO738" s="189" t="s">
        <v>195</v>
      </c>
      <c r="AP738" s="686">
        <f t="shared" si="51"/>
        <v>0</v>
      </c>
      <c r="AQ738" s="686">
        <f t="shared" si="51"/>
        <v>0</v>
      </c>
      <c r="AR738" s="686">
        <f t="shared" si="51"/>
        <v>0</v>
      </c>
      <c r="AS738" s="190"/>
      <c r="AT738" s="462"/>
      <c r="AU738" s="462"/>
      <c r="AV738" s="462"/>
      <c r="AW738" s="194"/>
      <c r="AX738" s="169"/>
    </row>
    <row r="739" spans="32:50" ht="12" customHeight="1">
      <c r="AF739" s="413" t="s">
        <v>2646</v>
      </c>
      <c r="AL739" s="36"/>
      <c r="AM739" s="696" t="s">
        <v>2837</v>
      </c>
      <c r="AN739" s="709" t="s">
        <v>2645</v>
      </c>
      <c r="AO739" s="189" t="s">
        <v>195</v>
      </c>
      <c r="AP739" s="686">
        <f t="shared" si="51"/>
        <v>0</v>
      </c>
      <c r="AQ739" s="686">
        <f t="shared" si="51"/>
        <v>0</v>
      </c>
      <c r="AR739" s="686">
        <f t="shared" si="51"/>
        <v>0</v>
      </c>
      <c r="AS739" s="190"/>
      <c r="AT739" s="462"/>
      <c r="AU739" s="462"/>
      <c r="AV739" s="462"/>
      <c r="AW739" s="194"/>
      <c r="AX739" s="169"/>
    </row>
    <row r="740" spans="32:50" ht="12" customHeight="1">
      <c r="AF740" s="413" t="s">
        <v>2648</v>
      </c>
      <c r="AL740" s="36"/>
      <c r="AM740" s="696" t="s">
        <v>2838</v>
      </c>
      <c r="AN740" s="709" t="s">
        <v>1325</v>
      </c>
      <c r="AO740" s="189" t="s">
        <v>195</v>
      </c>
      <c r="AP740" s="686">
        <f t="shared" si="51"/>
        <v>0</v>
      </c>
      <c r="AQ740" s="686">
        <f t="shared" si="51"/>
        <v>0</v>
      </c>
      <c r="AR740" s="686">
        <f t="shared" si="51"/>
        <v>0</v>
      </c>
      <c r="AS740" s="190"/>
      <c r="AT740" s="462"/>
      <c r="AU740" s="462"/>
      <c r="AV740" s="462"/>
      <c r="AW740" s="194"/>
      <c r="AX740" s="169"/>
    </row>
    <row r="741" spans="32:50" ht="12" customHeight="1">
      <c r="AF741" s="413" t="s">
        <v>2650</v>
      </c>
      <c r="AL741" s="36"/>
      <c r="AM741" s="696" t="s">
        <v>2839</v>
      </c>
      <c r="AN741" s="709" t="s">
        <v>1326</v>
      </c>
      <c r="AO741" s="189" t="s">
        <v>195</v>
      </c>
      <c r="AP741" s="686">
        <f t="shared" si="51"/>
        <v>0</v>
      </c>
      <c r="AQ741" s="686">
        <f t="shared" si="51"/>
        <v>0</v>
      </c>
      <c r="AR741" s="686">
        <f t="shared" si="51"/>
        <v>0</v>
      </c>
      <c r="AS741" s="190"/>
      <c r="AT741" s="462"/>
      <c r="AU741" s="462"/>
      <c r="AV741" s="462"/>
      <c r="AW741" s="194"/>
      <c r="AX741" s="169"/>
    </row>
    <row r="742" spans="32:50" ht="12" customHeight="1">
      <c r="AF742" s="413" t="s">
        <v>2653</v>
      </c>
      <c r="AL742" s="36"/>
      <c r="AM742" s="696" t="s">
        <v>2840</v>
      </c>
      <c r="AN742" s="709" t="s">
        <v>2652</v>
      </c>
      <c r="AO742" s="189" t="s">
        <v>195</v>
      </c>
      <c r="AP742" s="686">
        <f t="shared" si="51"/>
        <v>0</v>
      </c>
      <c r="AQ742" s="686">
        <f t="shared" si="51"/>
        <v>0</v>
      </c>
      <c r="AR742" s="686">
        <f t="shared" si="51"/>
        <v>0</v>
      </c>
      <c r="AS742" s="190"/>
      <c r="AT742" s="462"/>
      <c r="AU742" s="462"/>
      <c r="AV742" s="462"/>
      <c r="AW742" s="194"/>
      <c r="AX742" s="169"/>
    </row>
    <row r="743" spans="32:50" ht="0.75" hidden="1" customHeight="1">
      <c r="AF743" s="413"/>
      <c r="AL743" s="36"/>
      <c r="AM743" s="718"/>
      <c r="AN743" s="460"/>
      <c r="AO743" s="461"/>
      <c r="AP743" s="462"/>
      <c r="AQ743" s="462"/>
      <c r="AR743" s="462"/>
      <c r="AS743" s="190"/>
      <c r="AT743" s="462"/>
      <c r="AU743" s="462"/>
      <c r="AV743" s="462"/>
      <c r="AW743" s="194"/>
      <c r="AX743" s="169"/>
    </row>
    <row r="744" spans="32:50" ht="0.75" hidden="1" customHeight="1">
      <c r="AF744" s="413"/>
      <c r="AL744" s="36"/>
      <c r="AM744" s="718"/>
      <c r="AN744" s="460"/>
      <c r="AO744" s="461"/>
      <c r="AP744" s="462"/>
      <c r="AQ744" s="462"/>
      <c r="AR744" s="462"/>
      <c r="AS744" s="190"/>
      <c r="AT744" s="462"/>
      <c r="AU744" s="462"/>
      <c r="AV744" s="462"/>
      <c r="AW744" s="194"/>
      <c r="AX744" s="169"/>
    </row>
    <row r="745" spans="32:50" ht="12" customHeight="1">
      <c r="AF745" s="413" t="s">
        <v>1357</v>
      </c>
      <c r="AL745" s="36"/>
      <c r="AM745" s="696" t="s">
        <v>1790</v>
      </c>
      <c r="AN745" s="719" t="s">
        <v>1327</v>
      </c>
      <c r="AO745" s="189" t="s">
        <v>195</v>
      </c>
      <c r="AP745" s="686">
        <f t="shared" ref="AP745:AR751" si="52">SUMIF($AS$9:$AW$9,AP$9,$AS745:$AW745)</f>
        <v>0</v>
      </c>
      <c r="AQ745" s="686">
        <f t="shared" si="52"/>
        <v>0</v>
      </c>
      <c r="AR745" s="686">
        <f t="shared" si="52"/>
        <v>0</v>
      </c>
      <c r="AS745" s="190"/>
      <c r="AT745" s="462"/>
      <c r="AU745" s="462"/>
      <c r="AV745" s="462"/>
      <c r="AW745" s="194"/>
      <c r="AX745" s="169"/>
    </row>
    <row r="746" spans="32:50" ht="12" customHeight="1">
      <c r="AF746" s="413" t="s">
        <v>1350</v>
      </c>
      <c r="AL746" s="36"/>
      <c r="AM746" s="696" t="s">
        <v>1791</v>
      </c>
      <c r="AN746" s="712" t="s">
        <v>723</v>
      </c>
      <c r="AO746" s="189" t="s">
        <v>195</v>
      </c>
      <c r="AP746" s="686">
        <f t="shared" si="52"/>
        <v>0</v>
      </c>
      <c r="AQ746" s="686">
        <f t="shared" si="52"/>
        <v>0</v>
      </c>
      <c r="AR746" s="686">
        <f t="shared" si="52"/>
        <v>0</v>
      </c>
      <c r="AS746" s="190"/>
      <c r="AT746" s="462"/>
      <c r="AU746" s="462"/>
      <c r="AV746" s="462"/>
      <c r="AW746" s="194"/>
      <c r="AX746" s="169"/>
    </row>
    <row r="747" spans="32:50" ht="12" customHeight="1">
      <c r="AF747" s="413" t="s">
        <v>1351</v>
      </c>
      <c r="AL747" s="36"/>
      <c r="AM747" s="696" t="s">
        <v>1792</v>
      </c>
      <c r="AN747" s="713" t="s">
        <v>748</v>
      </c>
      <c r="AO747" s="189" t="s">
        <v>195</v>
      </c>
      <c r="AP747" s="686">
        <f t="shared" si="52"/>
        <v>0</v>
      </c>
      <c r="AQ747" s="686">
        <f t="shared" si="52"/>
        <v>0</v>
      </c>
      <c r="AR747" s="686">
        <f t="shared" si="52"/>
        <v>0</v>
      </c>
      <c r="AS747" s="190"/>
      <c r="AT747" s="462"/>
      <c r="AU747" s="462"/>
      <c r="AV747" s="462"/>
      <c r="AW747" s="194"/>
      <c r="AX747" s="169"/>
    </row>
    <row r="748" spans="32:50" ht="12" customHeight="1">
      <c r="AF748" s="413" t="s">
        <v>1352</v>
      </c>
      <c r="AL748" s="36"/>
      <c r="AM748" s="696" t="s">
        <v>1793</v>
      </c>
      <c r="AN748" s="714" t="s">
        <v>315</v>
      </c>
      <c r="AO748" s="189" t="s">
        <v>195</v>
      </c>
      <c r="AP748" s="686">
        <f t="shared" si="52"/>
        <v>0</v>
      </c>
      <c r="AQ748" s="686">
        <f t="shared" si="52"/>
        <v>0</v>
      </c>
      <c r="AR748" s="686">
        <f t="shared" si="52"/>
        <v>0</v>
      </c>
      <c r="AS748" s="190"/>
      <c r="AT748" s="462"/>
      <c r="AU748" s="462"/>
      <c r="AV748" s="462"/>
      <c r="AW748" s="194"/>
      <c r="AX748" s="169"/>
    </row>
    <row r="749" spans="32:50" ht="12" customHeight="1">
      <c r="AF749" s="413" t="s">
        <v>1354</v>
      </c>
      <c r="AL749" s="36"/>
      <c r="AM749" s="696" t="s">
        <v>1794</v>
      </c>
      <c r="AN749" s="715" t="s">
        <v>316</v>
      </c>
      <c r="AO749" s="189" t="s">
        <v>195</v>
      </c>
      <c r="AP749" s="686">
        <f t="shared" si="52"/>
        <v>0</v>
      </c>
      <c r="AQ749" s="686">
        <f t="shared" si="52"/>
        <v>0</v>
      </c>
      <c r="AR749" s="686">
        <f t="shared" si="52"/>
        <v>0</v>
      </c>
      <c r="AS749" s="190"/>
      <c r="AT749" s="462"/>
      <c r="AU749" s="462"/>
      <c r="AV749" s="462"/>
      <c r="AW749" s="194"/>
      <c r="AX749" s="169"/>
    </row>
    <row r="750" spans="32:50" ht="12" customHeight="1">
      <c r="AF750" s="413" t="s">
        <v>1353</v>
      </c>
      <c r="AL750" s="36"/>
      <c r="AM750" s="696" t="s">
        <v>1795</v>
      </c>
      <c r="AN750" s="716" t="s">
        <v>317</v>
      </c>
      <c r="AO750" s="189" t="s">
        <v>195</v>
      </c>
      <c r="AP750" s="686">
        <f t="shared" si="52"/>
        <v>0</v>
      </c>
      <c r="AQ750" s="686">
        <f t="shared" si="52"/>
        <v>0</v>
      </c>
      <c r="AR750" s="686">
        <f t="shared" si="52"/>
        <v>0</v>
      </c>
      <c r="AS750" s="190"/>
      <c r="AT750" s="462"/>
      <c r="AU750" s="462"/>
      <c r="AV750" s="462"/>
      <c r="AW750" s="194"/>
      <c r="AX750" s="169"/>
    </row>
    <row r="751" spans="32:50" ht="12" customHeight="1">
      <c r="AF751" s="413" t="s">
        <v>1355</v>
      </c>
      <c r="AL751" s="36"/>
      <c r="AM751" s="696" t="s">
        <v>1796</v>
      </c>
      <c r="AN751" s="701" t="s">
        <v>318</v>
      </c>
      <c r="AO751" s="189" t="s">
        <v>195</v>
      </c>
      <c r="AP751" s="686">
        <f t="shared" si="52"/>
        <v>0</v>
      </c>
      <c r="AQ751" s="686">
        <f t="shared" si="52"/>
        <v>0</v>
      </c>
      <c r="AR751" s="686">
        <f t="shared" si="52"/>
        <v>0</v>
      </c>
      <c r="AS751" s="190"/>
      <c r="AT751" s="462"/>
      <c r="AU751" s="462"/>
      <c r="AV751" s="462"/>
      <c r="AW751" s="194"/>
      <c r="AX751" s="169"/>
    </row>
    <row r="752" spans="32:50" ht="0.75" hidden="1" customHeight="1">
      <c r="AF752" s="413"/>
      <c r="AL752" s="36"/>
      <c r="AM752" s="718"/>
      <c r="AN752" s="460"/>
      <c r="AO752" s="461"/>
      <c r="AP752" s="462"/>
      <c r="AQ752" s="462"/>
      <c r="AR752" s="462"/>
      <c r="AS752" s="190"/>
      <c r="AT752" s="462"/>
      <c r="AU752" s="462"/>
      <c r="AV752" s="462"/>
      <c r="AW752" s="194"/>
      <c r="AX752" s="169"/>
    </row>
    <row r="753" spans="32:50" ht="24" customHeight="1">
      <c r="AF753" s="115"/>
      <c r="AL753" s="36"/>
      <c r="AM753" s="490" t="s">
        <v>1610</v>
      </c>
      <c r="AN753" s="463" t="s">
        <v>659</v>
      </c>
      <c r="AO753" s="189"/>
      <c r="AP753" s="195"/>
      <c r="AQ753" s="195"/>
      <c r="AR753" s="195"/>
      <c r="AS753" s="190"/>
      <c r="AT753" s="462"/>
      <c r="AU753" s="462"/>
      <c r="AV753" s="462"/>
      <c r="AW753" s="194"/>
      <c r="AX753" s="169"/>
    </row>
    <row r="754" spans="32:50" ht="0.75" hidden="1" customHeight="1">
      <c r="AF754" s="413"/>
      <c r="AL754" s="36"/>
      <c r="AM754" s="718"/>
      <c r="AN754" s="460"/>
      <c r="AO754" s="461"/>
      <c r="AP754" s="462"/>
      <c r="AQ754" s="462"/>
      <c r="AR754" s="462"/>
      <c r="AS754" s="190"/>
      <c r="AT754" s="462"/>
      <c r="AU754" s="462"/>
      <c r="AV754" s="462"/>
      <c r="AW754" s="194"/>
      <c r="AX754" s="169"/>
    </row>
    <row r="755" spans="32:50" ht="0.75" hidden="1" customHeight="1">
      <c r="AF755" s="413"/>
      <c r="AL755" s="36"/>
      <c r="AM755" s="718"/>
      <c r="AN755" s="460"/>
      <c r="AO755" s="461"/>
      <c r="AP755" s="462"/>
      <c r="AQ755" s="462"/>
      <c r="AR755" s="462"/>
      <c r="AS755" s="190"/>
      <c r="AT755" s="462"/>
      <c r="AU755" s="462"/>
      <c r="AV755" s="462"/>
      <c r="AW755" s="194"/>
      <c r="AX755" s="169"/>
    </row>
    <row r="756" spans="32:50" ht="0.75" hidden="1" customHeight="1">
      <c r="AF756" s="413"/>
      <c r="AL756" s="36"/>
      <c r="AM756" s="718"/>
      <c r="AN756" s="460"/>
      <c r="AO756" s="461"/>
      <c r="AP756" s="462"/>
      <c r="AQ756" s="462"/>
      <c r="AR756" s="462"/>
      <c r="AS756" s="190"/>
      <c r="AT756" s="462"/>
      <c r="AU756" s="462"/>
      <c r="AV756" s="462"/>
      <c r="AW756" s="194"/>
      <c r="AX756" s="169"/>
    </row>
    <row r="757" spans="32:50" ht="0.75" hidden="1" customHeight="1">
      <c r="AF757" s="413"/>
      <c r="AL757" s="36"/>
      <c r="AM757" s="718"/>
      <c r="AN757" s="460"/>
      <c r="AO757" s="461"/>
      <c r="AP757" s="462"/>
      <c r="AQ757" s="462"/>
      <c r="AR757" s="462"/>
      <c r="AS757" s="190"/>
      <c r="AT757" s="462"/>
      <c r="AU757" s="462"/>
      <c r="AV757" s="462"/>
      <c r="AW757" s="194"/>
      <c r="AX757" s="169"/>
    </row>
    <row r="758" spans="32:50" ht="0.75" hidden="1" customHeight="1">
      <c r="AF758" s="413"/>
      <c r="AL758" s="36"/>
      <c r="AM758" s="718"/>
      <c r="AN758" s="460"/>
      <c r="AO758" s="461"/>
      <c r="AP758" s="462"/>
      <c r="AQ758" s="462"/>
      <c r="AR758" s="462"/>
      <c r="AS758" s="190"/>
      <c r="AT758" s="462"/>
      <c r="AU758" s="462"/>
      <c r="AV758" s="462"/>
      <c r="AW758" s="194"/>
      <c r="AX758" s="169"/>
    </row>
    <row r="759" spans="32:50" ht="0.75" hidden="1" customHeight="1">
      <c r="AF759" s="413"/>
      <c r="AL759" s="36"/>
      <c r="AM759" s="718"/>
      <c r="AN759" s="460"/>
      <c r="AO759" s="461"/>
      <c r="AP759" s="462"/>
      <c r="AQ759" s="462"/>
      <c r="AR759" s="462"/>
      <c r="AS759" s="190"/>
      <c r="AT759" s="462"/>
      <c r="AU759" s="462"/>
      <c r="AV759" s="462"/>
      <c r="AW759" s="194"/>
      <c r="AX759" s="169"/>
    </row>
    <row r="760" spans="32:50" ht="0.75" hidden="1" customHeight="1">
      <c r="AF760" s="413"/>
      <c r="AL760" s="36"/>
      <c r="AM760" s="718"/>
      <c r="AN760" s="460"/>
      <c r="AO760" s="461"/>
      <c r="AP760" s="462"/>
      <c r="AQ760" s="462"/>
      <c r="AR760" s="462"/>
      <c r="AS760" s="190"/>
      <c r="AT760" s="462"/>
      <c r="AU760" s="462"/>
      <c r="AV760" s="462"/>
      <c r="AW760" s="194"/>
      <c r="AX760" s="169"/>
    </row>
    <row r="761" spans="32:50" ht="0.75" hidden="1" customHeight="1">
      <c r="AF761" s="413"/>
      <c r="AL761" s="36"/>
      <c r="AM761" s="718"/>
      <c r="AN761" s="460"/>
      <c r="AO761" s="461"/>
      <c r="AP761" s="462"/>
      <c r="AQ761" s="462"/>
      <c r="AR761" s="462"/>
      <c r="AS761" s="190"/>
      <c r="AT761" s="462"/>
      <c r="AU761" s="462"/>
      <c r="AV761" s="462"/>
      <c r="AW761" s="194"/>
      <c r="AX761" s="169"/>
    </row>
    <row r="762" spans="32:50" ht="12" customHeight="1">
      <c r="AF762" s="413" t="s">
        <v>1332</v>
      </c>
      <c r="AL762" s="36"/>
      <c r="AM762" s="696" t="s">
        <v>1652</v>
      </c>
      <c r="AN762" s="701" t="s">
        <v>684</v>
      </c>
      <c r="AO762" s="189" t="s">
        <v>751</v>
      </c>
      <c r="AP762" s="686">
        <f t="shared" ref="AP762:AR777" si="53">IF(AP814=0,0,AP866/AP814*1000)</f>
        <v>0</v>
      </c>
      <c r="AQ762" s="686">
        <f t="shared" si="53"/>
        <v>0</v>
      </c>
      <c r="AR762" s="686">
        <f t="shared" si="53"/>
        <v>0</v>
      </c>
      <c r="AS762" s="190"/>
      <c r="AT762" s="462"/>
      <c r="AU762" s="462"/>
      <c r="AV762" s="462"/>
      <c r="AW762" s="194"/>
      <c r="AX762" s="169"/>
    </row>
    <row r="763" spans="32:50" ht="12" customHeight="1">
      <c r="AF763" s="413" t="s">
        <v>1333</v>
      </c>
      <c r="AL763" s="36"/>
      <c r="AM763" s="696" t="s">
        <v>1653</v>
      </c>
      <c r="AN763" s="702" t="s">
        <v>718</v>
      </c>
      <c r="AO763" s="189" t="s">
        <v>751</v>
      </c>
      <c r="AP763" s="686">
        <f t="shared" si="53"/>
        <v>0</v>
      </c>
      <c r="AQ763" s="686">
        <f t="shared" si="53"/>
        <v>0</v>
      </c>
      <c r="AR763" s="686">
        <f t="shared" si="53"/>
        <v>0</v>
      </c>
      <c r="AS763" s="190"/>
      <c r="AT763" s="462"/>
      <c r="AU763" s="462"/>
      <c r="AV763" s="462"/>
      <c r="AW763" s="194"/>
      <c r="AX763" s="169"/>
    </row>
    <row r="764" spans="32:50" ht="12" customHeight="1">
      <c r="AF764" s="413" t="s">
        <v>1334</v>
      </c>
      <c r="AL764" s="36"/>
      <c r="AM764" s="696" t="s">
        <v>1654</v>
      </c>
      <c r="AN764" s="703" t="s">
        <v>722</v>
      </c>
      <c r="AO764" s="189" t="s">
        <v>751</v>
      </c>
      <c r="AP764" s="686">
        <f t="shared" si="53"/>
        <v>0</v>
      </c>
      <c r="AQ764" s="686">
        <f t="shared" si="53"/>
        <v>0</v>
      </c>
      <c r="AR764" s="686">
        <f t="shared" si="53"/>
        <v>0</v>
      </c>
      <c r="AS764" s="190"/>
      <c r="AT764" s="462"/>
      <c r="AU764" s="462"/>
      <c r="AV764" s="462"/>
      <c r="AW764" s="194"/>
      <c r="AX764" s="169"/>
    </row>
    <row r="765" spans="32:50" ht="12" customHeight="1">
      <c r="AF765" s="413" t="s">
        <v>1335</v>
      </c>
      <c r="AL765" s="36"/>
      <c r="AM765" s="696" t="s">
        <v>1655</v>
      </c>
      <c r="AN765" s="704" t="s">
        <v>1309</v>
      </c>
      <c r="AO765" s="189" t="s">
        <v>751</v>
      </c>
      <c r="AP765" s="686">
        <f t="shared" si="53"/>
        <v>0</v>
      </c>
      <c r="AQ765" s="686">
        <f t="shared" si="53"/>
        <v>0</v>
      </c>
      <c r="AR765" s="686">
        <f t="shared" si="53"/>
        <v>0</v>
      </c>
      <c r="AS765" s="190"/>
      <c r="AT765" s="462"/>
      <c r="AU765" s="462"/>
      <c r="AV765" s="462"/>
      <c r="AW765" s="194"/>
      <c r="AX765" s="169"/>
    </row>
    <row r="766" spans="32:50" ht="12" customHeight="1">
      <c r="AF766" s="413" t="s">
        <v>1336</v>
      </c>
      <c r="AL766" s="36"/>
      <c r="AM766" s="696" t="s">
        <v>1656</v>
      </c>
      <c r="AN766" s="704" t="s">
        <v>1310</v>
      </c>
      <c r="AO766" s="189" t="s">
        <v>751</v>
      </c>
      <c r="AP766" s="686">
        <f t="shared" si="53"/>
        <v>0</v>
      </c>
      <c r="AQ766" s="686">
        <f t="shared" si="53"/>
        <v>0</v>
      </c>
      <c r="AR766" s="686">
        <f t="shared" si="53"/>
        <v>0</v>
      </c>
      <c r="AS766" s="190"/>
      <c r="AT766" s="462"/>
      <c r="AU766" s="462"/>
      <c r="AV766" s="462"/>
      <c r="AW766" s="194"/>
      <c r="AX766" s="169"/>
    </row>
    <row r="767" spans="32:50" ht="12" customHeight="1">
      <c r="AF767" s="413" t="s">
        <v>1337</v>
      </c>
      <c r="AL767" s="36"/>
      <c r="AM767" s="696" t="s">
        <v>1657</v>
      </c>
      <c r="AN767" s="704" t="s">
        <v>1311</v>
      </c>
      <c r="AO767" s="189" t="s">
        <v>751</v>
      </c>
      <c r="AP767" s="686">
        <f t="shared" si="53"/>
        <v>0</v>
      </c>
      <c r="AQ767" s="686">
        <f t="shared" si="53"/>
        <v>0</v>
      </c>
      <c r="AR767" s="686">
        <f t="shared" si="53"/>
        <v>0</v>
      </c>
      <c r="AS767" s="190"/>
      <c r="AT767" s="462"/>
      <c r="AU767" s="462"/>
      <c r="AV767" s="462"/>
      <c r="AW767" s="194"/>
      <c r="AX767" s="169"/>
    </row>
    <row r="768" spans="32:50" ht="12" customHeight="1">
      <c r="AF768" s="413" t="s">
        <v>1338</v>
      </c>
      <c r="AL768" s="36"/>
      <c r="AM768" s="696" t="s">
        <v>1658</v>
      </c>
      <c r="AN768" s="704" t="s">
        <v>1312</v>
      </c>
      <c r="AO768" s="189" t="s">
        <v>751</v>
      </c>
      <c r="AP768" s="686">
        <f t="shared" si="53"/>
        <v>0</v>
      </c>
      <c r="AQ768" s="686">
        <f t="shared" si="53"/>
        <v>0</v>
      </c>
      <c r="AR768" s="686">
        <f t="shared" si="53"/>
        <v>0</v>
      </c>
      <c r="AS768" s="190"/>
      <c r="AT768" s="462"/>
      <c r="AU768" s="462"/>
      <c r="AV768" s="462"/>
      <c r="AW768" s="194"/>
      <c r="AX768" s="169"/>
    </row>
    <row r="769" spans="32:50" ht="12" customHeight="1">
      <c r="AF769" s="413" t="s">
        <v>1343</v>
      </c>
      <c r="AL769" s="36"/>
      <c r="AM769" s="696" t="s">
        <v>1659</v>
      </c>
      <c r="AN769" s="705" t="s">
        <v>720</v>
      </c>
      <c r="AO769" s="189" t="s">
        <v>751</v>
      </c>
      <c r="AP769" s="686">
        <f t="shared" si="53"/>
        <v>0</v>
      </c>
      <c r="AQ769" s="686">
        <f t="shared" si="53"/>
        <v>0</v>
      </c>
      <c r="AR769" s="686">
        <f t="shared" si="53"/>
        <v>0</v>
      </c>
      <c r="AS769" s="190"/>
      <c r="AT769" s="462"/>
      <c r="AU769" s="462"/>
      <c r="AV769" s="462"/>
      <c r="AW769" s="194"/>
      <c r="AX769" s="169"/>
    </row>
    <row r="770" spans="32:50" ht="12" customHeight="1">
      <c r="AF770" s="413" t="s">
        <v>1866</v>
      </c>
      <c r="AL770" s="36"/>
      <c r="AM770" s="696" t="s">
        <v>1878</v>
      </c>
      <c r="AN770" s="706" t="s">
        <v>1313</v>
      </c>
      <c r="AO770" s="189" t="s">
        <v>751</v>
      </c>
      <c r="AP770" s="686">
        <f t="shared" si="53"/>
        <v>0</v>
      </c>
      <c r="AQ770" s="686">
        <f t="shared" si="53"/>
        <v>0</v>
      </c>
      <c r="AR770" s="686">
        <f t="shared" si="53"/>
        <v>0</v>
      </c>
      <c r="AS770" s="190"/>
      <c r="AT770" s="462"/>
      <c r="AU770" s="462"/>
      <c r="AV770" s="462"/>
      <c r="AW770" s="194"/>
      <c r="AX770" s="169"/>
    </row>
    <row r="771" spans="32:50" ht="12" customHeight="1">
      <c r="AF771" s="413" t="s">
        <v>1847</v>
      </c>
      <c r="AL771" s="36"/>
      <c r="AM771" s="696" t="s">
        <v>1859</v>
      </c>
      <c r="AN771" s="706" t="s">
        <v>1314</v>
      </c>
      <c r="AO771" s="189" t="s">
        <v>751</v>
      </c>
      <c r="AP771" s="686">
        <f t="shared" si="53"/>
        <v>0</v>
      </c>
      <c r="AQ771" s="686">
        <f t="shared" si="53"/>
        <v>0</v>
      </c>
      <c r="AR771" s="686">
        <f t="shared" si="53"/>
        <v>0</v>
      </c>
      <c r="AS771" s="190"/>
      <c r="AT771" s="462"/>
      <c r="AU771" s="462"/>
      <c r="AV771" s="462"/>
      <c r="AW771" s="194"/>
      <c r="AX771" s="169"/>
    </row>
    <row r="772" spans="32:50" ht="12" customHeight="1">
      <c r="AF772" s="413" t="s">
        <v>1827</v>
      </c>
      <c r="AL772" s="36"/>
      <c r="AM772" s="696" t="s">
        <v>1840</v>
      </c>
      <c r="AN772" s="706" t="s">
        <v>1315</v>
      </c>
      <c r="AO772" s="189" t="s">
        <v>751</v>
      </c>
      <c r="AP772" s="686">
        <f t="shared" si="53"/>
        <v>0</v>
      </c>
      <c r="AQ772" s="686">
        <f t="shared" si="53"/>
        <v>0</v>
      </c>
      <c r="AR772" s="686">
        <f t="shared" si="53"/>
        <v>0</v>
      </c>
      <c r="AS772" s="190"/>
      <c r="AT772" s="462"/>
      <c r="AU772" s="462"/>
      <c r="AV772" s="462"/>
      <c r="AW772" s="194"/>
      <c r="AX772" s="169"/>
    </row>
    <row r="773" spans="32:50" ht="12" customHeight="1">
      <c r="AF773" s="413" t="s">
        <v>1344</v>
      </c>
      <c r="AL773" s="36"/>
      <c r="AM773" s="696" t="s">
        <v>1660</v>
      </c>
      <c r="AN773" s="706" t="s">
        <v>1316</v>
      </c>
      <c r="AO773" s="189" t="s">
        <v>751</v>
      </c>
      <c r="AP773" s="686">
        <f t="shared" si="53"/>
        <v>0</v>
      </c>
      <c r="AQ773" s="686">
        <f t="shared" si="53"/>
        <v>0</v>
      </c>
      <c r="AR773" s="686">
        <f t="shared" si="53"/>
        <v>0</v>
      </c>
      <c r="AS773" s="190"/>
      <c r="AT773" s="462"/>
      <c r="AU773" s="462"/>
      <c r="AV773" s="462"/>
      <c r="AW773" s="194"/>
      <c r="AX773" s="169"/>
    </row>
    <row r="774" spans="32:50" ht="12" customHeight="1">
      <c r="AF774" s="413" t="s">
        <v>1345</v>
      </c>
      <c r="AL774" s="36"/>
      <c r="AM774" s="696" t="s">
        <v>1661</v>
      </c>
      <c r="AN774" s="706" t="s">
        <v>1317</v>
      </c>
      <c r="AO774" s="189" t="s">
        <v>751</v>
      </c>
      <c r="AP774" s="686">
        <f t="shared" si="53"/>
        <v>0</v>
      </c>
      <c r="AQ774" s="686">
        <f t="shared" si="53"/>
        <v>0</v>
      </c>
      <c r="AR774" s="686">
        <f t="shared" si="53"/>
        <v>0</v>
      </c>
      <c r="AS774" s="190"/>
      <c r="AT774" s="462"/>
      <c r="AU774" s="462"/>
      <c r="AV774" s="462"/>
      <c r="AW774" s="194"/>
      <c r="AX774" s="169"/>
    </row>
    <row r="775" spans="32:50" ht="12" customHeight="1">
      <c r="AF775" s="413" t="s">
        <v>1346</v>
      </c>
      <c r="AL775" s="36"/>
      <c r="AM775" s="696" t="s">
        <v>1662</v>
      </c>
      <c r="AN775" s="706" t="s">
        <v>1318</v>
      </c>
      <c r="AO775" s="189" t="s">
        <v>751</v>
      </c>
      <c r="AP775" s="686">
        <f t="shared" si="53"/>
        <v>0</v>
      </c>
      <c r="AQ775" s="686">
        <f t="shared" si="53"/>
        <v>0</v>
      </c>
      <c r="AR775" s="686">
        <f t="shared" si="53"/>
        <v>0</v>
      </c>
      <c r="AS775" s="190"/>
      <c r="AT775" s="462"/>
      <c r="AU775" s="462"/>
      <c r="AV775" s="462"/>
      <c r="AW775" s="194"/>
      <c r="AX775" s="169"/>
    </row>
    <row r="776" spans="32:50" ht="12" customHeight="1">
      <c r="AF776" s="413" t="s">
        <v>1347</v>
      </c>
      <c r="AL776" s="36"/>
      <c r="AM776" s="696" t="s">
        <v>1663</v>
      </c>
      <c r="AN776" s="707" t="s">
        <v>721</v>
      </c>
      <c r="AO776" s="189" t="s">
        <v>751</v>
      </c>
      <c r="AP776" s="686">
        <f t="shared" si="53"/>
        <v>0</v>
      </c>
      <c r="AQ776" s="686">
        <f t="shared" si="53"/>
        <v>0</v>
      </c>
      <c r="AR776" s="686">
        <f t="shared" si="53"/>
        <v>0</v>
      </c>
      <c r="AS776" s="190"/>
      <c r="AT776" s="462"/>
      <c r="AU776" s="462"/>
      <c r="AV776" s="462"/>
      <c r="AW776" s="194"/>
      <c r="AX776" s="169"/>
    </row>
    <row r="777" spans="32:50" ht="12" customHeight="1">
      <c r="AF777" s="413" t="s">
        <v>1348</v>
      </c>
      <c r="AL777" s="36"/>
      <c r="AM777" s="696" t="s">
        <v>1664</v>
      </c>
      <c r="AN777" s="708" t="s">
        <v>712</v>
      </c>
      <c r="AO777" s="189" t="s">
        <v>751</v>
      </c>
      <c r="AP777" s="686">
        <f t="shared" si="53"/>
        <v>0</v>
      </c>
      <c r="AQ777" s="686">
        <f t="shared" si="53"/>
        <v>0</v>
      </c>
      <c r="AR777" s="686">
        <f t="shared" si="53"/>
        <v>0</v>
      </c>
      <c r="AS777" s="190"/>
      <c r="AT777" s="462"/>
      <c r="AU777" s="462"/>
      <c r="AV777" s="462"/>
      <c r="AW777" s="194"/>
      <c r="AX777" s="169"/>
    </row>
    <row r="778" spans="32:50" ht="12" customHeight="1">
      <c r="AF778" s="413" t="s">
        <v>2612</v>
      </c>
      <c r="AL778" s="36"/>
      <c r="AM778" s="696" t="s">
        <v>2841</v>
      </c>
      <c r="AN778" s="709" t="s">
        <v>1319</v>
      </c>
      <c r="AO778" s="189" t="s">
        <v>751</v>
      </c>
      <c r="AP778" s="686">
        <f t="shared" ref="AP778:AR793" si="54">IF(AP830=0,0,AP882/AP830*1000)</f>
        <v>0</v>
      </c>
      <c r="AQ778" s="686">
        <f t="shared" si="54"/>
        <v>0</v>
      </c>
      <c r="AR778" s="686">
        <f t="shared" si="54"/>
        <v>0</v>
      </c>
      <c r="AS778" s="190"/>
      <c r="AT778" s="462"/>
      <c r="AU778" s="462"/>
      <c r="AV778" s="462"/>
      <c r="AW778" s="194"/>
      <c r="AX778" s="169"/>
    </row>
    <row r="779" spans="32:50" ht="12" customHeight="1">
      <c r="AF779" s="413" t="s">
        <v>2614</v>
      </c>
      <c r="AL779" s="36"/>
      <c r="AM779" s="696" t="s">
        <v>2842</v>
      </c>
      <c r="AN779" s="709" t="s">
        <v>1320</v>
      </c>
      <c r="AO779" s="189" t="s">
        <v>751</v>
      </c>
      <c r="AP779" s="686">
        <f t="shared" si="54"/>
        <v>0</v>
      </c>
      <c r="AQ779" s="686">
        <f t="shared" si="54"/>
        <v>0</v>
      </c>
      <c r="AR779" s="686">
        <f t="shared" si="54"/>
        <v>0</v>
      </c>
      <c r="AS779" s="190"/>
      <c r="AT779" s="462"/>
      <c r="AU779" s="462"/>
      <c r="AV779" s="462"/>
      <c r="AW779" s="194"/>
      <c r="AX779" s="169"/>
    </row>
    <row r="780" spans="32:50" ht="12" customHeight="1">
      <c r="AF780" s="413" t="s">
        <v>2616</v>
      </c>
      <c r="AL780" s="36"/>
      <c r="AM780" s="696" t="s">
        <v>2843</v>
      </c>
      <c r="AN780" s="709" t="s">
        <v>1321</v>
      </c>
      <c r="AO780" s="189" t="s">
        <v>751</v>
      </c>
      <c r="AP780" s="686">
        <f t="shared" si="54"/>
        <v>0</v>
      </c>
      <c r="AQ780" s="686">
        <f t="shared" si="54"/>
        <v>0</v>
      </c>
      <c r="AR780" s="686">
        <f t="shared" si="54"/>
        <v>0</v>
      </c>
      <c r="AS780" s="190"/>
      <c r="AT780" s="462"/>
      <c r="AU780" s="462"/>
      <c r="AV780" s="462"/>
      <c r="AW780" s="194"/>
      <c r="AX780" s="169"/>
    </row>
    <row r="781" spans="32:50" ht="12" customHeight="1">
      <c r="AF781" s="413" t="s">
        <v>2619</v>
      </c>
      <c r="AL781" s="36"/>
      <c r="AM781" s="696" t="s">
        <v>2844</v>
      </c>
      <c r="AN781" s="709" t="s">
        <v>2618</v>
      </c>
      <c r="AO781" s="189" t="s">
        <v>751</v>
      </c>
      <c r="AP781" s="686">
        <f t="shared" si="54"/>
        <v>0</v>
      </c>
      <c r="AQ781" s="686">
        <f t="shared" si="54"/>
        <v>0</v>
      </c>
      <c r="AR781" s="686">
        <f t="shared" si="54"/>
        <v>0</v>
      </c>
      <c r="AS781" s="190"/>
      <c r="AT781" s="462"/>
      <c r="AU781" s="462"/>
      <c r="AV781" s="462"/>
      <c r="AW781" s="194"/>
      <c r="AX781" s="169"/>
    </row>
    <row r="782" spans="32:50" ht="12" customHeight="1">
      <c r="AF782" s="413" t="s">
        <v>2622</v>
      </c>
      <c r="AL782" s="36"/>
      <c r="AM782" s="696" t="s">
        <v>2845</v>
      </c>
      <c r="AN782" s="709" t="s">
        <v>2621</v>
      </c>
      <c r="AO782" s="189" t="s">
        <v>751</v>
      </c>
      <c r="AP782" s="686">
        <f t="shared" si="54"/>
        <v>0</v>
      </c>
      <c r="AQ782" s="686">
        <f t="shared" si="54"/>
        <v>0</v>
      </c>
      <c r="AR782" s="686">
        <f t="shared" si="54"/>
        <v>0</v>
      </c>
      <c r="AS782" s="190"/>
      <c r="AT782" s="462"/>
      <c r="AU782" s="462"/>
      <c r="AV782" s="462"/>
      <c r="AW782" s="194"/>
      <c r="AX782" s="169"/>
    </row>
    <row r="783" spans="32:50" ht="12" customHeight="1">
      <c r="AF783" s="413" t="s">
        <v>2624</v>
      </c>
      <c r="AL783" s="36"/>
      <c r="AM783" s="696" t="s">
        <v>2846</v>
      </c>
      <c r="AN783" s="709" t="s">
        <v>1322</v>
      </c>
      <c r="AO783" s="189" t="s">
        <v>751</v>
      </c>
      <c r="AP783" s="686">
        <f t="shared" si="54"/>
        <v>0</v>
      </c>
      <c r="AQ783" s="686">
        <f t="shared" si="54"/>
        <v>0</v>
      </c>
      <c r="AR783" s="686">
        <f t="shared" si="54"/>
        <v>0</v>
      </c>
      <c r="AS783" s="190"/>
      <c r="AT783" s="462"/>
      <c r="AU783" s="462"/>
      <c r="AV783" s="462"/>
      <c r="AW783" s="194"/>
      <c r="AX783" s="169"/>
    </row>
    <row r="784" spans="32:50" ht="12" customHeight="1">
      <c r="AF784" s="413" t="s">
        <v>2627</v>
      </c>
      <c r="AL784" s="36"/>
      <c r="AM784" s="696" t="s">
        <v>2847</v>
      </c>
      <c r="AN784" s="709" t="s">
        <v>2626</v>
      </c>
      <c r="AO784" s="189" t="s">
        <v>751</v>
      </c>
      <c r="AP784" s="686">
        <f t="shared" si="54"/>
        <v>0</v>
      </c>
      <c r="AQ784" s="686">
        <f t="shared" si="54"/>
        <v>0</v>
      </c>
      <c r="AR784" s="686">
        <f t="shared" si="54"/>
        <v>0</v>
      </c>
      <c r="AS784" s="190"/>
      <c r="AT784" s="462"/>
      <c r="AU784" s="462"/>
      <c r="AV784" s="462"/>
      <c r="AW784" s="194"/>
      <c r="AX784" s="169"/>
    </row>
    <row r="785" spans="32:50" ht="12" customHeight="1">
      <c r="AF785" s="413" t="s">
        <v>2629</v>
      </c>
      <c r="AL785" s="36"/>
      <c r="AM785" s="696" t="s">
        <v>2848</v>
      </c>
      <c r="AN785" s="709" t="s">
        <v>1323</v>
      </c>
      <c r="AO785" s="189" t="s">
        <v>751</v>
      </c>
      <c r="AP785" s="686">
        <f t="shared" si="54"/>
        <v>0</v>
      </c>
      <c r="AQ785" s="686">
        <f t="shared" si="54"/>
        <v>0</v>
      </c>
      <c r="AR785" s="686">
        <f t="shared" si="54"/>
        <v>0</v>
      </c>
      <c r="AS785" s="190"/>
      <c r="AT785" s="462"/>
      <c r="AU785" s="462"/>
      <c r="AV785" s="462"/>
      <c r="AW785" s="194"/>
      <c r="AX785" s="169"/>
    </row>
    <row r="786" spans="32:50" ht="12" customHeight="1">
      <c r="AF786" s="413" t="s">
        <v>2631</v>
      </c>
      <c r="AL786" s="36"/>
      <c r="AM786" s="696" t="s">
        <v>2849</v>
      </c>
      <c r="AN786" s="709" t="s">
        <v>1324</v>
      </c>
      <c r="AO786" s="189" t="s">
        <v>751</v>
      </c>
      <c r="AP786" s="686">
        <f t="shared" si="54"/>
        <v>0</v>
      </c>
      <c r="AQ786" s="686">
        <f t="shared" si="54"/>
        <v>0</v>
      </c>
      <c r="AR786" s="686">
        <f t="shared" si="54"/>
        <v>0</v>
      </c>
      <c r="AS786" s="190"/>
      <c r="AT786" s="462"/>
      <c r="AU786" s="462"/>
      <c r="AV786" s="462"/>
      <c r="AW786" s="194"/>
      <c r="AX786" s="169"/>
    </row>
    <row r="787" spans="32:50" ht="12" customHeight="1">
      <c r="AF787" s="413" t="s">
        <v>2634</v>
      </c>
      <c r="AL787" s="36"/>
      <c r="AM787" s="696" t="s">
        <v>2850</v>
      </c>
      <c r="AN787" s="709" t="s">
        <v>2633</v>
      </c>
      <c r="AO787" s="189" t="s">
        <v>751</v>
      </c>
      <c r="AP787" s="686">
        <f t="shared" si="54"/>
        <v>0</v>
      </c>
      <c r="AQ787" s="686">
        <f t="shared" si="54"/>
        <v>0</v>
      </c>
      <c r="AR787" s="686">
        <f t="shared" si="54"/>
        <v>0</v>
      </c>
      <c r="AS787" s="190"/>
      <c r="AT787" s="462"/>
      <c r="AU787" s="462"/>
      <c r="AV787" s="462"/>
      <c r="AW787" s="194"/>
      <c r="AX787" s="169"/>
    </row>
    <row r="788" spans="32:50" ht="12" customHeight="1">
      <c r="AF788" s="413" t="s">
        <v>2637</v>
      </c>
      <c r="AL788" s="36"/>
      <c r="AM788" s="696" t="s">
        <v>2851</v>
      </c>
      <c r="AN788" s="709" t="s">
        <v>2636</v>
      </c>
      <c r="AO788" s="189" t="s">
        <v>751</v>
      </c>
      <c r="AP788" s="686">
        <f t="shared" si="54"/>
        <v>0</v>
      </c>
      <c r="AQ788" s="686">
        <f t="shared" si="54"/>
        <v>0</v>
      </c>
      <c r="AR788" s="686">
        <f t="shared" si="54"/>
        <v>0</v>
      </c>
      <c r="AS788" s="190"/>
      <c r="AT788" s="462"/>
      <c r="AU788" s="462"/>
      <c r="AV788" s="462"/>
      <c r="AW788" s="194"/>
      <c r="AX788" s="169"/>
    </row>
    <row r="789" spans="32:50" ht="12" customHeight="1">
      <c r="AF789" s="413" t="s">
        <v>2640</v>
      </c>
      <c r="AL789" s="36"/>
      <c r="AM789" s="696" t="s">
        <v>2852</v>
      </c>
      <c r="AN789" s="709" t="s">
        <v>2639</v>
      </c>
      <c r="AO789" s="189" t="s">
        <v>751</v>
      </c>
      <c r="AP789" s="686">
        <f t="shared" si="54"/>
        <v>0</v>
      </c>
      <c r="AQ789" s="686">
        <f t="shared" si="54"/>
        <v>0</v>
      </c>
      <c r="AR789" s="686">
        <f t="shared" si="54"/>
        <v>0</v>
      </c>
      <c r="AS789" s="190"/>
      <c r="AT789" s="462"/>
      <c r="AU789" s="462"/>
      <c r="AV789" s="462"/>
      <c r="AW789" s="194"/>
      <c r="AX789" s="169"/>
    </row>
    <row r="790" spans="32:50" ht="12" customHeight="1">
      <c r="AF790" s="413" t="s">
        <v>2643</v>
      </c>
      <c r="AL790" s="36"/>
      <c r="AM790" s="696" t="s">
        <v>2853</v>
      </c>
      <c r="AN790" s="709" t="s">
        <v>2642</v>
      </c>
      <c r="AO790" s="189" t="s">
        <v>751</v>
      </c>
      <c r="AP790" s="686">
        <f t="shared" si="54"/>
        <v>0</v>
      </c>
      <c r="AQ790" s="686">
        <f t="shared" si="54"/>
        <v>0</v>
      </c>
      <c r="AR790" s="686">
        <f t="shared" si="54"/>
        <v>0</v>
      </c>
      <c r="AS790" s="190"/>
      <c r="AT790" s="462"/>
      <c r="AU790" s="462"/>
      <c r="AV790" s="462"/>
      <c r="AW790" s="194"/>
      <c r="AX790" s="169"/>
    </row>
    <row r="791" spans="32:50" ht="12" customHeight="1">
      <c r="AF791" s="413" t="s">
        <v>2646</v>
      </c>
      <c r="AL791" s="36"/>
      <c r="AM791" s="696" t="s">
        <v>2854</v>
      </c>
      <c r="AN791" s="709" t="s">
        <v>2645</v>
      </c>
      <c r="AO791" s="189" t="s">
        <v>751</v>
      </c>
      <c r="AP791" s="686">
        <f t="shared" si="54"/>
        <v>0</v>
      </c>
      <c r="AQ791" s="686">
        <f t="shared" si="54"/>
        <v>0</v>
      </c>
      <c r="AR791" s="686">
        <f t="shared" si="54"/>
        <v>0</v>
      </c>
      <c r="AS791" s="190"/>
      <c r="AT791" s="462"/>
      <c r="AU791" s="462"/>
      <c r="AV791" s="462"/>
      <c r="AW791" s="194"/>
      <c r="AX791" s="169"/>
    </row>
    <row r="792" spans="32:50" ht="12" customHeight="1">
      <c r="AF792" s="413" t="s">
        <v>2648</v>
      </c>
      <c r="AL792" s="36"/>
      <c r="AM792" s="696" t="s">
        <v>2855</v>
      </c>
      <c r="AN792" s="709" t="s">
        <v>1325</v>
      </c>
      <c r="AO792" s="189" t="s">
        <v>751</v>
      </c>
      <c r="AP792" s="686">
        <f t="shared" si="54"/>
        <v>0</v>
      </c>
      <c r="AQ792" s="686">
        <f t="shared" si="54"/>
        <v>0</v>
      </c>
      <c r="AR792" s="686">
        <f t="shared" si="54"/>
        <v>0</v>
      </c>
      <c r="AS792" s="190"/>
      <c r="AT792" s="462"/>
      <c r="AU792" s="462"/>
      <c r="AV792" s="462"/>
      <c r="AW792" s="194"/>
      <c r="AX792" s="169"/>
    </row>
    <row r="793" spans="32:50" ht="12" customHeight="1">
      <c r="AF793" s="413" t="s">
        <v>2650</v>
      </c>
      <c r="AL793" s="36"/>
      <c r="AM793" s="696" t="s">
        <v>2856</v>
      </c>
      <c r="AN793" s="709" t="s">
        <v>1326</v>
      </c>
      <c r="AO793" s="189" t="s">
        <v>751</v>
      </c>
      <c r="AP793" s="686">
        <f t="shared" si="54"/>
        <v>0</v>
      </c>
      <c r="AQ793" s="686">
        <f t="shared" si="54"/>
        <v>0</v>
      </c>
      <c r="AR793" s="686">
        <f t="shared" si="54"/>
        <v>0</v>
      </c>
      <c r="AS793" s="190"/>
      <c r="AT793" s="462"/>
      <c r="AU793" s="462"/>
      <c r="AV793" s="462"/>
      <c r="AW793" s="194"/>
      <c r="AX793" s="169"/>
    </row>
    <row r="794" spans="32:50" ht="12" customHeight="1">
      <c r="AF794" s="413" t="s">
        <v>2653</v>
      </c>
      <c r="AL794" s="36"/>
      <c r="AM794" s="696" t="s">
        <v>2857</v>
      </c>
      <c r="AN794" s="709" t="s">
        <v>2652</v>
      </c>
      <c r="AO794" s="189" t="s">
        <v>751</v>
      </c>
      <c r="AP794" s="686">
        <f>IF(AP846=0,0,AP898/AP846*1000)</f>
        <v>0</v>
      </c>
      <c r="AQ794" s="686">
        <f>IF(AQ846=0,0,AQ898/AQ846*1000)</f>
        <v>0</v>
      </c>
      <c r="AR794" s="686">
        <f>IF(AR846=0,0,AR898/AR846*1000)</f>
        <v>0</v>
      </c>
      <c r="AS794" s="190"/>
      <c r="AT794" s="462"/>
      <c r="AU794" s="462"/>
      <c r="AV794" s="462"/>
      <c r="AW794" s="194"/>
      <c r="AX794" s="169"/>
    </row>
    <row r="795" spans="32:50" ht="0.75" hidden="1" customHeight="1">
      <c r="AF795" s="413"/>
      <c r="AL795" s="36"/>
      <c r="AM795" s="718"/>
      <c r="AN795" s="460"/>
      <c r="AO795" s="461"/>
      <c r="AP795" s="462"/>
      <c r="AQ795" s="462"/>
      <c r="AR795" s="462"/>
      <c r="AS795" s="190"/>
      <c r="AT795" s="462"/>
      <c r="AU795" s="462"/>
      <c r="AV795" s="462"/>
      <c r="AW795" s="194"/>
      <c r="AX795" s="169"/>
    </row>
    <row r="796" spans="32:50" ht="0.75" hidden="1" customHeight="1">
      <c r="AF796" s="413"/>
      <c r="AL796" s="36"/>
      <c r="AM796" s="718"/>
      <c r="AN796" s="460"/>
      <c r="AO796" s="461"/>
      <c r="AP796" s="462"/>
      <c r="AQ796" s="462"/>
      <c r="AR796" s="462"/>
      <c r="AS796" s="190"/>
      <c r="AT796" s="462"/>
      <c r="AU796" s="462"/>
      <c r="AV796" s="462"/>
      <c r="AW796" s="194"/>
      <c r="AX796" s="169"/>
    </row>
    <row r="797" spans="32:50" ht="12" customHeight="1">
      <c r="AF797" s="413" t="s">
        <v>1357</v>
      </c>
      <c r="AL797" s="36"/>
      <c r="AM797" s="696" t="s">
        <v>1665</v>
      </c>
      <c r="AN797" s="719" t="s">
        <v>1327</v>
      </c>
      <c r="AO797" s="189" t="s">
        <v>751</v>
      </c>
      <c r="AP797" s="686">
        <f t="shared" ref="AP797:AR803" si="55">IF(AP849=0,0,AP901/AP849*1000)</f>
        <v>0</v>
      </c>
      <c r="AQ797" s="686">
        <f t="shared" si="55"/>
        <v>0</v>
      </c>
      <c r="AR797" s="686">
        <f t="shared" si="55"/>
        <v>0</v>
      </c>
      <c r="AS797" s="190"/>
      <c r="AT797" s="462"/>
      <c r="AU797" s="462"/>
      <c r="AV797" s="462"/>
      <c r="AW797" s="194"/>
      <c r="AX797" s="169"/>
    </row>
    <row r="798" spans="32:50" ht="12" customHeight="1">
      <c r="AF798" s="413" t="s">
        <v>1350</v>
      </c>
      <c r="AL798" s="36"/>
      <c r="AM798" s="696" t="s">
        <v>1666</v>
      </c>
      <c r="AN798" s="712" t="s">
        <v>723</v>
      </c>
      <c r="AO798" s="189" t="s">
        <v>751</v>
      </c>
      <c r="AP798" s="686">
        <f t="shared" si="55"/>
        <v>0</v>
      </c>
      <c r="AQ798" s="686">
        <f t="shared" si="55"/>
        <v>0</v>
      </c>
      <c r="AR798" s="686">
        <f t="shared" si="55"/>
        <v>0</v>
      </c>
      <c r="AS798" s="190"/>
      <c r="AT798" s="462"/>
      <c r="AU798" s="462"/>
      <c r="AV798" s="462"/>
      <c r="AW798" s="194"/>
      <c r="AX798" s="169"/>
    </row>
    <row r="799" spans="32:50" ht="12" customHeight="1">
      <c r="AF799" s="413" t="s">
        <v>1351</v>
      </c>
      <c r="AL799" s="36"/>
      <c r="AM799" s="696" t="s">
        <v>1667</v>
      </c>
      <c r="AN799" s="713" t="s">
        <v>748</v>
      </c>
      <c r="AO799" s="189" t="s">
        <v>751</v>
      </c>
      <c r="AP799" s="686">
        <f t="shared" si="55"/>
        <v>0</v>
      </c>
      <c r="AQ799" s="686">
        <f t="shared" si="55"/>
        <v>0</v>
      </c>
      <c r="AR799" s="686">
        <f t="shared" si="55"/>
        <v>0</v>
      </c>
      <c r="AS799" s="190"/>
      <c r="AT799" s="462"/>
      <c r="AU799" s="462"/>
      <c r="AV799" s="462"/>
      <c r="AW799" s="194"/>
      <c r="AX799" s="169"/>
    </row>
    <row r="800" spans="32:50" ht="12" customHeight="1">
      <c r="AF800" s="413" t="s">
        <v>1352</v>
      </c>
      <c r="AL800" s="36"/>
      <c r="AM800" s="696" t="s">
        <v>1668</v>
      </c>
      <c r="AN800" s="714" t="s">
        <v>315</v>
      </c>
      <c r="AO800" s="189" t="s">
        <v>751</v>
      </c>
      <c r="AP800" s="686">
        <f t="shared" si="55"/>
        <v>0</v>
      </c>
      <c r="AQ800" s="686">
        <f t="shared" si="55"/>
        <v>0</v>
      </c>
      <c r="AR800" s="686">
        <f t="shared" si="55"/>
        <v>0</v>
      </c>
      <c r="AS800" s="190"/>
      <c r="AT800" s="462"/>
      <c r="AU800" s="462"/>
      <c r="AV800" s="462"/>
      <c r="AW800" s="194"/>
      <c r="AX800" s="169"/>
    </row>
    <row r="801" spans="32:50" ht="12" customHeight="1">
      <c r="AF801" s="413" t="s">
        <v>1354</v>
      </c>
      <c r="AL801" s="36"/>
      <c r="AM801" s="696" t="s">
        <v>1669</v>
      </c>
      <c r="AN801" s="715" t="s">
        <v>316</v>
      </c>
      <c r="AO801" s="189" t="s">
        <v>751</v>
      </c>
      <c r="AP801" s="686">
        <f t="shared" si="55"/>
        <v>0</v>
      </c>
      <c r="AQ801" s="686">
        <f t="shared" si="55"/>
        <v>0</v>
      </c>
      <c r="AR801" s="686">
        <f t="shared" si="55"/>
        <v>0</v>
      </c>
      <c r="AS801" s="190"/>
      <c r="AT801" s="462"/>
      <c r="AU801" s="462"/>
      <c r="AV801" s="462"/>
      <c r="AW801" s="194"/>
      <c r="AX801" s="169"/>
    </row>
    <row r="802" spans="32:50" ht="12" customHeight="1">
      <c r="AF802" s="413" t="s">
        <v>1353</v>
      </c>
      <c r="AL802" s="36"/>
      <c r="AM802" s="696" t="s">
        <v>1670</v>
      </c>
      <c r="AN802" s="716" t="s">
        <v>317</v>
      </c>
      <c r="AO802" s="189" t="s">
        <v>751</v>
      </c>
      <c r="AP802" s="686">
        <f t="shared" si="55"/>
        <v>0</v>
      </c>
      <c r="AQ802" s="686">
        <f t="shared" si="55"/>
        <v>0</v>
      </c>
      <c r="AR802" s="686">
        <f t="shared" si="55"/>
        <v>0</v>
      </c>
      <c r="AS802" s="190"/>
      <c r="AT802" s="462"/>
      <c r="AU802" s="462"/>
      <c r="AV802" s="462"/>
      <c r="AW802" s="194"/>
      <c r="AX802" s="169"/>
    </row>
    <row r="803" spans="32:50" ht="12" customHeight="1">
      <c r="AF803" s="413" t="s">
        <v>1355</v>
      </c>
      <c r="AL803" s="36"/>
      <c r="AM803" s="696" t="s">
        <v>1671</v>
      </c>
      <c r="AN803" s="701" t="s">
        <v>318</v>
      </c>
      <c r="AO803" s="189" t="s">
        <v>751</v>
      </c>
      <c r="AP803" s="686">
        <f t="shared" si="55"/>
        <v>0</v>
      </c>
      <c r="AQ803" s="686">
        <f t="shared" si="55"/>
        <v>0</v>
      </c>
      <c r="AR803" s="686">
        <f t="shared" si="55"/>
        <v>0</v>
      </c>
      <c r="AS803" s="190"/>
      <c r="AT803" s="462"/>
      <c r="AU803" s="462"/>
      <c r="AV803" s="462"/>
      <c r="AW803" s="194"/>
      <c r="AX803" s="169"/>
    </row>
    <row r="804" spans="32:50" ht="0.75" hidden="1" customHeight="1">
      <c r="AF804" s="413"/>
      <c r="AL804" s="36"/>
      <c r="AM804" s="718"/>
      <c r="AN804" s="460"/>
      <c r="AO804" s="461"/>
      <c r="AP804" s="462"/>
      <c r="AQ804" s="462"/>
      <c r="AR804" s="462"/>
      <c r="AS804" s="190"/>
      <c r="AT804" s="462"/>
      <c r="AU804" s="462"/>
      <c r="AV804" s="462"/>
      <c r="AW804" s="194"/>
      <c r="AX804" s="169"/>
    </row>
    <row r="805" spans="32:50" ht="24" customHeight="1">
      <c r="AF805" s="115"/>
      <c r="AL805" s="36"/>
      <c r="AM805" s="490" t="s">
        <v>1609</v>
      </c>
      <c r="AN805" s="463" t="s">
        <v>660</v>
      </c>
      <c r="AO805" s="189"/>
      <c r="AP805" s="195"/>
      <c r="AQ805" s="195"/>
      <c r="AR805" s="195"/>
      <c r="AS805" s="190"/>
      <c r="AT805" s="462"/>
      <c r="AU805" s="462"/>
      <c r="AV805" s="462"/>
      <c r="AW805" s="194"/>
      <c r="AX805" s="169"/>
    </row>
    <row r="806" spans="32:50" ht="0.75" hidden="1" customHeight="1">
      <c r="AF806" s="413"/>
      <c r="AL806" s="36"/>
      <c r="AM806" s="718"/>
      <c r="AN806" s="460"/>
      <c r="AO806" s="461"/>
      <c r="AP806" s="462"/>
      <c r="AQ806" s="462"/>
      <c r="AR806" s="462"/>
      <c r="AS806" s="190"/>
      <c r="AT806" s="462"/>
      <c r="AU806" s="462"/>
      <c r="AV806" s="462"/>
      <c r="AW806" s="194"/>
      <c r="AX806" s="169"/>
    </row>
    <row r="807" spans="32:50" ht="0.75" hidden="1" customHeight="1">
      <c r="AF807" s="413"/>
      <c r="AL807" s="36"/>
      <c r="AM807" s="718"/>
      <c r="AN807" s="460"/>
      <c r="AO807" s="461"/>
      <c r="AP807" s="462"/>
      <c r="AQ807" s="462"/>
      <c r="AR807" s="462"/>
      <c r="AS807" s="190"/>
      <c r="AT807" s="462"/>
      <c r="AU807" s="462"/>
      <c r="AV807" s="462"/>
      <c r="AW807" s="194"/>
      <c r="AX807" s="169"/>
    </row>
    <row r="808" spans="32:50" ht="0.75" hidden="1" customHeight="1">
      <c r="AF808" s="413"/>
      <c r="AL808" s="36"/>
      <c r="AM808" s="718"/>
      <c r="AN808" s="460"/>
      <c r="AO808" s="461"/>
      <c r="AP808" s="462"/>
      <c r="AQ808" s="462"/>
      <c r="AR808" s="462"/>
      <c r="AS808" s="190"/>
      <c r="AT808" s="462"/>
      <c r="AU808" s="462"/>
      <c r="AV808" s="462"/>
      <c r="AW808" s="194"/>
      <c r="AX808" s="169"/>
    </row>
    <row r="809" spans="32:50" ht="0.75" hidden="1" customHeight="1">
      <c r="AF809" s="413"/>
      <c r="AL809" s="36"/>
      <c r="AM809" s="718"/>
      <c r="AN809" s="460"/>
      <c r="AO809" s="461"/>
      <c r="AP809" s="462"/>
      <c r="AQ809" s="462"/>
      <c r="AR809" s="462"/>
      <c r="AS809" s="190"/>
      <c r="AT809" s="462"/>
      <c r="AU809" s="462"/>
      <c r="AV809" s="462"/>
      <c r="AW809" s="194"/>
      <c r="AX809" s="169"/>
    </row>
    <row r="810" spans="32:50" ht="0.75" hidden="1" customHeight="1">
      <c r="AF810" s="413"/>
      <c r="AL810" s="36"/>
      <c r="AM810" s="718"/>
      <c r="AN810" s="460"/>
      <c r="AO810" s="461"/>
      <c r="AP810" s="462"/>
      <c r="AQ810" s="462"/>
      <c r="AR810" s="462"/>
      <c r="AS810" s="190"/>
      <c r="AT810" s="462"/>
      <c r="AU810" s="462"/>
      <c r="AV810" s="462"/>
      <c r="AW810" s="194"/>
      <c r="AX810" s="169"/>
    </row>
    <row r="811" spans="32:50" ht="0.75" hidden="1" customHeight="1">
      <c r="AF811" s="413"/>
      <c r="AL811" s="36"/>
      <c r="AM811" s="718"/>
      <c r="AN811" s="460"/>
      <c r="AO811" s="461"/>
      <c r="AP811" s="462"/>
      <c r="AQ811" s="462"/>
      <c r="AR811" s="462"/>
      <c r="AS811" s="190"/>
      <c r="AT811" s="462"/>
      <c r="AU811" s="462"/>
      <c r="AV811" s="462"/>
      <c r="AW811" s="194"/>
      <c r="AX811" s="169"/>
    </row>
    <row r="812" spans="32:50" ht="0.75" hidden="1" customHeight="1">
      <c r="AF812" s="413"/>
      <c r="AL812" s="36"/>
      <c r="AM812" s="718"/>
      <c r="AN812" s="460"/>
      <c r="AO812" s="461"/>
      <c r="AP812" s="462"/>
      <c r="AQ812" s="462"/>
      <c r="AR812" s="462"/>
      <c r="AS812" s="190"/>
      <c r="AT812" s="462"/>
      <c r="AU812" s="462"/>
      <c r="AV812" s="462"/>
      <c r="AW812" s="194"/>
      <c r="AX812" s="169"/>
    </row>
    <row r="813" spans="32:50" ht="0.75" hidden="1" customHeight="1">
      <c r="AF813" s="413"/>
      <c r="AL813" s="36"/>
      <c r="AM813" s="718"/>
      <c r="AN813" s="460"/>
      <c r="AO813" s="461"/>
      <c r="AP813" s="462"/>
      <c r="AQ813" s="462"/>
      <c r="AR813" s="462"/>
      <c r="AS813" s="190"/>
      <c r="AT813" s="462"/>
      <c r="AU813" s="462"/>
      <c r="AV813" s="462"/>
      <c r="AW813" s="194"/>
      <c r="AX813" s="169"/>
    </row>
    <row r="814" spans="32:50" ht="12" customHeight="1">
      <c r="AF814" s="413" t="s">
        <v>1332</v>
      </c>
      <c r="AL814" s="36"/>
      <c r="AM814" s="696" t="s">
        <v>1672</v>
      </c>
      <c r="AN814" s="701" t="s">
        <v>684</v>
      </c>
      <c r="AO814" s="189" t="s">
        <v>758</v>
      </c>
      <c r="AP814" s="686">
        <f t="shared" ref="AP814:AR833" si="56">SUMIF($AS$9:$AW$9,AP$9,$AS814:$AW814)</f>
        <v>0</v>
      </c>
      <c r="AQ814" s="686">
        <f t="shared" si="56"/>
        <v>0</v>
      </c>
      <c r="AR814" s="686">
        <f t="shared" si="56"/>
        <v>0</v>
      </c>
      <c r="AS814" s="190"/>
      <c r="AT814" s="462"/>
      <c r="AU814" s="462"/>
      <c r="AV814" s="462"/>
      <c r="AW814" s="194"/>
      <c r="AX814" s="169"/>
    </row>
    <row r="815" spans="32:50" ht="12" customHeight="1">
      <c r="AF815" s="413" t="s">
        <v>1333</v>
      </c>
      <c r="AL815" s="36"/>
      <c r="AM815" s="696" t="s">
        <v>1673</v>
      </c>
      <c r="AN815" s="702" t="s">
        <v>718</v>
      </c>
      <c r="AO815" s="189" t="s">
        <v>758</v>
      </c>
      <c r="AP815" s="686">
        <f t="shared" si="56"/>
        <v>0</v>
      </c>
      <c r="AQ815" s="686">
        <f t="shared" si="56"/>
        <v>0</v>
      </c>
      <c r="AR815" s="686">
        <f t="shared" si="56"/>
        <v>0</v>
      </c>
      <c r="AS815" s="190"/>
      <c r="AT815" s="462"/>
      <c r="AU815" s="462"/>
      <c r="AV815" s="462"/>
      <c r="AW815" s="194"/>
      <c r="AX815" s="169"/>
    </row>
    <row r="816" spans="32:50" ht="12" customHeight="1">
      <c r="AF816" s="413" t="s">
        <v>1334</v>
      </c>
      <c r="AL816" s="36"/>
      <c r="AM816" s="696" t="s">
        <v>1674</v>
      </c>
      <c r="AN816" s="703" t="s">
        <v>722</v>
      </c>
      <c r="AO816" s="189" t="s">
        <v>758</v>
      </c>
      <c r="AP816" s="686">
        <f t="shared" si="56"/>
        <v>0</v>
      </c>
      <c r="AQ816" s="686">
        <f t="shared" si="56"/>
        <v>0</v>
      </c>
      <c r="AR816" s="686">
        <f t="shared" si="56"/>
        <v>0</v>
      </c>
      <c r="AS816" s="190"/>
      <c r="AT816" s="462"/>
      <c r="AU816" s="462"/>
      <c r="AV816" s="462"/>
      <c r="AW816" s="194"/>
      <c r="AX816" s="169"/>
    </row>
    <row r="817" spans="32:50" ht="12" customHeight="1">
      <c r="AF817" s="413" t="s">
        <v>1335</v>
      </c>
      <c r="AL817" s="36"/>
      <c r="AM817" s="696" t="s">
        <v>1675</v>
      </c>
      <c r="AN817" s="704" t="s">
        <v>1309</v>
      </c>
      <c r="AO817" s="189" t="s">
        <v>758</v>
      </c>
      <c r="AP817" s="686">
        <f t="shared" si="56"/>
        <v>0</v>
      </c>
      <c r="AQ817" s="686">
        <f t="shared" si="56"/>
        <v>0</v>
      </c>
      <c r="AR817" s="686">
        <f t="shared" si="56"/>
        <v>0</v>
      </c>
      <c r="AS817" s="190"/>
      <c r="AT817" s="462"/>
      <c r="AU817" s="462"/>
      <c r="AV817" s="462"/>
      <c r="AW817" s="194"/>
      <c r="AX817" s="169"/>
    </row>
    <row r="818" spans="32:50" ht="12" customHeight="1">
      <c r="AF818" s="413" t="s">
        <v>1336</v>
      </c>
      <c r="AL818" s="36"/>
      <c r="AM818" s="696" t="s">
        <v>1676</v>
      </c>
      <c r="AN818" s="704" t="s">
        <v>1310</v>
      </c>
      <c r="AO818" s="189" t="s">
        <v>758</v>
      </c>
      <c r="AP818" s="686">
        <f t="shared" si="56"/>
        <v>0</v>
      </c>
      <c r="AQ818" s="686">
        <f t="shared" si="56"/>
        <v>0</v>
      </c>
      <c r="AR818" s="686">
        <f t="shared" si="56"/>
        <v>0</v>
      </c>
      <c r="AS818" s="190"/>
      <c r="AT818" s="462"/>
      <c r="AU818" s="462"/>
      <c r="AV818" s="462"/>
      <c r="AW818" s="194"/>
      <c r="AX818" s="169"/>
    </row>
    <row r="819" spans="32:50" ht="12" customHeight="1">
      <c r="AF819" s="413" t="s">
        <v>1337</v>
      </c>
      <c r="AL819" s="36"/>
      <c r="AM819" s="696" t="s">
        <v>1677</v>
      </c>
      <c r="AN819" s="704" t="s">
        <v>1311</v>
      </c>
      <c r="AO819" s="189" t="s">
        <v>758</v>
      </c>
      <c r="AP819" s="686">
        <f t="shared" si="56"/>
        <v>0</v>
      </c>
      <c r="AQ819" s="686">
        <f t="shared" si="56"/>
        <v>0</v>
      </c>
      <c r="AR819" s="686">
        <f t="shared" si="56"/>
        <v>0</v>
      </c>
      <c r="AS819" s="190"/>
      <c r="AT819" s="462"/>
      <c r="AU819" s="462"/>
      <c r="AV819" s="462"/>
      <c r="AW819" s="194"/>
      <c r="AX819" s="169"/>
    </row>
    <row r="820" spans="32:50" ht="12" customHeight="1">
      <c r="AF820" s="413" t="s">
        <v>1338</v>
      </c>
      <c r="AL820" s="36"/>
      <c r="AM820" s="696" t="s">
        <v>1678</v>
      </c>
      <c r="AN820" s="704" t="s">
        <v>1312</v>
      </c>
      <c r="AO820" s="189" t="s">
        <v>758</v>
      </c>
      <c r="AP820" s="686">
        <f t="shared" si="56"/>
        <v>0</v>
      </c>
      <c r="AQ820" s="686">
        <f t="shared" si="56"/>
        <v>0</v>
      </c>
      <c r="AR820" s="686">
        <f t="shared" si="56"/>
        <v>0</v>
      </c>
      <c r="AS820" s="190"/>
      <c r="AT820" s="462"/>
      <c r="AU820" s="462"/>
      <c r="AV820" s="462"/>
      <c r="AW820" s="194"/>
      <c r="AX820" s="169"/>
    </row>
    <row r="821" spans="32:50" ht="12" customHeight="1">
      <c r="AF821" s="413" t="s">
        <v>1343</v>
      </c>
      <c r="AL821" s="36"/>
      <c r="AM821" s="696" t="s">
        <v>1679</v>
      </c>
      <c r="AN821" s="705" t="s">
        <v>720</v>
      </c>
      <c r="AO821" s="189" t="s">
        <v>758</v>
      </c>
      <c r="AP821" s="686">
        <f t="shared" si="56"/>
        <v>0</v>
      </c>
      <c r="AQ821" s="686">
        <f t="shared" si="56"/>
        <v>0</v>
      </c>
      <c r="AR821" s="686">
        <f t="shared" si="56"/>
        <v>0</v>
      </c>
      <c r="AS821" s="190"/>
      <c r="AT821" s="462"/>
      <c r="AU821" s="462"/>
      <c r="AV821" s="462"/>
      <c r="AW821" s="194"/>
      <c r="AX821" s="169"/>
    </row>
    <row r="822" spans="32:50" ht="12" customHeight="1">
      <c r="AF822" s="413" t="s">
        <v>1866</v>
      </c>
      <c r="AL822" s="36"/>
      <c r="AM822" s="696" t="s">
        <v>1879</v>
      </c>
      <c r="AN822" s="706" t="s">
        <v>1313</v>
      </c>
      <c r="AO822" s="189" t="s">
        <v>758</v>
      </c>
      <c r="AP822" s="686">
        <f t="shared" si="56"/>
        <v>0</v>
      </c>
      <c r="AQ822" s="686">
        <f t="shared" si="56"/>
        <v>0</v>
      </c>
      <c r="AR822" s="686">
        <f t="shared" si="56"/>
        <v>0</v>
      </c>
      <c r="AS822" s="190"/>
      <c r="AT822" s="462"/>
      <c r="AU822" s="462"/>
      <c r="AV822" s="462"/>
      <c r="AW822" s="194"/>
      <c r="AX822" s="169"/>
    </row>
    <row r="823" spans="32:50" ht="12" customHeight="1">
      <c r="AF823" s="413" t="s">
        <v>1847</v>
      </c>
      <c r="AL823" s="36"/>
      <c r="AM823" s="696" t="s">
        <v>1860</v>
      </c>
      <c r="AN823" s="706" t="s">
        <v>1314</v>
      </c>
      <c r="AO823" s="189" t="s">
        <v>758</v>
      </c>
      <c r="AP823" s="686">
        <f t="shared" si="56"/>
        <v>0</v>
      </c>
      <c r="AQ823" s="686">
        <f t="shared" si="56"/>
        <v>0</v>
      </c>
      <c r="AR823" s="686">
        <f t="shared" si="56"/>
        <v>0</v>
      </c>
      <c r="AS823" s="190"/>
      <c r="AT823" s="462"/>
      <c r="AU823" s="462"/>
      <c r="AV823" s="462"/>
      <c r="AW823" s="194"/>
      <c r="AX823" s="169"/>
    </row>
    <row r="824" spans="32:50" ht="12" customHeight="1">
      <c r="AF824" s="413" t="s">
        <v>1827</v>
      </c>
      <c r="AL824" s="36"/>
      <c r="AM824" s="696" t="s">
        <v>1841</v>
      </c>
      <c r="AN824" s="706" t="s">
        <v>1315</v>
      </c>
      <c r="AO824" s="189" t="s">
        <v>758</v>
      </c>
      <c r="AP824" s="686">
        <f t="shared" si="56"/>
        <v>0</v>
      </c>
      <c r="AQ824" s="686">
        <f t="shared" si="56"/>
        <v>0</v>
      </c>
      <c r="AR824" s="686">
        <f t="shared" si="56"/>
        <v>0</v>
      </c>
      <c r="AS824" s="190"/>
      <c r="AT824" s="462"/>
      <c r="AU824" s="462"/>
      <c r="AV824" s="462"/>
      <c r="AW824" s="194"/>
      <c r="AX824" s="169"/>
    </row>
    <row r="825" spans="32:50" ht="12" customHeight="1">
      <c r="AF825" s="413" t="s">
        <v>1344</v>
      </c>
      <c r="AL825" s="36"/>
      <c r="AM825" s="696" t="s">
        <v>1680</v>
      </c>
      <c r="AN825" s="706" t="s">
        <v>1316</v>
      </c>
      <c r="AO825" s="189" t="s">
        <v>758</v>
      </c>
      <c r="AP825" s="686">
        <f t="shared" si="56"/>
        <v>0</v>
      </c>
      <c r="AQ825" s="686">
        <f t="shared" si="56"/>
        <v>0</v>
      </c>
      <c r="AR825" s="686">
        <f t="shared" si="56"/>
        <v>0</v>
      </c>
      <c r="AS825" s="190"/>
      <c r="AT825" s="462"/>
      <c r="AU825" s="462"/>
      <c r="AV825" s="462"/>
      <c r="AW825" s="194"/>
      <c r="AX825" s="169"/>
    </row>
    <row r="826" spans="32:50" ht="12" customHeight="1">
      <c r="AF826" s="413" t="s">
        <v>1345</v>
      </c>
      <c r="AL826" s="36"/>
      <c r="AM826" s="696" t="s">
        <v>1681</v>
      </c>
      <c r="AN826" s="706" t="s">
        <v>1317</v>
      </c>
      <c r="AO826" s="189" t="s">
        <v>758</v>
      </c>
      <c r="AP826" s="686">
        <f t="shared" si="56"/>
        <v>0</v>
      </c>
      <c r="AQ826" s="686">
        <f t="shared" si="56"/>
        <v>0</v>
      </c>
      <c r="AR826" s="686">
        <f t="shared" si="56"/>
        <v>0</v>
      </c>
      <c r="AS826" s="190"/>
      <c r="AT826" s="462"/>
      <c r="AU826" s="462"/>
      <c r="AV826" s="462"/>
      <c r="AW826" s="194"/>
      <c r="AX826" s="169"/>
    </row>
    <row r="827" spans="32:50" ht="12" customHeight="1">
      <c r="AF827" s="413" t="s">
        <v>1346</v>
      </c>
      <c r="AL827" s="36"/>
      <c r="AM827" s="696" t="s">
        <v>1682</v>
      </c>
      <c r="AN827" s="706" t="s">
        <v>1318</v>
      </c>
      <c r="AO827" s="189" t="s">
        <v>758</v>
      </c>
      <c r="AP827" s="686">
        <f t="shared" si="56"/>
        <v>0</v>
      </c>
      <c r="AQ827" s="686">
        <f t="shared" si="56"/>
        <v>0</v>
      </c>
      <c r="AR827" s="686">
        <f t="shared" si="56"/>
        <v>0</v>
      </c>
      <c r="AS827" s="190"/>
      <c r="AT827" s="462"/>
      <c r="AU827" s="462"/>
      <c r="AV827" s="462"/>
      <c r="AW827" s="194"/>
      <c r="AX827" s="169"/>
    </row>
    <row r="828" spans="32:50" ht="12" customHeight="1">
      <c r="AF828" s="413" t="s">
        <v>1347</v>
      </c>
      <c r="AL828" s="36"/>
      <c r="AM828" s="696" t="s">
        <v>1683</v>
      </c>
      <c r="AN828" s="707" t="s">
        <v>721</v>
      </c>
      <c r="AO828" s="189" t="s">
        <v>758</v>
      </c>
      <c r="AP828" s="686">
        <f t="shared" si="56"/>
        <v>0</v>
      </c>
      <c r="AQ828" s="686">
        <f t="shared" si="56"/>
        <v>0</v>
      </c>
      <c r="AR828" s="686">
        <f t="shared" si="56"/>
        <v>0</v>
      </c>
      <c r="AS828" s="190"/>
      <c r="AT828" s="462"/>
      <c r="AU828" s="462"/>
      <c r="AV828" s="462"/>
      <c r="AW828" s="194"/>
      <c r="AX828" s="169"/>
    </row>
    <row r="829" spans="32:50" ht="12" customHeight="1">
      <c r="AF829" s="413" t="s">
        <v>1348</v>
      </c>
      <c r="AL829" s="36"/>
      <c r="AM829" s="696" t="s">
        <v>1684</v>
      </c>
      <c r="AN829" s="708" t="s">
        <v>712</v>
      </c>
      <c r="AO829" s="189" t="s">
        <v>758</v>
      </c>
      <c r="AP829" s="686">
        <f t="shared" si="56"/>
        <v>0</v>
      </c>
      <c r="AQ829" s="686">
        <f t="shared" si="56"/>
        <v>0</v>
      </c>
      <c r="AR829" s="686">
        <f t="shared" si="56"/>
        <v>0</v>
      </c>
      <c r="AS829" s="190"/>
      <c r="AT829" s="462"/>
      <c r="AU829" s="462"/>
      <c r="AV829" s="462"/>
      <c r="AW829" s="194"/>
      <c r="AX829" s="169"/>
    </row>
    <row r="830" spans="32:50" ht="12" customHeight="1">
      <c r="AF830" s="413" t="s">
        <v>2612</v>
      </c>
      <c r="AL830" s="36"/>
      <c r="AM830" s="696" t="s">
        <v>2858</v>
      </c>
      <c r="AN830" s="709" t="s">
        <v>1319</v>
      </c>
      <c r="AO830" s="189" t="s">
        <v>758</v>
      </c>
      <c r="AP830" s="686">
        <f t="shared" si="56"/>
        <v>0</v>
      </c>
      <c r="AQ830" s="686">
        <f t="shared" si="56"/>
        <v>0</v>
      </c>
      <c r="AR830" s="686">
        <f t="shared" si="56"/>
        <v>0</v>
      </c>
      <c r="AS830" s="190"/>
      <c r="AT830" s="462"/>
      <c r="AU830" s="462"/>
      <c r="AV830" s="462"/>
      <c r="AW830" s="194"/>
      <c r="AX830" s="169"/>
    </row>
    <row r="831" spans="32:50" ht="12" customHeight="1">
      <c r="AF831" s="413" t="s">
        <v>2614</v>
      </c>
      <c r="AL831" s="36"/>
      <c r="AM831" s="696" t="s">
        <v>2859</v>
      </c>
      <c r="AN831" s="709" t="s">
        <v>1320</v>
      </c>
      <c r="AO831" s="189" t="s">
        <v>758</v>
      </c>
      <c r="AP831" s="686">
        <f t="shared" si="56"/>
        <v>0</v>
      </c>
      <c r="AQ831" s="686">
        <f t="shared" si="56"/>
        <v>0</v>
      </c>
      <c r="AR831" s="686">
        <f t="shared" si="56"/>
        <v>0</v>
      </c>
      <c r="AS831" s="190"/>
      <c r="AT831" s="462"/>
      <c r="AU831" s="462"/>
      <c r="AV831" s="462"/>
      <c r="AW831" s="194"/>
      <c r="AX831" s="169"/>
    </row>
    <row r="832" spans="32:50" ht="12" customHeight="1">
      <c r="AF832" s="413" t="s">
        <v>2616</v>
      </c>
      <c r="AL832" s="36"/>
      <c r="AM832" s="696" t="s">
        <v>2860</v>
      </c>
      <c r="AN832" s="709" t="s">
        <v>1321</v>
      </c>
      <c r="AO832" s="189" t="s">
        <v>758</v>
      </c>
      <c r="AP832" s="686">
        <f t="shared" si="56"/>
        <v>0</v>
      </c>
      <c r="AQ832" s="686">
        <f t="shared" si="56"/>
        <v>0</v>
      </c>
      <c r="AR832" s="686">
        <f t="shared" si="56"/>
        <v>0</v>
      </c>
      <c r="AS832" s="190"/>
      <c r="AT832" s="462"/>
      <c r="AU832" s="462"/>
      <c r="AV832" s="462"/>
      <c r="AW832" s="194"/>
      <c r="AX832" s="169"/>
    </row>
    <row r="833" spans="32:50" ht="12" customHeight="1">
      <c r="AF833" s="413" t="s">
        <v>2619</v>
      </c>
      <c r="AL833" s="36"/>
      <c r="AM833" s="696" t="s">
        <v>2861</v>
      </c>
      <c r="AN833" s="709" t="s">
        <v>2618</v>
      </c>
      <c r="AO833" s="189" t="s">
        <v>758</v>
      </c>
      <c r="AP833" s="686">
        <f t="shared" si="56"/>
        <v>0</v>
      </c>
      <c r="AQ833" s="686">
        <f t="shared" si="56"/>
        <v>0</v>
      </c>
      <c r="AR833" s="686">
        <f t="shared" si="56"/>
        <v>0</v>
      </c>
      <c r="AS833" s="190"/>
      <c r="AT833" s="462"/>
      <c r="AU833" s="462"/>
      <c r="AV833" s="462"/>
      <c r="AW833" s="194"/>
      <c r="AX833" s="169"/>
    </row>
    <row r="834" spans="32:50" ht="12" customHeight="1">
      <c r="AF834" s="413" t="s">
        <v>2622</v>
      </c>
      <c r="AL834" s="36"/>
      <c r="AM834" s="696" t="s">
        <v>2862</v>
      </c>
      <c r="AN834" s="709" t="s">
        <v>2621</v>
      </c>
      <c r="AO834" s="189" t="s">
        <v>758</v>
      </c>
      <c r="AP834" s="686">
        <f t="shared" ref="AP834:AR846" si="57">SUMIF($AS$9:$AW$9,AP$9,$AS834:$AW834)</f>
        <v>0</v>
      </c>
      <c r="AQ834" s="686">
        <f t="shared" si="57"/>
        <v>0</v>
      </c>
      <c r="AR834" s="686">
        <f t="shared" si="57"/>
        <v>0</v>
      </c>
      <c r="AS834" s="190"/>
      <c r="AT834" s="462"/>
      <c r="AU834" s="462"/>
      <c r="AV834" s="462"/>
      <c r="AW834" s="194"/>
      <c r="AX834" s="169"/>
    </row>
    <row r="835" spans="32:50" ht="12" customHeight="1">
      <c r="AF835" s="413" t="s">
        <v>2624</v>
      </c>
      <c r="AL835" s="36"/>
      <c r="AM835" s="696" t="s">
        <v>2863</v>
      </c>
      <c r="AN835" s="709" t="s">
        <v>1322</v>
      </c>
      <c r="AO835" s="189" t="s">
        <v>758</v>
      </c>
      <c r="AP835" s="686">
        <f t="shared" si="57"/>
        <v>0</v>
      </c>
      <c r="AQ835" s="686">
        <f t="shared" si="57"/>
        <v>0</v>
      </c>
      <c r="AR835" s="686">
        <f t="shared" si="57"/>
        <v>0</v>
      </c>
      <c r="AS835" s="190"/>
      <c r="AT835" s="462"/>
      <c r="AU835" s="462"/>
      <c r="AV835" s="462"/>
      <c r="AW835" s="194"/>
      <c r="AX835" s="169"/>
    </row>
    <row r="836" spans="32:50" ht="12" customHeight="1">
      <c r="AF836" s="413" t="s">
        <v>2627</v>
      </c>
      <c r="AL836" s="36"/>
      <c r="AM836" s="696" t="s">
        <v>2864</v>
      </c>
      <c r="AN836" s="709" t="s">
        <v>2626</v>
      </c>
      <c r="AO836" s="189" t="s">
        <v>758</v>
      </c>
      <c r="AP836" s="686">
        <f t="shared" si="57"/>
        <v>0</v>
      </c>
      <c r="AQ836" s="686">
        <f t="shared" si="57"/>
        <v>0</v>
      </c>
      <c r="AR836" s="686">
        <f t="shared" si="57"/>
        <v>0</v>
      </c>
      <c r="AS836" s="190"/>
      <c r="AT836" s="462"/>
      <c r="AU836" s="462"/>
      <c r="AV836" s="462"/>
      <c r="AW836" s="194"/>
      <c r="AX836" s="169"/>
    </row>
    <row r="837" spans="32:50" ht="12" customHeight="1">
      <c r="AF837" s="413" t="s">
        <v>2629</v>
      </c>
      <c r="AL837" s="36"/>
      <c r="AM837" s="696" t="s">
        <v>2865</v>
      </c>
      <c r="AN837" s="709" t="s">
        <v>1323</v>
      </c>
      <c r="AO837" s="189" t="s">
        <v>758</v>
      </c>
      <c r="AP837" s="686">
        <f t="shared" si="57"/>
        <v>0</v>
      </c>
      <c r="AQ837" s="686">
        <f t="shared" si="57"/>
        <v>0</v>
      </c>
      <c r="AR837" s="686">
        <f t="shared" si="57"/>
        <v>0</v>
      </c>
      <c r="AS837" s="190"/>
      <c r="AT837" s="462"/>
      <c r="AU837" s="462"/>
      <c r="AV837" s="462"/>
      <c r="AW837" s="194"/>
      <c r="AX837" s="169"/>
    </row>
    <row r="838" spans="32:50" ht="12" customHeight="1">
      <c r="AF838" s="413" t="s">
        <v>2631</v>
      </c>
      <c r="AL838" s="36"/>
      <c r="AM838" s="696" t="s">
        <v>2866</v>
      </c>
      <c r="AN838" s="709" t="s">
        <v>1324</v>
      </c>
      <c r="AO838" s="189" t="s">
        <v>758</v>
      </c>
      <c r="AP838" s="686">
        <f t="shared" si="57"/>
        <v>0</v>
      </c>
      <c r="AQ838" s="686">
        <f t="shared" si="57"/>
        <v>0</v>
      </c>
      <c r="AR838" s="686">
        <f t="shared" si="57"/>
        <v>0</v>
      </c>
      <c r="AS838" s="190"/>
      <c r="AT838" s="462"/>
      <c r="AU838" s="462"/>
      <c r="AV838" s="462"/>
      <c r="AW838" s="194"/>
      <c r="AX838" s="169"/>
    </row>
    <row r="839" spans="32:50" ht="12" customHeight="1">
      <c r="AF839" s="413" t="s">
        <v>2634</v>
      </c>
      <c r="AL839" s="36"/>
      <c r="AM839" s="696" t="s">
        <v>2867</v>
      </c>
      <c r="AN839" s="709" t="s">
        <v>2633</v>
      </c>
      <c r="AO839" s="189" t="s">
        <v>758</v>
      </c>
      <c r="AP839" s="686">
        <f t="shared" si="57"/>
        <v>0</v>
      </c>
      <c r="AQ839" s="686">
        <f t="shared" si="57"/>
        <v>0</v>
      </c>
      <c r="AR839" s="686">
        <f t="shared" si="57"/>
        <v>0</v>
      </c>
      <c r="AS839" s="190"/>
      <c r="AT839" s="462"/>
      <c r="AU839" s="462"/>
      <c r="AV839" s="462"/>
      <c r="AW839" s="194"/>
      <c r="AX839" s="169"/>
    </row>
    <row r="840" spans="32:50" ht="12" customHeight="1">
      <c r="AF840" s="413" t="s">
        <v>2637</v>
      </c>
      <c r="AL840" s="36"/>
      <c r="AM840" s="696" t="s">
        <v>2868</v>
      </c>
      <c r="AN840" s="709" t="s">
        <v>2636</v>
      </c>
      <c r="AO840" s="189" t="s">
        <v>758</v>
      </c>
      <c r="AP840" s="686">
        <f t="shared" si="57"/>
        <v>0</v>
      </c>
      <c r="AQ840" s="686">
        <f t="shared" si="57"/>
        <v>0</v>
      </c>
      <c r="AR840" s="686">
        <f t="shared" si="57"/>
        <v>0</v>
      </c>
      <c r="AS840" s="190"/>
      <c r="AT840" s="462"/>
      <c r="AU840" s="462"/>
      <c r="AV840" s="462"/>
      <c r="AW840" s="194"/>
      <c r="AX840" s="169"/>
    </row>
    <row r="841" spans="32:50" ht="12" customHeight="1">
      <c r="AF841" s="413" t="s">
        <v>2640</v>
      </c>
      <c r="AL841" s="36"/>
      <c r="AM841" s="696" t="s">
        <v>2869</v>
      </c>
      <c r="AN841" s="709" t="s">
        <v>2639</v>
      </c>
      <c r="AO841" s="189" t="s">
        <v>758</v>
      </c>
      <c r="AP841" s="686">
        <f t="shared" si="57"/>
        <v>0</v>
      </c>
      <c r="AQ841" s="686">
        <f t="shared" si="57"/>
        <v>0</v>
      </c>
      <c r="AR841" s="686">
        <f t="shared" si="57"/>
        <v>0</v>
      </c>
      <c r="AS841" s="190"/>
      <c r="AT841" s="462"/>
      <c r="AU841" s="462"/>
      <c r="AV841" s="462"/>
      <c r="AW841" s="194"/>
      <c r="AX841" s="169"/>
    </row>
    <row r="842" spans="32:50" ht="12" customHeight="1">
      <c r="AF842" s="413" t="s">
        <v>2643</v>
      </c>
      <c r="AL842" s="36"/>
      <c r="AM842" s="696" t="s">
        <v>2870</v>
      </c>
      <c r="AN842" s="709" t="s">
        <v>2642</v>
      </c>
      <c r="AO842" s="189" t="s">
        <v>758</v>
      </c>
      <c r="AP842" s="686">
        <f t="shared" si="57"/>
        <v>0</v>
      </c>
      <c r="AQ842" s="686">
        <f t="shared" si="57"/>
        <v>0</v>
      </c>
      <c r="AR842" s="686">
        <f t="shared" si="57"/>
        <v>0</v>
      </c>
      <c r="AS842" s="190"/>
      <c r="AT842" s="462"/>
      <c r="AU842" s="462"/>
      <c r="AV842" s="462"/>
      <c r="AW842" s="194"/>
      <c r="AX842" s="169"/>
    </row>
    <row r="843" spans="32:50" ht="12" customHeight="1">
      <c r="AF843" s="413" t="s">
        <v>2646</v>
      </c>
      <c r="AL843" s="36"/>
      <c r="AM843" s="696" t="s">
        <v>2871</v>
      </c>
      <c r="AN843" s="709" t="s">
        <v>2645</v>
      </c>
      <c r="AO843" s="189" t="s">
        <v>758</v>
      </c>
      <c r="AP843" s="686">
        <f t="shared" si="57"/>
        <v>0</v>
      </c>
      <c r="AQ843" s="686">
        <f t="shared" si="57"/>
        <v>0</v>
      </c>
      <c r="AR843" s="686">
        <f t="shared" si="57"/>
        <v>0</v>
      </c>
      <c r="AS843" s="190"/>
      <c r="AT843" s="462"/>
      <c r="AU843" s="462"/>
      <c r="AV843" s="462"/>
      <c r="AW843" s="194"/>
      <c r="AX843" s="169"/>
    </row>
    <row r="844" spans="32:50" ht="12" customHeight="1">
      <c r="AF844" s="413" t="s">
        <v>2648</v>
      </c>
      <c r="AL844" s="36"/>
      <c r="AM844" s="696" t="s">
        <v>2872</v>
      </c>
      <c r="AN844" s="709" t="s">
        <v>1325</v>
      </c>
      <c r="AO844" s="189" t="s">
        <v>758</v>
      </c>
      <c r="AP844" s="686">
        <f t="shared" si="57"/>
        <v>0</v>
      </c>
      <c r="AQ844" s="686">
        <f t="shared" si="57"/>
        <v>0</v>
      </c>
      <c r="AR844" s="686">
        <f t="shared" si="57"/>
        <v>0</v>
      </c>
      <c r="AS844" s="190"/>
      <c r="AT844" s="462"/>
      <c r="AU844" s="462"/>
      <c r="AV844" s="462"/>
      <c r="AW844" s="194"/>
      <c r="AX844" s="169"/>
    </row>
    <row r="845" spans="32:50" ht="12" customHeight="1">
      <c r="AF845" s="413" t="s">
        <v>2650</v>
      </c>
      <c r="AL845" s="36"/>
      <c r="AM845" s="696" t="s">
        <v>2873</v>
      </c>
      <c r="AN845" s="709" t="s">
        <v>1326</v>
      </c>
      <c r="AO845" s="189" t="s">
        <v>758</v>
      </c>
      <c r="AP845" s="686">
        <f t="shared" si="57"/>
        <v>0</v>
      </c>
      <c r="AQ845" s="686">
        <f t="shared" si="57"/>
        <v>0</v>
      </c>
      <c r="AR845" s="686">
        <f t="shared" si="57"/>
        <v>0</v>
      </c>
      <c r="AS845" s="190"/>
      <c r="AT845" s="462"/>
      <c r="AU845" s="462"/>
      <c r="AV845" s="462"/>
      <c r="AW845" s="194"/>
      <c r="AX845" s="169"/>
    </row>
    <row r="846" spans="32:50" ht="12" customHeight="1">
      <c r="AF846" s="413" t="s">
        <v>2653</v>
      </c>
      <c r="AL846" s="36"/>
      <c r="AM846" s="696" t="s">
        <v>2874</v>
      </c>
      <c r="AN846" s="709" t="s">
        <v>2652</v>
      </c>
      <c r="AO846" s="189" t="s">
        <v>758</v>
      </c>
      <c r="AP846" s="686">
        <f t="shared" si="57"/>
        <v>0</v>
      </c>
      <c r="AQ846" s="686">
        <f t="shared" si="57"/>
        <v>0</v>
      </c>
      <c r="AR846" s="686">
        <f t="shared" si="57"/>
        <v>0</v>
      </c>
      <c r="AS846" s="190"/>
      <c r="AT846" s="462"/>
      <c r="AU846" s="462"/>
      <c r="AV846" s="462"/>
      <c r="AW846" s="194"/>
      <c r="AX846" s="169"/>
    </row>
    <row r="847" spans="32:50" ht="0.75" hidden="1" customHeight="1">
      <c r="AF847" s="413"/>
      <c r="AL847" s="36"/>
      <c r="AM847" s="718"/>
      <c r="AN847" s="460"/>
      <c r="AO847" s="461"/>
      <c r="AP847" s="462"/>
      <c r="AQ847" s="462"/>
      <c r="AR847" s="462"/>
      <c r="AS847" s="190"/>
      <c r="AT847" s="462"/>
      <c r="AU847" s="462"/>
      <c r="AV847" s="462"/>
      <c r="AW847" s="194"/>
      <c r="AX847" s="169"/>
    </row>
    <row r="848" spans="32:50" ht="0.75" hidden="1" customHeight="1">
      <c r="AF848" s="413"/>
      <c r="AL848" s="36"/>
      <c r="AM848" s="718"/>
      <c r="AN848" s="460"/>
      <c r="AO848" s="461"/>
      <c r="AP848" s="462"/>
      <c r="AQ848" s="462"/>
      <c r="AR848" s="462"/>
      <c r="AS848" s="190"/>
      <c r="AT848" s="462"/>
      <c r="AU848" s="462"/>
      <c r="AV848" s="462"/>
      <c r="AW848" s="194"/>
      <c r="AX848" s="169"/>
    </row>
    <row r="849" spans="32:50" ht="12" customHeight="1">
      <c r="AF849" s="413" t="s">
        <v>1357</v>
      </c>
      <c r="AL849" s="36"/>
      <c r="AM849" s="696" t="s">
        <v>1685</v>
      </c>
      <c r="AN849" s="719" t="s">
        <v>1327</v>
      </c>
      <c r="AO849" s="189" t="s">
        <v>758</v>
      </c>
      <c r="AP849" s="686">
        <f t="shared" ref="AP849:AR855" si="58">SUMIF($AS$9:$AW$9,AP$9,$AS849:$AW849)</f>
        <v>0</v>
      </c>
      <c r="AQ849" s="686">
        <f t="shared" si="58"/>
        <v>0</v>
      </c>
      <c r="AR849" s="686">
        <f t="shared" si="58"/>
        <v>0</v>
      </c>
      <c r="AS849" s="190"/>
      <c r="AT849" s="462"/>
      <c r="AU849" s="462"/>
      <c r="AV849" s="462"/>
      <c r="AW849" s="194"/>
      <c r="AX849" s="169"/>
    </row>
    <row r="850" spans="32:50" ht="12" customHeight="1">
      <c r="AF850" s="413" t="s">
        <v>1350</v>
      </c>
      <c r="AL850" s="36"/>
      <c r="AM850" s="696" t="s">
        <v>1686</v>
      </c>
      <c r="AN850" s="712" t="s">
        <v>723</v>
      </c>
      <c r="AO850" s="189" t="s">
        <v>758</v>
      </c>
      <c r="AP850" s="686">
        <f t="shared" si="58"/>
        <v>0</v>
      </c>
      <c r="AQ850" s="686">
        <f t="shared" si="58"/>
        <v>0</v>
      </c>
      <c r="AR850" s="686">
        <f t="shared" si="58"/>
        <v>0</v>
      </c>
      <c r="AS850" s="190"/>
      <c r="AT850" s="462"/>
      <c r="AU850" s="462"/>
      <c r="AV850" s="462"/>
      <c r="AW850" s="194"/>
      <c r="AX850" s="169"/>
    </row>
    <row r="851" spans="32:50" ht="12" customHeight="1">
      <c r="AF851" s="413" t="s">
        <v>1351</v>
      </c>
      <c r="AL851" s="36"/>
      <c r="AM851" s="696" t="s">
        <v>1687</v>
      </c>
      <c r="AN851" s="713" t="s">
        <v>748</v>
      </c>
      <c r="AO851" s="189" t="s">
        <v>758</v>
      </c>
      <c r="AP851" s="686">
        <f t="shared" si="58"/>
        <v>0</v>
      </c>
      <c r="AQ851" s="686">
        <f t="shared" si="58"/>
        <v>0</v>
      </c>
      <c r="AR851" s="686">
        <f t="shared" si="58"/>
        <v>0</v>
      </c>
      <c r="AS851" s="190"/>
      <c r="AT851" s="462"/>
      <c r="AU851" s="462"/>
      <c r="AV851" s="462"/>
      <c r="AW851" s="194"/>
      <c r="AX851" s="169"/>
    </row>
    <row r="852" spans="32:50" ht="12" customHeight="1">
      <c r="AF852" s="413" t="s">
        <v>1352</v>
      </c>
      <c r="AL852" s="36"/>
      <c r="AM852" s="696" t="s">
        <v>1688</v>
      </c>
      <c r="AN852" s="714" t="s">
        <v>315</v>
      </c>
      <c r="AO852" s="189" t="s">
        <v>758</v>
      </c>
      <c r="AP852" s="686">
        <f t="shared" si="58"/>
        <v>0</v>
      </c>
      <c r="AQ852" s="686">
        <f t="shared" si="58"/>
        <v>0</v>
      </c>
      <c r="AR852" s="686">
        <f t="shared" si="58"/>
        <v>0</v>
      </c>
      <c r="AS852" s="190"/>
      <c r="AT852" s="462"/>
      <c r="AU852" s="462"/>
      <c r="AV852" s="462"/>
      <c r="AW852" s="194"/>
      <c r="AX852" s="169"/>
    </row>
    <row r="853" spans="32:50" ht="12" customHeight="1">
      <c r="AF853" s="413" t="s">
        <v>1354</v>
      </c>
      <c r="AL853" s="36"/>
      <c r="AM853" s="696" t="s">
        <v>1689</v>
      </c>
      <c r="AN853" s="715" t="s">
        <v>316</v>
      </c>
      <c r="AO853" s="189" t="s">
        <v>758</v>
      </c>
      <c r="AP853" s="686">
        <f t="shared" si="58"/>
        <v>0</v>
      </c>
      <c r="AQ853" s="686">
        <f t="shared" si="58"/>
        <v>0</v>
      </c>
      <c r="AR853" s="686">
        <f t="shared" si="58"/>
        <v>0</v>
      </c>
      <c r="AS853" s="190"/>
      <c r="AT853" s="462"/>
      <c r="AU853" s="462"/>
      <c r="AV853" s="462"/>
      <c r="AW853" s="194"/>
      <c r="AX853" s="169"/>
    </row>
    <row r="854" spans="32:50" ht="12" customHeight="1">
      <c r="AF854" s="413" t="s">
        <v>1353</v>
      </c>
      <c r="AL854" s="36"/>
      <c r="AM854" s="696" t="s">
        <v>1690</v>
      </c>
      <c r="AN854" s="716" t="s">
        <v>317</v>
      </c>
      <c r="AO854" s="189" t="s">
        <v>758</v>
      </c>
      <c r="AP854" s="686">
        <f t="shared" si="58"/>
        <v>0</v>
      </c>
      <c r="AQ854" s="686">
        <f t="shared" si="58"/>
        <v>0</v>
      </c>
      <c r="AR854" s="686">
        <f t="shared" si="58"/>
        <v>0</v>
      </c>
      <c r="AS854" s="190"/>
      <c r="AT854" s="462"/>
      <c r="AU854" s="462"/>
      <c r="AV854" s="462"/>
      <c r="AW854" s="194"/>
      <c r="AX854" s="169"/>
    </row>
    <row r="855" spans="32:50" ht="12" customHeight="1">
      <c r="AF855" s="413" t="s">
        <v>1355</v>
      </c>
      <c r="AL855" s="36"/>
      <c r="AM855" s="696" t="s">
        <v>1691</v>
      </c>
      <c r="AN855" s="701" t="s">
        <v>318</v>
      </c>
      <c r="AO855" s="189" t="s">
        <v>758</v>
      </c>
      <c r="AP855" s="686">
        <f t="shared" si="58"/>
        <v>0</v>
      </c>
      <c r="AQ855" s="686">
        <f t="shared" si="58"/>
        <v>0</v>
      </c>
      <c r="AR855" s="686">
        <f t="shared" si="58"/>
        <v>0</v>
      </c>
      <c r="AS855" s="190"/>
      <c r="AT855" s="462"/>
      <c r="AU855" s="462"/>
      <c r="AV855" s="462"/>
      <c r="AW855" s="194"/>
      <c r="AX855" s="169"/>
    </row>
    <row r="856" spans="32:50" ht="0.75" hidden="1" customHeight="1">
      <c r="AF856" s="413"/>
      <c r="AL856" s="36"/>
      <c r="AM856" s="718"/>
      <c r="AN856" s="460"/>
      <c r="AO856" s="461"/>
      <c r="AP856" s="462"/>
      <c r="AQ856" s="462"/>
      <c r="AR856" s="462"/>
      <c r="AS856" s="190"/>
      <c r="AT856" s="462"/>
      <c r="AU856" s="462"/>
      <c r="AV856" s="462"/>
      <c r="AW856" s="194"/>
      <c r="AX856" s="169"/>
    </row>
    <row r="857" spans="32:50" ht="24" customHeight="1">
      <c r="AF857" s="115"/>
      <c r="AL857" s="36"/>
      <c r="AM857" s="490" t="s">
        <v>1755</v>
      </c>
      <c r="AN857" s="463" t="s">
        <v>661</v>
      </c>
      <c r="AO857" s="189" t="s">
        <v>195</v>
      </c>
      <c r="AP857" s="686">
        <f>SUMIF($AS$9:$AW$9,AP$9,$AS857:$AW857)</f>
        <v>0</v>
      </c>
      <c r="AQ857" s="686">
        <f>SUMIF($AS$9:$AW$9,AQ$9,$AS857:$AW857)</f>
        <v>0</v>
      </c>
      <c r="AR857" s="686">
        <f>SUMIF($AS$9:$AW$9,AR$9,$AS857:$AW857)</f>
        <v>0</v>
      </c>
      <c r="AS857" s="190"/>
      <c r="AT857" s="263">
        <f>SUM(AT858,AT862:AT867,AT868,AT873,AT880,AT881,AT901:AT907)</f>
        <v>0</v>
      </c>
      <c r="AU857" s="263">
        <f>SUM(AU858,AU862:AU867,AU868,AU873,AU880,AU881,AU901:AU907)</f>
        <v>0</v>
      </c>
      <c r="AV857" s="263">
        <f>SUM(AV858,AV862:AV867,AV868,AV873,AV880,AV881,AV901:AV907)</f>
        <v>0</v>
      </c>
      <c r="AW857" s="194"/>
      <c r="AX857" s="169"/>
    </row>
    <row r="858" spans="32:50" ht="0.75" hidden="1" customHeight="1">
      <c r="AF858" s="413"/>
      <c r="AL858" s="36"/>
      <c r="AM858" s="718"/>
      <c r="AN858" s="460"/>
      <c r="AO858" s="461"/>
      <c r="AP858" s="462"/>
      <c r="AQ858" s="462"/>
      <c r="AR858" s="462"/>
      <c r="AS858" s="190"/>
      <c r="AT858" s="462"/>
      <c r="AU858" s="462"/>
      <c r="AV858" s="462"/>
      <c r="AW858" s="194"/>
      <c r="AX858" s="169"/>
    </row>
    <row r="859" spans="32:50" ht="0.75" hidden="1" customHeight="1">
      <c r="AF859" s="413"/>
      <c r="AL859" s="36"/>
      <c r="AM859" s="718"/>
      <c r="AN859" s="460"/>
      <c r="AO859" s="461"/>
      <c r="AP859" s="462"/>
      <c r="AQ859" s="462"/>
      <c r="AR859" s="462"/>
      <c r="AS859" s="190"/>
      <c r="AT859" s="241"/>
      <c r="AU859" s="241"/>
      <c r="AV859" s="241"/>
      <c r="AW859" s="194"/>
      <c r="AX859" s="169"/>
    </row>
    <row r="860" spans="32:50" ht="0.75" hidden="1" customHeight="1">
      <c r="AF860" s="413"/>
      <c r="AL860" s="36"/>
      <c r="AM860" s="718"/>
      <c r="AN860" s="460"/>
      <c r="AO860" s="461"/>
      <c r="AP860" s="462"/>
      <c r="AQ860" s="462"/>
      <c r="AR860" s="462"/>
      <c r="AS860" s="190"/>
      <c r="AT860" s="241"/>
      <c r="AU860" s="241"/>
      <c r="AV860" s="241"/>
      <c r="AW860" s="194"/>
      <c r="AX860" s="169"/>
    </row>
    <row r="861" spans="32:50" ht="0.75" hidden="1" customHeight="1">
      <c r="AF861" s="413"/>
      <c r="AL861" s="36"/>
      <c r="AM861" s="718"/>
      <c r="AN861" s="460"/>
      <c r="AO861" s="461"/>
      <c r="AP861" s="462"/>
      <c r="AQ861" s="462"/>
      <c r="AR861" s="462"/>
      <c r="AS861" s="190"/>
      <c r="AT861" s="241"/>
      <c r="AU861" s="241"/>
      <c r="AV861" s="241"/>
      <c r="AW861" s="194"/>
      <c r="AX861" s="169"/>
    </row>
    <row r="862" spans="32:50" ht="0.75" hidden="1" customHeight="1">
      <c r="AF862" s="413"/>
      <c r="AL862" s="36"/>
      <c r="AM862" s="718"/>
      <c r="AN862" s="460"/>
      <c r="AO862" s="461"/>
      <c r="AP862" s="462"/>
      <c r="AQ862" s="462"/>
      <c r="AR862" s="462"/>
      <c r="AS862" s="190"/>
      <c r="AT862" s="241"/>
      <c r="AU862" s="241"/>
      <c r="AV862" s="241"/>
      <c r="AW862" s="194"/>
      <c r="AX862" s="169"/>
    </row>
    <row r="863" spans="32:50" ht="0.75" hidden="1" customHeight="1">
      <c r="AF863" s="413"/>
      <c r="AL863" s="36"/>
      <c r="AM863" s="718"/>
      <c r="AN863" s="460"/>
      <c r="AO863" s="461"/>
      <c r="AP863" s="462"/>
      <c r="AQ863" s="462"/>
      <c r="AR863" s="462"/>
      <c r="AS863" s="190"/>
      <c r="AT863" s="241"/>
      <c r="AU863" s="241"/>
      <c r="AV863" s="241"/>
      <c r="AW863" s="194"/>
      <c r="AX863" s="169"/>
    </row>
    <row r="864" spans="32:50" ht="0.75" hidden="1" customHeight="1">
      <c r="AF864" s="413"/>
      <c r="AL864" s="36"/>
      <c r="AM864" s="718"/>
      <c r="AN864" s="460"/>
      <c r="AO864" s="461"/>
      <c r="AP864" s="462"/>
      <c r="AQ864" s="462"/>
      <c r="AR864" s="462"/>
      <c r="AS864" s="190"/>
      <c r="AT864" s="241"/>
      <c r="AU864" s="241"/>
      <c r="AV864" s="241"/>
      <c r="AW864" s="194"/>
      <c r="AX864" s="169"/>
    </row>
    <row r="865" spans="32:50" ht="0.75" hidden="1" customHeight="1">
      <c r="AF865" s="413"/>
      <c r="AL865" s="36"/>
      <c r="AM865" s="718"/>
      <c r="AN865" s="460"/>
      <c r="AO865" s="461"/>
      <c r="AP865" s="462"/>
      <c r="AQ865" s="462"/>
      <c r="AR865" s="462"/>
      <c r="AS865" s="190"/>
      <c r="AT865" s="241"/>
      <c r="AU865" s="241"/>
      <c r="AV865" s="241"/>
      <c r="AW865" s="194"/>
      <c r="AX865" s="169"/>
    </row>
    <row r="866" spans="32:50" ht="12" customHeight="1">
      <c r="AF866" s="413" t="s">
        <v>1332</v>
      </c>
      <c r="AL866" s="36"/>
      <c r="AM866" s="696" t="s">
        <v>1756</v>
      </c>
      <c r="AN866" s="701" t="s">
        <v>684</v>
      </c>
      <c r="AO866" s="189" t="s">
        <v>195</v>
      </c>
      <c r="AP866" s="686">
        <f t="shared" ref="AP866:AR885" si="59">SUMIF($AS$9:$AW$9,AP$9,$AS866:$AW866)</f>
        <v>0</v>
      </c>
      <c r="AQ866" s="686">
        <f t="shared" si="59"/>
        <v>0</v>
      </c>
      <c r="AR866" s="686">
        <f t="shared" si="59"/>
        <v>0</v>
      </c>
      <c r="AS866" s="190"/>
      <c r="AT866" s="241"/>
      <c r="AU866" s="241"/>
      <c r="AV866" s="241"/>
      <c r="AW866" s="194"/>
      <c r="AX866" s="169"/>
    </row>
    <row r="867" spans="32:50" ht="12" customHeight="1">
      <c r="AF867" s="413" t="s">
        <v>1333</v>
      </c>
      <c r="AL867" s="36"/>
      <c r="AM867" s="696" t="s">
        <v>1757</v>
      </c>
      <c r="AN867" s="702" t="s">
        <v>718</v>
      </c>
      <c r="AO867" s="189" t="s">
        <v>195</v>
      </c>
      <c r="AP867" s="686">
        <f t="shared" si="59"/>
        <v>0</v>
      </c>
      <c r="AQ867" s="686">
        <f t="shared" si="59"/>
        <v>0</v>
      </c>
      <c r="AR867" s="686">
        <f t="shared" si="59"/>
        <v>0</v>
      </c>
      <c r="AS867" s="190"/>
      <c r="AT867" s="241"/>
      <c r="AU867" s="241"/>
      <c r="AV867" s="241"/>
      <c r="AW867" s="194"/>
      <c r="AX867" s="169"/>
    </row>
    <row r="868" spans="32:50" ht="12" customHeight="1">
      <c r="AF868" s="413" t="s">
        <v>1334</v>
      </c>
      <c r="AL868" s="36"/>
      <c r="AM868" s="696" t="s">
        <v>1758</v>
      </c>
      <c r="AN868" s="703" t="s">
        <v>722</v>
      </c>
      <c r="AO868" s="189" t="s">
        <v>195</v>
      </c>
      <c r="AP868" s="686">
        <f t="shared" si="59"/>
        <v>0</v>
      </c>
      <c r="AQ868" s="686">
        <f t="shared" si="59"/>
        <v>0</v>
      </c>
      <c r="AR868" s="686">
        <f t="shared" si="59"/>
        <v>0</v>
      </c>
      <c r="AS868" s="190"/>
      <c r="AT868" s="241"/>
      <c r="AU868" s="241"/>
      <c r="AV868" s="241"/>
      <c r="AW868" s="194"/>
      <c r="AX868" s="169"/>
    </row>
    <row r="869" spans="32:50" ht="12" customHeight="1">
      <c r="AF869" s="413" t="s">
        <v>1335</v>
      </c>
      <c r="AL869" s="36"/>
      <c r="AM869" s="696" t="s">
        <v>1759</v>
      </c>
      <c r="AN869" s="704" t="s">
        <v>1309</v>
      </c>
      <c r="AO869" s="189" t="s">
        <v>195</v>
      </c>
      <c r="AP869" s="686">
        <f t="shared" si="59"/>
        <v>0</v>
      </c>
      <c r="AQ869" s="686">
        <f t="shared" si="59"/>
        <v>0</v>
      </c>
      <c r="AR869" s="686">
        <f t="shared" si="59"/>
        <v>0</v>
      </c>
      <c r="AS869" s="190"/>
      <c r="AT869" s="241"/>
      <c r="AU869" s="241"/>
      <c r="AV869" s="241"/>
      <c r="AW869" s="194"/>
      <c r="AX869" s="169"/>
    </row>
    <row r="870" spans="32:50" ht="12" customHeight="1">
      <c r="AF870" s="413" t="s">
        <v>1336</v>
      </c>
      <c r="AL870" s="36"/>
      <c r="AM870" s="696" t="s">
        <v>1760</v>
      </c>
      <c r="AN870" s="704" t="s">
        <v>1310</v>
      </c>
      <c r="AO870" s="189" t="s">
        <v>195</v>
      </c>
      <c r="AP870" s="686">
        <f t="shared" si="59"/>
        <v>0</v>
      </c>
      <c r="AQ870" s="686">
        <f t="shared" si="59"/>
        <v>0</v>
      </c>
      <c r="AR870" s="686">
        <f t="shared" si="59"/>
        <v>0</v>
      </c>
      <c r="AS870" s="190"/>
      <c r="AT870" s="241"/>
      <c r="AU870" s="241"/>
      <c r="AV870" s="241"/>
      <c r="AW870" s="194"/>
      <c r="AX870" s="169"/>
    </row>
    <row r="871" spans="32:50" ht="12" customHeight="1">
      <c r="AF871" s="413" t="s">
        <v>1337</v>
      </c>
      <c r="AL871" s="36"/>
      <c r="AM871" s="696" t="s">
        <v>1761</v>
      </c>
      <c r="AN871" s="704" t="s">
        <v>1311</v>
      </c>
      <c r="AO871" s="189" t="s">
        <v>195</v>
      </c>
      <c r="AP871" s="686">
        <f t="shared" si="59"/>
        <v>0</v>
      </c>
      <c r="AQ871" s="686">
        <f t="shared" si="59"/>
        <v>0</v>
      </c>
      <c r="AR871" s="686">
        <f t="shared" si="59"/>
        <v>0</v>
      </c>
      <c r="AS871" s="190"/>
      <c r="AT871" s="241"/>
      <c r="AU871" s="241"/>
      <c r="AV871" s="241"/>
      <c r="AW871" s="194"/>
      <c r="AX871" s="169"/>
    </row>
    <row r="872" spans="32:50" ht="12" customHeight="1">
      <c r="AF872" s="413" t="s">
        <v>1338</v>
      </c>
      <c r="AL872" s="36"/>
      <c r="AM872" s="696" t="s">
        <v>1762</v>
      </c>
      <c r="AN872" s="704" t="s">
        <v>1312</v>
      </c>
      <c r="AO872" s="189" t="s">
        <v>195</v>
      </c>
      <c r="AP872" s="686">
        <f t="shared" si="59"/>
        <v>0</v>
      </c>
      <c r="AQ872" s="686">
        <f t="shared" si="59"/>
        <v>0</v>
      </c>
      <c r="AR872" s="686">
        <f t="shared" si="59"/>
        <v>0</v>
      </c>
      <c r="AS872" s="190"/>
      <c r="AT872" s="241"/>
      <c r="AU872" s="241"/>
      <c r="AV872" s="241"/>
      <c r="AW872" s="194"/>
      <c r="AX872" s="169"/>
    </row>
    <row r="873" spans="32:50" ht="12" customHeight="1">
      <c r="AF873" s="413" t="s">
        <v>1343</v>
      </c>
      <c r="AL873" s="36"/>
      <c r="AM873" s="696" t="s">
        <v>1763</v>
      </c>
      <c r="AN873" s="705" t="s">
        <v>720</v>
      </c>
      <c r="AO873" s="189" t="s">
        <v>195</v>
      </c>
      <c r="AP873" s="686">
        <f t="shared" si="59"/>
        <v>0</v>
      </c>
      <c r="AQ873" s="686">
        <f t="shared" si="59"/>
        <v>0</v>
      </c>
      <c r="AR873" s="686">
        <f t="shared" si="59"/>
        <v>0</v>
      </c>
      <c r="AS873" s="190"/>
      <c r="AT873" s="241"/>
      <c r="AU873" s="241"/>
      <c r="AV873" s="241"/>
      <c r="AW873" s="194"/>
      <c r="AX873" s="169"/>
    </row>
    <row r="874" spans="32:50" ht="12" customHeight="1">
      <c r="AF874" s="413" t="s">
        <v>1866</v>
      </c>
      <c r="AL874" s="36"/>
      <c r="AM874" s="696" t="s">
        <v>1880</v>
      </c>
      <c r="AN874" s="706" t="s">
        <v>1313</v>
      </c>
      <c r="AO874" s="189" t="s">
        <v>195</v>
      </c>
      <c r="AP874" s="686">
        <f t="shared" si="59"/>
        <v>0</v>
      </c>
      <c r="AQ874" s="686">
        <f t="shared" si="59"/>
        <v>0</v>
      </c>
      <c r="AR874" s="686">
        <f t="shared" si="59"/>
        <v>0</v>
      </c>
      <c r="AS874" s="190"/>
      <c r="AT874" s="241"/>
      <c r="AU874" s="241"/>
      <c r="AV874" s="241"/>
      <c r="AW874" s="194"/>
      <c r="AX874" s="169"/>
    </row>
    <row r="875" spans="32:50" ht="12" customHeight="1">
      <c r="AF875" s="413" t="s">
        <v>1847</v>
      </c>
      <c r="AL875" s="36"/>
      <c r="AM875" s="696" t="s">
        <v>1861</v>
      </c>
      <c r="AN875" s="706" t="s">
        <v>1314</v>
      </c>
      <c r="AO875" s="189" t="s">
        <v>195</v>
      </c>
      <c r="AP875" s="686">
        <f t="shared" si="59"/>
        <v>0</v>
      </c>
      <c r="AQ875" s="686">
        <f t="shared" si="59"/>
        <v>0</v>
      </c>
      <c r="AR875" s="686">
        <f t="shared" si="59"/>
        <v>0</v>
      </c>
      <c r="AS875" s="190"/>
      <c r="AT875" s="241"/>
      <c r="AU875" s="241"/>
      <c r="AV875" s="241"/>
      <c r="AW875" s="194"/>
      <c r="AX875" s="169"/>
    </row>
    <row r="876" spans="32:50" ht="12" customHeight="1">
      <c r="AF876" s="413" t="s">
        <v>1827</v>
      </c>
      <c r="AL876" s="36"/>
      <c r="AM876" s="696" t="s">
        <v>1842</v>
      </c>
      <c r="AN876" s="706" t="s">
        <v>1315</v>
      </c>
      <c r="AO876" s="189" t="s">
        <v>195</v>
      </c>
      <c r="AP876" s="686">
        <f t="shared" si="59"/>
        <v>0</v>
      </c>
      <c r="AQ876" s="686">
        <f t="shared" si="59"/>
        <v>0</v>
      </c>
      <c r="AR876" s="686">
        <f t="shared" si="59"/>
        <v>0</v>
      </c>
      <c r="AS876" s="190"/>
      <c r="AT876" s="241"/>
      <c r="AU876" s="241"/>
      <c r="AV876" s="241"/>
      <c r="AW876" s="194"/>
      <c r="AX876" s="169"/>
    </row>
    <row r="877" spans="32:50" ht="12" customHeight="1">
      <c r="AF877" s="413" t="s">
        <v>1344</v>
      </c>
      <c r="AL877" s="36"/>
      <c r="AM877" s="696" t="s">
        <v>1764</v>
      </c>
      <c r="AN877" s="706" t="s">
        <v>1316</v>
      </c>
      <c r="AO877" s="189" t="s">
        <v>195</v>
      </c>
      <c r="AP877" s="686">
        <f t="shared" si="59"/>
        <v>0</v>
      </c>
      <c r="AQ877" s="686">
        <f t="shared" si="59"/>
        <v>0</v>
      </c>
      <c r="AR877" s="686">
        <f t="shared" si="59"/>
        <v>0</v>
      </c>
      <c r="AS877" s="190"/>
      <c r="AT877" s="241"/>
      <c r="AU877" s="241"/>
      <c r="AV877" s="241"/>
      <c r="AW877" s="194"/>
      <c r="AX877" s="169"/>
    </row>
    <row r="878" spans="32:50" ht="12" customHeight="1">
      <c r="AF878" s="413" t="s">
        <v>1345</v>
      </c>
      <c r="AL878" s="36"/>
      <c r="AM878" s="696" t="s">
        <v>1765</v>
      </c>
      <c r="AN878" s="706" t="s">
        <v>1317</v>
      </c>
      <c r="AO878" s="189" t="s">
        <v>195</v>
      </c>
      <c r="AP878" s="686">
        <f t="shared" si="59"/>
        <v>0</v>
      </c>
      <c r="AQ878" s="686">
        <f t="shared" si="59"/>
        <v>0</v>
      </c>
      <c r="AR878" s="686">
        <f t="shared" si="59"/>
        <v>0</v>
      </c>
      <c r="AS878" s="190"/>
      <c r="AT878" s="241"/>
      <c r="AU878" s="241"/>
      <c r="AV878" s="241"/>
      <c r="AW878" s="194"/>
      <c r="AX878" s="169"/>
    </row>
    <row r="879" spans="32:50" ht="12" customHeight="1">
      <c r="AF879" s="413" t="s">
        <v>1346</v>
      </c>
      <c r="AL879" s="36"/>
      <c r="AM879" s="696" t="s">
        <v>1766</v>
      </c>
      <c r="AN879" s="706" t="s">
        <v>1318</v>
      </c>
      <c r="AO879" s="189" t="s">
        <v>195</v>
      </c>
      <c r="AP879" s="686">
        <f t="shared" si="59"/>
        <v>0</v>
      </c>
      <c r="AQ879" s="686">
        <f t="shared" si="59"/>
        <v>0</v>
      </c>
      <c r="AR879" s="686">
        <f t="shared" si="59"/>
        <v>0</v>
      </c>
      <c r="AS879" s="190"/>
      <c r="AT879" s="241"/>
      <c r="AU879" s="241"/>
      <c r="AV879" s="241"/>
      <c r="AW879" s="194"/>
      <c r="AX879" s="169"/>
    </row>
    <row r="880" spans="32:50" ht="12" customHeight="1">
      <c r="AF880" s="413" t="s">
        <v>1347</v>
      </c>
      <c r="AL880" s="36"/>
      <c r="AM880" s="696" t="s">
        <v>1767</v>
      </c>
      <c r="AN880" s="707" t="s">
        <v>721</v>
      </c>
      <c r="AO880" s="189" t="s">
        <v>195</v>
      </c>
      <c r="AP880" s="686">
        <f t="shared" si="59"/>
        <v>0</v>
      </c>
      <c r="AQ880" s="686">
        <f t="shared" si="59"/>
        <v>0</v>
      </c>
      <c r="AR880" s="686">
        <f t="shared" si="59"/>
        <v>0</v>
      </c>
      <c r="AS880" s="190"/>
      <c r="AT880" s="241"/>
      <c r="AU880" s="241"/>
      <c r="AV880" s="241"/>
      <c r="AW880" s="194"/>
      <c r="AX880" s="169"/>
    </row>
    <row r="881" spans="32:50" ht="12" customHeight="1">
      <c r="AF881" s="413" t="s">
        <v>1348</v>
      </c>
      <c r="AL881" s="36"/>
      <c r="AM881" s="696" t="s">
        <v>1768</v>
      </c>
      <c r="AN881" s="708" t="s">
        <v>712</v>
      </c>
      <c r="AO881" s="189" t="s">
        <v>195</v>
      </c>
      <c r="AP881" s="686">
        <f t="shared" si="59"/>
        <v>0</v>
      </c>
      <c r="AQ881" s="686">
        <f t="shared" si="59"/>
        <v>0</v>
      </c>
      <c r="AR881" s="686">
        <f t="shared" si="59"/>
        <v>0</v>
      </c>
      <c r="AS881" s="190"/>
      <c r="AT881" s="241"/>
      <c r="AU881" s="241"/>
      <c r="AV881" s="241"/>
      <c r="AW881" s="194"/>
      <c r="AX881" s="169"/>
    </row>
    <row r="882" spans="32:50" ht="12" customHeight="1">
      <c r="AF882" s="413" t="s">
        <v>2612</v>
      </c>
      <c r="AL882" s="36"/>
      <c r="AM882" s="696" t="s">
        <v>2875</v>
      </c>
      <c r="AN882" s="709" t="s">
        <v>1319</v>
      </c>
      <c r="AO882" s="189" t="s">
        <v>195</v>
      </c>
      <c r="AP882" s="686">
        <f t="shared" si="59"/>
        <v>0</v>
      </c>
      <c r="AQ882" s="686">
        <f t="shared" si="59"/>
        <v>0</v>
      </c>
      <c r="AR882" s="686">
        <f t="shared" si="59"/>
        <v>0</v>
      </c>
      <c r="AS882" s="190"/>
      <c r="AT882" s="241"/>
      <c r="AU882" s="241"/>
      <c r="AV882" s="241"/>
      <c r="AW882" s="194"/>
      <c r="AX882" s="169"/>
    </row>
    <row r="883" spans="32:50" ht="12" customHeight="1">
      <c r="AF883" s="413" t="s">
        <v>2614</v>
      </c>
      <c r="AL883" s="36"/>
      <c r="AM883" s="696" t="s">
        <v>2876</v>
      </c>
      <c r="AN883" s="709" t="s">
        <v>1320</v>
      </c>
      <c r="AO883" s="189" t="s">
        <v>195</v>
      </c>
      <c r="AP883" s="686">
        <f t="shared" si="59"/>
        <v>0</v>
      </c>
      <c r="AQ883" s="686">
        <f t="shared" si="59"/>
        <v>0</v>
      </c>
      <c r="AR883" s="686">
        <f t="shared" si="59"/>
        <v>0</v>
      </c>
      <c r="AS883" s="190"/>
      <c r="AT883" s="241"/>
      <c r="AU883" s="241"/>
      <c r="AV883" s="241"/>
      <c r="AW883" s="194"/>
      <c r="AX883" s="169"/>
    </row>
    <row r="884" spans="32:50" ht="12" customHeight="1">
      <c r="AF884" s="413" t="s">
        <v>2616</v>
      </c>
      <c r="AL884" s="36"/>
      <c r="AM884" s="696" t="s">
        <v>2877</v>
      </c>
      <c r="AN884" s="709" t="s">
        <v>1321</v>
      </c>
      <c r="AO884" s="189" t="s">
        <v>195</v>
      </c>
      <c r="AP884" s="686">
        <f t="shared" si="59"/>
        <v>0</v>
      </c>
      <c r="AQ884" s="686">
        <f t="shared" si="59"/>
        <v>0</v>
      </c>
      <c r="AR884" s="686">
        <f t="shared" si="59"/>
        <v>0</v>
      </c>
      <c r="AS884" s="190"/>
      <c r="AT884" s="241"/>
      <c r="AU884" s="241"/>
      <c r="AV884" s="241"/>
      <c r="AW884" s="194"/>
      <c r="AX884" s="169"/>
    </row>
    <row r="885" spans="32:50" ht="12" customHeight="1">
      <c r="AF885" s="413" t="s">
        <v>2619</v>
      </c>
      <c r="AL885" s="36"/>
      <c r="AM885" s="696" t="s">
        <v>2878</v>
      </c>
      <c r="AN885" s="709" t="s">
        <v>2618</v>
      </c>
      <c r="AO885" s="189" t="s">
        <v>195</v>
      </c>
      <c r="AP885" s="686">
        <f t="shared" si="59"/>
        <v>0</v>
      </c>
      <c r="AQ885" s="686">
        <f t="shared" si="59"/>
        <v>0</v>
      </c>
      <c r="AR885" s="686">
        <f t="shared" si="59"/>
        <v>0</v>
      </c>
      <c r="AS885" s="190"/>
      <c r="AT885" s="241"/>
      <c r="AU885" s="241"/>
      <c r="AV885" s="241"/>
      <c r="AW885" s="194"/>
      <c r="AX885" s="169"/>
    </row>
    <row r="886" spans="32:50" ht="12" customHeight="1">
      <c r="AF886" s="413" t="s">
        <v>2622</v>
      </c>
      <c r="AL886" s="36"/>
      <c r="AM886" s="696" t="s">
        <v>2879</v>
      </c>
      <c r="AN886" s="709" t="s">
        <v>2621</v>
      </c>
      <c r="AO886" s="189" t="s">
        <v>195</v>
      </c>
      <c r="AP886" s="686">
        <f t="shared" ref="AP886:AR898" si="60">SUMIF($AS$9:$AW$9,AP$9,$AS886:$AW886)</f>
        <v>0</v>
      </c>
      <c r="AQ886" s="686">
        <f t="shared" si="60"/>
        <v>0</v>
      </c>
      <c r="AR886" s="686">
        <f t="shared" si="60"/>
        <v>0</v>
      </c>
      <c r="AS886" s="190"/>
      <c r="AT886" s="241"/>
      <c r="AU886" s="241"/>
      <c r="AV886" s="241"/>
      <c r="AW886" s="194"/>
      <c r="AX886" s="169"/>
    </row>
    <row r="887" spans="32:50" ht="12" customHeight="1">
      <c r="AF887" s="413" t="s">
        <v>2624</v>
      </c>
      <c r="AL887" s="36"/>
      <c r="AM887" s="696" t="s">
        <v>2880</v>
      </c>
      <c r="AN887" s="709" t="s">
        <v>1322</v>
      </c>
      <c r="AO887" s="189" t="s">
        <v>195</v>
      </c>
      <c r="AP887" s="686">
        <f t="shared" si="60"/>
        <v>0</v>
      </c>
      <c r="AQ887" s="686">
        <f t="shared" si="60"/>
        <v>0</v>
      </c>
      <c r="AR887" s="686">
        <f t="shared" si="60"/>
        <v>0</v>
      </c>
      <c r="AS887" s="190"/>
      <c r="AT887" s="241"/>
      <c r="AU887" s="241"/>
      <c r="AV887" s="241"/>
      <c r="AW887" s="194"/>
      <c r="AX887" s="169"/>
    </row>
    <row r="888" spans="32:50" ht="12" customHeight="1">
      <c r="AF888" s="413" t="s">
        <v>2627</v>
      </c>
      <c r="AL888" s="36"/>
      <c r="AM888" s="696" t="s">
        <v>2881</v>
      </c>
      <c r="AN888" s="709" t="s">
        <v>2626</v>
      </c>
      <c r="AO888" s="189" t="s">
        <v>195</v>
      </c>
      <c r="AP888" s="686">
        <f t="shared" si="60"/>
        <v>0</v>
      </c>
      <c r="AQ888" s="686">
        <f t="shared" si="60"/>
        <v>0</v>
      </c>
      <c r="AR888" s="686">
        <f t="shared" si="60"/>
        <v>0</v>
      </c>
      <c r="AS888" s="190"/>
      <c r="AT888" s="241"/>
      <c r="AU888" s="241"/>
      <c r="AV888" s="241"/>
      <c r="AW888" s="194"/>
      <c r="AX888" s="169"/>
    </row>
    <row r="889" spans="32:50" ht="12" customHeight="1">
      <c r="AF889" s="413" t="s">
        <v>2629</v>
      </c>
      <c r="AL889" s="36"/>
      <c r="AM889" s="696" t="s">
        <v>2882</v>
      </c>
      <c r="AN889" s="709" t="s">
        <v>1323</v>
      </c>
      <c r="AO889" s="189" t="s">
        <v>195</v>
      </c>
      <c r="AP889" s="686">
        <f t="shared" si="60"/>
        <v>0</v>
      </c>
      <c r="AQ889" s="686">
        <f t="shared" si="60"/>
        <v>0</v>
      </c>
      <c r="AR889" s="686">
        <f t="shared" si="60"/>
        <v>0</v>
      </c>
      <c r="AS889" s="190"/>
      <c r="AT889" s="241"/>
      <c r="AU889" s="241"/>
      <c r="AV889" s="241"/>
      <c r="AW889" s="194"/>
      <c r="AX889" s="169"/>
    </row>
    <row r="890" spans="32:50" ht="12" customHeight="1">
      <c r="AF890" s="413" t="s">
        <v>2631</v>
      </c>
      <c r="AL890" s="36"/>
      <c r="AM890" s="696" t="s">
        <v>2883</v>
      </c>
      <c r="AN890" s="709" t="s">
        <v>1324</v>
      </c>
      <c r="AO890" s="189" t="s">
        <v>195</v>
      </c>
      <c r="AP890" s="686">
        <f t="shared" si="60"/>
        <v>0</v>
      </c>
      <c r="AQ890" s="686">
        <f t="shared" si="60"/>
        <v>0</v>
      </c>
      <c r="AR890" s="686">
        <f t="shared" si="60"/>
        <v>0</v>
      </c>
      <c r="AS890" s="190"/>
      <c r="AT890" s="241"/>
      <c r="AU890" s="241"/>
      <c r="AV890" s="241"/>
      <c r="AW890" s="194"/>
      <c r="AX890" s="169"/>
    </row>
    <row r="891" spans="32:50" ht="12" customHeight="1">
      <c r="AF891" s="413" t="s">
        <v>2634</v>
      </c>
      <c r="AL891" s="36"/>
      <c r="AM891" s="696" t="s">
        <v>2884</v>
      </c>
      <c r="AN891" s="709" t="s">
        <v>2633</v>
      </c>
      <c r="AO891" s="189" t="s">
        <v>195</v>
      </c>
      <c r="AP891" s="686">
        <f t="shared" si="60"/>
        <v>0</v>
      </c>
      <c r="AQ891" s="686">
        <f t="shared" si="60"/>
        <v>0</v>
      </c>
      <c r="AR891" s="686">
        <f t="shared" si="60"/>
        <v>0</v>
      </c>
      <c r="AS891" s="190"/>
      <c r="AT891" s="241"/>
      <c r="AU891" s="241"/>
      <c r="AV891" s="241"/>
      <c r="AW891" s="194"/>
      <c r="AX891" s="169"/>
    </row>
    <row r="892" spans="32:50" ht="12" customHeight="1">
      <c r="AF892" s="413" t="s">
        <v>2637</v>
      </c>
      <c r="AL892" s="36"/>
      <c r="AM892" s="696" t="s">
        <v>2885</v>
      </c>
      <c r="AN892" s="709" t="s">
        <v>2636</v>
      </c>
      <c r="AO892" s="189" t="s">
        <v>195</v>
      </c>
      <c r="AP892" s="686">
        <f t="shared" si="60"/>
        <v>0</v>
      </c>
      <c r="AQ892" s="686">
        <f t="shared" si="60"/>
        <v>0</v>
      </c>
      <c r="AR892" s="686">
        <f t="shared" si="60"/>
        <v>0</v>
      </c>
      <c r="AS892" s="190"/>
      <c r="AT892" s="241"/>
      <c r="AU892" s="241"/>
      <c r="AV892" s="241"/>
      <c r="AW892" s="194"/>
      <c r="AX892" s="169"/>
    </row>
    <row r="893" spans="32:50" ht="12" customHeight="1">
      <c r="AF893" s="413" t="s">
        <v>2640</v>
      </c>
      <c r="AL893" s="36"/>
      <c r="AM893" s="696" t="s">
        <v>2886</v>
      </c>
      <c r="AN893" s="709" t="s">
        <v>2639</v>
      </c>
      <c r="AO893" s="189" t="s">
        <v>195</v>
      </c>
      <c r="AP893" s="686">
        <f t="shared" si="60"/>
        <v>0</v>
      </c>
      <c r="AQ893" s="686">
        <f t="shared" si="60"/>
        <v>0</v>
      </c>
      <c r="AR893" s="686">
        <f t="shared" si="60"/>
        <v>0</v>
      </c>
      <c r="AS893" s="190"/>
      <c r="AT893" s="241"/>
      <c r="AU893" s="241"/>
      <c r="AV893" s="241"/>
      <c r="AW893" s="194"/>
      <c r="AX893" s="169"/>
    </row>
    <row r="894" spans="32:50" ht="12" customHeight="1">
      <c r="AF894" s="413" t="s">
        <v>2643</v>
      </c>
      <c r="AL894" s="36"/>
      <c r="AM894" s="696" t="s">
        <v>2887</v>
      </c>
      <c r="AN894" s="709" t="s">
        <v>2642</v>
      </c>
      <c r="AO894" s="189" t="s">
        <v>195</v>
      </c>
      <c r="AP894" s="686">
        <f t="shared" si="60"/>
        <v>0</v>
      </c>
      <c r="AQ894" s="686">
        <f t="shared" si="60"/>
        <v>0</v>
      </c>
      <c r="AR894" s="686">
        <f t="shared" si="60"/>
        <v>0</v>
      </c>
      <c r="AS894" s="190"/>
      <c r="AT894" s="241"/>
      <c r="AU894" s="241"/>
      <c r="AV894" s="241"/>
      <c r="AW894" s="194"/>
      <c r="AX894" s="169"/>
    </row>
    <row r="895" spans="32:50" ht="12" customHeight="1">
      <c r="AF895" s="413" t="s">
        <v>2646</v>
      </c>
      <c r="AL895" s="36"/>
      <c r="AM895" s="696" t="s">
        <v>2888</v>
      </c>
      <c r="AN895" s="709" t="s">
        <v>2645</v>
      </c>
      <c r="AO895" s="189" t="s">
        <v>195</v>
      </c>
      <c r="AP895" s="686">
        <f t="shared" si="60"/>
        <v>0</v>
      </c>
      <c r="AQ895" s="686">
        <f t="shared" si="60"/>
        <v>0</v>
      </c>
      <c r="AR895" s="686">
        <f t="shared" si="60"/>
        <v>0</v>
      </c>
      <c r="AS895" s="190"/>
      <c r="AT895" s="241"/>
      <c r="AU895" s="241"/>
      <c r="AV895" s="241"/>
      <c r="AW895" s="194"/>
      <c r="AX895" s="169"/>
    </row>
    <row r="896" spans="32:50" ht="12" customHeight="1">
      <c r="AF896" s="413" t="s">
        <v>2648</v>
      </c>
      <c r="AL896" s="36"/>
      <c r="AM896" s="696" t="s">
        <v>2889</v>
      </c>
      <c r="AN896" s="709" t="s">
        <v>1325</v>
      </c>
      <c r="AO896" s="189" t="s">
        <v>195</v>
      </c>
      <c r="AP896" s="686">
        <f t="shared" si="60"/>
        <v>0</v>
      </c>
      <c r="AQ896" s="686">
        <f t="shared" si="60"/>
        <v>0</v>
      </c>
      <c r="AR896" s="686">
        <f t="shared" si="60"/>
        <v>0</v>
      </c>
      <c r="AS896" s="190"/>
      <c r="AT896" s="241"/>
      <c r="AU896" s="241"/>
      <c r="AV896" s="241"/>
      <c r="AW896" s="194"/>
      <c r="AX896" s="169"/>
    </row>
    <row r="897" spans="32:50" ht="12" customHeight="1">
      <c r="AF897" s="413" t="s">
        <v>2650</v>
      </c>
      <c r="AL897" s="36"/>
      <c r="AM897" s="696" t="s">
        <v>2890</v>
      </c>
      <c r="AN897" s="709" t="s">
        <v>1326</v>
      </c>
      <c r="AO897" s="189" t="s">
        <v>195</v>
      </c>
      <c r="AP897" s="686">
        <f t="shared" si="60"/>
        <v>0</v>
      </c>
      <c r="AQ897" s="686">
        <f t="shared" si="60"/>
        <v>0</v>
      </c>
      <c r="AR897" s="686">
        <f t="shared" si="60"/>
        <v>0</v>
      </c>
      <c r="AS897" s="190"/>
      <c r="AT897" s="241"/>
      <c r="AU897" s="241"/>
      <c r="AV897" s="241"/>
      <c r="AW897" s="194"/>
      <c r="AX897" s="169"/>
    </row>
    <row r="898" spans="32:50" ht="12" customHeight="1">
      <c r="AF898" s="413" t="s">
        <v>2653</v>
      </c>
      <c r="AL898" s="36"/>
      <c r="AM898" s="696" t="s">
        <v>2891</v>
      </c>
      <c r="AN898" s="709" t="s">
        <v>2652</v>
      </c>
      <c r="AO898" s="189" t="s">
        <v>195</v>
      </c>
      <c r="AP898" s="686">
        <f t="shared" si="60"/>
        <v>0</v>
      </c>
      <c r="AQ898" s="686">
        <f t="shared" si="60"/>
        <v>0</v>
      </c>
      <c r="AR898" s="686">
        <f t="shared" si="60"/>
        <v>0</v>
      </c>
      <c r="AS898" s="190"/>
      <c r="AT898" s="241"/>
      <c r="AU898" s="241"/>
      <c r="AV898" s="241"/>
      <c r="AW898" s="194"/>
      <c r="AX898" s="169"/>
    </row>
    <row r="899" spans="32:50" ht="0.75" hidden="1" customHeight="1">
      <c r="AF899" s="413"/>
      <c r="AL899" s="36"/>
      <c r="AM899" s="718"/>
      <c r="AN899" s="460"/>
      <c r="AO899" s="461"/>
      <c r="AP899" s="462"/>
      <c r="AQ899" s="462"/>
      <c r="AR899" s="462"/>
      <c r="AS899" s="190"/>
      <c r="AT899" s="241"/>
      <c r="AU899" s="241"/>
      <c r="AV899" s="241"/>
      <c r="AW899" s="194"/>
      <c r="AX899" s="169"/>
    </row>
    <row r="900" spans="32:50" ht="0.75" hidden="1" customHeight="1">
      <c r="AF900" s="413"/>
      <c r="AL900" s="36"/>
      <c r="AM900" s="718"/>
      <c r="AN900" s="460"/>
      <c r="AO900" s="461"/>
      <c r="AP900" s="462"/>
      <c r="AQ900" s="462"/>
      <c r="AR900" s="462"/>
      <c r="AS900" s="190"/>
      <c r="AT900" s="241"/>
      <c r="AU900" s="241"/>
      <c r="AV900" s="241"/>
      <c r="AW900" s="194"/>
      <c r="AX900" s="169"/>
    </row>
    <row r="901" spans="32:50" ht="12" customHeight="1">
      <c r="AF901" s="413" t="s">
        <v>1357</v>
      </c>
      <c r="AL901" s="36"/>
      <c r="AM901" s="696" t="s">
        <v>1769</v>
      </c>
      <c r="AN901" s="719" t="s">
        <v>1327</v>
      </c>
      <c r="AO901" s="189" t="s">
        <v>195</v>
      </c>
      <c r="AP901" s="686">
        <f t="shared" ref="AP901:AR907" si="61">SUMIF($AS$9:$AW$9,AP$9,$AS901:$AW901)</f>
        <v>0</v>
      </c>
      <c r="AQ901" s="686">
        <f t="shared" si="61"/>
        <v>0</v>
      </c>
      <c r="AR901" s="686">
        <f t="shared" si="61"/>
        <v>0</v>
      </c>
      <c r="AS901" s="190"/>
      <c r="AT901" s="241"/>
      <c r="AU901" s="241"/>
      <c r="AV901" s="241"/>
      <c r="AW901" s="194"/>
      <c r="AX901" s="169"/>
    </row>
    <row r="902" spans="32:50" ht="12" customHeight="1">
      <c r="AF902" s="413" t="s">
        <v>1350</v>
      </c>
      <c r="AL902" s="36"/>
      <c r="AM902" s="696" t="s">
        <v>1770</v>
      </c>
      <c r="AN902" s="712" t="s">
        <v>723</v>
      </c>
      <c r="AO902" s="189" t="s">
        <v>195</v>
      </c>
      <c r="AP902" s="686">
        <f t="shared" si="61"/>
        <v>0</v>
      </c>
      <c r="AQ902" s="686">
        <f t="shared" si="61"/>
        <v>0</v>
      </c>
      <c r="AR902" s="686">
        <f t="shared" si="61"/>
        <v>0</v>
      </c>
      <c r="AS902" s="190"/>
      <c r="AT902" s="241"/>
      <c r="AU902" s="241"/>
      <c r="AV902" s="241"/>
      <c r="AW902" s="194"/>
      <c r="AX902" s="169"/>
    </row>
    <row r="903" spans="32:50" ht="12" customHeight="1">
      <c r="AF903" s="413" t="s">
        <v>1351</v>
      </c>
      <c r="AL903" s="36"/>
      <c r="AM903" s="696" t="s">
        <v>1771</v>
      </c>
      <c r="AN903" s="713" t="s">
        <v>748</v>
      </c>
      <c r="AO903" s="189" t="s">
        <v>195</v>
      </c>
      <c r="AP903" s="686">
        <f t="shared" si="61"/>
        <v>0</v>
      </c>
      <c r="AQ903" s="686">
        <f t="shared" si="61"/>
        <v>0</v>
      </c>
      <c r="AR903" s="686">
        <f t="shared" si="61"/>
        <v>0</v>
      </c>
      <c r="AS903" s="190"/>
      <c r="AT903" s="241"/>
      <c r="AU903" s="241"/>
      <c r="AV903" s="241"/>
      <c r="AW903" s="194"/>
      <c r="AX903" s="169"/>
    </row>
    <row r="904" spans="32:50" ht="12" customHeight="1">
      <c r="AF904" s="413" t="s">
        <v>1352</v>
      </c>
      <c r="AL904" s="36"/>
      <c r="AM904" s="696" t="s">
        <v>1772</v>
      </c>
      <c r="AN904" s="714" t="s">
        <v>315</v>
      </c>
      <c r="AO904" s="189" t="s">
        <v>195</v>
      </c>
      <c r="AP904" s="686">
        <f t="shared" si="61"/>
        <v>0</v>
      </c>
      <c r="AQ904" s="686">
        <f t="shared" si="61"/>
        <v>0</v>
      </c>
      <c r="AR904" s="686">
        <f t="shared" si="61"/>
        <v>0</v>
      </c>
      <c r="AS904" s="190"/>
      <c r="AT904" s="241"/>
      <c r="AU904" s="241"/>
      <c r="AV904" s="241"/>
      <c r="AW904" s="194"/>
      <c r="AX904" s="169"/>
    </row>
    <row r="905" spans="32:50" ht="12" customHeight="1">
      <c r="AF905" s="413" t="s">
        <v>1354</v>
      </c>
      <c r="AL905" s="36"/>
      <c r="AM905" s="696" t="s">
        <v>1773</v>
      </c>
      <c r="AN905" s="715" t="s">
        <v>316</v>
      </c>
      <c r="AO905" s="189" t="s">
        <v>195</v>
      </c>
      <c r="AP905" s="686">
        <f t="shared" si="61"/>
        <v>0</v>
      </c>
      <c r="AQ905" s="686">
        <f t="shared" si="61"/>
        <v>0</v>
      </c>
      <c r="AR905" s="686">
        <f t="shared" si="61"/>
        <v>0</v>
      </c>
      <c r="AS905" s="190"/>
      <c r="AT905" s="241"/>
      <c r="AU905" s="241"/>
      <c r="AV905" s="241"/>
      <c r="AW905" s="194"/>
      <c r="AX905" s="169"/>
    </row>
    <row r="906" spans="32:50" ht="12" customHeight="1">
      <c r="AF906" s="413" t="s">
        <v>1353</v>
      </c>
      <c r="AL906" s="36"/>
      <c r="AM906" s="696" t="s">
        <v>1774</v>
      </c>
      <c r="AN906" s="716" t="s">
        <v>317</v>
      </c>
      <c r="AO906" s="189" t="s">
        <v>195</v>
      </c>
      <c r="AP906" s="686">
        <f t="shared" si="61"/>
        <v>0</v>
      </c>
      <c r="AQ906" s="686">
        <f t="shared" si="61"/>
        <v>0</v>
      </c>
      <c r="AR906" s="686">
        <f t="shared" si="61"/>
        <v>0</v>
      </c>
      <c r="AS906" s="190"/>
      <c r="AT906" s="241"/>
      <c r="AU906" s="241"/>
      <c r="AV906" s="241"/>
      <c r="AW906" s="194"/>
      <c r="AX906" s="169"/>
    </row>
    <row r="907" spans="32:50" ht="12" customHeight="1">
      <c r="AF907" s="413" t="s">
        <v>1355</v>
      </c>
      <c r="AL907" s="36"/>
      <c r="AM907" s="696" t="s">
        <v>1775</v>
      </c>
      <c r="AN907" s="701" t="s">
        <v>318</v>
      </c>
      <c r="AO907" s="189" t="s">
        <v>195</v>
      </c>
      <c r="AP907" s="686">
        <f t="shared" si="61"/>
        <v>0</v>
      </c>
      <c r="AQ907" s="686">
        <f t="shared" si="61"/>
        <v>0</v>
      </c>
      <c r="AR907" s="686">
        <f t="shared" si="61"/>
        <v>0</v>
      </c>
      <c r="AS907" s="190"/>
      <c r="AT907" s="241"/>
      <c r="AU907" s="241"/>
      <c r="AV907" s="241"/>
      <c r="AW907" s="194"/>
      <c r="AX907" s="169"/>
    </row>
    <row r="908" spans="32:50" ht="0.75" hidden="1" customHeight="1">
      <c r="AF908" s="413"/>
      <c r="AL908" s="36"/>
      <c r="AM908" s="718"/>
      <c r="AN908" s="460"/>
      <c r="AO908" s="461"/>
      <c r="AP908" s="462"/>
      <c r="AQ908" s="462"/>
      <c r="AR908" s="462"/>
      <c r="AS908" s="190"/>
      <c r="AT908" s="241"/>
      <c r="AU908" s="241"/>
      <c r="AV908" s="241"/>
      <c r="AW908" s="194"/>
      <c r="AX908" s="169"/>
    </row>
    <row r="909" spans="32:50" ht="24" customHeight="1">
      <c r="AF909" s="115"/>
      <c r="AL909" s="36"/>
      <c r="AM909" s="490" t="s">
        <v>1611</v>
      </c>
      <c r="AN909" s="463" t="s">
        <v>662</v>
      </c>
      <c r="AO909" s="189"/>
      <c r="AP909" s="195"/>
      <c r="AQ909" s="195"/>
      <c r="AR909" s="195"/>
      <c r="AS909" s="190"/>
      <c r="AT909" s="241"/>
      <c r="AU909" s="241"/>
      <c r="AV909" s="241"/>
      <c r="AW909" s="194"/>
      <c r="AX909" s="169"/>
    </row>
    <row r="910" spans="32:50" ht="0.75" hidden="1" customHeight="1">
      <c r="AF910" s="413"/>
      <c r="AL910" s="36"/>
      <c r="AM910" s="718"/>
      <c r="AN910" s="460"/>
      <c r="AO910" s="461"/>
      <c r="AP910" s="462"/>
      <c r="AQ910" s="462"/>
      <c r="AR910" s="462"/>
      <c r="AS910" s="190"/>
      <c r="AT910" s="462"/>
      <c r="AU910" s="462"/>
      <c r="AV910" s="462"/>
      <c r="AW910" s="194"/>
      <c r="AX910" s="169"/>
    </row>
    <row r="911" spans="32:50" ht="0.75" hidden="1" customHeight="1">
      <c r="AF911" s="413"/>
      <c r="AL911" s="36"/>
      <c r="AM911" s="718"/>
      <c r="AN911" s="460"/>
      <c r="AO911" s="461"/>
      <c r="AP911" s="462"/>
      <c r="AQ911" s="462"/>
      <c r="AR911" s="462"/>
      <c r="AS911" s="190"/>
      <c r="AT911" s="462"/>
      <c r="AU911" s="462"/>
      <c r="AV911" s="462"/>
      <c r="AW911" s="194"/>
      <c r="AX911" s="169"/>
    </row>
    <row r="912" spans="32:50" ht="0.75" hidden="1" customHeight="1">
      <c r="AF912" s="413"/>
      <c r="AL912" s="36"/>
      <c r="AM912" s="718"/>
      <c r="AN912" s="460"/>
      <c r="AO912" s="461"/>
      <c r="AP912" s="462"/>
      <c r="AQ912" s="462"/>
      <c r="AR912" s="462"/>
      <c r="AS912" s="190"/>
      <c r="AT912" s="462"/>
      <c r="AU912" s="462"/>
      <c r="AV912" s="462"/>
      <c r="AW912" s="194"/>
      <c r="AX912" s="169"/>
    </row>
    <row r="913" spans="32:50" ht="0.75" hidden="1" customHeight="1">
      <c r="AF913" s="413"/>
      <c r="AL913" s="36"/>
      <c r="AM913" s="718"/>
      <c r="AN913" s="460"/>
      <c r="AO913" s="461"/>
      <c r="AP913" s="462"/>
      <c r="AQ913" s="462"/>
      <c r="AR913" s="462"/>
      <c r="AS913" s="190"/>
      <c r="AT913" s="462"/>
      <c r="AU913" s="462"/>
      <c r="AV913" s="462"/>
      <c r="AW913" s="194"/>
      <c r="AX913" s="169"/>
    </row>
    <row r="914" spans="32:50" ht="0.75" hidden="1" customHeight="1">
      <c r="AF914" s="413"/>
      <c r="AL914" s="36"/>
      <c r="AM914" s="718"/>
      <c r="AN914" s="460"/>
      <c r="AO914" s="461"/>
      <c r="AP914" s="462"/>
      <c r="AQ914" s="462"/>
      <c r="AR914" s="462"/>
      <c r="AS914" s="190"/>
      <c r="AT914" s="462"/>
      <c r="AU914" s="462"/>
      <c r="AV914" s="462"/>
      <c r="AW914" s="194"/>
      <c r="AX914" s="169"/>
    </row>
    <row r="915" spans="32:50" ht="0.75" hidden="1" customHeight="1">
      <c r="AF915" s="413"/>
      <c r="AL915" s="36"/>
      <c r="AM915" s="718"/>
      <c r="AN915" s="460"/>
      <c r="AO915" s="461"/>
      <c r="AP915" s="462"/>
      <c r="AQ915" s="462"/>
      <c r="AR915" s="462"/>
      <c r="AS915" s="190"/>
      <c r="AT915" s="462"/>
      <c r="AU915" s="462"/>
      <c r="AV915" s="462"/>
      <c r="AW915" s="194"/>
      <c r="AX915" s="169"/>
    </row>
    <row r="916" spans="32:50" ht="0.75" hidden="1" customHeight="1">
      <c r="AF916" s="413"/>
      <c r="AL916" s="36"/>
      <c r="AM916" s="718"/>
      <c r="AN916" s="460"/>
      <c r="AO916" s="461"/>
      <c r="AP916" s="462"/>
      <c r="AQ916" s="462"/>
      <c r="AR916" s="462"/>
      <c r="AS916" s="190"/>
      <c r="AT916" s="462"/>
      <c r="AU916" s="462"/>
      <c r="AV916" s="462"/>
      <c r="AW916" s="194"/>
      <c r="AX916" s="169"/>
    </row>
    <row r="917" spans="32:50" ht="0.75" hidden="1" customHeight="1">
      <c r="AF917" s="413"/>
      <c r="AL917" s="36"/>
      <c r="AM917" s="718"/>
      <c r="AN917" s="460"/>
      <c r="AO917" s="461"/>
      <c r="AP917" s="462"/>
      <c r="AQ917" s="462"/>
      <c r="AR917" s="462"/>
      <c r="AS917" s="190"/>
      <c r="AT917" s="462"/>
      <c r="AU917" s="462"/>
      <c r="AV917" s="462"/>
      <c r="AW917" s="194"/>
      <c r="AX917" s="169"/>
    </row>
    <row r="918" spans="32:50" ht="12" customHeight="1">
      <c r="AF918" s="413" t="s">
        <v>1332</v>
      </c>
      <c r="AL918" s="36"/>
      <c r="AM918" s="696" t="s">
        <v>1692</v>
      </c>
      <c r="AN918" s="701" t="s">
        <v>684</v>
      </c>
      <c r="AO918" s="189" t="s">
        <v>751</v>
      </c>
      <c r="AP918" s="686">
        <f t="shared" ref="AP918:AR933" si="62">IF(AP970=0,0,AP1022/AP970*1000)</f>
        <v>0</v>
      </c>
      <c r="AQ918" s="686">
        <f t="shared" si="62"/>
        <v>0</v>
      </c>
      <c r="AR918" s="686">
        <f t="shared" si="62"/>
        <v>0</v>
      </c>
      <c r="AS918" s="190"/>
      <c r="AT918" s="462"/>
      <c r="AU918" s="462"/>
      <c r="AV918" s="462"/>
      <c r="AW918" s="194"/>
      <c r="AX918" s="169"/>
    </row>
    <row r="919" spans="32:50" ht="12" customHeight="1">
      <c r="AF919" s="413" t="s">
        <v>1333</v>
      </c>
      <c r="AL919" s="36"/>
      <c r="AM919" s="696" t="s">
        <v>1693</v>
      </c>
      <c r="AN919" s="702" t="s">
        <v>718</v>
      </c>
      <c r="AO919" s="189" t="s">
        <v>751</v>
      </c>
      <c r="AP919" s="686">
        <f t="shared" si="62"/>
        <v>0</v>
      </c>
      <c r="AQ919" s="686">
        <f t="shared" si="62"/>
        <v>0</v>
      </c>
      <c r="AR919" s="686">
        <f t="shared" si="62"/>
        <v>0</v>
      </c>
      <c r="AS919" s="190"/>
      <c r="AT919" s="462"/>
      <c r="AU919" s="462"/>
      <c r="AV919" s="462"/>
      <c r="AW919" s="194"/>
      <c r="AX919" s="169"/>
    </row>
    <row r="920" spans="32:50" ht="12" customHeight="1">
      <c r="AF920" s="413" t="s">
        <v>1334</v>
      </c>
      <c r="AL920" s="36"/>
      <c r="AM920" s="696" t="s">
        <v>1694</v>
      </c>
      <c r="AN920" s="703" t="s">
        <v>722</v>
      </c>
      <c r="AO920" s="189" t="s">
        <v>751</v>
      </c>
      <c r="AP920" s="686">
        <f t="shared" si="62"/>
        <v>0</v>
      </c>
      <c r="AQ920" s="686">
        <f t="shared" si="62"/>
        <v>0</v>
      </c>
      <c r="AR920" s="686">
        <f t="shared" si="62"/>
        <v>0</v>
      </c>
      <c r="AS920" s="190"/>
      <c r="AT920" s="462"/>
      <c r="AU920" s="462"/>
      <c r="AV920" s="462"/>
      <c r="AW920" s="194"/>
      <c r="AX920" s="169"/>
    </row>
    <row r="921" spans="32:50" ht="12" customHeight="1">
      <c r="AF921" s="413" t="s">
        <v>1335</v>
      </c>
      <c r="AL921" s="36"/>
      <c r="AM921" s="696" t="s">
        <v>1695</v>
      </c>
      <c r="AN921" s="704" t="s">
        <v>1309</v>
      </c>
      <c r="AO921" s="189" t="s">
        <v>751</v>
      </c>
      <c r="AP921" s="686">
        <f t="shared" si="62"/>
        <v>0</v>
      </c>
      <c r="AQ921" s="686">
        <f t="shared" si="62"/>
        <v>0</v>
      </c>
      <c r="AR921" s="686">
        <f t="shared" si="62"/>
        <v>0</v>
      </c>
      <c r="AS921" s="190"/>
      <c r="AT921" s="462"/>
      <c r="AU921" s="462"/>
      <c r="AV921" s="462"/>
      <c r="AW921" s="194"/>
      <c r="AX921" s="169"/>
    </row>
    <row r="922" spans="32:50" ht="12" customHeight="1">
      <c r="AF922" s="413" t="s">
        <v>1336</v>
      </c>
      <c r="AL922" s="36"/>
      <c r="AM922" s="696" t="s">
        <v>1696</v>
      </c>
      <c r="AN922" s="704" t="s">
        <v>1310</v>
      </c>
      <c r="AO922" s="189" t="s">
        <v>751</v>
      </c>
      <c r="AP922" s="686">
        <f t="shared" si="62"/>
        <v>0</v>
      </c>
      <c r="AQ922" s="686">
        <f t="shared" si="62"/>
        <v>0</v>
      </c>
      <c r="AR922" s="686">
        <f t="shared" si="62"/>
        <v>0</v>
      </c>
      <c r="AS922" s="190"/>
      <c r="AT922" s="462"/>
      <c r="AU922" s="462"/>
      <c r="AV922" s="462"/>
      <c r="AW922" s="194"/>
      <c r="AX922" s="169"/>
    </row>
    <row r="923" spans="32:50" ht="12" customHeight="1">
      <c r="AF923" s="413" t="s">
        <v>1337</v>
      </c>
      <c r="AL923" s="36"/>
      <c r="AM923" s="696" t="s">
        <v>1697</v>
      </c>
      <c r="AN923" s="704" t="s">
        <v>1311</v>
      </c>
      <c r="AO923" s="189" t="s">
        <v>751</v>
      </c>
      <c r="AP923" s="686">
        <f t="shared" si="62"/>
        <v>0</v>
      </c>
      <c r="AQ923" s="686">
        <f t="shared" si="62"/>
        <v>0</v>
      </c>
      <c r="AR923" s="686">
        <f t="shared" si="62"/>
        <v>0</v>
      </c>
      <c r="AS923" s="190"/>
      <c r="AT923" s="462"/>
      <c r="AU923" s="462"/>
      <c r="AV923" s="462"/>
      <c r="AW923" s="194"/>
      <c r="AX923" s="169"/>
    </row>
    <row r="924" spans="32:50" ht="12" customHeight="1">
      <c r="AF924" s="413" t="s">
        <v>1338</v>
      </c>
      <c r="AL924" s="36"/>
      <c r="AM924" s="696" t="s">
        <v>1698</v>
      </c>
      <c r="AN924" s="704" t="s">
        <v>1312</v>
      </c>
      <c r="AO924" s="189" t="s">
        <v>751</v>
      </c>
      <c r="AP924" s="686">
        <f t="shared" si="62"/>
        <v>0</v>
      </c>
      <c r="AQ924" s="686">
        <f t="shared" si="62"/>
        <v>0</v>
      </c>
      <c r="AR924" s="686">
        <f t="shared" si="62"/>
        <v>0</v>
      </c>
      <c r="AS924" s="190"/>
      <c r="AT924" s="462"/>
      <c r="AU924" s="462"/>
      <c r="AV924" s="462"/>
      <c r="AW924" s="194"/>
      <c r="AX924" s="169"/>
    </row>
    <row r="925" spans="32:50" ht="12" customHeight="1">
      <c r="AF925" s="413" t="s">
        <v>1343</v>
      </c>
      <c r="AL925" s="36"/>
      <c r="AM925" s="696" t="s">
        <v>1699</v>
      </c>
      <c r="AN925" s="705" t="s">
        <v>720</v>
      </c>
      <c r="AO925" s="189" t="s">
        <v>751</v>
      </c>
      <c r="AP925" s="686">
        <f t="shared" si="62"/>
        <v>0</v>
      </c>
      <c r="AQ925" s="686">
        <f t="shared" si="62"/>
        <v>0</v>
      </c>
      <c r="AR925" s="686">
        <f t="shared" si="62"/>
        <v>0</v>
      </c>
      <c r="AS925" s="190"/>
      <c r="AT925" s="462"/>
      <c r="AU925" s="462"/>
      <c r="AV925" s="462"/>
      <c r="AW925" s="194"/>
      <c r="AX925" s="169"/>
    </row>
    <row r="926" spans="32:50" ht="12" customHeight="1">
      <c r="AF926" s="413" t="s">
        <v>1866</v>
      </c>
      <c r="AL926" s="36"/>
      <c r="AM926" s="696" t="s">
        <v>1881</v>
      </c>
      <c r="AN926" s="706" t="s">
        <v>1313</v>
      </c>
      <c r="AO926" s="189" t="s">
        <v>751</v>
      </c>
      <c r="AP926" s="686">
        <f t="shared" si="62"/>
        <v>0</v>
      </c>
      <c r="AQ926" s="686">
        <f t="shared" si="62"/>
        <v>0</v>
      </c>
      <c r="AR926" s="686">
        <f t="shared" si="62"/>
        <v>0</v>
      </c>
      <c r="AS926" s="190"/>
      <c r="AT926" s="462"/>
      <c r="AU926" s="462"/>
      <c r="AV926" s="462"/>
      <c r="AW926" s="194"/>
      <c r="AX926" s="169"/>
    </row>
    <row r="927" spans="32:50" ht="12" customHeight="1">
      <c r="AF927" s="413" t="s">
        <v>1847</v>
      </c>
      <c r="AL927" s="36"/>
      <c r="AM927" s="696" t="s">
        <v>1862</v>
      </c>
      <c r="AN927" s="706" t="s">
        <v>1314</v>
      </c>
      <c r="AO927" s="189" t="s">
        <v>751</v>
      </c>
      <c r="AP927" s="686">
        <f t="shared" si="62"/>
        <v>0</v>
      </c>
      <c r="AQ927" s="686">
        <f t="shared" si="62"/>
        <v>0</v>
      </c>
      <c r="AR927" s="686">
        <f t="shared" si="62"/>
        <v>0</v>
      </c>
      <c r="AS927" s="190"/>
      <c r="AT927" s="462"/>
      <c r="AU927" s="462"/>
      <c r="AV927" s="462"/>
      <c r="AW927" s="194"/>
      <c r="AX927" s="169"/>
    </row>
    <row r="928" spans="32:50" ht="12" customHeight="1">
      <c r="AF928" s="413" t="s">
        <v>1827</v>
      </c>
      <c r="AL928" s="36"/>
      <c r="AM928" s="696" t="s">
        <v>1843</v>
      </c>
      <c r="AN928" s="706" t="s">
        <v>1315</v>
      </c>
      <c r="AO928" s="189" t="s">
        <v>751</v>
      </c>
      <c r="AP928" s="686">
        <f t="shared" si="62"/>
        <v>0</v>
      </c>
      <c r="AQ928" s="686">
        <f t="shared" si="62"/>
        <v>0</v>
      </c>
      <c r="AR928" s="686">
        <f t="shared" si="62"/>
        <v>0</v>
      </c>
      <c r="AS928" s="190"/>
      <c r="AT928" s="462"/>
      <c r="AU928" s="462"/>
      <c r="AV928" s="462"/>
      <c r="AW928" s="194"/>
      <c r="AX928" s="169"/>
    </row>
    <row r="929" spans="32:50" ht="12" customHeight="1">
      <c r="AF929" s="413" t="s">
        <v>1344</v>
      </c>
      <c r="AL929" s="36"/>
      <c r="AM929" s="696" t="s">
        <v>1700</v>
      </c>
      <c r="AN929" s="706" t="s">
        <v>1316</v>
      </c>
      <c r="AO929" s="189" t="s">
        <v>751</v>
      </c>
      <c r="AP929" s="686">
        <f t="shared" si="62"/>
        <v>0</v>
      </c>
      <c r="AQ929" s="686">
        <f t="shared" si="62"/>
        <v>0</v>
      </c>
      <c r="AR929" s="686">
        <f t="shared" si="62"/>
        <v>0</v>
      </c>
      <c r="AS929" s="190"/>
      <c r="AT929" s="462"/>
      <c r="AU929" s="462"/>
      <c r="AV929" s="462"/>
      <c r="AW929" s="194"/>
      <c r="AX929" s="169"/>
    </row>
    <row r="930" spans="32:50" ht="12" customHeight="1">
      <c r="AF930" s="413" t="s">
        <v>1345</v>
      </c>
      <c r="AL930" s="36"/>
      <c r="AM930" s="696" t="s">
        <v>1701</v>
      </c>
      <c r="AN930" s="706" t="s">
        <v>1317</v>
      </c>
      <c r="AO930" s="189" t="s">
        <v>751</v>
      </c>
      <c r="AP930" s="686">
        <f t="shared" si="62"/>
        <v>0</v>
      </c>
      <c r="AQ930" s="686">
        <f t="shared" si="62"/>
        <v>0</v>
      </c>
      <c r="AR930" s="686">
        <f t="shared" si="62"/>
        <v>0</v>
      </c>
      <c r="AS930" s="190"/>
      <c r="AT930" s="462"/>
      <c r="AU930" s="462"/>
      <c r="AV930" s="462"/>
      <c r="AW930" s="194"/>
      <c r="AX930" s="169"/>
    </row>
    <row r="931" spans="32:50" ht="12" customHeight="1">
      <c r="AF931" s="413" t="s">
        <v>1346</v>
      </c>
      <c r="AL931" s="36"/>
      <c r="AM931" s="696" t="s">
        <v>1702</v>
      </c>
      <c r="AN931" s="706" t="s">
        <v>1318</v>
      </c>
      <c r="AO931" s="189" t="s">
        <v>751</v>
      </c>
      <c r="AP931" s="686">
        <f t="shared" si="62"/>
        <v>0</v>
      </c>
      <c r="AQ931" s="686">
        <f t="shared" si="62"/>
        <v>0</v>
      </c>
      <c r="AR931" s="686">
        <f t="shared" si="62"/>
        <v>0</v>
      </c>
      <c r="AS931" s="190"/>
      <c r="AT931" s="462"/>
      <c r="AU931" s="462"/>
      <c r="AV931" s="462"/>
      <c r="AW931" s="194"/>
      <c r="AX931" s="169"/>
    </row>
    <row r="932" spans="32:50" ht="12" customHeight="1">
      <c r="AF932" s="413" t="s">
        <v>1347</v>
      </c>
      <c r="AL932" s="36"/>
      <c r="AM932" s="696" t="s">
        <v>1703</v>
      </c>
      <c r="AN932" s="707" t="s">
        <v>721</v>
      </c>
      <c r="AO932" s="189" t="s">
        <v>751</v>
      </c>
      <c r="AP932" s="686">
        <f t="shared" si="62"/>
        <v>0</v>
      </c>
      <c r="AQ932" s="686">
        <f t="shared" si="62"/>
        <v>0</v>
      </c>
      <c r="AR932" s="686">
        <f t="shared" si="62"/>
        <v>0</v>
      </c>
      <c r="AS932" s="190"/>
      <c r="AT932" s="462"/>
      <c r="AU932" s="462"/>
      <c r="AV932" s="462"/>
      <c r="AW932" s="194"/>
      <c r="AX932" s="169"/>
    </row>
    <row r="933" spans="32:50" ht="12" customHeight="1">
      <c r="AF933" s="413" t="s">
        <v>1348</v>
      </c>
      <c r="AL933" s="36"/>
      <c r="AM933" s="696" t="s">
        <v>1704</v>
      </c>
      <c r="AN933" s="708" t="s">
        <v>712</v>
      </c>
      <c r="AO933" s="189" t="s">
        <v>751</v>
      </c>
      <c r="AP933" s="686">
        <f t="shared" si="62"/>
        <v>0</v>
      </c>
      <c r="AQ933" s="686">
        <f t="shared" si="62"/>
        <v>0</v>
      </c>
      <c r="AR933" s="686">
        <f t="shared" si="62"/>
        <v>0</v>
      </c>
      <c r="AS933" s="190"/>
      <c r="AT933" s="462"/>
      <c r="AU933" s="462"/>
      <c r="AV933" s="462"/>
      <c r="AW933" s="194"/>
      <c r="AX933" s="169"/>
    </row>
    <row r="934" spans="32:50" ht="12" customHeight="1">
      <c r="AF934" s="413" t="s">
        <v>2612</v>
      </c>
      <c r="AL934" s="36"/>
      <c r="AM934" s="696" t="s">
        <v>2892</v>
      </c>
      <c r="AN934" s="709" t="s">
        <v>1319</v>
      </c>
      <c r="AO934" s="189" t="s">
        <v>751</v>
      </c>
      <c r="AP934" s="686">
        <f t="shared" ref="AP934:AR949" si="63">IF(AP986=0,0,AP1038/AP986*1000)</f>
        <v>0</v>
      </c>
      <c r="AQ934" s="686">
        <f t="shared" si="63"/>
        <v>0</v>
      </c>
      <c r="AR934" s="686">
        <f t="shared" si="63"/>
        <v>0</v>
      </c>
      <c r="AS934" s="190"/>
      <c r="AT934" s="462"/>
      <c r="AU934" s="462"/>
      <c r="AV934" s="462"/>
      <c r="AW934" s="194"/>
      <c r="AX934" s="169"/>
    </row>
    <row r="935" spans="32:50" ht="12" customHeight="1">
      <c r="AF935" s="413" t="s">
        <v>2614</v>
      </c>
      <c r="AL935" s="36"/>
      <c r="AM935" s="696" t="s">
        <v>2893</v>
      </c>
      <c r="AN935" s="709" t="s">
        <v>1320</v>
      </c>
      <c r="AO935" s="189" t="s">
        <v>751</v>
      </c>
      <c r="AP935" s="686">
        <f t="shared" si="63"/>
        <v>0</v>
      </c>
      <c r="AQ935" s="686">
        <f t="shared" si="63"/>
        <v>0</v>
      </c>
      <c r="AR935" s="686">
        <f t="shared" si="63"/>
        <v>0</v>
      </c>
      <c r="AS935" s="190"/>
      <c r="AT935" s="462"/>
      <c r="AU935" s="462"/>
      <c r="AV935" s="462"/>
      <c r="AW935" s="194"/>
      <c r="AX935" s="169"/>
    </row>
    <row r="936" spans="32:50" ht="12" customHeight="1">
      <c r="AF936" s="413" t="s">
        <v>2616</v>
      </c>
      <c r="AL936" s="36"/>
      <c r="AM936" s="696" t="s">
        <v>2894</v>
      </c>
      <c r="AN936" s="709" t="s">
        <v>1321</v>
      </c>
      <c r="AO936" s="189" t="s">
        <v>751</v>
      </c>
      <c r="AP936" s="686">
        <f t="shared" si="63"/>
        <v>0</v>
      </c>
      <c r="AQ936" s="686">
        <f t="shared" si="63"/>
        <v>0</v>
      </c>
      <c r="AR936" s="686">
        <f t="shared" si="63"/>
        <v>0</v>
      </c>
      <c r="AS936" s="190"/>
      <c r="AT936" s="462"/>
      <c r="AU936" s="462"/>
      <c r="AV936" s="462"/>
      <c r="AW936" s="194"/>
      <c r="AX936" s="169"/>
    </row>
    <row r="937" spans="32:50" ht="12" customHeight="1">
      <c r="AF937" s="413" t="s">
        <v>2619</v>
      </c>
      <c r="AL937" s="36"/>
      <c r="AM937" s="696" t="s">
        <v>2895</v>
      </c>
      <c r="AN937" s="709" t="s">
        <v>2618</v>
      </c>
      <c r="AO937" s="189" t="s">
        <v>751</v>
      </c>
      <c r="AP937" s="686">
        <f t="shared" si="63"/>
        <v>0</v>
      </c>
      <c r="AQ937" s="686">
        <f t="shared" si="63"/>
        <v>0</v>
      </c>
      <c r="AR937" s="686">
        <f t="shared" si="63"/>
        <v>0</v>
      </c>
      <c r="AS937" s="190"/>
      <c r="AT937" s="462"/>
      <c r="AU937" s="462"/>
      <c r="AV937" s="462"/>
      <c r="AW937" s="194"/>
      <c r="AX937" s="169"/>
    </row>
    <row r="938" spans="32:50" ht="12" customHeight="1">
      <c r="AF938" s="413" t="s">
        <v>2622</v>
      </c>
      <c r="AL938" s="36"/>
      <c r="AM938" s="696" t="s">
        <v>2896</v>
      </c>
      <c r="AN938" s="709" t="s">
        <v>2621</v>
      </c>
      <c r="AO938" s="189" t="s">
        <v>751</v>
      </c>
      <c r="AP938" s="686">
        <f t="shared" si="63"/>
        <v>0</v>
      </c>
      <c r="AQ938" s="686">
        <f t="shared" si="63"/>
        <v>0</v>
      </c>
      <c r="AR938" s="686">
        <f t="shared" si="63"/>
        <v>0</v>
      </c>
      <c r="AS938" s="190"/>
      <c r="AT938" s="462"/>
      <c r="AU938" s="462"/>
      <c r="AV938" s="462"/>
      <c r="AW938" s="194"/>
      <c r="AX938" s="169"/>
    </row>
    <row r="939" spans="32:50" ht="12" customHeight="1">
      <c r="AF939" s="413" t="s">
        <v>2624</v>
      </c>
      <c r="AL939" s="36"/>
      <c r="AM939" s="696" t="s">
        <v>2897</v>
      </c>
      <c r="AN939" s="709" t="s">
        <v>1322</v>
      </c>
      <c r="AO939" s="189" t="s">
        <v>751</v>
      </c>
      <c r="AP939" s="686">
        <f t="shared" si="63"/>
        <v>0</v>
      </c>
      <c r="AQ939" s="686">
        <f t="shared" si="63"/>
        <v>0</v>
      </c>
      <c r="AR939" s="686">
        <f t="shared" si="63"/>
        <v>0</v>
      </c>
      <c r="AS939" s="190"/>
      <c r="AT939" s="462"/>
      <c r="AU939" s="462"/>
      <c r="AV939" s="462"/>
      <c r="AW939" s="194"/>
      <c r="AX939" s="169"/>
    </row>
    <row r="940" spans="32:50" ht="12" customHeight="1">
      <c r="AF940" s="413" t="s">
        <v>2627</v>
      </c>
      <c r="AL940" s="36"/>
      <c r="AM940" s="696" t="s">
        <v>2898</v>
      </c>
      <c r="AN940" s="709" t="s">
        <v>2626</v>
      </c>
      <c r="AO940" s="189" t="s">
        <v>751</v>
      </c>
      <c r="AP940" s="686">
        <f t="shared" si="63"/>
        <v>0</v>
      </c>
      <c r="AQ940" s="686">
        <f t="shared" si="63"/>
        <v>0</v>
      </c>
      <c r="AR940" s="686">
        <f t="shared" si="63"/>
        <v>0</v>
      </c>
      <c r="AS940" s="190"/>
      <c r="AT940" s="462"/>
      <c r="AU940" s="462"/>
      <c r="AV940" s="462"/>
      <c r="AW940" s="194"/>
      <c r="AX940" s="169"/>
    </row>
    <row r="941" spans="32:50" ht="12" customHeight="1">
      <c r="AF941" s="413" t="s">
        <v>2629</v>
      </c>
      <c r="AL941" s="36"/>
      <c r="AM941" s="696" t="s">
        <v>2899</v>
      </c>
      <c r="AN941" s="709" t="s">
        <v>1323</v>
      </c>
      <c r="AO941" s="189" t="s">
        <v>751</v>
      </c>
      <c r="AP941" s="686">
        <f t="shared" si="63"/>
        <v>0</v>
      </c>
      <c r="AQ941" s="686">
        <f t="shared" si="63"/>
        <v>0</v>
      </c>
      <c r="AR941" s="686">
        <f t="shared" si="63"/>
        <v>0</v>
      </c>
      <c r="AS941" s="190"/>
      <c r="AT941" s="462"/>
      <c r="AU941" s="462"/>
      <c r="AV941" s="462"/>
      <c r="AW941" s="194"/>
      <c r="AX941" s="169"/>
    </row>
    <row r="942" spans="32:50" ht="12" customHeight="1">
      <c r="AF942" s="413" t="s">
        <v>2631</v>
      </c>
      <c r="AL942" s="36"/>
      <c r="AM942" s="696" t="s">
        <v>2900</v>
      </c>
      <c r="AN942" s="709" t="s">
        <v>1324</v>
      </c>
      <c r="AO942" s="189" t="s">
        <v>751</v>
      </c>
      <c r="AP942" s="686">
        <f t="shared" si="63"/>
        <v>0</v>
      </c>
      <c r="AQ942" s="686">
        <f t="shared" si="63"/>
        <v>0</v>
      </c>
      <c r="AR942" s="686">
        <f t="shared" si="63"/>
        <v>0</v>
      </c>
      <c r="AS942" s="190"/>
      <c r="AT942" s="462"/>
      <c r="AU942" s="462"/>
      <c r="AV942" s="462"/>
      <c r="AW942" s="194"/>
      <c r="AX942" s="169"/>
    </row>
    <row r="943" spans="32:50" ht="12" customHeight="1">
      <c r="AF943" s="413" t="s">
        <v>2634</v>
      </c>
      <c r="AL943" s="36"/>
      <c r="AM943" s="696" t="s">
        <v>2901</v>
      </c>
      <c r="AN943" s="709" t="s">
        <v>2633</v>
      </c>
      <c r="AO943" s="189" t="s">
        <v>751</v>
      </c>
      <c r="AP943" s="686">
        <f t="shared" si="63"/>
        <v>0</v>
      </c>
      <c r="AQ943" s="686">
        <f t="shared" si="63"/>
        <v>0</v>
      </c>
      <c r="AR943" s="686">
        <f t="shared" si="63"/>
        <v>0</v>
      </c>
      <c r="AS943" s="190"/>
      <c r="AT943" s="462"/>
      <c r="AU943" s="462"/>
      <c r="AV943" s="462"/>
      <c r="AW943" s="194"/>
      <c r="AX943" s="169"/>
    </row>
    <row r="944" spans="32:50" ht="12" customHeight="1">
      <c r="AF944" s="413" t="s">
        <v>2637</v>
      </c>
      <c r="AL944" s="36"/>
      <c r="AM944" s="696" t="s">
        <v>2902</v>
      </c>
      <c r="AN944" s="709" t="s">
        <v>2636</v>
      </c>
      <c r="AO944" s="189" t="s">
        <v>751</v>
      </c>
      <c r="AP944" s="686">
        <f t="shared" si="63"/>
        <v>0</v>
      </c>
      <c r="AQ944" s="686">
        <f t="shared" si="63"/>
        <v>0</v>
      </c>
      <c r="AR944" s="686">
        <f t="shared" si="63"/>
        <v>0</v>
      </c>
      <c r="AS944" s="190"/>
      <c r="AT944" s="462"/>
      <c r="AU944" s="462"/>
      <c r="AV944" s="462"/>
      <c r="AW944" s="194"/>
      <c r="AX944" s="169"/>
    </row>
    <row r="945" spans="32:50" ht="12" customHeight="1">
      <c r="AF945" s="413" t="s">
        <v>2640</v>
      </c>
      <c r="AL945" s="36"/>
      <c r="AM945" s="696" t="s">
        <v>2903</v>
      </c>
      <c r="AN945" s="709" t="s">
        <v>2639</v>
      </c>
      <c r="AO945" s="189" t="s">
        <v>751</v>
      </c>
      <c r="AP945" s="686">
        <f t="shared" si="63"/>
        <v>0</v>
      </c>
      <c r="AQ945" s="686">
        <f t="shared" si="63"/>
        <v>0</v>
      </c>
      <c r="AR945" s="686">
        <f t="shared" si="63"/>
        <v>0</v>
      </c>
      <c r="AS945" s="190"/>
      <c r="AT945" s="462"/>
      <c r="AU945" s="462"/>
      <c r="AV945" s="462"/>
      <c r="AW945" s="194"/>
      <c r="AX945" s="169"/>
    </row>
    <row r="946" spans="32:50" ht="12" customHeight="1">
      <c r="AF946" s="413" t="s">
        <v>2643</v>
      </c>
      <c r="AL946" s="36"/>
      <c r="AM946" s="696" t="s">
        <v>2904</v>
      </c>
      <c r="AN946" s="709" t="s">
        <v>2642</v>
      </c>
      <c r="AO946" s="189" t="s">
        <v>751</v>
      </c>
      <c r="AP946" s="686">
        <f t="shared" si="63"/>
        <v>0</v>
      </c>
      <c r="AQ946" s="686">
        <f t="shared" si="63"/>
        <v>0</v>
      </c>
      <c r="AR946" s="686">
        <f t="shared" si="63"/>
        <v>0</v>
      </c>
      <c r="AS946" s="190"/>
      <c r="AT946" s="462"/>
      <c r="AU946" s="462"/>
      <c r="AV946" s="462"/>
      <c r="AW946" s="194"/>
      <c r="AX946" s="169"/>
    </row>
    <row r="947" spans="32:50" ht="12" customHeight="1">
      <c r="AF947" s="413" t="s">
        <v>2646</v>
      </c>
      <c r="AL947" s="36"/>
      <c r="AM947" s="696" t="s">
        <v>2905</v>
      </c>
      <c r="AN947" s="709" t="s">
        <v>2645</v>
      </c>
      <c r="AO947" s="189" t="s">
        <v>751</v>
      </c>
      <c r="AP947" s="686">
        <f t="shared" si="63"/>
        <v>0</v>
      </c>
      <c r="AQ947" s="686">
        <f t="shared" si="63"/>
        <v>0</v>
      </c>
      <c r="AR947" s="686">
        <f t="shared" si="63"/>
        <v>0</v>
      </c>
      <c r="AS947" s="190"/>
      <c r="AT947" s="462"/>
      <c r="AU947" s="462"/>
      <c r="AV947" s="462"/>
      <c r="AW947" s="194"/>
      <c r="AX947" s="169"/>
    </row>
    <row r="948" spans="32:50" ht="12" customHeight="1">
      <c r="AF948" s="413" t="s">
        <v>2648</v>
      </c>
      <c r="AL948" s="36"/>
      <c r="AM948" s="696" t="s">
        <v>2906</v>
      </c>
      <c r="AN948" s="709" t="s">
        <v>1325</v>
      </c>
      <c r="AO948" s="189" t="s">
        <v>751</v>
      </c>
      <c r="AP948" s="686">
        <f t="shared" si="63"/>
        <v>0</v>
      </c>
      <c r="AQ948" s="686">
        <f t="shared" si="63"/>
        <v>0</v>
      </c>
      <c r="AR948" s="686">
        <f t="shared" si="63"/>
        <v>0</v>
      </c>
      <c r="AS948" s="190"/>
      <c r="AT948" s="462"/>
      <c r="AU948" s="462"/>
      <c r="AV948" s="462"/>
      <c r="AW948" s="194"/>
      <c r="AX948" s="169"/>
    </row>
    <row r="949" spans="32:50" ht="12" customHeight="1">
      <c r="AF949" s="413" t="s">
        <v>2650</v>
      </c>
      <c r="AL949" s="36"/>
      <c r="AM949" s="696" t="s">
        <v>2907</v>
      </c>
      <c r="AN949" s="709" t="s">
        <v>1326</v>
      </c>
      <c r="AO949" s="189" t="s">
        <v>751</v>
      </c>
      <c r="AP949" s="686">
        <f t="shared" si="63"/>
        <v>0</v>
      </c>
      <c r="AQ949" s="686">
        <f t="shared" si="63"/>
        <v>0</v>
      </c>
      <c r="AR949" s="686">
        <f t="shared" si="63"/>
        <v>0</v>
      </c>
      <c r="AS949" s="190"/>
      <c r="AT949" s="462"/>
      <c r="AU949" s="462"/>
      <c r="AV949" s="462"/>
      <c r="AW949" s="194"/>
      <c r="AX949" s="169"/>
    </row>
    <row r="950" spans="32:50" ht="12" customHeight="1">
      <c r="AF950" s="413" t="s">
        <v>2653</v>
      </c>
      <c r="AL950" s="36"/>
      <c r="AM950" s="696" t="s">
        <v>2908</v>
      </c>
      <c r="AN950" s="709" t="s">
        <v>2652</v>
      </c>
      <c r="AO950" s="189" t="s">
        <v>751</v>
      </c>
      <c r="AP950" s="686">
        <f>IF(AP1002=0,0,AP1054/AP1002*1000)</f>
        <v>0</v>
      </c>
      <c r="AQ950" s="686">
        <f>IF(AQ1002=0,0,AQ1054/AQ1002*1000)</f>
        <v>0</v>
      </c>
      <c r="AR950" s="686">
        <f>IF(AR1002=0,0,AR1054/AR1002*1000)</f>
        <v>0</v>
      </c>
      <c r="AS950" s="190"/>
      <c r="AT950" s="462"/>
      <c r="AU950" s="462"/>
      <c r="AV950" s="462"/>
      <c r="AW950" s="194"/>
      <c r="AX950" s="169"/>
    </row>
    <row r="951" spans="32:50" ht="0.75" hidden="1" customHeight="1">
      <c r="AF951" s="413"/>
      <c r="AL951" s="36"/>
      <c r="AM951" s="718"/>
      <c r="AN951" s="460"/>
      <c r="AO951" s="461"/>
      <c r="AP951" s="462"/>
      <c r="AQ951" s="462"/>
      <c r="AR951" s="462"/>
      <c r="AS951" s="190"/>
      <c r="AT951" s="462"/>
      <c r="AU951" s="462"/>
      <c r="AV951" s="462"/>
      <c r="AW951" s="194"/>
      <c r="AX951" s="169"/>
    </row>
    <row r="952" spans="32:50" ht="0.75" hidden="1" customHeight="1">
      <c r="AF952" s="413"/>
      <c r="AL952" s="36"/>
      <c r="AM952" s="718"/>
      <c r="AN952" s="460"/>
      <c r="AO952" s="461"/>
      <c r="AP952" s="462"/>
      <c r="AQ952" s="462"/>
      <c r="AR952" s="462"/>
      <c r="AS952" s="190"/>
      <c r="AT952" s="462"/>
      <c r="AU952" s="462"/>
      <c r="AV952" s="462"/>
      <c r="AW952" s="194"/>
      <c r="AX952" s="169"/>
    </row>
    <row r="953" spans="32:50" ht="12" customHeight="1">
      <c r="AF953" s="413" t="s">
        <v>1357</v>
      </c>
      <c r="AL953" s="36"/>
      <c r="AM953" s="696" t="s">
        <v>1705</v>
      </c>
      <c r="AN953" s="719" t="s">
        <v>1327</v>
      </c>
      <c r="AO953" s="189" t="s">
        <v>751</v>
      </c>
      <c r="AP953" s="686">
        <f t="shared" ref="AP953:AR959" si="64">IF(AP1005=0,0,AP1057/AP1005*1000)</f>
        <v>0</v>
      </c>
      <c r="AQ953" s="686">
        <f t="shared" si="64"/>
        <v>0</v>
      </c>
      <c r="AR953" s="686">
        <f t="shared" si="64"/>
        <v>0</v>
      </c>
      <c r="AS953" s="190"/>
      <c r="AT953" s="462"/>
      <c r="AU953" s="462"/>
      <c r="AV953" s="462"/>
      <c r="AW953" s="194"/>
      <c r="AX953" s="169"/>
    </row>
    <row r="954" spans="32:50" ht="12" customHeight="1">
      <c r="AF954" s="413" t="s">
        <v>1350</v>
      </c>
      <c r="AL954" s="36"/>
      <c r="AM954" s="696" t="s">
        <v>1706</v>
      </c>
      <c r="AN954" s="712" t="s">
        <v>723</v>
      </c>
      <c r="AO954" s="189" t="s">
        <v>751</v>
      </c>
      <c r="AP954" s="686">
        <f t="shared" si="64"/>
        <v>0</v>
      </c>
      <c r="AQ954" s="686">
        <f t="shared" si="64"/>
        <v>0</v>
      </c>
      <c r="AR954" s="686">
        <f t="shared" si="64"/>
        <v>0</v>
      </c>
      <c r="AS954" s="190"/>
      <c r="AT954" s="462"/>
      <c r="AU954" s="462"/>
      <c r="AV954" s="462"/>
      <c r="AW954" s="194"/>
      <c r="AX954" s="169"/>
    </row>
    <row r="955" spans="32:50" ht="12" customHeight="1">
      <c r="AF955" s="413" t="s">
        <v>1351</v>
      </c>
      <c r="AL955" s="36"/>
      <c r="AM955" s="696" t="s">
        <v>1707</v>
      </c>
      <c r="AN955" s="713" t="s">
        <v>748</v>
      </c>
      <c r="AO955" s="189" t="s">
        <v>751</v>
      </c>
      <c r="AP955" s="686">
        <f t="shared" si="64"/>
        <v>0</v>
      </c>
      <c r="AQ955" s="686">
        <f t="shared" si="64"/>
        <v>0</v>
      </c>
      <c r="AR955" s="686">
        <f t="shared" si="64"/>
        <v>0</v>
      </c>
      <c r="AS955" s="190"/>
      <c r="AT955" s="462"/>
      <c r="AU955" s="462"/>
      <c r="AV955" s="462"/>
      <c r="AW955" s="194"/>
      <c r="AX955" s="169"/>
    </row>
    <row r="956" spans="32:50" ht="12" customHeight="1">
      <c r="AF956" s="413" t="s">
        <v>1352</v>
      </c>
      <c r="AL956" s="36"/>
      <c r="AM956" s="696" t="s">
        <v>1708</v>
      </c>
      <c r="AN956" s="714" t="s">
        <v>315</v>
      </c>
      <c r="AO956" s="189" t="s">
        <v>751</v>
      </c>
      <c r="AP956" s="686">
        <f t="shared" si="64"/>
        <v>0</v>
      </c>
      <c r="AQ956" s="686">
        <f t="shared" si="64"/>
        <v>0</v>
      </c>
      <c r="AR956" s="686">
        <f t="shared" si="64"/>
        <v>0</v>
      </c>
      <c r="AS956" s="190"/>
      <c r="AT956" s="462"/>
      <c r="AU956" s="462"/>
      <c r="AV956" s="462"/>
      <c r="AW956" s="194"/>
      <c r="AX956" s="169"/>
    </row>
    <row r="957" spans="32:50" ht="12" customHeight="1">
      <c r="AF957" s="413" t="s">
        <v>1354</v>
      </c>
      <c r="AL957" s="36"/>
      <c r="AM957" s="696" t="s">
        <v>1709</v>
      </c>
      <c r="AN957" s="715" t="s">
        <v>316</v>
      </c>
      <c r="AO957" s="189" t="s">
        <v>751</v>
      </c>
      <c r="AP957" s="686">
        <f t="shared" si="64"/>
        <v>0</v>
      </c>
      <c r="AQ957" s="686">
        <f t="shared" si="64"/>
        <v>0</v>
      </c>
      <c r="AR957" s="686">
        <f t="shared" si="64"/>
        <v>0</v>
      </c>
      <c r="AS957" s="190"/>
      <c r="AT957" s="462"/>
      <c r="AU957" s="462"/>
      <c r="AV957" s="462"/>
      <c r="AW957" s="194"/>
      <c r="AX957" s="169"/>
    </row>
    <row r="958" spans="32:50" ht="12" customHeight="1">
      <c r="AF958" s="413" t="s">
        <v>1353</v>
      </c>
      <c r="AL958" s="36"/>
      <c r="AM958" s="696" t="s">
        <v>1710</v>
      </c>
      <c r="AN958" s="716" t="s">
        <v>317</v>
      </c>
      <c r="AO958" s="189" t="s">
        <v>751</v>
      </c>
      <c r="AP958" s="686">
        <f t="shared" si="64"/>
        <v>0</v>
      </c>
      <c r="AQ958" s="686">
        <f t="shared" si="64"/>
        <v>0</v>
      </c>
      <c r="AR958" s="686">
        <f t="shared" si="64"/>
        <v>0</v>
      </c>
      <c r="AS958" s="190"/>
      <c r="AT958" s="462"/>
      <c r="AU958" s="462"/>
      <c r="AV958" s="462"/>
      <c r="AW958" s="194"/>
      <c r="AX958" s="169"/>
    </row>
    <row r="959" spans="32:50" ht="12" customHeight="1">
      <c r="AF959" s="413" t="s">
        <v>1355</v>
      </c>
      <c r="AL959" s="36"/>
      <c r="AM959" s="696" t="s">
        <v>1711</v>
      </c>
      <c r="AN959" s="701" t="s">
        <v>318</v>
      </c>
      <c r="AO959" s="189" t="s">
        <v>751</v>
      </c>
      <c r="AP959" s="686">
        <f t="shared" si="64"/>
        <v>0</v>
      </c>
      <c r="AQ959" s="686">
        <f t="shared" si="64"/>
        <v>0</v>
      </c>
      <c r="AR959" s="686">
        <f t="shared" si="64"/>
        <v>0</v>
      </c>
      <c r="AS959" s="190"/>
      <c r="AT959" s="462"/>
      <c r="AU959" s="462"/>
      <c r="AV959" s="462"/>
      <c r="AW959" s="194"/>
      <c r="AX959" s="169"/>
    </row>
    <row r="960" spans="32:50" ht="0.75" hidden="1" customHeight="1">
      <c r="AF960" s="413"/>
      <c r="AL960" s="36"/>
      <c r="AM960" s="718"/>
      <c r="AN960" s="460"/>
      <c r="AO960" s="461"/>
      <c r="AP960" s="462"/>
      <c r="AQ960" s="462"/>
      <c r="AR960" s="462"/>
      <c r="AS960" s="190"/>
      <c r="AT960" s="462"/>
      <c r="AU960" s="462"/>
      <c r="AV960" s="462"/>
      <c r="AW960" s="194"/>
      <c r="AX960" s="169"/>
    </row>
    <row r="961" spans="32:50" ht="24" customHeight="1">
      <c r="AF961" s="115"/>
      <c r="AL961" s="36"/>
      <c r="AM961" s="490" t="s">
        <v>1734</v>
      </c>
      <c r="AN961" s="463" t="s">
        <v>663</v>
      </c>
      <c r="AO961" s="189"/>
      <c r="AP961" s="195"/>
      <c r="AQ961" s="195"/>
      <c r="AR961" s="195"/>
      <c r="AS961" s="190"/>
      <c r="AT961" s="462"/>
      <c r="AU961" s="462"/>
      <c r="AV961" s="462"/>
      <c r="AW961" s="194"/>
      <c r="AX961" s="169"/>
    </row>
    <row r="962" spans="32:50" ht="0.75" hidden="1" customHeight="1">
      <c r="AF962" s="413"/>
      <c r="AL962" s="36"/>
      <c r="AM962" s="718"/>
      <c r="AN962" s="460"/>
      <c r="AO962" s="461"/>
      <c r="AP962" s="462"/>
      <c r="AQ962" s="462"/>
      <c r="AR962" s="462"/>
      <c r="AS962" s="190"/>
      <c r="AT962" s="462"/>
      <c r="AU962" s="462"/>
      <c r="AV962" s="462"/>
      <c r="AW962" s="194"/>
      <c r="AX962" s="169"/>
    </row>
    <row r="963" spans="32:50" ht="0.75" hidden="1" customHeight="1">
      <c r="AF963" s="413"/>
      <c r="AL963" s="36"/>
      <c r="AM963" s="718"/>
      <c r="AN963" s="460"/>
      <c r="AO963" s="461"/>
      <c r="AP963" s="462"/>
      <c r="AQ963" s="462"/>
      <c r="AR963" s="462"/>
      <c r="AS963" s="190"/>
      <c r="AT963" s="462"/>
      <c r="AU963" s="462"/>
      <c r="AV963" s="462"/>
      <c r="AW963" s="194"/>
      <c r="AX963" s="169"/>
    </row>
    <row r="964" spans="32:50" ht="0.75" hidden="1" customHeight="1">
      <c r="AF964" s="413"/>
      <c r="AL964" s="36"/>
      <c r="AM964" s="718"/>
      <c r="AN964" s="460"/>
      <c r="AO964" s="461"/>
      <c r="AP964" s="462"/>
      <c r="AQ964" s="462"/>
      <c r="AR964" s="462"/>
      <c r="AS964" s="190"/>
      <c r="AT964" s="462"/>
      <c r="AU964" s="462"/>
      <c r="AV964" s="462"/>
      <c r="AW964" s="194"/>
      <c r="AX964" s="169"/>
    </row>
    <row r="965" spans="32:50" ht="0.75" hidden="1" customHeight="1">
      <c r="AF965" s="413"/>
      <c r="AL965" s="36"/>
      <c r="AM965" s="718"/>
      <c r="AN965" s="460"/>
      <c r="AO965" s="461"/>
      <c r="AP965" s="462"/>
      <c r="AQ965" s="462"/>
      <c r="AR965" s="462"/>
      <c r="AS965" s="190"/>
      <c r="AT965" s="462"/>
      <c r="AU965" s="462"/>
      <c r="AV965" s="462"/>
      <c r="AW965" s="194"/>
      <c r="AX965" s="169"/>
    </row>
    <row r="966" spans="32:50" ht="0.75" hidden="1" customHeight="1">
      <c r="AF966" s="413"/>
      <c r="AL966" s="36"/>
      <c r="AM966" s="718"/>
      <c r="AN966" s="460"/>
      <c r="AO966" s="461"/>
      <c r="AP966" s="462"/>
      <c r="AQ966" s="462"/>
      <c r="AR966" s="462"/>
      <c r="AS966" s="190"/>
      <c r="AT966" s="462"/>
      <c r="AU966" s="462"/>
      <c r="AV966" s="462"/>
      <c r="AW966" s="194"/>
      <c r="AX966" s="169"/>
    </row>
    <row r="967" spans="32:50" ht="0.75" hidden="1" customHeight="1">
      <c r="AF967" s="413"/>
      <c r="AL967" s="36"/>
      <c r="AM967" s="718"/>
      <c r="AN967" s="460"/>
      <c r="AO967" s="461"/>
      <c r="AP967" s="462"/>
      <c r="AQ967" s="462"/>
      <c r="AR967" s="462"/>
      <c r="AS967" s="190"/>
      <c r="AT967" s="462"/>
      <c r="AU967" s="462"/>
      <c r="AV967" s="462"/>
      <c r="AW967" s="194"/>
      <c r="AX967" s="169"/>
    </row>
    <row r="968" spans="32:50" ht="0.75" hidden="1" customHeight="1">
      <c r="AF968" s="413"/>
      <c r="AL968" s="36"/>
      <c r="AM968" s="718"/>
      <c r="AN968" s="460"/>
      <c r="AO968" s="461"/>
      <c r="AP968" s="462"/>
      <c r="AQ968" s="462"/>
      <c r="AR968" s="462"/>
      <c r="AS968" s="190"/>
      <c r="AT968" s="462"/>
      <c r="AU968" s="462"/>
      <c r="AV968" s="462"/>
      <c r="AW968" s="194"/>
      <c r="AX968" s="169"/>
    </row>
    <row r="969" spans="32:50" ht="0.75" hidden="1" customHeight="1">
      <c r="AF969" s="413"/>
      <c r="AL969" s="36"/>
      <c r="AM969" s="718"/>
      <c r="AN969" s="460"/>
      <c r="AO969" s="461"/>
      <c r="AP969" s="462"/>
      <c r="AQ969" s="462"/>
      <c r="AR969" s="462"/>
      <c r="AS969" s="190"/>
      <c r="AT969" s="462"/>
      <c r="AU969" s="462"/>
      <c r="AV969" s="462"/>
      <c r="AW969" s="194"/>
      <c r="AX969" s="169"/>
    </row>
    <row r="970" spans="32:50" ht="12" customHeight="1">
      <c r="AF970" s="413" t="s">
        <v>1332</v>
      </c>
      <c r="AL970" s="36"/>
      <c r="AM970" s="696" t="s">
        <v>1735</v>
      </c>
      <c r="AN970" s="701" t="s">
        <v>684</v>
      </c>
      <c r="AO970" s="189" t="s">
        <v>758</v>
      </c>
      <c r="AP970" s="686">
        <f t="shared" ref="AP970:AR989" si="65">SUMIF($AS$9:$AW$9,AP$9,$AS970:$AW970)</f>
        <v>0</v>
      </c>
      <c r="AQ970" s="686">
        <f t="shared" si="65"/>
        <v>0</v>
      </c>
      <c r="AR970" s="686">
        <f t="shared" si="65"/>
        <v>0</v>
      </c>
      <c r="AS970" s="190"/>
      <c r="AT970" s="462"/>
      <c r="AU970" s="462"/>
      <c r="AV970" s="462"/>
      <c r="AW970" s="194"/>
      <c r="AX970" s="169"/>
    </row>
    <row r="971" spans="32:50" ht="12" customHeight="1">
      <c r="AF971" s="413" t="s">
        <v>1333</v>
      </c>
      <c r="AL971" s="36"/>
      <c r="AM971" s="696" t="s">
        <v>1736</v>
      </c>
      <c r="AN971" s="702" t="s">
        <v>718</v>
      </c>
      <c r="AO971" s="189" t="s">
        <v>758</v>
      </c>
      <c r="AP971" s="686">
        <f t="shared" si="65"/>
        <v>0</v>
      </c>
      <c r="AQ971" s="686">
        <f t="shared" si="65"/>
        <v>0</v>
      </c>
      <c r="AR971" s="686">
        <f t="shared" si="65"/>
        <v>0</v>
      </c>
      <c r="AS971" s="190"/>
      <c r="AT971" s="462"/>
      <c r="AU971" s="462"/>
      <c r="AV971" s="462"/>
      <c r="AW971" s="194"/>
      <c r="AX971" s="169"/>
    </row>
    <row r="972" spans="32:50" ht="12" customHeight="1">
      <c r="AF972" s="413" t="s">
        <v>1334</v>
      </c>
      <c r="AL972" s="36"/>
      <c r="AM972" s="696" t="s">
        <v>1737</v>
      </c>
      <c r="AN972" s="703" t="s">
        <v>722</v>
      </c>
      <c r="AO972" s="189" t="s">
        <v>758</v>
      </c>
      <c r="AP972" s="686">
        <f t="shared" si="65"/>
        <v>0</v>
      </c>
      <c r="AQ972" s="686">
        <f t="shared" si="65"/>
        <v>0</v>
      </c>
      <c r="AR972" s="686">
        <f t="shared" si="65"/>
        <v>0</v>
      </c>
      <c r="AS972" s="190"/>
      <c r="AT972" s="462"/>
      <c r="AU972" s="462"/>
      <c r="AV972" s="462"/>
      <c r="AW972" s="194"/>
      <c r="AX972" s="169"/>
    </row>
    <row r="973" spans="32:50" ht="12" customHeight="1">
      <c r="AF973" s="413" t="s">
        <v>1335</v>
      </c>
      <c r="AL973" s="36"/>
      <c r="AM973" s="696" t="s">
        <v>1738</v>
      </c>
      <c r="AN973" s="704" t="s">
        <v>1309</v>
      </c>
      <c r="AO973" s="189" t="s">
        <v>758</v>
      </c>
      <c r="AP973" s="686">
        <f t="shared" si="65"/>
        <v>0</v>
      </c>
      <c r="AQ973" s="686">
        <f t="shared" si="65"/>
        <v>0</v>
      </c>
      <c r="AR973" s="686">
        <f t="shared" si="65"/>
        <v>0</v>
      </c>
      <c r="AS973" s="190"/>
      <c r="AT973" s="462"/>
      <c r="AU973" s="462"/>
      <c r="AV973" s="462"/>
      <c r="AW973" s="194"/>
      <c r="AX973" s="169"/>
    </row>
    <row r="974" spans="32:50" ht="12" customHeight="1">
      <c r="AF974" s="413" t="s">
        <v>1336</v>
      </c>
      <c r="AL974" s="36"/>
      <c r="AM974" s="696" t="s">
        <v>1739</v>
      </c>
      <c r="AN974" s="704" t="s">
        <v>1310</v>
      </c>
      <c r="AO974" s="189" t="s">
        <v>758</v>
      </c>
      <c r="AP974" s="686">
        <f t="shared" si="65"/>
        <v>0</v>
      </c>
      <c r="AQ974" s="686">
        <f t="shared" si="65"/>
        <v>0</v>
      </c>
      <c r="AR974" s="686">
        <f t="shared" si="65"/>
        <v>0</v>
      </c>
      <c r="AS974" s="190"/>
      <c r="AT974" s="462"/>
      <c r="AU974" s="462"/>
      <c r="AV974" s="462"/>
      <c r="AW974" s="194"/>
      <c r="AX974" s="169"/>
    </row>
    <row r="975" spans="32:50" ht="12" customHeight="1">
      <c r="AF975" s="413" t="s">
        <v>1337</v>
      </c>
      <c r="AL975" s="36"/>
      <c r="AM975" s="696" t="s">
        <v>1740</v>
      </c>
      <c r="AN975" s="704" t="s">
        <v>1311</v>
      </c>
      <c r="AO975" s="189" t="s">
        <v>758</v>
      </c>
      <c r="AP975" s="686">
        <f t="shared" si="65"/>
        <v>0</v>
      </c>
      <c r="AQ975" s="686">
        <f t="shared" si="65"/>
        <v>0</v>
      </c>
      <c r="AR975" s="686">
        <f t="shared" si="65"/>
        <v>0</v>
      </c>
      <c r="AS975" s="190"/>
      <c r="AT975" s="462"/>
      <c r="AU975" s="462"/>
      <c r="AV975" s="462"/>
      <c r="AW975" s="194"/>
      <c r="AX975" s="169"/>
    </row>
    <row r="976" spans="32:50" ht="12" customHeight="1">
      <c r="AF976" s="413" t="s">
        <v>1338</v>
      </c>
      <c r="AL976" s="36"/>
      <c r="AM976" s="696" t="s">
        <v>1741</v>
      </c>
      <c r="AN976" s="704" t="s">
        <v>1312</v>
      </c>
      <c r="AO976" s="189" t="s">
        <v>758</v>
      </c>
      <c r="AP976" s="686">
        <f t="shared" si="65"/>
        <v>0</v>
      </c>
      <c r="AQ976" s="686">
        <f t="shared" si="65"/>
        <v>0</v>
      </c>
      <c r="AR976" s="686">
        <f t="shared" si="65"/>
        <v>0</v>
      </c>
      <c r="AS976" s="190"/>
      <c r="AT976" s="462"/>
      <c r="AU976" s="462"/>
      <c r="AV976" s="462"/>
      <c r="AW976" s="194"/>
      <c r="AX976" s="169"/>
    </row>
    <row r="977" spans="32:50" ht="12" customHeight="1">
      <c r="AF977" s="413" t="s">
        <v>1343</v>
      </c>
      <c r="AL977" s="36"/>
      <c r="AM977" s="696" t="s">
        <v>1742</v>
      </c>
      <c r="AN977" s="705" t="s">
        <v>720</v>
      </c>
      <c r="AO977" s="189" t="s">
        <v>758</v>
      </c>
      <c r="AP977" s="686">
        <f t="shared" si="65"/>
        <v>0</v>
      </c>
      <c r="AQ977" s="686">
        <f t="shared" si="65"/>
        <v>0</v>
      </c>
      <c r="AR977" s="686">
        <f t="shared" si="65"/>
        <v>0</v>
      </c>
      <c r="AS977" s="190"/>
      <c r="AT977" s="462"/>
      <c r="AU977" s="462"/>
      <c r="AV977" s="462"/>
      <c r="AW977" s="194"/>
      <c r="AX977" s="169"/>
    </row>
    <row r="978" spans="32:50" ht="12" customHeight="1">
      <c r="AF978" s="413" t="s">
        <v>1866</v>
      </c>
      <c r="AL978" s="36"/>
      <c r="AM978" s="696" t="s">
        <v>1882</v>
      </c>
      <c r="AN978" s="706" t="s">
        <v>1313</v>
      </c>
      <c r="AO978" s="189" t="s">
        <v>758</v>
      </c>
      <c r="AP978" s="686">
        <f t="shared" si="65"/>
        <v>0</v>
      </c>
      <c r="AQ978" s="686">
        <f t="shared" si="65"/>
        <v>0</v>
      </c>
      <c r="AR978" s="686">
        <f t="shared" si="65"/>
        <v>0</v>
      </c>
      <c r="AS978" s="190"/>
      <c r="AT978" s="462"/>
      <c r="AU978" s="462"/>
      <c r="AV978" s="462"/>
      <c r="AW978" s="194"/>
      <c r="AX978" s="169"/>
    </row>
    <row r="979" spans="32:50" ht="12" customHeight="1">
      <c r="AF979" s="413" t="s">
        <v>1847</v>
      </c>
      <c r="AL979" s="36"/>
      <c r="AM979" s="696" t="s">
        <v>1863</v>
      </c>
      <c r="AN979" s="706" t="s">
        <v>1314</v>
      </c>
      <c r="AO979" s="189" t="s">
        <v>758</v>
      </c>
      <c r="AP979" s="686">
        <f t="shared" si="65"/>
        <v>0</v>
      </c>
      <c r="AQ979" s="686">
        <f t="shared" si="65"/>
        <v>0</v>
      </c>
      <c r="AR979" s="686">
        <f t="shared" si="65"/>
        <v>0</v>
      </c>
      <c r="AS979" s="190"/>
      <c r="AT979" s="462"/>
      <c r="AU979" s="462"/>
      <c r="AV979" s="462"/>
      <c r="AW979" s="194"/>
      <c r="AX979" s="169"/>
    </row>
    <row r="980" spans="32:50" ht="12" customHeight="1">
      <c r="AF980" s="413" t="s">
        <v>1827</v>
      </c>
      <c r="AL980" s="36"/>
      <c r="AM980" s="696" t="s">
        <v>1844</v>
      </c>
      <c r="AN980" s="706" t="s">
        <v>1315</v>
      </c>
      <c r="AO980" s="189" t="s">
        <v>758</v>
      </c>
      <c r="AP980" s="686">
        <f t="shared" si="65"/>
        <v>0</v>
      </c>
      <c r="AQ980" s="686">
        <f t="shared" si="65"/>
        <v>0</v>
      </c>
      <c r="AR980" s="686">
        <f t="shared" si="65"/>
        <v>0</v>
      </c>
      <c r="AS980" s="190"/>
      <c r="AT980" s="462"/>
      <c r="AU980" s="462"/>
      <c r="AV980" s="462"/>
      <c r="AW980" s="194"/>
      <c r="AX980" s="169"/>
    </row>
    <row r="981" spans="32:50" ht="12" customHeight="1">
      <c r="AF981" s="413" t="s">
        <v>1344</v>
      </c>
      <c r="AL981" s="36"/>
      <c r="AM981" s="696" t="s">
        <v>1743</v>
      </c>
      <c r="AN981" s="706" t="s">
        <v>1316</v>
      </c>
      <c r="AO981" s="189" t="s">
        <v>758</v>
      </c>
      <c r="AP981" s="686">
        <f t="shared" si="65"/>
        <v>0</v>
      </c>
      <c r="AQ981" s="686">
        <f t="shared" si="65"/>
        <v>0</v>
      </c>
      <c r="AR981" s="686">
        <f t="shared" si="65"/>
        <v>0</v>
      </c>
      <c r="AS981" s="190"/>
      <c r="AT981" s="462"/>
      <c r="AU981" s="462"/>
      <c r="AV981" s="462"/>
      <c r="AW981" s="194"/>
      <c r="AX981" s="169"/>
    </row>
    <row r="982" spans="32:50" ht="12" customHeight="1">
      <c r="AF982" s="413" t="s">
        <v>1345</v>
      </c>
      <c r="AL982" s="36"/>
      <c r="AM982" s="696" t="s">
        <v>1744</v>
      </c>
      <c r="AN982" s="706" t="s">
        <v>1317</v>
      </c>
      <c r="AO982" s="189" t="s">
        <v>758</v>
      </c>
      <c r="AP982" s="686">
        <f t="shared" si="65"/>
        <v>0</v>
      </c>
      <c r="AQ982" s="686">
        <f t="shared" si="65"/>
        <v>0</v>
      </c>
      <c r="AR982" s="686">
        <f t="shared" si="65"/>
        <v>0</v>
      </c>
      <c r="AS982" s="190"/>
      <c r="AT982" s="462"/>
      <c r="AU982" s="462"/>
      <c r="AV982" s="462"/>
      <c r="AW982" s="194"/>
      <c r="AX982" s="169"/>
    </row>
    <row r="983" spans="32:50" ht="12" customHeight="1">
      <c r="AF983" s="413" t="s">
        <v>1346</v>
      </c>
      <c r="AL983" s="36"/>
      <c r="AM983" s="696" t="s">
        <v>1745</v>
      </c>
      <c r="AN983" s="706" t="s">
        <v>1318</v>
      </c>
      <c r="AO983" s="189" t="s">
        <v>758</v>
      </c>
      <c r="AP983" s="686">
        <f t="shared" si="65"/>
        <v>0</v>
      </c>
      <c r="AQ983" s="686">
        <f t="shared" si="65"/>
        <v>0</v>
      </c>
      <c r="AR983" s="686">
        <f t="shared" si="65"/>
        <v>0</v>
      </c>
      <c r="AS983" s="190"/>
      <c r="AT983" s="462"/>
      <c r="AU983" s="462"/>
      <c r="AV983" s="462"/>
      <c r="AW983" s="194"/>
      <c r="AX983" s="169"/>
    </row>
    <row r="984" spans="32:50" ht="12" customHeight="1">
      <c r="AF984" s="413" t="s">
        <v>1347</v>
      </c>
      <c r="AL984" s="36"/>
      <c r="AM984" s="696" t="s">
        <v>1746</v>
      </c>
      <c r="AN984" s="707" t="s">
        <v>721</v>
      </c>
      <c r="AO984" s="189" t="s">
        <v>758</v>
      </c>
      <c r="AP984" s="686">
        <f t="shared" si="65"/>
        <v>0</v>
      </c>
      <c r="AQ984" s="686">
        <f t="shared" si="65"/>
        <v>0</v>
      </c>
      <c r="AR984" s="686">
        <f t="shared" si="65"/>
        <v>0</v>
      </c>
      <c r="AS984" s="190"/>
      <c r="AT984" s="462"/>
      <c r="AU984" s="462"/>
      <c r="AV984" s="462"/>
      <c r="AW984" s="194"/>
      <c r="AX984" s="169"/>
    </row>
    <row r="985" spans="32:50" ht="12" customHeight="1">
      <c r="AF985" s="413" t="s">
        <v>1348</v>
      </c>
      <c r="AL985" s="36"/>
      <c r="AM985" s="696" t="s">
        <v>1747</v>
      </c>
      <c r="AN985" s="708" t="s">
        <v>712</v>
      </c>
      <c r="AO985" s="189" t="s">
        <v>758</v>
      </c>
      <c r="AP985" s="686">
        <f t="shared" si="65"/>
        <v>0</v>
      </c>
      <c r="AQ985" s="686">
        <f t="shared" si="65"/>
        <v>0</v>
      </c>
      <c r="AR985" s="686">
        <f t="shared" si="65"/>
        <v>0</v>
      </c>
      <c r="AS985" s="190"/>
      <c r="AT985" s="462"/>
      <c r="AU985" s="462"/>
      <c r="AV985" s="462"/>
      <c r="AW985" s="194"/>
      <c r="AX985" s="169"/>
    </row>
    <row r="986" spans="32:50" ht="12" customHeight="1">
      <c r="AF986" s="413" t="s">
        <v>2612</v>
      </c>
      <c r="AL986" s="36"/>
      <c r="AM986" s="696" t="s">
        <v>2909</v>
      </c>
      <c r="AN986" s="709" t="s">
        <v>1319</v>
      </c>
      <c r="AO986" s="189" t="s">
        <v>758</v>
      </c>
      <c r="AP986" s="686">
        <f t="shared" si="65"/>
        <v>0</v>
      </c>
      <c r="AQ986" s="686">
        <f t="shared" si="65"/>
        <v>0</v>
      </c>
      <c r="AR986" s="686">
        <f t="shared" si="65"/>
        <v>0</v>
      </c>
      <c r="AS986" s="190"/>
      <c r="AT986" s="462"/>
      <c r="AU986" s="462"/>
      <c r="AV986" s="462"/>
      <c r="AW986" s="194"/>
      <c r="AX986" s="169"/>
    </row>
    <row r="987" spans="32:50" ht="12" customHeight="1">
      <c r="AF987" s="413" t="s">
        <v>2614</v>
      </c>
      <c r="AL987" s="36"/>
      <c r="AM987" s="696" t="s">
        <v>2910</v>
      </c>
      <c r="AN987" s="709" t="s">
        <v>1320</v>
      </c>
      <c r="AO987" s="189" t="s">
        <v>758</v>
      </c>
      <c r="AP987" s="686">
        <f t="shared" si="65"/>
        <v>0</v>
      </c>
      <c r="AQ987" s="686">
        <f t="shared" si="65"/>
        <v>0</v>
      </c>
      <c r="AR987" s="686">
        <f t="shared" si="65"/>
        <v>0</v>
      </c>
      <c r="AS987" s="190"/>
      <c r="AT987" s="462"/>
      <c r="AU987" s="462"/>
      <c r="AV987" s="462"/>
      <c r="AW987" s="194"/>
      <c r="AX987" s="169"/>
    </row>
    <row r="988" spans="32:50" ht="12" customHeight="1">
      <c r="AF988" s="413" t="s">
        <v>2616</v>
      </c>
      <c r="AL988" s="36"/>
      <c r="AM988" s="696" t="s">
        <v>2911</v>
      </c>
      <c r="AN988" s="709" t="s">
        <v>1321</v>
      </c>
      <c r="AO988" s="189" t="s">
        <v>758</v>
      </c>
      <c r="AP988" s="686">
        <f t="shared" si="65"/>
        <v>0</v>
      </c>
      <c r="AQ988" s="686">
        <f t="shared" si="65"/>
        <v>0</v>
      </c>
      <c r="AR988" s="686">
        <f t="shared" si="65"/>
        <v>0</v>
      </c>
      <c r="AS988" s="190"/>
      <c r="AT988" s="462"/>
      <c r="AU988" s="462"/>
      <c r="AV988" s="462"/>
      <c r="AW988" s="194"/>
      <c r="AX988" s="169"/>
    </row>
    <row r="989" spans="32:50" ht="12" customHeight="1">
      <c r="AF989" s="413" t="s">
        <v>2619</v>
      </c>
      <c r="AL989" s="36"/>
      <c r="AM989" s="696" t="s">
        <v>2912</v>
      </c>
      <c r="AN989" s="709" t="s">
        <v>2618</v>
      </c>
      <c r="AO989" s="189" t="s">
        <v>758</v>
      </c>
      <c r="AP989" s="686">
        <f t="shared" si="65"/>
        <v>0</v>
      </c>
      <c r="AQ989" s="686">
        <f t="shared" si="65"/>
        <v>0</v>
      </c>
      <c r="AR989" s="686">
        <f t="shared" si="65"/>
        <v>0</v>
      </c>
      <c r="AS989" s="190"/>
      <c r="AT989" s="462"/>
      <c r="AU989" s="462"/>
      <c r="AV989" s="462"/>
      <c r="AW989" s="194"/>
      <c r="AX989" s="169"/>
    </row>
    <row r="990" spans="32:50" ht="12" customHeight="1">
      <c r="AF990" s="413" t="s">
        <v>2622</v>
      </c>
      <c r="AL990" s="36"/>
      <c r="AM990" s="696" t="s">
        <v>2913</v>
      </c>
      <c r="AN990" s="709" t="s">
        <v>2621</v>
      </c>
      <c r="AO990" s="189" t="s">
        <v>758</v>
      </c>
      <c r="AP990" s="686">
        <f t="shared" ref="AP990:AR1002" si="66">SUMIF($AS$9:$AW$9,AP$9,$AS990:$AW990)</f>
        <v>0</v>
      </c>
      <c r="AQ990" s="686">
        <f t="shared" si="66"/>
        <v>0</v>
      </c>
      <c r="AR990" s="686">
        <f t="shared" si="66"/>
        <v>0</v>
      </c>
      <c r="AS990" s="190"/>
      <c r="AT990" s="462"/>
      <c r="AU990" s="462"/>
      <c r="AV990" s="462"/>
      <c r="AW990" s="194"/>
      <c r="AX990" s="169"/>
    </row>
    <row r="991" spans="32:50" ht="12" customHeight="1">
      <c r="AF991" s="413" t="s">
        <v>2624</v>
      </c>
      <c r="AL991" s="36"/>
      <c r="AM991" s="696" t="s">
        <v>2914</v>
      </c>
      <c r="AN991" s="709" t="s">
        <v>1322</v>
      </c>
      <c r="AO991" s="189" t="s">
        <v>758</v>
      </c>
      <c r="AP991" s="686">
        <f t="shared" si="66"/>
        <v>0</v>
      </c>
      <c r="AQ991" s="686">
        <f t="shared" si="66"/>
        <v>0</v>
      </c>
      <c r="AR991" s="686">
        <f t="shared" si="66"/>
        <v>0</v>
      </c>
      <c r="AS991" s="190"/>
      <c r="AT991" s="462"/>
      <c r="AU991" s="462"/>
      <c r="AV991" s="462"/>
      <c r="AW991" s="194"/>
      <c r="AX991" s="169"/>
    </row>
    <row r="992" spans="32:50" ht="12" customHeight="1">
      <c r="AF992" s="413" t="s">
        <v>2627</v>
      </c>
      <c r="AL992" s="36"/>
      <c r="AM992" s="696" t="s">
        <v>2915</v>
      </c>
      <c r="AN992" s="709" t="s">
        <v>2626</v>
      </c>
      <c r="AO992" s="189" t="s">
        <v>758</v>
      </c>
      <c r="AP992" s="686">
        <f t="shared" si="66"/>
        <v>0</v>
      </c>
      <c r="AQ992" s="686">
        <f t="shared" si="66"/>
        <v>0</v>
      </c>
      <c r="AR992" s="686">
        <f t="shared" si="66"/>
        <v>0</v>
      </c>
      <c r="AS992" s="190"/>
      <c r="AT992" s="462"/>
      <c r="AU992" s="462"/>
      <c r="AV992" s="462"/>
      <c r="AW992" s="194"/>
      <c r="AX992" s="169"/>
    </row>
    <row r="993" spans="32:50" ht="12" customHeight="1">
      <c r="AF993" s="413" t="s">
        <v>2629</v>
      </c>
      <c r="AL993" s="36"/>
      <c r="AM993" s="696" t="s">
        <v>2916</v>
      </c>
      <c r="AN993" s="709" t="s">
        <v>1323</v>
      </c>
      <c r="AO993" s="189" t="s">
        <v>758</v>
      </c>
      <c r="AP993" s="686">
        <f t="shared" si="66"/>
        <v>0</v>
      </c>
      <c r="AQ993" s="686">
        <f t="shared" si="66"/>
        <v>0</v>
      </c>
      <c r="AR993" s="686">
        <f t="shared" si="66"/>
        <v>0</v>
      </c>
      <c r="AS993" s="190"/>
      <c r="AT993" s="462"/>
      <c r="AU993" s="462"/>
      <c r="AV993" s="462"/>
      <c r="AW993" s="194"/>
      <c r="AX993" s="169"/>
    </row>
    <row r="994" spans="32:50" ht="12" customHeight="1">
      <c r="AF994" s="413" t="s">
        <v>2631</v>
      </c>
      <c r="AL994" s="36"/>
      <c r="AM994" s="696" t="s">
        <v>2917</v>
      </c>
      <c r="AN994" s="709" t="s">
        <v>1324</v>
      </c>
      <c r="AO994" s="189" t="s">
        <v>758</v>
      </c>
      <c r="AP994" s="686">
        <f t="shared" si="66"/>
        <v>0</v>
      </c>
      <c r="AQ994" s="686">
        <f t="shared" si="66"/>
        <v>0</v>
      </c>
      <c r="AR994" s="686">
        <f t="shared" si="66"/>
        <v>0</v>
      </c>
      <c r="AS994" s="190"/>
      <c r="AT994" s="462"/>
      <c r="AU994" s="462"/>
      <c r="AV994" s="462"/>
      <c r="AW994" s="194"/>
      <c r="AX994" s="169"/>
    </row>
    <row r="995" spans="32:50" ht="12" customHeight="1">
      <c r="AF995" s="413" t="s">
        <v>2634</v>
      </c>
      <c r="AL995" s="36"/>
      <c r="AM995" s="696" t="s">
        <v>2918</v>
      </c>
      <c r="AN995" s="709" t="s">
        <v>2633</v>
      </c>
      <c r="AO995" s="189" t="s">
        <v>758</v>
      </c>
      <c r="AP995" s="686">
        <f t="shared" si="66"/>
        <v>0</v>
      </c>
      <c r="AQ995" s="686">
        <f t="shared" si="66"/>
        <v>0</v>
      </c>
      <c r="AR995" s="686">
        <f t="shared" si="66"/>
        <v>0</v>
      </c>
      <c r="AS995" s="190"/>
      <c r="AT995" s="462"/>
      <c r="AU995" s="462"/>
      <c r="AV995" s="462"/>
      <c r="AW995" s="194"/>
      <c r="AX995" s="169"/>
    </row>
    <row r="996" spans="32:50" ht="12" customHeight="1">
      <c r="AF996" s="413" t="s">
        <v>2637</v>
      </c>
      <c r="AL996" s="36"/>
      <c r="AM996" s="696" t="s">
        <v>2919</v>
      </c>
      <c r="AN996" s="709" t="s">
        <v>2636</v>
      </c>
      <c r="AO996" s="189" t="s">
        <v>758</v>
      </c>
      <c r="AP996" s="686">
        <f t="shared" si="66"/>
        <v>0</v>
      </c>
      <c r="AQ996" s="686">
        <f t="shared" si="66"/>
        <v>0</v>
      </c>
      <c r="AR996" s="686">
        <f t="shared" si="66"/>
        <v>0</v>
      </c>
      <c r="AS996" s="190"/>
      <c r="AT996" s="462"/>
      <c r="AU996" s="462"/>
      <c r="AV996" s="462"/>
      <c r="AW996" s="194"/>
      <c r="AX996" s="169"/>
    </row>
    <row r="997" spans="32:50" ht="12" customHeight="1">
      <c r="AF997" s="413" t="s">
        <v>2640</v>
      </c>
      <c r="AL997" s="36"/>
      <c r="AM997" s="696" t="s">
        <v>2920</v>
      </c>
      <c r="AN997" s="709" t="s">
        <v>2639</v>
      </c>
      <c r="AO997" s="189" t="s">
        <v>758</v>
      </c>
      <c r="AP997" s="686">
        <f t="shared" si="66"/>
        <v>0</v>
      </c>
      <c r="AQ997" s="686">
        <f t="shared" si="66"/>
        <v>0</v>
      </c>
      <c r="AR997" s="686">
        <f t="shared" si="66"/>
        <v>0</v>
      </c>
      <c r="AS997" s="190"/>
      <c r="AT997" s="462"/>
      <c r="AU997" s="462"/>
      <c r="AV997" s="462"/>
      <c r="AW997" s="194"/>
      <c r="AX997" s="169"/>
    </row>
    <row r="998" spans="32:50" ht="12" customHeight="1">
      <c r="AF998" s="413" t="s">
        <v>2643</v>
      </c>
      <c r="AL998" s="36"/>
      <c r="AM998" s="696" t="s">
        <v>2921</v>
      </c>
      <c r="AN998" s="709" t="s">
        <v>2642</v>
      </c>
      <c r="AO998" s="189" t="s">
        <v>758</v>
      </c>
      <c r="AP998" s="686">
        <f t="shared" si="66"/>
        <v>0</v>
      </c>
      <c r="AQ998" s="686">
        <f t="shared" si="66"/>
        <v>0</v>
      </c>
      <c r="AR998" s="686">
        <f t="shared" si="66"/>
        <v>0</v>
      </c>
      <c r="AS998" s="190"/>
      <c r="AT998" s="462"/>
      <c r="AU998" s="462"/>
      <c r="AV998" s="462"/>
      <c r="AW998" s="194"/>
      <c r="AX998" s="169"/>
    </row>
    <row r="999" spans="32:50" ht="12" customHeight="1">
      <c r="AF999" s="413" t="s">
        <v>2646</v>
      </c>
      <c r="AL999" s="36"/>
      <c r="AM999" s="696" t="s">
        <v>2922</v>
      </c>
      <c r="AN999" s="709" t="s">
        <v>2645</v>
      </c>
      <c r="AO999" s="189" t="s">
        <v>758</v>
      </c>
      <c r="AP999" s="686">
        <f t="shared" si="66"/>
        <v>0</v>
      </c>
      <c r="AQ999" s="686">
        <f t="shared" si="66"/>
        <v>0</v>
      </c>
      <c r="AR999" s="686">
        <f t="shared" si="66"/>
        <v>0</v>
      </c>
      <c r="AS999" s="190"/>
      <c r="AT999" s="462"/>
      <c r="AU999" s="462"/>
      <c r="AV999" s="462"/>
      <c r="AW999" s="194"/>
      <c r="AX999" s="169"/>
    </row>
    <row r="1000" spans="32:50" ht="12" customHeight="1">
      <c r="AF1000" s="413" t="s">
        <v>2648</v>
      </c>
      <c r="AL1000" s="36"/>
      <c r="AM1000" s="696" t="s">
        <v>2923</v>
      </c>
      <c r="AN1000" s="709" t="s">
        <v>1325</v>
      </c>
      <c r="AO1000" s="189" t="s">
        <v>758</v>
      </c>
      <c r="AP1000" s="686">
        <f t="shared" si="66"/>
        <v>0</v>
      </c>
      <c r="AQ1000" s="686">
        <f t="shared" si="66"/>
        <v>0</v>
      </c>
      <c r="AR1000" s="686">
        <f t="shared" si="66"/>
        <v>0</v>
      </c>
      <c r="AS1000" s="190"/>
      <c r="AT1000" s="462"/>
      <c r="AU1000" s="462"/>
      <c r="AV1000" s="462"/>
      <c r="AW1000" s="194"/>
      <c r="AX1000" s="169"/>
    </row>
    <row r="1001" spans="32:50" ht="12" customHeight="1">
      <c r="AF1001" s="413" t="s">
        <v>2650</v>
      </c>
      <c r="AL1001" s="36"/>
      <c r="AM1001" s="696" t="s">
        <v>2924</v>
      </c>
      <c r="AN1001" s="709" t="s">
        <v>1326</v>
      </c>
      <c r="AO1001" s="189" t="s">
        <v>758</v>
      </c>
      <c r="AP1001" s="686">
        <f t="shared" si="66"/>
        <v>0</v>
      </c>
      <c r="AQ1001" s="686">
        <f t="shared" si="66"/>
        <v>0</v>
      </c>
      <c r="AR1001" s="686">
        <f t="shared" si="66"/>
        <v>0</v>
      </c>
      <c r="AS1001" s="190"/>
      <c r="AT1001" s="462"/>
      <c r="AU1001" s="462"/>
      <c r="AV1001" s="462"/>
      <c r="AW1001" s="194"/>
      <c r="AX1001" s="169"/>
    </row>
    <row r="1002" spans="32:50" ht="12" customHeight="1">
      <c r="AF1002" s="413" t="s">
        <v>2653</v>
      </c>
      <c r="AL1002" s="36"/>
      <c r="AM1002" s="696" t="s">
        <v>2925</v>
      </c>
      <c r="AN1002" s="709" t="s">
        <v>2652</v>
      </c>
      <c r="AO1002" s="189" t="s">
        <v>758</v>
      </c>
      <c r="AP1002" s="686">
        <f t="shared" si="66"/>
        <v>0</v>
      </c>
      <c r="AQ1002" s="686">
        <f t="shared" si="66"/>
        <v>0</v>
      </c>
      <c r="AR1002" s="686">
        <f t="shared" si="66"/>
        <v>0</v>
      </c>
      <c r="AS1002" s="190"/>
      <c r="AT1002" s="462"/>
      <c r="AU1002" s="462"/>
      <c r="AV1002" s="462"/>
      <c r="AW1002" s="194"/>
      <c r="AX1002" s="169"/>
    </row>
    <row r="1003" spans="32:50" ht="0.75" hidden="1" customHeight="1">
      <c r="AF1003" s="413"/>
      <c r="AL1003" s="36"/>
      <c r="AM1003" s="718"/>
      <c r="AN1003" s="460"/>
      <c r="AO1003" s="461"/>
      <c r="AP1003" s="462"/>
      <c r="AQ1003" s="462"/>
      <c r="AR1003" s="462"/>
      <c r="AS1003" s="190"/>
      <c r="AT1003" s="462"/>
      <c r="AU1003" s="462"/>
      <c r="AV1003" s="462"/>
      <c r="AW1003" s="194"/>
      <c r="AX1003" s="169"/>
    </row>
    <row r="1004" spans="32:50" ht="0.75" hidden="1" customHeight="1">
      <c r="AF1004" s="413"/>
      <c r="AL1004" s="36"/>
      <c r="AM1004" s="718"/>
      <c r="AN1004" s="460"/>
      <c r="AO1004" s="461"/>
      <c r="AP1004" s="462"/>
      <c r="AQ1004" s="462"/>
      <c r="AR1004" s="462"/>
      <c r="AS1004" s="190"/>
      <c r="AT1004" s="462"/>
      <c r="AU1004" s="462"/>
      <c r="AV1004" s="462"/>
      <c r="AW1004" s="194"/>
      <c r="AX1004" s="169"/>
    </row>
    <row r="1005" spans="32:50" ht="12" customHeight="1">
      <c r="AF1005" s="413" t="s">
        <v>1357</v>
      </c>
      <c r="AL1005" s="36"/>
      <c r="AM1005" s="696" t="s">
        <v>1748</v>
      </c>
      <c r="AN1005" s="719" t="s">
        <v>1327</v>
      </c>
      <c r="AO1005" s="189" t="s">
        <v>758</v>
      </c>
      <c r="AP1005" s="686">
        <f t="shared" ref="AP1005:AR1011" si="67">SUMIF($AS$9:$AW$9,AP$9,$AS1005:$AW1005)</f>
        <v>0</v>
      </c>
      <c r="AQ1005" s="686">
        <f t="shared" si="67"/>
        <v>0</v>
      </c>
      <c r="AR1005" s="686">
        <f t="shared" si="67"/>
        <v>0</v>
      </c>
      <c r="AS1005" s="190"/>
      <c r="AT1005" s="462"/>
      <c r="AU1005" s="462"/>
      <c r="AV1005" s="462"/>
      <c r="AW1005" s="194"/>
      <c r="AX1005" s="169"/>
    </row>
    <row r="1006" spans="32:50" ht="12" customHeight="1">
      <c r="AF1006" s="413" t="s">
        <v>1350</v>
      </c>
      <c r="AL1006" s="36"/>
      <c r="AM1006" s="696" t="s">
        <v>1749</v>
      </c>
      <c r="AN1006" s="712" t="s">
        <v>723</v>
      </c>
      <c r="AO1006" s="189" t="s">
        <v>758</v>
      </c>
      <c r="AP1006" s="686">
        <f t="shared" si="67"/>
        <v>0</v>
      </c>
      <c r="AQ1006" s="686">
        <f t="shared" si="67"/>
        <v>0</v>
      </c>
      <c r="AR1006" s="686">
        <f t="shared" si="67"/>
        <v>0</v>
      </c>
      <c r="AS1006" s="190"/>
      <c r="AT1006" s="462"/>
      <c r="AU1006" s="462"/>
      <c r="AV1006" s="462"/>
      <c r="AW1006" s="194"/>
      <c r="AX1006" s="169"/>
    </row>
    <row r="1007" spans="32:50" ht="12" customHeight="1">
      <c r="AF1007" s="413" t="s">
        <v>1351</v>
      </c>
      <c r="AL1007" s="36"/>
      <c r="AM1007" s="696" t="s">
        <v>1750</v>
      </c>
      <c r="AN1007" s="713" t="s">
        <v>748</v>
      </c>
      <c r="AO1007" s="189" t="s">
        <v>758</v>
      </c>
      <c r="AP1007" s="686">
        <f t="shared" si="67"/>
        <v>0</v>
      </c>
      <c r="AQ1007" s="686">
        <f t="shared" si="67"/>
        <v>0</v>
      </c>
      <c r="AR1007" s="686">
        <f t="shared" si="67"/>
        <v>0</v>
      </c>
      <c r="AS1007" s="190"/>
      <c r="AT1007" s="462"/>
      <c r="AU1007" s="462"/>
      <c r="AV1007" s="462"/>
      <c r="AW1007" s="194"/>
      <c r="AX1007" s="169"/>
    </row>
    <row r="1008" spans="32:50" ht="12" customHeight="1">
      <c r="AF1008" s="413" t="s">
        <v>1352</v>
      </c>
      <c r="AL1008" s="36"/>
      <c r="AM1008" s="696" t="s">
        <v>1751</v>
      </c>
      <c r="AN1008" s="714" t="s">
        <v>315</v>
      </c>
      <c r="AO1008" s="189" t="s">
        <v>758</v>
      </c>
      <c r="AP1008" s="686">
        <f t="shared" si="67"/>
        <v>0</v>
      </c>
      <c r="AQ1008" s="686">
        <f t="shared" si="67"/>
        <v>0</v>
      </c>
      <c r="AR1008" s="686">
        <f t="shared" si="67"/>
        <v>0</v>
      </c>
      <c r="AS1008" s="190"/>
      <c r="AT1008" s="462"/>
      <c r="AU1008" s="462"/>
      <c r="AV1008" s="462"/>
      <c r="AW1008" s="194"/>
      <c r="AX1008" s="169"/>
    </row>
    <row r="1009" spans="32:50" ht="12" customHeight="1">
      <c r="AF1009" s="413" t="s">
        <v>1354</v>
      </c>
      <c r="AL1009" s="36"/>
      <c r="AM1009" s="696" t="s">
        <v>1752</v>
      </c>
      <c r="AN1009" s="715" t="s">
        <v>316</v>
      </c>
      <c r="AO1009" s="189" t="s">
        <v>758</v>
      </c>
      <c r="AP1009" s="686">
        <f t="shared" si="67"/>
        <v>0</v>
      </c>
      <c r="AQ1009" s="686">
        <f t="shared" si="67"/>
        <v>0</v>
      </c>
      <c r="AR1009" s="686">
        <f t="shared" si="67"/>
        <v>0</v>
      </c>
      <c r="AS1009" s="190"/>
      <c r="AT1009" s="462"/>
      <c r="AU1009" s="462"/>
      <c r="AV1009" s="462"/>
      <c r="AW1009" s="194"/>
      <c r="AX1009" s="169"/>
    </row>
    <row r="1010" spans="32:50" ht="12" customHeight="1">
      <c r="AF1010" s="413" t="s">
        <v>1353</v>
      </c>
      <c r="AL1010" s="36"/>
      <c r="AM1010" s="696" t="s">
        <v>1753</v>
      </c>
      <c r="AN1010" s="716" t="s">
        <v>317</v>
      </c>
      <c r="AO1010" s="189" t="s">
        <v>758</v>
      </c>
      <c r="AP1010" s="686">
        <f t="shared" si="67"/>
        <v>0</v>
      </c>
      <c r="AQ1010" s="686">
        <f t="shared" si="67"/>
        <v>0</v>
      </c>
      <c r="AR1010" s="686">
        <f t="shared" si="67"/>
        <v>0</v>
      </c>
      <c r="AS1010" s="190"/>
      <c r="AT1010" s="462"/>
      <c r="AU1010" s="462"/>
      <c r="AV1010" s="462"/>
      <c r="AW1010" s="194"/>
      <c r="AX1010" s="169"/>
    </row>
    <row r="1011" spans="32:50" ht="12" customHeight="1">
      <c r="AF1011" s="413" t="s">
        <v>1355</v>
      </c>
      <c r="AL1011" s="36"/>
      <c r="AM1011" s="696" t="s">
        <v>1754</v>
      </c>
      <c r="AN1011" s="701" t="s">
        <v>318</v>
      </c>
      <c r="AO1011" s="189" t="s">
        <v>758</v>
      </c>
      <c r="AP1011" s="686">
        <f t="shared" si="67"/>
        <v>0</v>
      </c>
      <c r="AQ1011" s="686">
        <f t="shared" si="67"/>
        <v>0</v>
      </c>
      <c r="AR1011" s="686">
        <f t="shared" si="67"/>
        <v>0</v>
      </c>
      <c r="AS1011" s="190"/>
      <c r="AT1011" s="462"/>
      <c r="AU1011" s="462"/>
      <c r="AV1011" s="462"/>
      <c r="AW1011" s="194"/>
      <c r="AX1011" s="169"/>
    </row>
    <row r="1012" spans="32:50" ht="0.75" hidden="1" customHeight="1">
      <c r="AF1012" s="413"/>
      <c r="AL1012" s="36"/>
      <c r="AM1012" s="718"/>
      <c r="AN1012" s="460"/>
      <c r="AO1012" s="461"/>
      <c r="AP1012" s="462"/>
      <c r="AQ1012" s="462"/>
      <c r="AR1012" s="462"/>
      <c r="AS1012" s="190"/>
      <c r="AT1012" s="462"/>
      <c r="AU1012" s="462"/>
      <c r="AV1012" s="462"/>
      <c r="AW1012" s="194"/>
      <c r="AX1012" s="169"/>
    </row>
    <row r="1013" spans="32:50" ht="24" customHeight="1">
      <c r="AF1013" s="115"/>
      <c r="AL1013" s="36"/>
      <c r="AM1013" s="490" t="s">
        <v>1713</v>
      </c>
      <c r="AN1013" s="463" t="s">
        <v>664</v>
      </c>
      <c r="AO1013" s="189" t="s">
        <v>195</v>
      </c>
      <c r="AP1013" s="686">
        <f>SUMIF($AS$9:$AW$9,AP$9,$AS1013:$AW1013)</f>
        <v>0</v>
      </c>
      <c r="AQ1013" s="686">
        <f>SUMIF($AS$9:$AW$9,AQ$9,$AS1013:$AW1013)</f>
        <v>0</v>
      </c>
      <c r="AR1013" s="686">
        <f>SUMIF($AS$9:$AW$9,AR$9,$AS1013:$AW1013)</f>
        <v>0</v>
      </c>
      <c r="AS1013" s="190"/>
      <c r="AT1013" s="263">
        <f>SUM(AT1014,AT1018:AT1023,AT1024,AT1029,AT1036,AT1037,AT1057:AT1063)</f>
        <v>0</v>
      </c>
      <c r="AU1013" s="263">
        <f>SUM(AU1014,AU1018:AU1023,AU1024,AU1029,AU1036,AU1037,AU1057:AU1063)</f>
        <v>0</v>
      </c>
      <c r="AV1013" s="263">
        <f>SUM(AV1014,AV1018:AV1023,AV1024,AV1029,AV1036,AV1037,AV1057:AV1063)</f>
        <v>0</v>
      </c>
      <c r="AW1013" s="194"/>
      <c r="AX1013" s="169"/>
    </row>
    <row r="1014" spans="32:50" ht="0.75" hidden="1" customHeight="1">
      <c r="AF1014" s="413"/>
      <c r="AL1014" s="36"/>
      <c r="AM1014" s="718"/>
      <c r="AN1014" s="460"/>
      <c r="AO1014" s="461"/>
      <c r="AP1014" s="462"/>
      <c r="AQ1014" s="462"/>
      <c r="AR1014" s="462"/>
      <c r="AS1014" s="190"/>
      <c r="AT1014" s="462"/>
      <c r="AU1014" s="462"/>
      <c r="AV1014" s="462"/>
      <c r="AW1014" s="194"/>
      <c r="AX1014" s="169"/>
    </row>
    <row r="1015" spans="32:50" ht="0.75" hidden="1" customHeight="1">
      <c r="AF1015" s="413"/>
      <c r="AL1015" s="36"/>
      <c r="AM1015" s="718"/>
      <c r="AN1015" s="460"/>
      <c r="AO1015" s="461"/>
      <c r="AP1015" s="462"/>
      <c r="AQ1015" s="462"/>
      <c r="AR1015" s="462"/>
      <c r="AS1015" s="190"/>
      <c r="AT1015" s="462"/>
      <c r="AU1015" s="462"/>
      <c r="AV1015" s="462"/>
      <c r="AW1015" s="194"/>
      <c r="AX1015" s="169"/>
    </row>
    <row r="1016" spans="32:50" ht="0.75" hidden="1" customHeight="1">
      <c r="AF1016" s="413"/>
      <c r="AL1016" s="36"/>
      <c r="AM1016" s="718"/>
      <c r="AN1016" s="460"/>
      <c r="AO1016" s="461"/>
      <c r="AP1016" s="462"/>
      <c r="AQ1016" s="462"/>
      <c r="AR1016" s="462"/>
      <c r="AS1016" s="190"/>
      <c r="AT1016" s="462"/>
      <c r="AU1016" s="462"/>
      <c r="AV1016" s="462"/>
      <c r="AW1016" s="194"/>
      <c r="AX1016" s="169"/>
    </row>
    <row r="1017" spans="32:50" ht="0.75" hidden="1" customHeight="1">
      <c r="AF1017" s="413"/>
      <c r="AL1017" s="36"/>
      <c r="AM1017" s="718"/>
      <c r="AN1017" s="460"/>
      <c r="AO1017" s="461"/>
      <c r="AP1017" s="462"/>
      <c r="AQ1017" s="462"/>
      <c r="AR1017" s="462"/>
      <c r="AS1017" s="190"/>
      <c r="AT1017" s="462"/>
      <c r="AU1017" s="462"/>
      <c r="AV1017" s="462"/>
      <c r="AW1017" s="194"/>
      <c r="AX1017" s="169"/>
    </row>
    <row r="1018" spans="32:50" ht="0.75" hidden="1" customHeight="1">
      <c r="AF1018" s="413"/>
      <c r="AL1018" s="36"/>
      <c r="AM1018" s="718"/>
      <c r="AN1018" s="460"/>
      <c r="AO1018" s="461"/>
      <c r="AP1018" s="462"/>
      <c r="AQ1018" s="462"/>
      <c r="AR1018" s="462"/>
      <c r="AS1018" s="190"/>
      <c r="AT1018" s="462"/>
      <c r="AU1018" s="462"/>
      <c r="AV1018" s="462"/>
      <c r="AW1018" s="194"/>
      <c r="AX1018" s="169"/>
    </row>
    <row r="1019" spans="32:50" ht="0.75" hidden="1" customHeight="1">
      <c r="AF1019" s="413"/>
      <c r="AL1019" s="36"/>
      <c r="AM1019" s="718"/>
      <c r="AN1019" s="460"/>
      <c r="AO1019" s="461"/>
      <c r="AP1019" s="462"/>
      <c r="AQ1019" s="462"/>
      <c r="AR1019" s="462"/>
      <c r="AS1019" s="190"/>
      <c r="AT1019" s="462"/>
      <c r="AU1019" s="462"/>
      <c r="AV1019" s="462"/>
      <c r="AW1019" s="194"/>
      <c r="AX1019" s="169"/>
    </row>
    <row r="1020" spans="32:50" ht="0.75" hidden="1" customHeight="1">
      <c r="AF1020" s="413"/>
      <c r="AL1020" s="36"/>
      <c r="AM1020" s="718"/>
      <c r="AN1020" s="460"/>
      <c r="AO1020" s="461"/>
      <c r="AP1020" s="462"/>
      <c r="AQ1020" s="462"/>
      <c r="AR1020" s="462"/>
      <c r="AS1020" s="190"/>
      <c r="AT1020" s="462"/>
      <c r="AU1020" s="462"/>
      <c r="AV1020" s="462"/>
      <c r="AW1020" s="194"/>
      <c r="AX1020" s="169"/>
    </row>
    <row r="1021" spans="32:50" ht="0.75" hidden="1" customHeight="1">
      <c r="AF1021" s="413"/>
      <c r="AL1021" s="36"/>
      <c r="AM1021" s="718"/>
      <c r="AN1021" s="460"/>
      <c r="AO1021" s="461"/>
      <c r="AP1021" s="462"/>
      <c r="AQ1021" s="462"/>
      <c r="AR1021" s="462"/>
      <c r="AS1021" s="190"/>
      <c r="AT1021" s="462"/>
      <c r="AU1021" s="462"/>
      <c r="AV1021" s="462"/>
      <c r="AW1021" s="194"/>
      <c r="AX1021" s="169"/>
    </row>
    <row r="1022" spans="32:50" ht="12" customHeight="1">
      <c r="AF1022" s="413" t="s">
        <v>1332</v>
      </c>
      <c r="AL1022" s="36"/>
      <c r="AM1022" s="696" t="s">
        <v>1714</v>
      </c>
      <c r="AN1022" s="701" t="s">
        <v>684</v>
      </c>
      <c r="AO1022" s="189" t="s">
        <v>195</v>
      </c>
      <c r="AP1022" s="686">
        <f t="shared" ref="AP1022:AR1041" si="68">SUMIF($AS$9:$AW$9,AP$9,$AS1022:$AW1022)</f>
        <v>0</v>
      </c>
      <c r="AQ1022" s="686">
        <f t="shared" si="68"/>
        <v>0</v>
      </c>
      <c r="AR1022" s="686">
        <f t="shared" si="68"/>
        <v>0</v>
      </c>
      <c r="AS1022" s="190"/>
      <c r="AT1022" s="462"/>
      <c r="AU1022" s="462"/>
      <c r="AV1022" s="462"/>
      <c r="AW1022" s="194"/>
      <c r="AX1022" s="169"/>
    </row>
    <row r="1023" spans="32:50" ht="12" customHeight="1">
      <c r="AF1023" s="413" t="s">
        <v>1333</v>
      </c>
      <c r="AL1023" s="36"/>
      <c r="AM1023" s="696" t="s">
        <v>1715</v>
      </c>
      <c r="AN1023" s="702" t="s">
        <v>718</v>
      </c>
      <c r="AO1023" s="189" t="s">
        <v>195</v>
      </c>
      <c r="AP1023" s="686">
        <f t="shared" si="68"/>
        <v>0</v>
      </c>
      <c r="AQ1023" s="686">
        <f t="shared" si="68"/>
        <v>0</v>
      </c>
      <c r="AR1023" s="686">
        <f t="shared" si="68"/>
        <v>0</v>
      </c>
      <c r="AS1023" s="190"/>
      <c r="AT1023" s="462"/>
      <c r="AU1023" s="462"/>
      <c r="AV1023" s="462"/>
      <c r="AW1023" s="194"/>
      <c r="AX1023" s="169"/>
    </row>
    <row r="1024" spans="32:50" ht="12" customHeight="1">
      <c r="AF1024" s="413" t="s">
        <v>1334</v>
      </c>
      <c r="AL1024" s="36"/>
      <c r="AM1024" s="696" t="s">
        <v>1716</v>
      </c>
      <c r="AN1024" s="703" t="s">
        <v>722</v>
      </c>
      <c r="AO1024" s="189" t="s">
        <v>195</v>
      </c>
      <c r="AP1024" s="686">
        <f t="shared" si="68"/>
        <v>0</v>
      </c>
      <c r="AQ1024" s="686">
        <f t="shared" si="68"/>
        <v>0</v>
      </c>
      <c r="AR1024" s="686">
        <f t="shared" si="68"/>
        <v>0</v>
      </c>
      <c r="AS1024" s="190"/>
      <c r="AT1024" s="462"/>
      <c r="AU1024" s="462"/>
      <c r="AV1024" s="462"/>
      <c r="AW1024" s="194"/>
      <c r="AX1024" s="169"/>
    </row>
    <row r="1025" spans="32:50" ht="12" customHeight="1">
      <c r="AF1025" s="413" t="s">
        <v>1335</v>
      </c>
      <c r="AL1025" s="36"/>
      <c r="AM1025" s="696" t="s">
        <v>1717</v>
      </c>
      <c r="AN1025" s="704" t="s">
        <v>1309</v>
      </c>
      <c r="AO1025" s="189" t="s">
        <v>195</v>
      </c>
      <c r="AP1025" s="686">
        <f t="shared" si="68"/>
        <v>0</v>
      </c>
      <c r="AQ1025" s="686">
        <f t="shared" si="68"/>
        <v>0</v>
      </c>
      <c r="AR1025" s="686">
        <f t="shared" si="68"/>
        <v>0</v>
      </c>
      <c r="AS1025" s="190"/>
      <c r="AT1025" s="462"/>
      <c r="AU1025" s="462"/>
      <c r="AV1025" s="462"/>
      <c r="AW1025" s="194"/>
      <c r="AX1025" s="169"/>
    </row>
    <row r="1026" spans="32:50" ht="12" customHeight="1">
      <c r="AF1026" s="413" t="s">
        <v>1336</v>
      </c>
      <c r="AL1026" s="36"/>
      <c r="AM1026" s="696" t="s">
        <v>1718</v>
      </c>
      <c r="AN1026" s="704" t="s">
        <v>1310</v>
      </c>
      <c r="AO1026" s="189" t="s">
        <v>195</v>
      </c>
      <c r="AP1026" s="686">
        <f t="shared" si="68"/>
        <v>0</v>
      </c>
      <c r="AQ1026" s="686">
        <f t="shared" si="68"/>
        <v>0</v>
      </c>
      <c r="AR1026" s="686">
        <f t="shared" si="68"/>
        <v>0</v>
      </c>
      <c r="AS1026" s="190"/>
      <c r="AT1026" s="462"/>
      <c r="AU1026" s="462"/>
      <c r="AV1026" s="462"/>
      <c r="AW1026" s="194"/>
      <c r="AX1026" s="169"/>
    </row>
    <row r="1027" spans="32:50" ht="12" customHeight="1">
      <c r="AF1027" s="413" t="s">
        <v>1337</v>
      </c>
      <c r="AL1027" s="36"/>
      <c r="AM1027" s="696" t="s">
        <v>1719</v>
      </c>
      <c r="AN1027" s="704" t="s">
        <v>1311</v>
      </c>
      <c r="AO1027" s="189" t="s">
        <v>195</v>
      </c>
      <c r="AP1027" s="686">
        <f t="shared" si="68"/>
        <v>0</v>
      </c>
      <c r="AQ1027" s="686">
        <f t="shared" si="68"/>
        <v>0</v>
      </c>
      <c r="AR1027" s="686">
        <f t="shared" si="68"/>
        <v>0</v>
      </c>
      <c r="AS1027" s="190"/>
      <c r="AT1027" s="462"/>
      <c r="AU1027" s="462"/>
      <c r="AV1027" s="462"/>
      <c r="AW1027" s="194"/>
      <c r="AX1027" s="169"/>
    </row>
    <row r="1028" spans="32:50" ht="12" customHeight="1">
      <c r="AF1028" s="413" t="s">
        <v>1338</v>
      </c>
      <c r="AL1028" s="36"/>
      <c r="AM1028" s="696" t="s">
        <v>1720</v>
      </c>
      <c r="AN1028" s="704" t="s">
        <v>1312</v>
      </c>
      <c r="AO1028" s="189" t="s">
        <v>195</v>
      </c>
      <c r="AP1028" s="686">
        <f t="shared" si="68"/>
        <v>0</v>
      </c>
      <c r="AQ1028" s="686">
        <f t="shared" si="68"/>
        <v>0</v>
      </c>
      <c r="AR1028" s="686">
        <f t="shared" si="68"/>
        <v>0</v>
      </c>
      <c r="AS1028" s="190"/>
      <c r="AT1028" s="462"/>
      <c r="AU1028" s="462"/>
      <c r="AV1028" s="462"/>
      <c r="AW1028" s="194"/>
      <c r="AX1028" s="169"/>
    </row>
    <row r="1029" spans="32:50" ht="12" customHeight="1">
      <c r="AF1029" s="413" t="s">
        <v>1343</v>
      </c>
      <c r="AL1029" s="36"/>
      <c r="AM1029" s="696" t="s">
        <v>1721</v>
      </c>
      <c r="AN1029" s="705" t="s">
        <v>720</v>
      </c>
      <c r="AO1029" s="189" t="s">
        <v>195</v>
      </c>
      <c r="AP1029" s="686">
        <f t="shared" si="68"/>
        <v>0</v>
      </c>
      <c r="AQ1029" s="686">
        <f t="shared" si="68"/>
        <v>0</v>
      </c>
      <c r="AR1029" s="686">
        <f t="shared" si="68"/>
        <v>0</v>
      </c>
      <c r="AS1029" s="190"/>
      <c r="AT1029" s="462"/>
      <c r="AU1029" s="462"/>
      <c r="AV1029" s="462"/>
      <c r="AW1029" s="194"/>
      <c r="AX1029" s="169"/>
    </row>
    <row r="1030" spans="32:50" ht="12" customHeight="1">
      <c r="AF1030" s="413" t="s">
        <v>1866</v>
      </c>
      <c r="AL1030" s="36"/>
      <c r="AM1030" s="696" t="s">
        <v>1883</v>
      </c>
      <c r="AN1030" s="706" t="s">
        <v>1313</v>
      </c>
      <c r="AO1030" s="189" t="s">
        <v>195</v>
      </c>
      <c r="AP1030" s="686">
        <f t="shared" si="68"/>
        <v>0</v>
      </c>
      <c r="AQ1030" s="686">
        <f t="shared" si="68"/>
        <v>0</v>
      </c>
      <c r="AR1030" s="686">
        <f t="shared" si="68"/>
        <v>0</v>
      </c>
      <c r="AS1030" s="190"/>
      <c r="AT1030" s="462"/>
      <c r="AU1030" s="462"/>
      <c r="AV1030" s="462"/>
      <c r="AW1030" s="194"/>
      <c r="AX1030" s="169"/>
    </row>
    <row r="1031" spans="32:50" ht="12" customHeight="1">
      <c r="AF1031" s="413" t="s">
        <v>1847</v>
      </c>
      <c r="AL1031" s="36"/>
      <c r="AM1031" s="696" t="s">
        <v>1864</v>
      </c>
      <c r="AN1031" s="706" t="s">
        <v>1314</v>
      </c>
      <c r="AO1031" s="189" t="s">
        <v>195</v>
      </c>
      <c r="AP1031" s="686">
        <f t="shared" si="68"/>
        <v>0</v>
      </c>
      <c r="AQ1031" s="686">
        <f t="shared" si="68"/>
        <v>0</v>
      </c>
      <c r="AR1031" s="686">
        <f t="shared" si="68"/>
        <v>0</v>
      </c>
      <c r="AS1031" s="190"/>
      <c r="AT1031" s="462"/>
      <c r="AU1031" s="462"/>
      <c r="AV1031" s="462"/>
      <c r="AW1031" s="194"/>
      <c r="AX1031" s="169"/>
    </row>
    <row r="1032" spans="32:50" ht="12" customHeight="1">
      <c r="AF1032" s="413" t="s">
        <v>1827</v>
      </c>
      <c r="AL1032" s="36"/>
      <c r="AM1032" s="696" t="s">
        <v>1845</v>
      </c>
      <c r="AN1032" s="706" t="s">
        <v>1315</v>
      </c>
      <c r="AO1032" s="189" t="s">
        <v>195</v>
      </c>
      <c r="AP1032" s="686">
        <f t="shared" si="68"/>
        <v>0</v>
      </c>
      <c r="AQ1032" s="686">
        <f t="shared" si="68"/>
        <v>0</v>
      </c>
      <c r="AR1032" s="686">
        <f t="shared" si="68"/>
        <v>0</v>
      </c>
      <c r="AS1032" s="190"/>
      <c r="AT1032" s="462"/>
      <c r="AU1032" s="462"/>
      <c r="AV1032" s="462"/>
      <c r="AW1032" s="194"/>
      <c r="AX1032" s="169"/>
    </row>
    <row r="1033" spans="32:50" ht="12" customHeight="1">
      <c r="AF1033" s="413" t="s">
        <v>1344</v>
      </c>
      <c r="AL1033" s="36"/>
      <c r="AM1033" s="696" t="s">
        <v>1722</v>
      </c>
      <c r="AN1033" s="706" t="s">
        <v>1316</v>
      </c>
      <c r="AO1033" s="189" t="s">
        <v>195</v>
      </c>
      <c r="AP1033" s="686">
        <f t="shared" si="68"/>
        <v>0</v>
      </c>
      <c r="AQ1033" s="686">
        <f t="shared" si="68"/>
        <v>0</v>
      </c>
      <c r="AR1033" s="686">
        <f t="shared" si="68"/>
        <v>0</v>
      </c>
      <c r="AS1033" s="190"/>
      <c r="AT1033" s="462"/>
      <c r="AU1033" s="462"/>
      <c r="AV1033" s="462"/>
      <c r="AW1033" s="194"/>
      <c r="AX1033" s="169"/>
    </row>
    <row r="1034" spans="32:50" ht="12" customHeight="1">
      <c r="AF1034" s="413" t="s">
        <v>1345</v>
      </c>
      <c r="AL1034" s="36"/>
      <c r="AM1034" s="696" t="s">
        <v>1723</v>
      </c>
      <c r="AN1034" s="706" t="s">
        <v>1317</v>
      </c>
      <c r="AO1034" s="189" t="s">
        <v>195</v>
      </c>
      <c r="AP1034" s="686">
        <f t="shared" si="68"/>
        <v>0</v>
      </c>
      <c r="AQ1034" s="686">
        <f t="shared" si="68"/>
        <v>0</v>
      </c>
      <c r="AR1034" s="686">
        <f t="shared" si="68"/>
        <v>0</v>
      </c>
      <c r="AS1034" s="190"/>
      <c r="AT1034" s="462"/>
      <c r="AU1034" s="462"/>
      <c r="AV1034" s="462"/>
      <c r="AW1034" s="194"/>
      <c r="AX1034" s="169"/>
    </row>
    <row r="1035" spans="32:50" ht="12" customHeight="1">
      <c r="AF1035" s="413" t="s">
        <v>1346</v>
      </c>
      <c r="AL1035" s="36"/>
      <c r="AM1035" s="696" t="s">
        <v>1724</v>
      </c>
      <c r="AN1035" s="706" t="s">
        <v>1318</v>
      </c>
      <c r="AO1035" s="189" t="s">
        <v>195</v>
      </c>
      <c r="AP1035" s="686">
        <f t="shared" si="68"/>
        <v>0</v>
      </c>
      <c r="AQ1035" s="686">
        <f t="shared" si="68"/>
        <v>0</v>
      </c>
      <c r="AR1035" s="686">
        <f t="shared" si="68"/>
        <v>0</v>
      </c>
      <c r="AS1035" s="190"/>
      <c r="AT1035" s="462"/>
      <c r="AU1035" s="462"/>
      <c r="AV1035" s="462"/>
      <c r="AW1035" s="194"/>
      <c r="AX1035" s="169"/>
    </row>
    <row r="1036" spans="32:50" ht="12" customHeight="1">
      <c r="AF1036" s="413" t="s">
        <v>1347</v>
      </c>
      <c r="AL1036" s="36"/>
      <c r="AM1036" s="696" t="s">
        <v>1725</v>
      </c>
      <c r="AN1036" s="707" t="s">
        <v>721</v>
      </c>
      <c r="AO1036" s="189" t="s">
        <v>195</v>
      </c>
      <c r="AP1036" s="686">
        <f t="shared" si="68"/>
        <v>0</v>
      </c>
      <c r="AQ1036" s="686">
        <f t="shared" si="68"/>
        <v>0</v>
      </c>
      <c r="AR1036" s="686">
        <f t="shared" si="68"/>
        <v>0</v>
      </c>
      <c r="AS1036" s="190"/>
      <c r="AT1036" s="462"/>
      <c r="AU1036" s="462"/>
      <c r="AV1036" s="462"/>
      <c r="AW1036" s="194"/>
      <c r="AX1036" s="169"/>
    </row>
    <row r="1037" spans="32:50" ht="12" customHeight="1">
      <c r="AF1037" s="413" t="s">
        <v>1348</v>
      </c>
      <c r="AL1037" s="36"/>
      <c r="AM1037" s="696" t="s">
        <v>1726</v>
      </c>
      <c r="AN1037" s="708" t="s">
        <v>712</v>
      </c>
      <c r="AO1037" s="189" t="s">
        <v>195</v>
      </c>
      <c r="AP1037" s="686">
        <f t="shared" si="68"/>
        <v>0</v>
      </c>
      <c r="AQ1037" s="686">
        <f t="shared" si="68"/>
        <v>0</v>
      </c>
      <c r="AR1037" s="686">
        <f t="shared" si="68"/>
        <v>0</v>
      </c>
      <c r="AS1037" s="190"/>
      <c r="AT1037" s="462"/>
      <c r="AU1037" s="462"/>
      <c r="AV1037" s="462"/>
      <c r="AW1037" s="194"/>
      <c r="AX1037" s="169"/>
    </row>
    <row r="1038" spans="32:50" ht="12" customHeight="1">
      <c r="AF1038" s="413" t="s">
        <v>2612</v>
      </c>
      <c r="AL1038" s="36"/>
      <c r="AM1038" s="696" t="s">
        <v>2926</v>
      </c>
      <c r="AN1038" s="709" t="s">
        <v>1319</v>
      </c>
      <c r="AO1038" s="189" t="s">
        <v>195</v>
      </c>
      <c r="AP1038" s="686">
        <f t="shared" si="68"/>
        <v>0</v>
      </c>
      <c r="AQ1038" s="686">
        <f t="shared" si="68"/>
        <v>0</v>
      </c>
      <c r="AR1038" s="686">
        <f t="shared" si="68"/>
        <v>0</v>
      </c>
      <c r="AS1038" s="190"/>
      <c r="AT1038" s="462"/>
      <c r="AU1038" s="462"/>
      <c r="AV1038" s="462"/>
      <c r="AW1038" s="194"/>
      <c r="AX1038" s="169"/>
    </row>
    <row r="1039" spans="32:50" ht="12" customHeight="1">
      <c r="AF1039" s="413" t="s">
        <v>2614</v>
      </c>
      <c r="AL1039" s="36"/>
      <c r="AM1039" s="696" t="s">
        <v>2927</v>
      </c>
      <c r="AN1039" s="709" t="s">
        <v>1320</v>
      </c>
      <c r="AO1039" s="189" t="s">
        <v>195</v>
      </c>
      <c r="AP1039" s="686">
        <f t="shared" si="68"/>
        <v>0</v>
      </c>
      <c r="AQ1039" s="686">
        <f t="shared" si="68"/>
        <v>0</v>
      </c>
      <c r="AR1039" s="686">
        <f t="shared" si="68"/>
        <v>0</v>
      </c>
      <c r="AS1039" s="190"/>
      <c r="AT1039" s="462"/>
      <c r="AU1039" s="462"/>
      <c r="AV1039" s="462"/>
      <c r="AW1039" s="194"/>
      <c r="AX1039" s="169"/>
    </row>
    <row r="1040" spans="32:50" ht="12" customHeight="1">
      <c r="AF1040" s="413" t="s">
        <v>2616</v>
      </c>
      <c r="AL1040" s="36"/>
      <c r="AM1040" s="696" t="s">
        <v>2928</v>
      </c>
      <c r="AN1040" s="709" t="s">
        <v>1321</v>
      </c>
      <c r="AO1040" s="189" t="s">
        <v>195</v>
      </c>
      <c r="AP1040" s="686">
        <f t="shared" si="68"/>
        <v>0</v>
      </c>
      <c r="AQ1040" s="686">
        <f t="shared" si="68"/>
        <v>0</v>
      </c>
      <c r="AR1040" s="686">
        <f t="shared" si="68"/>
        <v>0</v>
      </c>
      <c r="AS1040" s="190"/>
      <c r="AT1040" s="462"/>
      <c r="AU1040" s="462"/>
      <c r="AV1040" s="462"/>
      <c r="AW1040" s="194"/>
      <c r="AX1040" s="169"/>
    </row>
    <row r="1041" spans="32:50" ht="12" customHeight="1">
      <c r="AF1041" s="413" t="s">
        <v>2619</v>
      </c>
      <c r="AL1041" s="36"/>
      <c r="AM1041" s="696" t="s">
        <v>2929</v>
      </c>
      <c r="AN1041" s="709" t="s">
        <v>2618</v>
      </c>
      <c r="AO1041" s="189" t="s">
        <v>195</v>
      </c>
      <c r="AP1041" s="686">
        <f t="shared" si="68"/>
        <v>0</v>
      </c>
      <c r="AQ1041" s="686">
        <f t="shared" si="68"/>
        <v>0</v>
      </c>
      <c r="AR1041" s="686">
        <f t="shared" si="68"/>
        <v>0</v>
      </c>
      <c r="AS1041" s="190"/>
      <c r="AT1041" s="462"/>
      <c r="AU1041" s="462"/>
      <c r="AV1041" s="462"/>
      <c r="AW1041" s="194"/>
      <c r="AX1041" s="169"/>
    </row>
    <row r="1042" spans="32:50" ht="12" customHeight="1">
      <c r="AF1042" s="413" t="s">
        <v>2622</v>
      </c>
      <c r="AL1042" s="36"/>
      <c r="AM1042" s="696" t="s">
        <v>2930</v>
      </c>
      <c r="AN1042" s="709" t="s">
        <v>2621</v>
      </c>
      <c r="AO1042" s="189" t="s">
        <v>195</v>
      </c>
      <c r="AP1042" s="686">
        <f t="shared" ref="AP1042:AR1054" si="69">SUMIF($AS$9:$AW$9,AP$9,$AS1042:$AW1042)</f>
        <v>0</v>
      </c>
      <c r="AQ1042" s="686">
        <f t="shared" si="69"/>
        <v>0</v>
      </c>
      <c r="AR1042" s="686">
        <f t="shared" si="69"/>
        <v>0</v>
      </c>
      <c r="AS1042" s="190"/>
      <c r="AT1042" s="462"/>
      <c r="AU1042" s="462"/>
      <c r="AV1042" s="462"/>
      <c r="AW1042" s="194"/>
      <c r="AX1042" s="169"/>
    </row>
    <row r="1043" spans="32:50" ht="12" customHeight="1">
      <c r="AF1043" s="413" t="s">
        <v>2624</v>
      </c>
      <c r="AL1043" s="36"/>
      <c r="AM1043" s="696" t="s">
        <v>2931</v>
      </c>
      <c r="AN1043" s="709" t="s">
        <v>1322</v>
      </c>
      <c r="AO1043" s="189" t="s">
        <v>195</v>
      </c>
      <c r="AP1043" s="686">
        <f t="shared" si="69"/>
        <v>0</v>
      </c>
      <c r="AQ1043" s="686">
        <f t="shared" si="69"/>
        <v>0</v>
      </c>
      <c r="AR1043" s="686">
        <f t="shared" si="69"/>
        <v>0</v>
      </c>
      <c r="AS1043" s="190"/>
      <c r="AT1043" s="462"/>
      <c r="AU1043" s="462"/>
      <c r="AV1043" s="462"/>
      <c r="AW1043" s="194"/>
      <c r="AX1043" s="169"/>
    </row>
    <row r="1044" spans="32:50" ht="12" customHeight="1">
      <c r="AF1044" s="413" t="s">
        <v>2627</v>
      </c>
      <c r="AL1044" s="36"/>
      <c r="AM1044" s="696" t="s">
        <v>2932</v>
      </c>
      <c r="AN1044" s="709" t="s">
        <v>2626</v>
      </c>
      <c r="AO1044" s="189" t="s">
        <v>195</v>
      </c>
      <c r="AP1044" s="686">
        <f t="shared" si="69"/>
        <v>0</v>
      </c>
      <c r="AQ1044" s="686">
        <f t="shared" si="69"/>
        <v>0</v>
      </c>
      <c r="AR1044" s="686">
        <f t="shared" si="69"/>
        <v>0</v>
      </c>
      <c r="AS1044" s="190"/>
      <c r="AT1044" s="462"/>
      <c r="AU1044" s="462"/>
      <c r="AV1044" s="462"/>
      <c r="AW1044" s="194"/>
      <c r="AX1044" s="169"/>
    </row>
    <row r="1045" spans="32:50" ht="12" customHeight="1">
      <c r="AF1045" s="413" t="s">
        <v>2629</v>
      </c>
      <c r="AL1045" s="36"/>
      <c r="AM1045" s="696" t="s">
        <v>2933</v>
      </c>
      <c r="AN1045" s="709" t="s">
        <v>1323</v>
      </c>
      <c r="AO1045" s="189" t="s">
        <v>195</v>
      </c>
      <c r="AP1045" s="686">
        <f t="shared" si="69"/>
        <v>0</v>
      </c>
      <c r="AQ1045" s="686">
        <f t="shared" si="69"/>
        <v>0</v>
      </c>
      <c r="AR1045" s="686">
        <f t="shared" si="69"/>
        <v>0</v>
      </c>
      <c r="AS1045" s="190"/>
      <c r="AT1045" s="462"/>
      <c r="AU1045" s="462"/>
      <c r="AV1045" s="462"/>
      <c r="AW1045" s="194"/>
      <c r="AX1045" s="169"/>
    </row>
    <row r="1046" spans="32:50" ht="12" customHeight="1">
      <c r="AF1046" s="413" t="s">
        <v>2631</v>
      </c>
      <c r="AL1046" s="36"/>
      <c r="AM1046" s="696" t="s">
        <v>2934</v>
      </c>
      <c r="AN1046" s="709" t="s">
        <v>1324</v>
      </c>
      <c r="AO1046" s="189" t="s">
        <v>195</v>
      </c>
      <c r="AP1046" s="686">
        <f t="shared" si="69"/>
        <v>0</v>
      </c>
      <c r="AQ1046" s="686">
        <f t="shared" si="69"/>
        <v>0</v>
      </c>
      <c r="AR1046" s="686">
        <f t="shared" si="69"/>
        <v>0</v>
      </c>
      <c r="AS1046" s="190"/>
      <c r="AT1046" s="462"/>
      <c r="AU1046" s="462"/>
      <c r="AV1046" s="462"/>
      <c r="AW1046" s="194"/>
      <c r="AX1046" s="169"/>
    </row>
    <row r="1047" spans="32:50" ht="12" customHeight="1">
      <c r="AF1047" s="413" t="s">
        <v>2634</v>
      </c>
      <c r="AL1047" s="36"/>
      <c r="AM1047" s="696" t="s">
        <v>2935</v>
      </c>
      <c r="AN1047" s="709" t="s">
        <v>2633</v>
      </c>
      <c r="AO1047" s="189" t="s">
        <v>195</v>
      </c>
      <c r="AP1047" s="686">
        <f t="shared" si="69"/>
        <v>0</v>
      </c>
      <c r="AQ1047" s="686">
        <f t="shared" si="69"/>
        <v>0</v>
      </c>
      <c r="AR1047" s="686">
        <f t="shared" si="69"/>
        <v>0</v>
      </c>
      <c r="AS1047" s="190"/>
      <c r="AT1047" s="462"/>
      <c r="AU1047" s="462"/>
      <c r="AV1047" s="462"/>
      <c r="AW1047" s="194"/>
      <c r="AX1047" s="169"/>
    </row>
    <row r="1048" spans="32:50" ht="12" customHeight="1">
      <c r="AF1048" s="413" t="s">
        <v>2637</v>
      </c>
      <c r="AL1048" s="36"/>
      <c r="AM1048" s="696" t="s">
        <v>2936</v>
      </c>
      <c r="AN1048" s="709" t="s">
        <v>2636</v>
      </c>
      <c r="AO1048" s="189" t="s">
        <v>195</v>
      </c>
      <c r="AP1048" s="686">
        <f t="shared" si="69"/>
        <v>0</v>
      </c>
      <c r="AQ1048" s="686">
        <f t="shared" si="69"/>
        <v>0</v>
      </c>
      <c r="AR1048" s="686">
        <f t="shared" si="69"/>
        <v>0</v>
      </c>
      <c r="AS1048" s="190"/>
      <c r="AT1048" s="462"/>
      <c r="AU1048" s="462"/>
      <c r="AV1048" s="462"/>
      <c r="AW1048" s="194"/>
      <c r="AX1048" s="169"/>
    </row>
    <row r="1049" spans="32:50" ht="12" customHeight="1">
      <c r="AF1049" s="413" t="s">
        <v>2640</v>
      </c>
      <c r="AL1049" s="36"/>
      <c r="AM1049" s="696" t="s">
        <v>2937</v>
      </c>
      <c r="AN1049" s="709" t="s">
        <v>2639</v>
      </c>
      <c r="AO1049" s="189" t="s">
        <v>195</v>
      </c>
      <c r="AP1049" s="686">
        <f t="shared" si="69"/>
        <v>0</v>
      </c>
      <c r="AQ1049" s="686">
        <f t="shared" si="69"/>
        <v>0</v>
      </c>
      <c r="AR1049" s="686">
        <f t="shared" si="69"/>
        <v>0</v>
      </c>
      <c r="AS1049" s="190"/>
      <c r="AT1049" s="462"/>
      <c r="AU1049" s="462"/>
      <c r="AV1049" s="462"/>
      <c r="AW1049" s="194"/>
      <c r="AX1049" s="169"/>
    </row>
    <row r="1050" spans="32:50" ht="12" customHeight="1">
      <c r="AF1050" s="413" t="s">
        <v>2643</v>
      </c>
      <c r="AL1050" s="36"/>
      <c r="AM1050" s="696" t="s">
        <v>2938</v>
      </c>
      <c r="AN1050" s="709" t="s">
        <v>2642</v>
      </c>
      <c r="AO1050" s="189" t="s">
        <v>195</v>
      </c>
      <c r="AP1050" s="686">
        <f t="shared" si="69"/>
        <v>0</v>
      </c>
      <c r="AQ1050" s="686">
        <f t="shared" si="69"/>
        <v>0</v>
      </c>
      <c r="AR1050" s="686">
        <f t="shared" si="69"/>
        <v>0</v>
      </c>
      <c r="AS1050" s="190"/>
      <c r="AT1050" s="462"/>
      <c r="AU1050" s="462"/>
      <c r="AV1050" s="462"/>
      <c r="AW1050" s="194"/>
      <c r="AX1050" s="169"/>
    </row>
    <row r="1051" spans="32:50" ht="12" customHeight="1">
      <c r="AF1051" s="413" t="s">
        <v>2646</v>
      </c>
      <c r="AL1051" s="36"/>
      <c r="AM1051" s="696" t="s">
        <v>2939</v>
      </c>
      <c r="AN1051" s="709" t="s">
        <v>2645</v>
      </c>
      <c r="AO1051" s="189" t="s">
        <v>195</v>
      </c>
      <c r="AP1051" s="686">
        <f t="shared" si="69"/>
        <v>0</v>
      </c>
      <c r="AQ1051" s="686">
        <f t="shared" si="69"/>
        <v>0</v>
      </c>
      <c r="AR1051" s="686">
        <f t="shared" si="69"/>
        <v>0</v>
      </c>
      <c r="AS1051" s="190"/>
      <c r="AT1051" s="462"/>
      <c r="AU1051" s="462"/>
      <c r="AV1051" s="462"/>
      <c r="AW1051" s="194"/>
      <c r="AX1051" s="169"/>
    </row>
    <row r="1052" spans="32:50" ht="12" customHeight="1">
      <c r="AF1052" s="413" t="s">
        <v>2648</v>
      </c>
      <c r="AL1052" s="36"/>
      <c r="AM1052" s="696" t="s">
        <v>2940</v>
      </c>
      <c r="AN1052" s="709" t="s">
        <v>1325</v>
      </c>
      <c r="AO1052" s="189" t="s">
        <v>195</v>
      </c>
      <c r="AP1052" s="686">
        <f t="shared" si="69"/>
        <v>0</v>
      </c>
      <c r="AQ1052" s="686">
        <f t="shared" si="69"/>
        <v>0</v>
      </c>
      <c r="AR1052" s="686">
        <f t="shared" si="69"/>
        <v>0</v>
      </c>
      <c r="AS1052" s="190"/>
      <c r="AT1052" s="462"/>
      <c r="AU1052" s="462"/>
      <c r="AV1052" s="462"/>
      <c r="AW1052" s="194"/>
      <c r="AX1052" s="169"/>
    </row>
    <row r="1053" spans="32:50" ht="12" customHeight="1">
      <c r="AF1053" s="413" t="s">
        <v>2650</v>
      </c>
      <c r="AL1053" s="36"/>
      <c r="AM1053" s="696" t="s">
        <v>2941</v>
      </c>
      <c r="AN1053" s="709" t="s">
        <v>1326</v>
      </c>
      <c r="AO1053" s="189" t="s">
        <v>195</v>
      </c>
      <c r="AP1053" s="686">
        <f t="shared" si="69"/>
        <v>0</v>
      </c>
      <c r="AQ1053" s="686">
        <f t="shared" si="69"/>
        <v>0</v>
      </c>
      <c r="AR1053" s="686">
        <f t="shared" si="69"/>
        <v>0</v>
      </c>
      <c r="AS1053" s="190"/>
      <c r="AT1053" s="462"/>
      <c r="AU1053" s="462"/>
      <c r="AV1053" s="462"/>
      <c r="AW1053" s="194"/>
      <c r="AX1053" s="169"/>
    </row>
    <row r="1054" spans="32:50" ht="12" customHeight="1">
      <c r="AF1054" s="413" t="s">
        <v>2653</v>
      </c>
      <c r="AL1054" s="36"/>
      <c r="AM1054" s="696" t="s">
        <v>2942</v>
      </c>
      <c r="AN1054" s="709" t="s">
        <v>2652</v>
      </c>
      <c r="AO1054" s="189" t="s">
        <v>195</v>
      </c>
      <c r="AP1054" s="686">
        <f t="shared" si="69"/>
        <v>0</v>
      </c>
      <c r="AQ1054" s="686">
        <f t="shared" si="69"/>
        <v>0</v>
      </c>
      <c r="AR1054" s="686">
        <f t="shared" si="69"/>
        <v>0</v>
      </c>
      <c r="AS1054" s="190"/>
      <c r="AT1054" s="462"/>
      <c r="AU1054" s="462"/>
      <c r="AV1054" s="462"/>
      <c r="AW1054" s="194"/>
      <c r="AX1054" s="169"/>
    </row>
    <row r="1055" spans="32:50" ht="0.75" hidden="1" customHeight="1">
      <c r="AF1055" s="413"/>
      <c r="AL1055" s="36"/>
      <c r="AM1055" s="718"/>
      <c r="AN1055" s="460"/>
      <c r="AO1055" s="461"/>
      <c r="AP1055" s="462"/>
      <c r="AQ1055" s="462"/>
      <c r="AR1055" s="462"/>
      <c r="AS1055" s="190"/>
      <c r="AT1055" s="462"/>
      <c r="AU1055" s="462"/>
      <c r="AV1055" s="462"/>
      <c r="AW1055" s="194"/>
      <c r="AX1055" s="169"/>
    </row>
    <row r="1056" spans="32:50" ht="0.75" hidden="1" customHeight="1">
      <c r="AF1056" s="413"/>
      <c r="AL1056" s="36"/>
      <c r="AM1056" s="718"/>
      <c r="AN1056" s="460"/>
      <c r="AO1056" s="461"/>
      <c r="AP1056" s="462"/>
      <c r="AQ1056" s="462"/>
      <c r="AR1056" s="462"/>
      <c r="AS1056" s="190"/>
      <c r="AT1056" s="462"/>
      <c r="AU1056" s="462"/>
      <c r="AV1056" s="462"/>
      <c r="AW1056" s="194"/>
      <c r="AX1056" s="169"/>
    </row>
    <row r="1057" spans="32:50" ht="12" customHeight="1">
      <c r="AF1057" s="413" t="s">
        <v>1357</v>
      </c>
      <c r="AL1057" s="36"/>
      <c r="AM1057" s="696" t="s">
        <v>1727</v>
      </c>
      <c r="AN1057" s="719" t="s">
        <v>1327</v>
      </c>
      <c r="AO1057" s="189" t="s">
        <v>195</v>
      </c>
      <c r="AP1057" s="686">
        <f t="shared" ref="AP1057:AR1063" si="70">SUMIF($AS$9:$AW$9,AP$9,$AS1057:$AW1057)</f>
        <v>0</v>
      </c>
      <c r="AQ1057" s="686">
        <f t="shared" si="70"/>
        <v>0</v>
      </c>
      <c r="AR1057" s="686">
        <f t="shared" si="70"/>
        <v>0</v>
      </c>
      <c r="AS1057" s="190"/>
      <c r="AT1057" s="462"/>
      <c r="AU1057" s="462"/>
      <c r="AV1057" s="462"/>
      <c r="AW1057" s="194"/>
      <c r="AX1057" s="169"/>
    </row>
    <row r="1058" spans="32:50" ht="12" customHeight="1">
      <c r="AF1058" s="413" t="s">
        <v>1350</v>
      </c>
      <c r="AL1058" s="36"/>
      <c r="AM1058" s="696" t="s">
        <v>1728</v>
      </c>
      <c r="AN1058" s="712" t="s">
        <v>723</v>
      </c>
      <c r="AO1058" s="189" t="s">
        <v>195</v>
      </c>
      <c r="AP1058" s="686">
        <f t="shared" si="70"/>
        <v>0</v>
      </c>
      <c r="AQ1058" s="686">
        <f t="shared" si="70"/>
        <v>0</v>
      </c>
      <c r="AR1058" s="686">
        <f t="shared" si="70"/>
        <v>0</v>
      </c>
      <c r="AS1058" s="190"/>
      <c r="AT1058" s="462"/>
      <c r="AU1058" s="462"/>
      <c r="AV1058" s="462"/>
      <c r="AW1058" s="194"/>
      <c r="AX1058" s="169"/>
    </row>
    <row r="1059" spans="32:50" ht="12" customHeight="1">
      <c r="AF1059" s="413" t="s">
        <v>1351</v>
      </c>
      <c r="AL1059" s="36"/>
      <c r="AM1059" s="696" t="s">
        <v>1729</v>
      </c>
      <c r="AN1059" s="713" t="s">
        <v>748</v>
      </c>
      <c r="AO1059" s="189" t="s">
        <v>195</v>
      </c>
      <c r="AP1059" s="686">
        <f t="shared" si="70"/>
        <v>0</v>
      </c>
      <c r="AQ1059" s="686">
        <f t="shared" si="70"/>
        <v>0</v>
      </c>
      <c r="AR1059" s="686">
        <f t="shared" si="70"/>
        <v>0</v>
      </c>
      <c r="AS1059" s="190"/>
      <c r="AT1059" s="462"/>
      <c r="AU1059" s="462"/>
      <c r="AV1059" s="462"/>
      <c r="AW1059" s="194"/>
      <c r="AX1059" s="169"/>
    </row>
    <row r="1060" spans="32:50" ht="12" customHeight="1">
      <c r="AF1060" s="413" t="s">
        <v>1352</v>
      </c>
      <c r="AL1060" s="36"/>
      <c r="AM1060" s="696" t="s">
        <v>1730</v>
      </c>
      <c r="AN1060" s="714" t="s">
        <v>315</v>
      </c>
      <c r="AO1060" s="189" t="s">
        <v>195</v>
      </c>
      <c r="AP1060" s="686">
        <f t="shared" si="70"/>
        <v>0</v>
      </c>
      <c r="AQ1060" s="686">
        <f t="shared" si="70"/>
        <v>0</v>
      </c>
      <c r="AR1060" s="686">
        <f t="shared" si="70"/>
        <v>0</v>
      </c>
      <c r="AS1060" s="190"/>
      <c r="AT1060" s="462"/>
      <c r="AU1060" s="462"/>
      <c r="AV1060" s="462"/>
      <c r="AW1060" s="194"/>
      <c r="AX1060" s="169"/>
    </row>
    <row r="1061" spans="32:50" ht="12" customHeight="1">
      <c r="AF1061" s="413" t="s">
        <v>1354</v>
      </c>
      <c r="AL1061" s="36"/>
      <c r="AM1061" s="696" t="s">
        <v>1731</v>
      </c>
      <c r="AN1061" s="715" t="s">
        <v>316</v>
      </c>
      <c r="AO1061" s="189" t="s">
        <v>195</v>
      </c>
      <c r="AP1061" s="686">
        <f t="shared" si="70"/>
        <v>0</v>
      </c>
      <c r="AQ1061" s="686">
        <f t="shared" si="70"/>
        <v>0</v>
      </c>
      <c r="AR1061" s="686">
        <f t="shared" si="70"/>
        <v>0</v>
      </c>
      <c r="AS1061" s="190"/>
      <c r="AT1061" s="462"/>
      <c r="AU1061" s="462"/>
      <c r="AV1061" s="462"/>
      <c r="AW1061" s="194"/>
      <c r="AX1061" s="169"/>
    </row>
    <row r="1062" spans="32:50" ht="12" customHeight="1">
      <c r="AF1062" s="413" t="s">
        <v>1353</v>
      </c>
      <c r="AL1062" s="36"/>
      <c r="AM1062" s="696" t="s">
        <v>1732</v>
      </c>
      <c r="AN1062" s="716" t="s">
        <v>317</v>
      </c>
      <c r="AO1062" s="189" t="s">
        <v>195</v>
      </c>
      <c r="AP1062" s="686">
        <f t="shared" si="70"/>
        <v>0</v>
      </c>
      <c r="AQ1062" s="686">
        <f t="shared" si="70"/>
        <v>0</v>
      </c>
      <c r="AR1062" s="686">
        <f t="shared" si="70"/>
        <v>0</v>
      </c>
      <c r="AS1062" s="190"/>
      <c r="AT1062" s="462"/>
      <c r="AU1062" s="462"/>
      <c r="AV1062" s="462"/>
      <c r="AW1062" s="194"/>
      <c r="AX1062" s="169"/>
    </row>
    <row r="1063" spans="32:50" ht="12" customHeight="1">
      <c r="AF1063" s="413" t="s">
        <v>1355</v>
      </c>
      <c r="AL1063" s="36"/>
      <c r="AM1063" s="696" t="s">
        <v>1733</v>
      </c>
      <c r="AN1063" s="701" t="s">
        <v>318</v>
      </c>
      <c r="AO1063" s="189" t="s">
        <v>195</v>
      </c>
      <c r="AP1063" s="686">
        <f t="shared" si="70"/>
        <v>0</v>
      </c>
      <c r="AQ1063" s="686">
        <f t="shared" si="70"/>
        <v>0</v>
      </c>
      <c r="AR1063" s="686">
        <f t="shared" si="70"/>
        <v>0</v>
      </c>
      <c r="AS1063" s="190"/>
      <c r="AT1063" s="462"/>
      <c r="AU1063" s="462"/>
      <c r="AV1063" s="462"/>
      <c r="AW1063" s="194"/>
      <c r="AX1063" s="169"/>
    </row>
    <row r="1064" spans="32:50" ht="0.75" hidden="1" customHeight="1">
      <c r="AF1064" s="413"/>
      <c r="AL1064" s="36"/>
      <c r="AM1064" s="718"/>
      <c r="AN1064" s="460"/>
      <c r="AO1064" s="461"/>
      <c r="AP1064" s="462"/>
      <c r="AQ1064" s="462"/>
      <c r="AR1064" s="462"/>
      <c r="AS1064" s="190"/>
      <c r="AT1064" s="462"/>
      <c r="AU1064" s="462"/>
      <c r="AV1064" s="462"/>
      <c r="AW1064" s="194"/>
      <c r="AX1064" s="169"/>
    </row>
    <row r="1065" spans="32:50" ht="0.75" hidden="1" customHeight="1">
      <c r="AF1065" s="115"/>
      <c r="AL1065" s="36"/>
      <c r="AM1065" s="491"/>
      <c r="AN1065" s="460"/>
      <c r="AO1065" s="461"/>
      <c r="AP1065" s="462"/>
      <c r="AQ1065" s="462"/>
      <c r="AR1065" s="462"/>
      <c r="AS1065" s="190"/>
      <c r="AT1065" s="462"/>
      <c r="AU1065" s="462"/>
      <c r="AV1065" s="462"/>
      <c r="AW1065" s="194"/>
      <c r="AX1065" s="169"/>
    </row>
    <row r="1066" spans="32:50" ht="24" customHeight="1">
      <c r="AF1066" s="115"/>
      <c r="AL1066" s="36"/>
      <c r="AM1066" s="490"/>
      <c r="AN1066" s="463" t="s">
        <v>665</v>
      </c>
      <c r="AO1066" s="189"/>
      <c r="AP1066" s="195"/>
      <c r="AQ1066" s="195"/>
      <c r="AR1066" s="195"/>
      <c r="AS1066" s="190"/>
      <c r="AT1066" s="462"/>
      <c r="AU1066" s="462"/>
      <c r="AV1066" s="462"/>
      <c r="AW1066" s="194"/>
      <c r="AX1066" s="169"/>
    </row>
    <row r="1067" spans="32:50" ht="0.75" hidden="1" customHeight="1">
      <c r="AF1067" s="115"/>
      <c r="AL1067" s="36"/>
      <c r="AM1067" s="491"/>
      <c r="AN1067" s="460"/>
      <c r="AO1067" s="461"/>
      <c r="AP1067" s="462"/>
      <c r="AQ1067" s="462"/>
      <c r="AR1067" s="462"/>
      <c r="AS1067" s="190"/>
      <c r="AT1067" s="462"/>
      <c r="AU1067" s="462"/>
      <c r="AV1067" s="462"/>
      <c r="AW1067" s="194"/>
      <c r="AX1067" s="169"/>
    </row>
    <row r="1068" spans="32:50" ht="12" customHeight="1">
      <c r="AF1068" s="413" t="s">
        <v>1366</v>
      </c>
      <c r="AL1068" s="36"/>
      <c r="AM1068" s="721" t="s">
        <v>319</v>
      </c>
      <c r="AN1068" s="459" t="s">
        <v>666</v>
      </c>
      <c r="AO1068" s="189" t="s">
        <v>667</v>
      </c>
      <c r="AP1068" s="686">
        <f t="shared" ref="AP1068:AR1070" si="71">SUMIF($AS$9:$AW$9,AP$9,$AS1068:$AW1068)</f>
        <v>0</v>
      </c>
      <c r="AQ1068" s="686">
        <f t="shared" si="71"/>
        <v>0</v>
      </c>
      <c r="AR1068" s="686">
        <f t="shared" si="71"/>
        <v>0</v>
      </c>
      <c r="AS1068" s="190"/>
      <c r="AT1068" s="462"/>
      <c r="AU1068" s="462"/>
      <c r="AV1068" s="462"/>
      <c r="AW1068" s="194"/>
      <c r="AX1068" s="169"/>
    </row>
    <row r="1069" spans="32:50" ht="12" customHeight="1">
      <c r="AF1069" s="413" t="s">
        <v>1367</v>
      </c>
      <c r="AL1069" s="36"/>
      <c r="AM1069" s="721" t="s">
        <v>320</v>
      </c>
      <c r="AN1069" s="459" t="s">
        <v>668</v>
      </c>
      <c r="AO1069" s="189" t="s">
        <v>669</v>
      </c>
      <c r="AP1069" s="686">
        <f t="shared" si="71"/>
        <v>0</v>
      </c>
      <c r="AQ1069" s="686">
        <f t="shared" si="71"/>
        <v>0</v>
      </c>
      <c r="AR1069" s="686">
        <f t="shared" si="71"/>
        <v>0</v>
      </c>
      <c r="AS1069" s="190"/>
      <c r="AT1069" s="462"/>
      <c r="AU1069" s="462"/>
      <c r="AV1069" s="462"/>
      <c r="AW1069" s="194"/>
      <c r="AX1069" s="169"/>
    </row>
    <row r="1070" spans="32:50" ht="12" customHeight="1">
      <c r="AF1070" s="413" t="s">
        <v>1366</v>
      </c>
      <c r="AL1070" s="36"/>
      <c r="AM1070" s="721" t="s">
        <v>612</v>
      </c>
      <c r="AN1070" s="459" t="s">
        <v>334</v>
      </c>
      <c r="AO1070" s="189" t="s">
        <v>195</v>
      </c>
      <c r="AP1070" s="686">
        <f t="shared" si="71"/>
        <v>0</v>
      </c>
      <c r="AQ1070" s="686">
        <f t="shared" si="71"/>
        <v>0</v>
      </c>
      <c r="AR1070" s="686">
        <f t="shared" si="71"/>
        <v>0</v>
      </c>
      <c r="AS1070" s="190"/>
      <c r="AT1070" s="462"/>
      <c r="AU1070" s="462"/>
      <c r="AV1070" s="462"/>
      <c r="AW1070" s="194"/>
      <c r="AX1070" s="169"/>
    </row>
    <row r="1071" spans="32:50" ht="12" customHeight="1">
      <c r="AF1071" s="413" t="s">
        <v>1366</v>
      </c>
      <c r="AL1071" s="36"/>
      <c r="AM1071" s="722" t="str">
        <f>AM1070 &amp; ".1"</f>
        <v>4.13.1.1.1</v>
      </c>
      <c r="AN1071" s="465" t="s">
        <v>670</v>
      </c>
      <c r="AO1071" s="189" t="s">
        <v>313</v>
      </c>
      <c r="AP1071" s="686">
        <f>IF(AP1072=0,0,AP1070/AP1072)</f>
        <v>0</v>
      </c>
      <c r="AQ1071" s="686">
        <f>IF(AQ1072=0,0,AQ1070/AQ1072)</f>
        <v>0</v>
      </c>
      <c r="AR1071" s="686">
        <f>IF(AR1072=0,0,AR1070/AR1072)</f>
        <v>0</v>
      </c>
      <c r="AS1071" s="190"/>
      <c r="AT1071" s="462"/>
      <c r="AU1071" s="462"/>
      <c r="AV1071" s="462"/>
      <c r="AW1071" s="194"/>
      <c r="AX1071" s="169"/>
    </row>
    <row r="1072" spans="32:50" ht="12" customHeight="1">
      <c r="AF1072" s="413" t="s">
        <v>1366</v>
      </c>
      <c r="AL1072" s="36"/>
      <c r="AM1072" s="722" t="str">
        <f>AM1070 &amp; ".2"</f>
        <v>4.13.1.1.2</v>
      </c>
      <c r="AN1072" s="465" t="s">
        <v>666</v>
      </c>
      <c r="AO1072" s="189" t="s">
        <v>667</v>
      </c>
      <c r="AP1072" s="686">
        <f t="shared" ref="AP1072:AR1073" si="72">SUMIF($AS$9:$AW$9,AP$9,$AS1072:$AW1072)</f>
        <v>0</v>
      </c>
      <c r="AQ1072" s="686">
        <f t="shared" si="72"/>
        <v>0</v>
      </c>
      <c r="AR1072" s="686">
        <f t="shared" si="72"/>
        <v>0</v>
      </c>
      <c r="AS1072" s="190"/>
      <c r="AT1072" s="462"/>
      <c r="AU1072" s="462"/>
      <c r="AV1072" s="462"/>
      <c r="AW1072" s="194"/>
      <c r="AX1072" s="169"/>
    </row>
    <row r="1073" spans="32:50" ht="12" customHeight="1">
      <c r="AF1073" s="413" t="s">
        <v>1367</v>
      </c>
      <c r="AL1073" s="36"/>
      <c r="AM1073" s="721" t="s">
        <v>613</v>
      </c>
      <c r="AN1073" s="459" t="s">
        <v>338</v>
      </c>
      <c r="AO1073" s="189" t="s">
        <v>195</v>
      </c>
      <c r="AP1073" s="686">
        <f t="shared" si="72"/>
        <v>0</v>
      </c>
      <c r="AQ1073" s="686">
        <f t="shared" si="72"/>
        <v>0</v>
      </c>
      <c r="AR1073" s="686">
        <f t="shared" si="72"/>
        <v>0</v>
      </c>
      <c r="AS1073" s="190"/>
      <c r="AT1073" s="462"/>
      <c r="AU1073" s="462"/>
      <c r="AV1073" s="462"/>
      <c r="AW1073" s="194"/>
      <c r="AX1073" s="169"/>
    </row>
    <row r="1074" spans="32:50" ht="12" customHeight="1">
      <c r="AF1074" s="413" t="s">
        <v>1367</v>
      </c>
      <c r="AL1074" s="36"/>
      <c r="AM1074" s="722" t="str">
        <f>AM1073 &amp; ".1"</f>
        <v>4.13.1.2.1</v>
      </c>
      <c r="AN1074" s="465" t="s">
        <v>671</v>
      </c>
      <c r="AO1074" s="189" t="s">
        <v>314</v>
      </c>
      <c r="AP1074" s="686">
        <f>IF(AP1075=0,0,AP1073/AP1075)</f>
        <v>0</v>
      </c>
      <c r="AQ1074" s="686">
        <f>IF(AQ1075=0,0,AQ1073/AQ1075)</f>
        <v>0</v>
      </c>
      <c r="AR1074" s="686">
        <f>IF(AR1075=0,0,AR1073/AR1075)</f>
        <v>0</v>
      </c>
      <c r="AS1074" s="190"/>
      <c r="AT1074" s="462"/>
      <c r="AU1074" s="462"/>
      <c r="AV1074" s="462"/>
      <c r="AW1074" s="194"/>
      <c r="AX1074" s="169"/>
    </row>
    <row r="1075" spans="32:50" ht="12" customHeight="1">
      <c r="AF1075" s="413" t="s">
        <v>1367</v>
      </c>
      <c r="AL1075" s="36"/>
      <c r="AM1075" s="722" t="str">
        <f>AM1073 &amp; ".2"</f>
        <v>4.13.1.2.2</v>
      </c>
      <c r="AN1075" s="465" t="s">
        <v>672</v>
      </c>
      <c r="AO1075" s="189" t="s">
        <v>669</v>
      </c>
      <c r="AP1075" s="686">
        <f t="shared" ref="AP1075:AR1076" si="73">SUMIF($AS$9:$AW$9,AP$9,$AS1075:$AW1075)</f>
        <v>0</v>
      </c>
      <c r="AQ1075" s="686">
        <f t="shared" si="73"/>
        <v>0</v>
      </c>
      <c r="AR1075" s="686">
        <f t="shared" si="73"/>
        <v>0</v>
      </c>
      <c r="AS1075" s="190"/>
      <c r="AT1075" s="462"/>
      <c r="AU1075" s="462"/>
      <c r="AV1075" s="462"/>
      <c r="AW1075" s="194"/>
      <c r="AX1075" s="169"/>
    </row>
    <row r="1076" spans="32:50" ht="12" customHeight="1">
      <c r="AF1076" s="413" t="s">
        <v>1366</v>
      </c>
      <c r="AL1076" s="36"/>
      <c r="AM1076" s="721" t="s">
        <v>614</v>
      </c>
      <c r="AN1076" s="459" t="s">
        <v>342</v>
      </c>
      <c r="AO1076" s="189" t="s">
        <v>195</v>
      </c>
      <c r="AP1076" s="686">
        <f t="shared" si="73"/>
        <v>0</v>
      </c>
      <c r="AQ1076" s="686">
        <f t="shared" si="73"/>
        <v>0</v>
      </c>
      <c r="AR1076" s="686">
        <f t="shared" si="73"/>
        <v>0</v>
      </c>
      <c r="AS1076" s="190"/>
      <c r="AT1076" s="462"/>
      <c r="AU1076" s="462"/>
      <c r="AV1076" s="462"/>
      <c r="AW1076" s="194"/>
      <c r="AX1076" s="169"/>
    </row>
    <row r="1077" spans="32:50" ht="12" customHeight="1">
      <c r="AF1077" s="413" t="s">
        <v>1366</v>
      </c>
      <c r="AL1077" s="36"/>
      <c r="AM1077" s="722" t="str">
        <f>AM1076 &amp; ".1"</f>
        <v>4.13.2.1.1</v>
      </c>
      <c r="AN1077" s="465" t="s">
        <v>670</v>
      </c>
      <c r="AO1077" s="189" t="s">
        <v>313</v>
      </c>
      <c r="AP1077" s="686">
        <f>IF(AP1078=0,0,AP1076/AP1078)</f>
        <v>0</v>
      </c>
      <c r="AQ1077" s="686">
        <f>IF(AQ1078=0,0,AQ1076/AQ1078)</f>
        <v>0</v>
      </c>
      <c r="AR1077" s="686">
        <f>IF(AR1078=0,0,AR1076/AR1078)</f>
        <v>0</v>
      </c>
      <c r="AS1077" s="190"/>
      <c r="AT1077" s="462"/>
      <c r="AU1077" s="462"/>
      <c r="AV1077" s="462"/>
      <c r="AW1077" s="194"/>
      <c r="AX1077" s="169"/>
    </row>
    <row r="1078" spans="32:50" ht="12" customHeight="1">
      <c r="AF1078" s="413" t="s">
        <v>1366</v>
      </c>
      <c r="AL1078" s="36"/>
      <c r="AM1078" s="722" t="str">
        <f>AM1076 &amp; ".2"</f>
        <v>4.13.2.1.2</v>
      </c>
      <c r="AN1078" s="465" t="s">
        <v>666</v>
      </c>
      <c r="AO1078" s="189" t="s">
        <v>667</v>
      </c>
      <c r="AP1078" s="686">
        <f t="shared" ref="AP1078:AR1079" si="74">SUMIF($AS$9:$AW$9,AP$9,$AS1078:$AW1078)</f>
        <v>0</v>
      </c>
      <c r="AQ1078" s="686">
        <f t="shared" si="74"/>
        <v>0</v>
      </c>
      <c r="AR1078" s="686">
        <f t="shared" si="74"/>
        <v>0</v>
      </c>
      <c r="AS1078" s="190"/>
      <c r="AT1078" s="462"/>
      <c r="AU1078" s="462"/>
      <c r="AV1078" s="462"/>
      <c r="AW1078" s="194"/>
      <c r="AX1078" s="169"/>
    </row>
    <row r="1079" spans="32:50" ht="12" customHeight="1">
      <c r="AF1079" s="413" t="s">
        <v>1367</v>
      </c>
      <c r="AL1079" s="36"/>
      <c r="AM1079" s="721" t="s">
        <v>615</v>
      </c>
      <c r="AN1079" s="459" t="s">
        <v>346</v>
      </c>
      <c r="AO1079" s="189" t="s">
        <v>195</v>
      </c>
      <c r="AP1079" s="686">
        <f t="shared" si="74"/>
        <v>0</v>
      </c>
      <c r="AQ1079" s="686">
        <f t="shared" si="74"/>
        <v>0</v>
      </c>
      <c r="AR1079" s="686">
        <f t="shared" si="74"/>
        <v>0</v>
      </c>
      <c r="AS1079" s="190"/>
      <c r="AT1079" s="462"/>
      <c r="AU1079" s="462"/>
      <c r="AV1079" s="462"/>
      <c r="AW1079" s="194"/>
      <c r="AX1079" s="169"/>
    </row>
    <row r="1080" spans="32:50" ht="12" customHeight="1">
      <c r="AF1080" s="413" t="s">
        <v>1367</v>
      </c>
      <c r="AL1080" s="36"/>
      <c r="AM1080" s="722" t="str">
        <f>AM1079 &amp; ".1"</f>
        <v>4.13.2.2.1</v>
      </c>
      <c r="AN1080" s="465" t="s">
        <v>671</v>
      </c>
      <c r="AO1080" s="189" t="s">
        <v>314</v>
      </c>
      <c r="AP1080" s="686">
        <f>IF(AP1081=0,0,AP1079/AP1081)</f>
        <v>0</v>
      </c>
      <c r="AQ1080" s="686">
        <f>IF(AQ1081=0,0,AQ1079/AQ1081)</f>
        <v>0</v>
      </c>
      <c r="AR1080" s="686">
        <f>IF(AR1081=0,0,AR1079/AR1081)</f>
        <v>0</v>
      </c>
      <c r="AS1080" s="190"/>
      <c r="AT1080" s="462"/>
      <c r="AU1080" s="462"/>
      <c r="AV1080" s="462"/>
      <c r="AW1080" s="194"/>
      <c r="AX1080" s="169"/>
    </row>
    <row r="1081" spans="32:50" ht="12" customHeight="1">
      <c r="AF1081" s="413" t="s">
        <v>1367</v>
      </c>
      <c r="AL1081" s="36"/>
      <c r="AM1081" s="722" t="str">
        <f>AM1079 &amp; ".2"</f>
        <v>4.13.2.2.2</v>
      </c>
      <c r="AN1081" s="465" t="s">
        <v>672</v>
      </c>
      <c r="AO1081" s="189" t="s">
        <v>669</v>
      </c>
      <c r="AP1081" s="686">
        <f t="shared" ref="AP1081:AR1082" si="75">SUMIF($AS$9:$AW$9,AP$9,$AS1081:$AW1081)</f>
        <v>0</v>
      </c>
      <c r="AQ1081" s="686">
        <f t="shared" si="75"/>
        <v>0</v>
      </c>
      <c r="AR1081" s="686">
        <f t="shared" si="75"/>
        <v>0</v>
      </c>
      <c r="AS1081" s="190"/>
      <c r="AT1081" s="462"/>
      <c r="AU1081" s="462"/>
      <c r="AV1081" s="462"/>
      <c r="AW1081" s="194"/>
      <c r="AX1081" s="169"/>
    </row>
    <row r="1082" spans="32:50" ht="12" customHeight="1">
      <c r="AF1082" s="413" t="s">
        <v>1366</v>
      </c>
      <c r="AL1082" s="36"/>
      <c r="AM1082" s="721" t="s">
        <v>616</v>
      </c>
      <c r="AN1082" s="459" t="s">
        <v>350</v>
      </c>
      <c r="AO1082" s="189" t="s">
        <v>195</v>
      </c>
      <c r="AP1082" s="686">
        <f t="shared" si="75"/>
        <v>0</v>
      </c>
      <c r="AQ1082" s="686">
        <f t="shared" si="75"/>
        <v>0</v>
      </c>
      <c r="AR1082" s="686">
        <f t="shared" si="75"/>
        <v>0</v>
      </c>
      <c r="AS1082" s="190"/>
      <c r="AT1082" s="462"/>
      <c r="AU1082" s="462"/>
      <c r="AV1082" s="462"/>
      <c r="AW1082" s="194"/>
      <c r="AX1082" s="169"/>
    </row>
    <row r="1083" spans="32:50" ht="12" customHeight="1">
      <c r="AF1083" s="413" t="s">
        <v>1366</v>
      </c>
      <c r="AL1083" s="36"/>
      <c r="AM1083" s="722" t="str">
        <f>AM1082 &amp; ".1"</f>
        <v>4.13.3.1.1</v>
      </c>
      <c r="AN1083" s="465" t="s">
        <v>670</v>
      </c>
      <c r="AO1083" s="189" t="s">
        <v>313</v>
      </c>
      <c r="AP1083" s="686">
        <f>IF(AP1084=0,0,AP1082/AP1084)</f>
        <v>0</v>
      </c>
      <c r="AQ1083" s="686">
        <f>IF(AQ1084=0,0,AQ1082/AQ1084)</f>
        <v>0</v>
      </c>
      <c r="AR1083" s="686">
        <f>IF(AR1084=0,0,AR1082/AR1084)</f>
        <v>0</v>
      </c>
      <c r="AS1083" s="190"/>
      <c r="AT1083" s="462"/>
      <c r="AU1083" s="462"/>
      <c r="AV1083" s="462"/>
      <c r="AW1083" s="194"/>
      <c r="AX1083" s="169"/>
    </row>
    <row r="1084" spans="32:50" ht="12" customHeight="1">
      <c r="AF1084" s="413" t="s">
        <v>1366</v>
      </c>
      <c r="AL1084" s="36"/>
      <c r="AM1084" s="722" t="str">
        <f>AM1082 &amp; ".2"</f>
        <v>4.13.3.1.2</v>
      </c>
      <c r="AN1084" s="465" t="s">
        <v>666</v>
      </c>
      <c r="AO1084" s="189" t="s">
        <v>667</v>
      </c>
      <c r="AP1084" s="686">
        <f t="shared" ref="AP1084:AR1085" si="76">SUMIF($AS$9:$AW$9,AP$9,$AS1084:$AW1084)</f>
        <v>0</v>
      </c>
      <c r="AQ1084" s="686">
        <f t="shared" si="76"/>
        <v>0</v>
      </c>
      <c r="AR1084" s="686">
        <f t="shared" si="76"/>
        <v>0</v>
      </c>
      <c r="AS1084" s="190"/>
      <c r="AT1084" s="462"/>
      <c r="AU1084" s="462"/>
      <c r="AV1084" s="462"/>
      <c r="AW1084" s="194"/>
      <c r="AX1084" s="169"/>
    </row>
    <row r="1085" spans="32:50" ht="12" customHeight="1">
      <c r="AF1085" s="413" t="s">
        <v>1367</v>
      </c>
      <c r="AL1085" s="36"/>
      <c r="AM1085" s="721" t="s">
        <v>617</v>
      </c>
      <c r="AN1085" s="459" t="s">
        <v>354</v>
      </c>
      <c r="AO1085" s="189" t="s">
        <v>195</v>
      </c>
      <c r="AP1085" s="686">
        <f t="shared" si="76"/>
        <v>0</v>
      </c>
      <c r="AQ1085" s="686">
        <f t="shared" si="76"/>
        <v>0</v>
      </c>
      <c r="AR1085" s="686">
        <f t="shared" si="76"/>
        <v>0</v>
      </c>
      <c r="AS1085" s="190"/>
      <c r="AT1085" s="462"/>
      <c r="AU1085" s="462"/>
      <c r="AV1085" s="462"/>
      <c r="AW1085" s="194"/>
      <c r="AX1085" s="169"/>
    </row>
    <row r="1086" spans="32:50" ht="12" customHeight="1">
      <c r="AF1086" s="413" t="s">
        <v>1367</v>
      </c>
      <c r="AL1086" s="36"/>
      <c r="AM1086" s="722" t="str">
        <f>AM1085 &amp; ".1"</f>
        <v>4.13.3.2.1</v>
      </c>
      <c r="AN1086" s="465" t="s">
        <v>671</v>
      </c>
      <c r="AO1086" s="189" t="s">
        <v>314</v>
      </c>
      <c r="AP1086" s="686">
        <f>IF(AP1087=0,0,AP1085/AP1087)</f>
        <v>0</v>
      </c>
      <c r="AQ1086" s="686">
        <f>IF(AQ1087=0,0,AQ1085/AQ1087)</f>
        <v>0</v>
      </c>
      <c r="AR1086" s="686">
        <f>IF(AR1087=0,0,AR1085/AR1087)</f>
        <v>0</v>
      </c>
      <c r="AS1086" s="190"/>
      <c r="AT1086" s="462"/>
      <c r="AU1086" s="462"/>
      <c r="AV1086" s="462"/>
      <c r="AW1086" s="194"/>
      <c r="AX1086" s="169"/>
    </row>
    <row r="1087" spans="32:50" ht="12" customHeight="1">
      <c r="AF1087" s="413" t="s">
        <v>1367</v>
      </c>
      <c r="AL1087" s="36"/>
      <c r="AM1087" s="722" t="str">
        <f>AM1085 &amp; ".2"</f>
        <v>4.13.3.2.2</v>
      </c>
      <c r="AN1087" s="465" t="s">
        <v>672</v>
      </c>
      <c r="AO1087" s="189" t="s">
        <v>669</v>
      </c>
      <c r="AP1087" s="686">
        <f t="shared" ref="AP1087:AR1088" si="77">SUMIF($AS$9:$AW$9,AP$9,$AS1087:$AW1087)</f>
        <v>0</v>
      </c>
      <c r="AQ1087" s="686">
        <f t="shared" si="77"/>
        <v>0</v>
      </c>
      <c r="AR1087" s="686">
        <f t="shared" si="77"/>
        <v>0</v>
      </c>
      <c r="AS1087" s="190"/>
      <c r="AT1087" s="462"/>
      <c r="AU1087" s="462"/>
      <c r="AV1087" s="462"/>
      <c r="AW1087" s="194"/>
      <c r="AX1087" s="169"/>
    </row>
    <row r="1088" spans="32:50" ht="12" customHeight="1">
      <c r="AF1088" s="413" t="s">
        <v>1366</v>
      </c>
      <c r="AL1088" s="36"/>
      <c r="AM1088" s="721" t="s">
        <v>618</v>
      </c>
      <c r="AN1088" s="459" t="s">
        <v>358</v>
      </c>
      <c r="AO1088" s="189" t="s">
        <v>195</v>
      </c>
      <c r="AP1088" s="686">
        <f t="shared" si="77"/>
        <v>0</v>
      </c>
      <c r="AQ1088" s="686">
        <f t="shared" si="77"/>
        <v>0</v>
      </c>
      <c r="AR1088" s="686">
        <f t="shared" si="77"/>
        <v>0</v>
      </c>
      <c r="AS1088" s="190"/>
      <c r="AT1088" s="462"/>
      <c r="AU1088" s="462"/>
      <c r="AV1088" s="462"/>
      <c r="AW1088" s="194"/>
      <c r="AX1088" s="169"/>
    </row>
    <row r="1089" spans="32:50" ht="12" customHeight="1">
      <c r="AF1089" s="413" t="s">
        <v>1366</v>
      </c>
      <c r="AL1089" s="36"/>
      <c r="AM1089" s="722" t="str">
        <f>AM1088 &amp; ".1"</f>
        <v>4.13.4.1.1</v>
      </c>
      <c r="AN1089" s="465" t="s">
        <v>670</v>
      </c>
      <c r="AO1089" s="189" t="s">
        <v>313</v>
      </c>
      <c r="AP1089" s="686">
        <f>IF(AP1090=0,0,AP1088/AP1090)</f>
        <v>0</v>
      </c>
      <c r="AQ1089" s="686">
        <f>IF(AQ1090=0,0,AQ1088/AQ1090)</f>
        <v>0</v>
      </c>
      <c r="AR1089" s="686">
        <f>IF(AR1090=0,0,AR1088/AR1090)</f>
        <v>0</v>
      </c>
      <c r="AS1089" s="190"/>
      <c r="AT1089" s="462"/>
      <c r="AU1089" s="462"/>
      <c r="AV1089" s="462"/>
      <c r="AW1089" s="194"/>
      <c r="AX1089" s="169"/>
    </row>
    <row r="1090" spans="32:50" ht="12" customHeight="1">
      <c r="AF1090" s="413" t="s">
        <v>1366</v>
      </c>
      <c r="AL1090" s="36"/>
      <c r="AM1090" s="722" t="str">
        <f>AM1088 &amp; ".2"</f>
        <v>4.13.4.1.2</v>
      </c>
      <c r="AN1090" s="465" t="s">
        <v>666</v>
      </c>
      <c r="AO1090" s="189" t="s">
        <v>667</v>
      </c>
      <c r="AP1090" s="686">
        <f t="shared" ref="AP1090:AR1091" si="78">SUMIF($AS$9:$AW$9,AP$9,$AS1090:$AW1090)</f>
        <v>0</v>
      </c>
      <c r="AQ1090" s="686">
        <f t="shared" si="78"/>
        <v>0</v>
      </c>
      <c r="AR1090" s="686">
        <f t="shared" si="78"/>
        <v>0</v>
      </c>
      <c r="AS1090" s="190"/>
      <c r="AT1090" s="462"/>
      <c r="AU1090" s="462"/>
      <c r="AV1090" s="462"/>
      <c r="AW1090" s="194"/>
      <c r="AX1090" s="169"/>
    </row>
    <row r="1091" spans="32:50" ht="12" customHeight="1">
      <c r="AF1091" s="413" t="s">
        <v>1367</v>
      </c>
      <c r="AL1091" s="36"/>
      <c r="AM1091" s="721" t="s">
        <v>619</v>
      </c>
      <c r="AN1091" s="459" t="s">
        <v>362</v>
      </c>
      <c r="AO1091" s="189" t="s">
        <v>195</v>
      </c>
      <c r="AP1091" s="686">
        <f t="shared" si="78"/>
        <v>0</v>
      </c>
      <c r="AQ1091" s="686">
        <f t="shared" si="78"/>
        <v>0</v>
      </c>
      <c r="AR1091" s="686">
        <f t="shared" si="78"/>
        <v>0</v>
      </c>
      <c r="AS1091" s="190"/>
      <c r="AT1091" s="462"/>
      <c r="AU1091" s="462"/>
      <c r="AV1091" s="462"/>
      <c r="AW1091" s="194"/>
      <c r="AX1091" s="169"/>
    </row>
    <row r="1092" spans="32:50" ht="12" customHeight="1">
      <c r="AF1092" s="413" t="s">
        <v>1367</v>
      </c>
      <c r="AL1092" s="36"/>
      <c r="AM1092" s="722" t="str">
        <f>AM1091 &amp; ".1"</f>
        <v>4.13.4.2.1</v>
      </c>
      <c r="AN1092" s="465" t="s">
        <v>671</v>
      </c>
      <c r="AO1092" s="189" t="s">
        <v>314</v>
      </c>
      <c r="AP1092" s="686">
        <f>IF(AP1093=0,0,AP1091/AP1093)</f>
        <v>0</v>
      </c>
      <c r="AQ1092" s="686">
        <f>IF(AQ1093=0,0,AQ1091/AQ1093)</f>
        <v>0</v>
      </c>
      <c r="AR1092" s="686">
        <f>IF(AR1093=0,0,AR1091/AR1093)</f>
        <v>0</v>
      </c>
      <c r="AS1092" s="190"/>
      <c r="AT1092" s="462"/>
      <c r="AU1092" s="462"/>
      <c r="AV1092" s="462"/>
      <c r="AW1092" s="194"/>
      <c r="AX1092" s="169"/>
    </row>
    <row r="1093" spans="32:50" ht="12" customHeight="1">
      <c r="AF1093" s="413" t="s">
        <v>1367</v>
      </c>
      <c r="AL1093" s="36"/>
      <c r="AM1093" s="722" t="str">
        <f>AM1091 &amp; ".2"</f>
        <v>4.13.4.2.2</v>
      </c>
      <c r="AN1093" s="465" t="s">
        <v>672</v>
      </c>
      <c r="AO1093" s="189" t="s">
        <v>669</v>
      </c>
      <c r="AP1093" s="686">
        <f>SUMIF($AS$9:$AW$9,AP$9,$AS1093:$AW1093)</f>
        <v>0</v>
      </c>
      <c r="AQ1093" s="686">
        <f>SUMIF($AS$9:$AW$9,AQ$9,$AS1093:$AW1093)</f>
        <v>0</v>
      </c>
      <c r="AR1093" s="686">
        <f>SUMIF($AS$9:$AW$9,AR$9,$AS1093:$AW1093)</f>
        <v>0</v>
      </c>
      <c r="AS1093" s="190"/>
      <c r="AT1093" s="462"/>
      <c r="AU1093" s="462"/>
      <c r="AV1093" s="462"/>
      <c r="AW1093" s="194"/>
      <c r="AX1093" s="169"/>
    </row>
    <row r="1094" spans="32:50" ht="0.75" hidden="1" customHeight="1">
      <c r="AF1094" s="115"/>
      <c r="AL1094" s="36"/>
      <c r="AM1094" s="491"/>
      <c r="AN1094" s="460"/>
      <c r="AO1094" s="461"/>
      <c r="AP1094" s="462"/>
      <c r="AQ1094" s="462"/>
      <c r="AR1094" s="462"/>
      <c r="AS1094" s="190"/>
      <c r="AT1094" s="462"/>
      <c r="AU1094" s="462"/>
      <c r="AV1094" s="462"/>
      <c r="AW1094" s="194"/>
      <c r="AX1094" s="169"/>
    </row>
    <row r="1095" spans="32:50" ht="24" customHeight="1">
      <c r="AF1095" s="413" t="s">
        <v>1356</v>
      </c>
      <c r="AL1095" s="36"/>
      <c r="AM1095" s="490"/>
      <c r="AN1095" s="463" t="s">
        <v>321</v>
      </c>
      <c r="AO1095" s="189" t="s">
        <v>195</v>
      </c>
      <c r="AP1095" s="686">
        <f t="shared" ref="AP1095:AR1096" si="79">SUMIF($AS$9:$AW$9,AP$9,$AS1095:$AW1095)</f>
        <v>0</v>
      </c>
      <c r="AQ1095" s="686">
        <f t="shared" si="79"/>
        <v>0</v>
      </c>
      <c r="AR1095" s="686">
        <f t="shared" si="79"/>
        <v>0</v>
      </c>
      <c r="AS1095" s="190"/>
      <c r="AT1095" s="462"/>
      <c r="AU1095" s="462"/>
      <c r="AV1095" s="462"/>
      <c r="AW1095" s="194"/>
      <c r="AX1095" s="169"/>
    </row>
    <row r="1096" spans="32:50" ht="12" customHeight="1">
      <c r="AF1096" s="413" t="s">
        <v>1356</v>
      </c>
      <c r="AL1096" s="36"/>
      <c r="AM1096" s="696" t="s">
        <v>242</v>
      </c>
      <c r="AN1096" s="466" t="s">
        <v>243</v>
      </c>
      <c r="AO1096" s="189" t="s">
        <v>195</v>
      </c>
      <c r="AP1096" s="686">
        <f t="shared" si="79"/>
        <v>0</v>
      </c>
      <c r="AQ1096" s="686">
        <f t="shared" si="79"/>
        <v>0</v>
      </c>
      <c r="AR1096" s="686">
        <f t="shared" si="79"/>
        <v>0</v>
      </c>
      <c r="AS1096" s="190"/>
      <c r="AT1096" s="462"/>
      <c r="AU1096" s="462"/>
      <c r="AV1096" s="462"/>
      <c r="AW1096" s="194"/>
      <c r="AX1096" s="169"/>
    </row>
    <row r="1097" spans="32:50" ht="12" customHeight="1">
      <c r="AF1097" s="413" t="s">
        <v>1356</v>
      </c>
      <c r="AL1097" s="36"/>
      <c r="AM1097" s="696" t="s">
        <v>244</v>
      </c>
      <c r="AN1097" s="467" t="s">
        <v>247</v>
      </c>
      <c r="AO1097" s="189" t="s">
        <v>506</v>
      </c>
      <c r="AP1097" s="686">
        <f>IF(AP1098=0,0,AP1096/AP1098*1000)</f>
        <v>0</v>
      </c>
      <c r="AQ1097" s="686">
        <f>IF(AQ1098=0,0,AQ1096/AQ1098*1000)</f>
        <v>0</v>
      </c>
      <c r="AR1097" s="686">
        <f>IF(AR1098=0,0,AR1096/AR1098*1000)</f>
        <v>0</v>
      </c>
      <c r="AS1097" s="190"/>
      <c r="AT1097" s="462"/>
      <c r="AU1097" s="462"/>
      <c r="AV1097" s="462"/>
      <c r="AW1097" s="194"/>
      <c r="AX1097" s="169"/>
    </row>
    <row r="1098" spans="32:50" ht="12" customHeight="1">
      <c r="AF1098" s="413" t="s">
        <v>1356</v>
      </c>
      <c r="AL1098" s="36"/>
      <c r="AM1098" s="696" t="s">
        <v>246</v>
      </c>
      <c r="AN1098" s="467" t="s">
        <v>245</v>
      </c>
      <c r="AO1098" s="189" t="s">
        <v>507</v>
      </c>
      <c r="AP1098" s="686">
        <f t="shared" ref="AP1098:AR1099" si="80">SUMIF($AS$9:$AW$9,AP$9,$AS1098:$AW1098)</f>
        <v>0</v>
      </c>
      <c r="AQ1098" s="686">
        <f t="shared" si="80"/>
        <v>0</v>
      </c>
      <c r="AR1098" s="686">
        <f t="shared" si="80"/>
        <v>0</v>
      </c>
      <c r="AS1098" s="190"/>
      <c r="AT1098" s="462"/>
      <c r="AU1098" s="462"/>
      <c r="AV1098" s="462"/>
      <c r="AW1098" s="194"/>
      <c r="AX1098" s="169"/>
    </row>
    <row r="1099" spans="32:50" ht="12" customHeight="1">
      <c r="AF1099" s="413" t="s">
        <v>1356</v>
      </c>
      <c r="AL1099" s="36"/>
      <c r="AM1099" s="696" t="s">
        <v>248</v>
      </c>
      <c r="AN1099" s="466" t="s">
        <v>249</v>
      </c>
      <c r="AO1099" s="189" t="s">
        <v>195</v>
      </c>
      <c r="AP1099" s="686">
        <f t="shared" si="80"/>
        <v>0</v>
      </c>
      <c r="AQ1099" s="686">
        <f t="shared" si="80"/>
        <v>0</v>
      </c>
      <c r="AR1099" s="686">
        <f t="shared" si="80"/>
        <v>0</v>
      </c>
      <c r="AS1099" s="190"/>
      <c r="AT1099" s="462"/>
      <c r="AU1099" s="462"/>
      <c r="AV1099" s="462"/>
      <c r="AW1099" s="194"/>
      <c r="AX1099" s="169"/>
    </row>
    <row r="1100" spans="32:50" ht="12" customHeight="1">
      <c r="AF1100" s="413" t="s">
        <v>1356</v>
      </c>
      <c r="AL1100" s="36"/>
      <c r="AM1100" s="696" t="s">
        <v>250</v>
      </c>
      <c r="AN1100" s="467" t="s">
        <v>247</v>
      </c>
      <c r="AO1100" s="189" t="s">
        <v>751</v>
      </c>
      <c r="AP1100" s="686">
        <f>IF(AP1101=0,0,AP1099/AP1101*1000)</f>
        <v>0</v>
      </c>
      <c r="AQ1100" s="686">
        <f>IF(AQ1101=0,0,AQ1099/AQ1101*1000)</f>
        <v>0</v>
      </c>
      <c r="AR1100" s="686">
        <f>IF(AR1101=0,0,AR1099/AR1101*1000)</f>
        <v>0</v>
      </c>
      <c r="AS1100" s="190"/>
      <c r="AT1100" s="462"/>
      <c r="AU1100" s="462"/>
      <c r="AV1100" s="462"/>
      <c r="AW1100" s="194"/>
      <c r="AX1100" s="169"/>
    </row>
    <row r="1101" spans="32:50" ht="12" customHeight="1">
      <c r="AF1101" s="413" t="s">
        <v>1356</v>
      </c>
      <c r="AL1101" s="36"/>
      <c r="AM1101" s="696" t="s">
        <v>251</v>
      </c>
      <c r="AN1101" s="467" t="s">
        <v>245</v>
      </c>
      <c r="AO1101" s="189" t="s">
        <v>758</v>
      </c>
      <c r="AP1101" s="686">
        <f t="shared" ref="AP1101:AR1102" si="81">SUMIF($AS$9:$AW$9,AP$9,$AS1101:$AW1101)</f>
        <v>0</v>
      </c>
      <c r="AQ1101" s="686">
        <f t="shared" si="81"/>
        <v>0</v>
      </c>
      <c r="AR1101" s="686">
        <f t="shared" si="81"/>
        <v>0</v>
      </c>
      <c r="AS1101" s="190"/>
      <c r="AT1101" s="462"/>
      <c r="AU1101" s="462"/>
      <c r="AV1101" s="462"/>
      <c r="AW1101" s="194"/>
      <c r="AX1101" s="169"/>
    </row>
    <row r="1102" spans="32:50">
      <c r="AF1102" s="413" t="s">
        <v>1356</v>
      </c>
      <c r="AL1102" s="36"/>
      <c r="AM1102" s="696" t="s">
        <v>252</v>
      </c>
      <c r="AN1102" s="466" t="s">
        <v>253</v>
      </c>
      <c r="AO1102" s="189" t="s">
        <v>195</v>
      </c>
      <c r="AP1102" s="686">
        <f t="shared" si="81"/>
        <v>0</v>
      </c>
      <c r="AQ1102" s="686">
        <f t="shared" si="81"/>
        <v>0</v>
      </c>
      <c r="AR1102" s="686">
        <f t="shared" si="81"/>
        <v>0</v>
      </c>
      <c r="AS1102" s="190"/>
      <c r="AT1102" s="462"/>
      <c r="AU1102" s="462"/>
      <c r="AV1102" s="462"/>
      <c r="AW1102" s="194"/>
      <c r="AX1102" s="169"/>
    </row>
    <row r="1103" spans="32:50" ht="0.75" hidden="1" customHeight="1">
      <c r="AF1103" s="115"/>
      <c r="AL1103" s="36"/>
      <c r="AM1103" s="491"/>
      <c r="AN1103" s="460"/>
      <c r="AO1103" s="461"/>
      <c r="AP1103" s="462"/>
      <c r="AQ1103" s="462"/>
      <c r="AR1103" s="462"/>
      <c r="AS1103" s="190"/>
      <c r="AT1103" s="266"/>
      <c r="AU1103" s="266"/>
      <c r="AV1103" s="266"/>
      <c r="AW1103" s="194"/>
      <c r="AX1103" s="169"/>
    </row>
    <row r="1104" spans="32:50">
      <c r="AF1104" s="115"/>
      <c r="AL1104" s="36"/>
      <c r="AM1104" s="721" t="s">
        <v>607</v>
      </c>
      <c r="AN1104" s="466" t="s">
        <v>1712</v>
      </c>
      <c r="AO1104" s="685" t="s">
        <v>149</v>
      </c>
      <c r="AP1104" s="267"/>
      <c r="AQ1104" s="267"/>
      <c r="AR1104" s="267"/>
      <c r="AS1104" s="190"/>
      <c r="AT1104" s="257">
        <f>AU1104+AV1104</f>
        <v>4931.5249999999996</v>
      </c>
      <c r="AU1104" s="262">
        <f>SUMIF(БПр!$BA$131:$BA$160,AU$17 &amp; ".0-" &amp; AU$9,БПр!$M$131:$M$160)-SUMIF(БПр!$BA$131:$BA$160,AU$17 &amp; ".0-" &amp; AU$9,БПр!$U$131:$U$160)+SUMIF(БПр!$BA$131:$BA$160,AU$17 &amp; ".0-" &amp; AU$9,БПр!$AN$131:$AN$160)</f>
        <v>3086.04</v>
      </c>
      <c r="AV1104" s="262">
        <f>SUMIF(БПр!$BA$131:$BA$160,AV$17 &amp; ".0-" &amp; AV$9,БПр!$M$131:$M$160)-SUMIF(БПр!$BA$131:$BA$160,AV$17 &amp; ".0-" &amp; AV$9,БПр!$U$131:$U$160)+SUMIF(БПр!$BA$131:$BA$160,AV$17 &amp; ".0-" &amp; AV$9,БПр!$AN$131:$AN$160)</f>
        <v>1845.4849999999997</v>
      </c>
      <c r="AW1104" s="194"/>
      <c r="AX1104" s="169"/>
    </row>
    <row r="1105" spans="32:50" ht="0.75" hidden="1" customHeight="1">
      <c r="AF1105" s="115"/>
      <c r="AL1105" s="36"/>
      <c r="AM1105" s="491"/>
      <c r="AN1105" s="460"/>
      <c r="AO1105" s="461"/>
      <c r="AP1105" s="462"/>
      <c r="AQ1105" s="462"/>
      <c r="AR1105" s="462"/>
      <c r="AS1105" s="190"/>
      <c r="AT1105" s="266"/>
      <c r="AU1105" s="462"/>
      <c r="AV1105" s="462"/>
      <c r="AW1105" s="194"/>
      <c r="AX1105" s="169"/>
    </row>
    <row r="1106" spans="32:50" ht="11.25" customHeight="1">
      <c r="AF1106" s="115"/>
      <c r="AL1106" s="36"/>
      <c r="AM1106" s="721" t="s">
        <v>608</v>
      </c>
      <c r="AN1106" s="466" t="s">
        <v>2943</v>
      </c>
      <c r="AO1106" s="685" t="s">
        <v>149</v>
      </c>
      <c r="AP1106" s="267"/>
      <c r="AQ1106" s="267"/>
      <c r="AR1106" s="267"/>
      <c r="AS1106" s="190"/>
      <c r="AT1106" s="257">
        <f>AU1106+AV1106</f>
        <v>347.54000000000008</v>
      </c>
      <c r="AU1106" s="262">
        <f>SUMIF(БПр!$BA$131:$BA$160,AU$17 &amp; ".0-" &amp; AU$9,БПр!$K$131:$K$160)</f>
        <v>220.10000000000014</v>
      </c>
      <c r="AV1106" s="262">
        <f>SUMIF(БПр!$BA$131:$BA$160,AV$17 &amp; ".0-" &amp; AV$9,БПр!$K$131:$K$160)</f>
        <v>127.43999999999994</v>
      </c>
      <c r="AW1106" s="194"/>
      <c r="AX1106" s="169"/>
    </row>
    <row r="1107" spans="32:50" ht="11.25" customHeight="1">
      <c r="AF1107" s="115"/>
      <c r="AL1107" s="36"/>
      <c r="AM1107" s="721" t="s">
        <v>2944</v>
      </c>
      <c r="AN1107" s="466" t="s">
        <v>2945</v>
      </c>
      <c r="AO1107" s="685" t="s">
        <v>149</v>
      </c>
      <c r="AP1107" s="267"/>
      <c r="AQ1107" s="267"/>
      <c r="AR1107" s="267"/>
      <c r="AS1107" s="190"/>
      <c r="AT1107" s="754">
        <f>AU1107+AV1107</f>
        <v>347.54000000000008</v>
      </c>
      <c r="AU1107" s="245">
        <f>AU1106</f>
        <v>220.10000000000014</v>
      </c>
      <c r="AV1107" s="245">
        <f>AV1106</f>
        <v>127.43999999999994</v>
      </c>
      <c r="AW1107" s="194"/>
      <c r="AX1107" s="169"/>
    </row>
    <row r="1108" spans="32:50" ht="11.25" customHeight="1">
      <c r="AF1108" s="115"/>
      <c r="AL1108" s="36"/>
      <c r="AM1108" s="721" t="s">
        <v>2946</v>
      </c>
      <c r="AN1108" s="466" t="s">
        <v>2947</v>
      </c>
      <c r="AO1108" s="685" t="s">
        <v>149</v>
      </c>
      <c r="AP1108" s="267"/>
      <c r="AQ1108" s="267"/>
      <c r="AR1108" s="267"/>
      <c r="AS1108" s="190"/>
      <c r="AT1108" s="754">
        <f>AU1108+AV1108</f>
        <v>0</v>
      </c>
      <c r="AU1108" s="727">
        <f>AU1106-AU1107</f>
        <v>0</v>
      </c>
      <c r="AV1108" s="727">
        <f>AV1106-AV1107</f>
        <v>0</v>
      </c>
      <c r="AW1108" s="194"/>
      <c r="AX1108" s="169"/>
    </row>
    <row r="1109" spans="32:50" ht="0.75" hidden="1" customHeight="1">
      <c r="AF1109" s="115"/>
      <c r="AL1109" s="36"/>
      <c r="AM1109" s="491"/>
      <c r="AN1109" s="460"/>
      <c r="AO1109" s="461"/>
      <c r="AP1109" s="462"/>
      <c r="AQ1109" s="462"/>
      <c r="AR1109" s="462"/>
      <c r="AS1109" s="190"/>
      <c r="AT1109" s="266"/>
      <c r="AU1109" s="266"/>
      <c r="AV1109" s="266"/>
      <c r="AW1109" s="194"/>
      <c r="AX1109" s="169"/>
    </row>
    <row r="1110" spans="32:50" ht="36" customHeight="1">
      <c r="AF1110" s="115"/>
      <c r="AL1110" s="36"/>
      <c r="AM1110" s="490" t="s">
        <v>2948</v>
      </c>
      <c r="AN1110" s="463" t="s">
        <v>3001</v>
      </c>
      <c r="AO1110" s="189" t="s">
        <v>195</v>
      </c>
      <c r="AP1110" s="686">
        <f t="shared" ref="AP1110:AR1129" si="82">SUMIF($AS$9:$AW$9,AP$9,$AS1110:$AW1110)</f>
        <v>7522.3671557784783</v>
      </c>
      <c r="AQ1110" s="686">
        <f t="shared" si="82"/>
        <v>3761.1835778892391</v>
      </c>
      <c r="AR1110" s="686">
        <f t="shared" si="82"/>
        <v>3761.1835778892391</v>
      </c>
      <c r="AS1110" s="190"/>
      <c r="AT1110" s="263">
        <f>SUM(AT1111,AT1115:AT1120,AT1121,AT1126,AT1133,AT1134,AT1152:AT1161)</f>
        <v>7522.3671557784783</v>
      </c>
      <c r="AU1110" s="263">
        <f>SUM(AU1111,AU1115:AU1120,AU1121,AU1126,AU1133,AU1134,AU1152:AU1161)</f>
        <v>3761.1835778892391</v>
      </c>
      <c r="AV1110" s="263">
        <f>SUM(AV1111,AV1115:AV1120,AV1121,AV1126,AV1133,AV1134,AV1152:AV1161)</f>
        <v>3761.1835778892391</v>
      </c>
      <c r="AW1110" s="194"/>
      <c r="AX1110" s="169"/>
    </row>
    <row r="1111" spans="32:50" ht="11.25" customHeight="1">
      <c r="AF1111" s="413" t="s">
        <v>1328</v>
      </c>
      <c r="AL1111" s="36"/>
      <c r="AM1111" s="696" t="s">
        <v>2949</v>
      </c>
      <c r="AN1111" s="697" t="s">
        <v>1304</v>
      </c>
      <c r="AO1111" s="189" t="s">
        <v>195</v>
      </c>
      <c r="AP1111" s="256">
        <f t="shared" si="82"/>
        <v>7522.3671557784783</v>
      </c>
      <c r="AQ1111" s="256">
        <f t="shared" si="82"/>
        <v>3761.1835778892391</v>
      </c>
      <c r="AR1111" s="256">
        <f t="shared" si="82"/>
        <v>3761.1835778892391</v>
      </c>
      <c r="AS1111" s="190"/>
      <c r="AT1111" s="183">
        <f>SUM(AT1112:AT1114)</f>
        <v>7522.3671557784783</v>
      </c>
      <c r="AU1111" s="183">
        <f>SUM(AU1112:AU1114)</f>
        <v>3761.1835778892391</v>
      </c>
      <c r="AV1111" s="183">
        <f>SUM(AV1112:AV1114)</f>
        <v>3761.1835778892391</v>
      </c>
      <c r="AW1111" s="194"/>
      <c r="AX1111" s="169"/>
    </row>
    <row r="1112" spans="32:50" ht="11.25" customHeight="1">
      <c r="AF1112" s="413" t="s">
        <v>1329</v>
      </c>
      <c r="AL1112" s="36"/>
      <c r="AM1112" s="696" t="s">
        <v>2950</v>
      </c>
      <c r="AN1112" s="699" t="s">
        <v>713</v>
      </c>
      <c r="AO1112" s="189" t="s">
        <v>195</v>
      </c>
      <c r="AP1112" s="686">
        <f t="shared" si="82"/>
        <v>7522.3671557784783</v>
      </c>
      <c r="AQ1112" s="686">
        <f t="shared" si="82"/>
        <v>3761.1835778892391</v>
      </c>
      <c r="AR1112" s="686">
        <f t="shared" si="82"/>
        <v>3761.1835778892391</v>
      </c>
      <c r="AS1112" s="190"/>
      <c r="AT1112" s="183">
        <f>AU1112+AV1112</f>
        <v>7522.3671557784783</v>
      </c>
      <c r="AU1112" s="729">
        <f>IF(OR(AU38=0,AU1107=0,AU1106=0),0,AU38*AU1107/AU1106)</f>
        <v>3761.1835778892391</v>
      </c>
      <c r="AV1112" s="729">
        <f>IF(OR(AV38=0,AV1107=0,AV1106=0),0,AV38*AV1107/AV1106)</f>
        <v>3761.1835778892391</v>
      </c>
      <c r="AW1112" s="194"/>
      <c r="AX1112" s="169"/>
    </row>
    <row r="1113" spans="32:50" ht="11.25" customHeight="1">
      <c r="AF1113" s="413" t="s">
        <v>1330</v>
      </c>
      <c r="AL1113" s="36"/>
      <c r="AM1113" s="696" t="s">
        <v>2951</v>
      </c>
      <c r="AN1113" s="699" t="s">
        <v>715</v>
      </c>
      <c r="AO1113" s="189" t="s">
        <v>195</v>
      </c>
      <c r="AP1113" s="686">
        <f t="shared" si="82"/>
        <v>0</v>
      </c>
      <c r="AQ1113" s="686">
        <f t="shared" si="82"/>
        <v>0</v>
      </c>
      <c r="AR1113" s="686">
        <f t="shared" si="82"/>
        <v>0</v>
      </c>
      <c r="AS1113" s="190"/>
      <c r="AT1113" s="266"/>
      <c r="AU1113" s="266"/>
      <c r="AV1113" s="266"/>
      <c r="AW1113" s="194"/>
      <c r="AX1113" s="169"/>
    </row>
    <row r="1114" spans="32:50" ht="11.25" customHeight="1">
      <c r="AF1114" s="413" t="s">
        <v>1331</v>
      </c>
      <c r="AL1114" s="36"/>
      <c r="AM1114" s="696" t="s">
        <v>2952</v>
      </c>
      <c r="AN1114" s="699" t="s">
        <v>716</v>
      </c>
      <c r="AO1114" s="189" t="s">
        <v>195</v>
      </c>
      <c r="AP1114" s="686">
        <f t="shared" si="82"/>
        <v>0</v>
      </c>
      <c r="AQ1114" s="686">
        <f t="shared" si="82"/>
        <v>0</v>
      </c>
      <c r="AR1114" s="686">
        <f t="shared" si="82"/>
        <v>0</v>
      </c>
      <c r="AS1114" s="190"/>
      <c r="AT1114" s="266"/>
      <c r="AU1114" s="266"/>
      <c r="AV1114" s="266"/>
      <c r="AW1114" s="194"/>
      <c r="AX1114" s="169"/>
    </row>
    <row r="1115" spans="32:50" ht="11.25" customHeight="1">
      <c r="AF1115" s="413" t="s">
        <v>1340</v>
      </c>
      <c r="AL1115" s="36"/>
      <c r="AM1115" s="696" t="s">
        <v>2953</v>
      </c>
      <c r="AN1115" s="700" t="s">
        <v>1305</v>
      </c>
      <c r="AO1115" s="189" t="s">
        <v>195</v>
      </c>
      <c r="AP1115" s="686">
        <f t="shared" si="82"/>
        <v>0</v>
      </c>
      <c r="AQ1115" s="686">
        <f t="shared" si="82"/>
        <v>0</v>
      </c>
      <c r="AR1115" s="686">
        <f t="shared" si="82"/>
        <v>0</v>
      </c>
      <c r="AS1115" s="190"/>
      <c r="AT1115" s="266"/>
      <c r="AU1115" s="266"/>
      <c r="AV1115" s="266"/>
      <c r="AW1115" s="194"/>
      <c r="AX1115" s="169"/>
    </row>
    <row r="1116" spans="32:50" ht="11.25" customHeight="1">
      <c r="AF1116" s="413" t="s">
        <v>1341</v>
      </c>
      <c r="AL1116" s="36"/>
      <c r="AM1116" s="696" t="s">
        <v>2954</v>
      </c>
      <c r="AN1116" s="700" t="s">
        <v>1306</v>
      </c>
      <c r="AO1116" s="189" t="s">
        <v>195</v>
      </c>
      <c r="AP1116" s="686">
        <f t="shared" si="82"/>
        <v>0</v>
      </c>
      <c r="AQ1116" s="686">
        <f t="shared" si="82"/>
        <v>0</v>
      </c>
      <c r="AR1116" s="686">
        <f t="shared" si="82"/>
        <v>0</v>
      </c>
      <c r="AS1116" s="190"/>
      <c r="AT1116" s="266"/>
      <c r="AU1116" s="266"/>
      <c r="AV1116" s="266"/>
      <c r="AW1116" s="194"/>
      <c r="AX1116" s="169"/>
    </row>
    <row r="1117" spans="32:50" ht="11.25" customHeight="1">
      <c r="AF1117" s="413" t="s">
        <v>1342</v>
      </c>
      <c r="AL1117" s="36"/>
      <c r="AM1117" s="696" t="s">
        <v>2955</v>
      </c>
      <c r="AN1117" s="700" t="s">
        <v>1307</v>
      </c>
      <c r="AO1117" s="189" t="s">
        <v>195</v>
      </c>
      <c r="AP1117" s="686">
        <f t="shared" si="82"/>
        <v>0</v>
      </c>
      <c r="AQ1117" s="686">
        <f t="shared" si="82"/>
        <v>0</v>
      </c>
      <c r="AR1117" s="686">
        <f t="shared" si="82"/>
        <v>0</v>
      </c>
      <c r="AS1117" s="190"/>
      <c r="AT1117" s="266"/>
      <c r="AU1117" s="266"/>
      <c r="AV1117" s="266"/>
      <c r="AW1117" s="194"/>
      <c r="AX1117" s="169"/>
    </row>
    <row r="1118" spans="32:50" ht="11.25" customHeight="1">
      <c r="AF1118" s="413" t="s">
        <v>1339</v>
      </c>
      <c r="AL1118" s="36"/>
      <c r="AM1118" s="696" t="s">
        <v>2956</v>
      </c>
      <c r="AN1118" s="700" t="s">
        <v>1308</v>
      </c>
      <c r="AO1118" s="189" t="s">
        <v>195</v>
      </c>
      <c r="AP1118" s="686">
        <f t="shared" si="82"/>
        <v>0</v>
      </c>
      <c r="AQ1118" s="686">
        <f t="shared" si="82"/>
        <v>0</v>
      </c>
      <c r="AR1118" s="686">
        <f t="shared" si="82"/>
        <v>0</v>
      </c>
      <c r="AS1118" s="190"/>
      <c r="AT1118" s="266"/>
      <c r="AU1118" s="266"/>
      <c r="AV1118" s="266"/>
      <c r="AW1118" s="194"/>
      <c r="AX1118" s="169"/>
    </row>
    <row r="1119" spans="32:50" ht="11.25" customHeight="1">
      <c r="AF1119" s="413" t="s">
        <v>1332</v>
      </c>
      <c r="AL1119" s="36"/>
      <c r="AM1119" s="696" t="s">
        <v>2957</v>
      </c>
      <c r="AN1119" s="701" t="s">
        <v>684</v>
      </c>
      <c r="AO1119" s="189" t="s">
        <v>195</v>
      </c>
      <c r="AP1119" s="686">
        <f t="shared" si="82"/>
        <v>0</v>
      </c>
      <c r="AQ1119" s="686">
        <f t="shared" si="82"/>
        <v>0</v>
      </c>
      <c r="AR1119" s="686">
        <f t="shared" si="82"/>
        <v>0</v>
      </c>
      <c r="AS1119" s="190"/>
      <c r="AT1119" s="266"/>
      <c r="AU1119" s="266"/>
      <c r="AV1119" s="266"/>
      <c r="AW1119" s="194"/>
      <c r="AX1119" s="169"/>
    </row>
    <row r="1120" spans="32:50" ht="11.25" customHeight="1">
      <c r="AF1120" s="413" t="s">
        <v>1333</v>
      </c>
      <c r="AL1120" s="36"/>
      <c r="AM1120" s="696" t="s">
        <v>2958</v>
      </c>
      <c r="AN1120" s="702" t="s">
        <v>718</v>
      </c>
      <c r="AO1120" s="189" t="s">
        <v>195</v>
      </c>
      <c r="AP1120" s="686">
        <f t="shared" si="82"/>
        <v>0</v>
      </c>
      <c r="AQ1120" s="686">
        <f t="shared" si="82"/>
        <v>0</v>
      </c>
      <c r="AR1120" s="686">
        <f t="shared" si="82"/>
        <v>0</v>
      </c>
      <c r="AS1120" s="190"/>
      <c r="AT1120" s="266"/>
      <c r="AU1120" s="266"/>
      <c r="AV1120" s="266"/>
      <c r="AW1120" s="194"/>
      <c r="AX1120" s="169"/>
    </row>
    <row r="1121" spans="32:50" ht="11.25" customHeight="1">
      <c r="AF1121" s="413" t="s">
        <v>1334</v>
      </c>
      <c r="AL1121" s="36"/>
      <c r="AM1121" s="696" t="s">
        <v>2959</v>
      </c>
      <c r="AN1121" s="703" t="s">
        <v>722</v>
      </c>
      <c r="AO1121" s="189" t="s">
        <v>195</v>
      </c>
      <c r="AP1121" s="686">
        <f t="shared" si="82"/>
        <v>0</v>
      </c>
      <c r="AQ1121" s="686">
        <f t="shared" si="82"/>
        <v>0</v>
      </c>
      <c r="AR1121" s="686">
        <f t="shared" si="82"/>
        <v>0</v>
      </c>
      <c r="AS1121" s="190"/>
      <c r="AT1121" s="266"/>
      <c r="AU1121" s="266"/>
      <c r="AV1121" s="266"/>
      <c r="AW1121" s="194"/>
      <c r="AX1121" s="169"/>
    </row>
    <row r="1122" spans="32:50" ht="11.25" customHeight="1">
      <c r="AF1122" s="413" t="s">
        <v>1335</v>
      </c>
      <c r="AL1122" s="36"/>
      <c r="AM1122" s="696" t="s">
        <v>2960</v>
      </c>
      <c r="AN1122" s="704" t="s">
        <v>1309</v>
      </c>
      <c r="AO1122" s="189" t="s">
        <v>195</v>
      </c>
      <c r="AP1122" s="686">
        <f t="shared" si="82"/>
        <v>0</v>
      </c>
      <c r="AQ1122" s="686">
        <f t="shared" si="82"/>
        <v>0</v>
      </c>
      <c r="AR1122" s="686">
        <f t="shared" si="82"/>
        <v>0</v>
      </c>
      <c r="AS1122" s="190"/>
      <c r="AT1122" s="266"/>
      <c r="AU1122" s="266"/>
      <c r="AV1122" s="266"/>
      <c r="AW1122" s="194"/>
      <c r="AX1122" s="169"/>
    </row>
    <row r="1123" spans="32:50" ht="11.25" customHeight="1">
      <c r="AF1123" s="413" t="s">
        <v>1336</v>
      </c>
      <c r="AL1123" s="36"/>
      <c r="AM1123" s="696" t="s">
        <v>2961</v>
      </c>
      <c r="AN1123" s="704" t="s">
        <v>1310</v>
      </c>
      <c r="AO1123" s="189" t="s">
        <v>195</v>
      </c>
      <c r="AP1123" s="686">
        <f t="shared" si="82"/>
        <v>0</v>
      </c>
      <c r="AQ1123" s="686">
        <f t="shared" si="82"/>
        <v>0</v>
      </c>
      <c r="AR1123" s="686">
        <f t="shared" si="82"/>
        <v>0</v>
      </c>
      <c r="AS1123" s="190"/>
      <c r="AT1123" s="266"/>
      <c r="AU1123" s="266"/>
      <c r="AV1123" s="266"/>
      <c r="AW1123" s="194"/>
      <c r="AX1123" s="169"/>
    </row>
    <row r="1124" spans="32:50" ht="11.25" customHeight="1">
      <c r="AF1124" s="413" t="s">
        <v>1337</v>
      </c>
      <c r="AL1124" s="36"/>
      <c r="AM1124" s="696" t="s">
        <v>2962</v>
      </c>
      <c r="AN1124" s="704" t="s">
        <v>1311</v>
      </c>
      <c r="AO1124" s="189" t="s">
        <v>195</v>
      </c>
      <c r="AP1124" s="686">
        <f t="shared" si="82"/>
        <v>0</v>
      </c>
      <c r="AQ1124" s="686">
        <f t="shared" si="82"/>
        <v>0</v>
      </c>
      <c r="AR1124" s="686">
        <f t="shared" si="82"/>
        <v>0</v>
      </c>
      <c r="AS1124" s="190"/>
      <c r="AT1124" s="266"/>
      <c r="AU1124" s="266"/>
      <c r="AV1124" s="266"/>
      <c r="AW1124" s="194"/>
      <c r="AX1124" s="169"/>
    </row>
    <row r="1125" spans="32:50" ht="11.25" customHeight="1">
      <c r="AF1125" s="413" t="s">
        <v>1338</v>
      </c>
      <c r="AL1125" s="36"/>
      <c r="AM1125" s="696" t="s">
        <v>2963</v>
      </c>
      <c r="AN1125" s="704" t="s">
        <v>1312</v>
      </c>
      <c r="AO1125" s="189" t="s">
        <v>195</v>
      </c>
      <c r="AP1125" s="686">
        <f t="shared" si="82"/>
        <v>0</v>
      </c>
      <c r="AQ1125" s="686">
        <f t="shared" si="82"/>
        <v>0</v>
      </c>
      <c r="AR1125" s="686">
        <f t="shared" si="82"/>
        <v>0</v>
      </c>
      <c r="AS1125" s="190"/>
      <c r="AT1125" s="266"/>
      <c r="AU1125" s="266"/>
      <c r="AV1125" s="266"/>
      <c r="AW1125" s="194"/>
      <c r="AX1125" s="169"/>
    </row>
    <row r="1126" spans="32:50" ht="11.25" customHeight="1">
      <c r="AF1126" s="413" t="s">
        <v>1343</v>
      </c>
      <c r="AL1126" s="36"/>
      <c r="AM1126" s="696" t="s">
        <v>2964</v>
      </c>
      <c r="AN1126" s="705" t="s">
        <v>720</v>
      </c>
      <c r="AO1126" s="189" t="s">
        <v>195</v>
      </c>
      <c r="AP1126" s="686">
        <f t="shared" si="82"/>
        <v>0</v>
      </c>
      <c r="AQ1126" s="686">
        <f t="shared" si="82"/>
        <v>0</v>
      </c>
      <c r="AR1126" s="686">
        <f t="shared" si="82"/>
        <v>0</v>
      </c>
      <c r="AS1126" s="190"/>
      <c r="AT1126" s="266"/>
      <c r="AU1126" s="266"/>
      <c r="AV1126" s="266"/>
      <c r="AW1126" s="194"/>
      <c r="AX1126" s="169"/>
    </row>
    <row r="1127" spans="32:50" ht="11.25" customHeight="1">
      <c r="AF1127" s="413" t="s">
        <v>1866</v>
      </c>
      <c r="AL1127" s="36"/>
      <c r="AM1127" s="696" t="s">
        <v>2965</v>
      </c>
      <c r="AN1127" s="706" t="s">
        <v>1313</v>
      </c>
      <c r="AO1127" s="189" t="s">
        <v>195</v>
      </c>
      <c r="AP1127" s="686">
        <f t="shared" si="82"/>
        <v>0</v>
      </c>
      <c r="AQ1127" s="686">
        <f t="shared" si="82"/>
        <v>0</v>
      </c>
      <c r="AR1127" s="686">
        <f t="shared" si="82"/>
        <v>0</v>
      </c>
      <c r="AS1127" s="190"/>
      <c r="AT1127" s="266"/>
      <c r="AU1127" s="266"/>
      <c r="AV1127" s="266"/>
      <c r="AW1127" s="194"/>
      <c r="AX1127" s="169"/>
    </row>
    <row r="1128" spans="32:50" ht="11.25" customHeight="1">
      <c r="AF1128" s="413" t="s">
        <v>1847</v>
      </c>
      <c r="AL1128" s="36"/>
      <c r="AM1128" s="696" t="s">
        <v>2966</v>
      </c>
      <c r="AN1128" s="706" t="s">
        <v>1314</v>
      </c>
      <c r="AO1128" s="189" t="s">
        <v>195</v>
      </c>
      <c r="AP1128" s="686">
        <f t="shared" si="82"/>
        <v>0</v>
      </c>
      <c r="AQ1128" s="686">
        <f t="shared" si="82"/>
        <v>0</v>
      </c>
      <c r="AR1128" s="686">
        <f t="shared" si="82"/>
        <v>0</v>
      </c>
      <c r="AS1128" s="190"/>
      <c r="AT1128" s="266"/>
      <c r="AU1128" s="266"/>
      <c r="AV1128" s="266"/>
      <c r="AW1128" s="194"/>
      <c r="AX1128" s="169"/>
    </row>
    <row r="1129" spans="32:50" ht="11.25" customHeight="1">
      <c r="AF1129" s="413" t="s">
        <v>1827</v>
      </c>
      <c r="AL1129" s="36"/>
      <c r="AM1129" s="696" t="s">
        <v>2967</v>
      </c>
      <c r="AN1129" s="706" t="s">
        <v>1315</v>
      </c>
      <c r="AO1129" s="189" t="s">
        <v>195</v>
      </c>
      <c r="AP1129" s="686">
        <f t="shared" si="82"/>
        <v>0</v>
      </c>
      <c r="AQ1129" s="686">
        <f t="shared" si="82"/>
        <v>0</v>
      </c>
      <c r="AR1129" s="686">
        <f t="shared" si="82"/>
        <v>0</v>
      </c>
      <c r="AS1129" s="190"/>
      <c r="AT1129" s="266"/>
      <c r="AU1129" s="266"/>
      <c r="AV1129" s="266"/>
      <c r="AW1129" s="194"/>
      <c r="AX1129" s="169"/>
    </row>
    <row r="1130" spans="32:50" ht="11.25" customHeight="1">
      <c r="AF1130" s="413" t="s">
        <v>1344</v>
      </c>
      <c r="AL1130" s="36"/>
      <c r="AM1130" s="696" t="s">
        <v>2968</v>
      </c>
      <c r="AN1130" s="706" t="s">
        <v>1316</v>
      </c>
      <c r="AO1130" s="189" t="s">
        <v>195</v>
      </c>
      <c r="AP1130" s="686">
        <f t="shared" ref="AP1130:AR1149" si="83">SUMIF($AS$9:$AW$9,AP$9,$AS1130:$AW1130)</f>
        <v>0</v>
      </c>
      <c r="AQ1130" s="686">
        <f t="shared" si="83"/>
        <v>0</v>
      </c>
      <c r="AR1130" s="686">
        <f t="shared" si="83"/>
        <v>0</v>
      </c>
      <c r="AS1130" s="190"/>
      <c r="AT1130" s="266"/>
      <c r="AU1130" s="266"/>
      <c r="AV1130" s="266"/>
      <c r="AW1130" s="194"/>
      <c r="AX1130" s="169"/>
    </row>
    <row r="1131" spans="32:50" ht="11.25" customHeight="1">
      <c r="AF1131" s="413" t="s">
        <v>1345</v>
      </c>
      <c r="AL1131" s="36"/>
      <c r="AM1131" s="696" t="s">
        <v>2969</v>
      </c>
      <c r="AN1131" s="706" t="s">
        <v>1317</v>
      </c>
      <c r="AO1131" s="189" t="s">
        <v>195</v>
      </c>
      <c r="AP1131" s="686">
        <f t="shared" si="83"/>
        <v>0</v>
      </c>
      <c r="AQ1131" s="686">
        <f t="shared" si="83"/>
        <v>0</v>
      </c>
      <c r="AR1131" s="686">
        <f t="shared" si="83"/>
        <v>0</v>
      </c>
      <c r="AS1131" s="190"/>
      <c r="AT1131" s="266"/>
      <c r="AU1131" s="266"/>
      <c r="AV1131" s="266"/>
      <c r="AW1131" s="194"/>
      <c r="AX1131" s="169"/>
    </row>
    <row r="1132" spans="32:50" ht="11.25" customHeight="1">
      <c r="AF1132" s="413" t="s">
        <v>1346</v>
      </c>
      <c r="AL1132" s="36"/>
      <c r="AM1132" s="696" t="s">
        <v>2970</v>
      </c>
      <c r="AN1132" s="706" t="s">
        <v>1318</v>
      </c>
      <c r="AO1132" s="189" t="s">
        <v>195</v>
      </c>
      <c r="AP1132" s="686">
        <f t="shared" si="83"/>
        <v>0</v>
      </c>
      <c r="AQ1132" s="686">
        <f t="shared" si="83"/>
        <v>0</v>
      </c>
      <c r="AR1132" s="686">
        <f t="shared" si="83"/>
        <v>0</v>
      </c>
      <c r="AS1132" s="190"/>
      <c r="AT1132" s="266"/>
      <c r="AU1132" s="266"/>
      <c r="AV1132" s="266"/>
      <c r="AW1132" s="194"/>
      <c r="AX1132" s="169"/>
    </row>
    <row r="1133" spans="32:50" ht="11.25" customHeight="1">
      <c r="AF1133" s="413" t="s">
        <v>1347</v>
      </c>
      <c r="AL1133" s="36"/>
      <c r="AM1133" s="696" t="s">
        <v>2971</v>
      </c>
      <c r="AN1133" s="707" t="s">
        <v>721</v>
      </c>
      <c r="AO1133" s="189" t="s">
        <v>195</v>
      </c>
      <c r="AP1133" s="686">
        <f t="shared" si="83"/>
        <v>0</v>
      </c>
      <c r="AQ1133" s="686">
        <f t="shared" si="83"/>
        <v>0</v>
      </c>
      <c r="AR1133" s="686">
        <f t="shared" si="83"/>
        <v>0</v>
      </c>
      <c r="AS1133" s="190"/>
      <c r="AT1133" s="266"/>
      <c r="AU1133" s="266"/>
      <c r="AV1133" s="266"/>
      <c r="AW1133" s="194"/>
      <c r="AX1133" s="169"/>
    </row>
    <row r="1134" spans="32:50" ht="11.25" customHeight="1">
      <c r="AF1134" s="413" t="s">
        <v>1348</v>
      </c>
      <c r="AL1134" s="36"/>
      <c r="AM1134" s="696" t="s">
        <v>2972</v>
      </c>
      <c r="AN1134" s="708" t="s">
        <v>712</v>
      </c>
      <c r="AO1134" s="189" t="s">
        <v>195</v>
      </c>
      <c r="AP1134" s="686">
        <f t="shared" si="83"/>
        <v>0</v>
      </c>
      <c r="AQ1134" s="686">
        <f t="shared" si="83"/>
        <v>0</v>
      </c>
      <c r="AR1134" s="686">
        <f t="shared" si="83"/>
        <v>0</v>
      </c>
      <c r="AS1134" s="190"/>
      <c r="AT1134" s="266"/>
      <c r="AU1134" s="266"/>
      <c r="AV1134" s="266"/>
      <c r="AW1134" s="194"/>
      <c r="AX1134" s="169"/>
    </row>
    <row r="1135" spans="32:50" ht="11.25" customHeight="1">
      <c r="AF1135" s="413" t="s">
        <v>2612</v>
      </c>
      <c r="AL1135" s="36"/>
      <c r="AM1135" s="696" t="s">
        <v>2973</v>
      </c>
      <c r="AN1135" s="709" t="s">
        <v>1319</v>
      </c>
      <c r="AO1135" s="189" t="s">
        <v>195</v>
      </c>
      <c r="AP1135" s="686">
        <f t="shared" si="83"/>
        <v>0</v>
      </c>
      <c r="AQ1135" s="686">
        <f t="shared" si="83"/>
        <v>0</v>
      </c>
      <c r="AR1135" s="686">
        <f t="shared" si="83"/>
        <v>0</v>
      </c>
      <c r="AS1135" s="190"/>
      <c r="AT1135" s="266"/>
      <c r="AU1135" s="266"/>
      <c r="AV1135" s="266"/>
      <c r="AW1135" s="194"/>
      <c r="AX1135" s="169"/>
    </row>
    <row r="1136" spans="32:50" ht="11.25" customHeight="1">
      <c r="AF1136" s="413" t="s">
        <v>2614</v>
      </c>
      <c r="AL1136" s="36"/>
      <c r="AM1136" s="696" t="s">
        <v>2974</v>
      </c>
      <c r="AN1136" s="709" t="s">
        <v>1320</v>
      </c>
      <c r="AO1136" s="189" t="s">
        <v>195</v>
      </c>
      <c r="AP1136" s="686">
        <f t="shared" si="83"/>
        <v>0</v>
      </c>
      <c r="AQ1136" s="686">
        <f t="shared" si="83"/>
        <v>0</v>
      </c>
      <c r="AR1136" s="686">
        <f t="shared" si="83"/>
        <v>0</v>
      </c>
      <c r="AS1136" s="190"/>
      <c r="AT1136" s="266"/>
      <c r="AU1136" s="266"/>
      <c r="AV1136" s="266"/>
      <c r="AW1136" s="194"/>
      <c r="AX1136" s="169"/>
    </row>
    <row r="1137" spans="32:50" ht="11.25" customHeight="1">
      <c r="AF1137" s="413" t="s">
        <v>2616</v>
      </c>
      <c r="AL1137" s="36"/>
      <c r="AM1137" s="696" t="s">
        <v>2975</v>
      </c>
      <c r="AN1137" s="709" t="s">
        <v>1321</v>
      </c>
      <c r="AO1137" s="189" t="s">
        <v>195</v>
      </c>
      <c r="AP1137" s="686">
        <f t="shared" si="83"/>
        <v>0</v>
      </c>
      <c r="AQ1137" s="686">
        <f t="shared" si="83"/>
        <v>0</v>
      </c>
      <c r="AR1137" s="686">
        <f t="shared" si="83"/>
        <v>0</v>
      </c>
      <c r="AS1137" s="190"/>
      <c r="AT1137" s="266"/>
      <c r="AU1137" s="266"/>
      <c r="AV1137" s="266"/>
      <c r="AW1137" s="194"/>
      <c r="AX1137" s="169"/>
    </row>
    <row r="1138" spans="32:50" ht="11.25" customHeight="1">
      <c r="AF1138" s="413" t="s">
        <v>2619</v>
      </c>
      <c r="AL1138" s="36"/>
      <c r="AM1138" s="696" t="s">
        <v>2976</v>
      </c>
      <c r="AN1138" s="709" t="s">
        <v>2618</v>
      </c>
      <c r="AO1138" s="189" t="s">
        <v>195</v>
      </c>
      <c r="AP1138" s="686">
        <f t="shared" si="83"/>
        <v>0</v>
      </c>
      <c r="AQ1138" s="686">
        <f t="shared" si="83"/>
        <v>0</v>
      </c>
      <c r="AR1138" s="686">
        <f t="shared" si="83"/>
        <v>0</v>
      </c>
      <c r="AS1138" s="190"/>
      <c r="AT1138" s="266"/>
      <c r="AU1138" s="266"/>
      <c r="AV1138" s="266"/>
      <c r="AW1138" s="194"/>
      <c r="AX1138" s="169"/>
    </row>
    <row r="1139" spans="32:50" ht="11.25" customHeight="1">
      <c r="AF1139" s="413" t="s">
        <v>2622</v>
      </c>
      <c r="AL1139" s="36"/>
      <c r="AM1139" s="696" t="s">
        <v>2977</v>
      </c>
      <c r="AN1139" s="709" t="s">
        <v>2621</v>
      </c>
      <c r="AO1139" s="189" t="s">
        <v>195</v>
      </c>
      <c r="AP1139" s="686">
        <f t="shared" si="83"/>
        <v>0</v>
      </c>
      <c r="AQ1139" s="686">
        <f t="shared" si="83"/>
        <v>0</v>
      </c>
      <c r="AR1139" s="686">
        <f t="shared" si="83"/>
        <v>0</v>
      </c>
      <c r="AS1139" s="190"/>
      <c r="AT1139" s="266"/>
      <c r="AU1139" s="266"/>
      <c r="AV1139" s="266"/>
      <c r="AW1139" s="194"/>
      <c r="AX1139" s="169"/>
    </row>
    <row r="1140" spans="32:50" ht="11.25" customHeight="1">
      <c r="AF1140" s="413" t="s">
        <v>2624</v>
      </c>
      <c r="AL1140" s="36"/>
      <c r="AM1140" s="696" t="s">
        <v>2978</v>
      </c>
      <c r="AN1140" s="709" t="s">
        <v>1322</v>
      </c>
      <c r="AO1140" s="189" t="s">
        <v>195</v>
      </c>
      <c r="AP1140" s="686">
        <f t="shared" si="83"/>
        <v>0</v>
      </c>
      <c r="AQ1140" s="686">
        <f t="shared" si="83"/>
        <v>0</v>
      </c>
      <c r="AR1140" s="686">
        <f t="shared" si="83"/>
        <v>0</v>
      </c>
      <c r="AS1140" s="190"/>
      <c r="AT1140" s="266"/>
      <c r="AU1140" s="266"/>
      <c r="AV1140" s="266"/>
      <c r="AW1140" s="194"/>
      <c r="AX1140" s="169"/>
    </row>
    <row r="1141" spans="32:50" ht="11.25" customHeight="1">
      <c r="AF1141" s="413" t="s">
        <v>2627</v>
      </c>
      <c r="AL1141" s="36"/>
      <c r="AM1141" s="696" t="s">
        <v>2979</v>
      </c>
      <c r="AN1141" s="709" t="s">
        <v>2626</v>
      </c>
      <c r="AO1141" s="189" t="s">
        <v>195</v>
      </c>
      <c r="AP1141" s="686">
        <f t="shared" si="83"/>
        <v>0</v>
      </c>
      <c r="AQ1141" s="686">
        <f t="shared" si="83"/>
        <v>0</v>
      </c>
      <c r="AR1141" s="686">
        <f t="shared" si="83"/>
        <v>0</v>
      </c>
      <c r="AS1141" s="190"/>
      <c r="AT1141" s="266"/>
      <c r="AU1141" s="266"/>
      <c r="AV1141" s="266"/>
      <c r="AW1141" s="194"/>
      <c r="AX1141" s="169"/>
    </row>
    <row r="1142" spans="32:50" ht="11.25" customHeight="1">
      <c r="AF1142" s="413" t="s">
        <v>2629</v>
      </c>
      <c r="AL1142" s="36"/>
      <c r="AM1142" s="696" t="s">
        <v>2980</v>
      </c>
      <c r="AN1142" s="709" t="s">
        <v>1323</v>
      </c>
      <c r="AO1142" s="189" t="s">
        <v>195</v>
      </c>
      <c r="AP1142" s="686">
        <f t="shared" si="83"/>
        <v>0</v>
      </c>
      <c r="AQ1142" s="686">
        <f t="shared" si="83"/>
        <v>0</v>
      </c>
      <c r="AR1142" s="686">
        <f t="shared" si="83"/>
        <v>0</v>
      </c>
      <c r="AS1142" s="190"/>
      <c r="AT1142" s="266"/>
      <c r="AU1142" s="266"/>
      <c r="AV1142" s="266"/>
      <c r="AW1142" s="194"/>
      <c r="AX1142" s="169"/>
    </row>
    <row r="1143" spans="32:50" ht="11.25" customHeight="1">
      <c r="AF1143" s="413" t="s">
        <v>2631</v>
      </c>
      <c r="AL1143" s="36"/>
      <c r="AM1143" s="696" t="s">
        <v>2981</v>
      </c>
      <c r="AN1143" s="709" t="s">
        <v>1324</v>
      </c>
      <c r="AO1143" s="189" t="s">
        <v>195</v>
      </c>
      <c r="AP1143" s="686">
        <f t="shared" si="83"/>
        <v>0</v>
      </c>
      <c r="AQ1143" s="686">
        <f t="shared" si="83"/>
        <v>0</v>
      </c>
      <c r="AR1143" s="686">
        <f t="shared" si="83"/>
        <v>0</v>
      </c>
      <c r="AS1143" s="190"/>
      <c r="AT1143" s="266"/>
      <c r="AU1143" s="266"/>
      <c r="AV1143" s="266"/>
      <c r="AW1143" s="194"/>
      <c r="AX1143" s="169"/>
    </row>
    <row r="1144" spans="32:50" ht="11.25" customHeight="1">
      <c r="AF1144" s="413" t="s">
        <v>2634</v>
      </c>
      <c r="AL1144" s="36"/>
      <c r="AM1144" s="696" t="s">
        <v>2982</v>
      </c>
      <c r="AN1144" s="709" t="s">
        <v>2633</v>
      </c>
      <c r="AO1144" s="189" t="s">
        <v>195</v>
      </c>
      <c r="AP1144" s="686">
        <f t="shared" si="83"/>
        <v>0</v>
      </c>
      <c r="AQ1144" s="686">
        <f t="shared" si="83"/>
        <v>0</v>
      </c>
      <c r="AR1144" s="686">
        <f t="shared" si="83"/>
        <v>0</v>
      </c>
      <c r="AS1144" s="190"/>
      <c r="AT1144" s="266"/>
      <c r="AU1144" s="266"/>
      <c r="AV1144" s="266"/>
      <c r="AW1144" s="194"/>
      <c r="AX1144" s="169"/>
    </row>
    <row r="1145" spans="32:50" ht="11.25" customHeight="1">
      <c r="AF1145" s="413" t="s">
        <v>2637</v>
      </c>
      <c r="AL1145" s="36"/>
      <c r="AM1145" s="696" t="s">
        <v>2983</v>
      </c>
      <c r="AN1145" s="709" t="s">
        <v>2636</v>
      </c>
      <c r="AO1145" s="189" t="s">
        <v>195</v>
      </c>
      <c r="AP1145" s="686">
        <f t="shared" si="83"/>
        <v>0</v>
      </c>
      <c r="AQ1145" s="686">
        <f t="shared" si="83"/>
        <v>0</v>
      </c>
      <c r="AR1145" s="686">
        <f t="shared" si="83"/>
        <v>0</v>
      </c>
      <c r="AS1145" s="190"/>
      <c r="AT1145" s="266"/>
      <c r="AU1145" s="266"/>
      <c r="AV1145" s="266"/>
      <c r="AW1145" s="194"/>
      <c r="AX1145" s="169"/>
    </row>
    <row r="1146" spans="32:50" ht="11.25" customHeight="1">
      <c r="AF1146" s="413" t="s">
        <v>2640</v>
      </c>
      <c r="AL1146" s="36"/>
      <c r="AM1146" s="696" t="s">
        <v>2984</v>
      </c>
      <c r="AN1146" s="709" t="s">
        <v>2639</v>
      </c>
      <c r="AO1146" s="189" t="s">
        <v>195</v>
      </c>
      <c r="AP1146" s="686">
        <f t="shared" si="83"/>
        <v>0</v>
      </c>
      <c r="AQ1146" s="686">
        <f t="shared" si="83"/>
        <v>0</v>
      </c>
      <c r="AR1146" s="686">
        <f t="shared" si="83"/>
        <v>0</v>
      </c>
      <c r="AS1146" s="190"/>
      <c r="AT1146" s="266"/>
      <c r="AU1146" s="266"/>
      <c r="AV1146" s="266"/>
      <c r="AW1146" s="194"/>
      <c r="AX1146" s="169"/>
    </row>
    <row r="1147" spans="32:50" ht="11.25" customHeight="1">
      <c r="AF1147" s="413" t="s">
        <v>2643</v>
      </c>
      <c r="AL1147" s="36"/>
      <c r="AM1147" s="696" t="s">
        <v>2985</v>
      </c>
      <c r="AN1147" s="709" t="s">
        <v>2642</v>
      </c>
      <c r="AO1147" s="189" t="s">
        <v>195</v>
      </c>
      <c r="AP1147" s="686">
        <f t="shared" si="83"/>
        <v>0</v>
      </c>
      <c r="AQ1147" s="686">
        <f t="shared" si="83"/>
        <v>0</v>
      </c>
      <c r="AR1147" s="686">
        <f t="shared" si="83"/>
        <v>0</v>
      </c>
      <c r="AS1147" s="190"/>
      <c r="AT1147" s="266"/>
      <c r="AU1147" s="266"/>
      <c r="AV1147" s="266"/>
      <c r="AW1147" s="194"/>
      <c r="AX1147" s="169"/>
    </row>
    <row r="1148" spans="32:50" ht="11.25" customHeight="1">
      <c r="AF1148" s="413" t="s">
        <v>2646</v>
      </c>
      <c r="AL1148" s="36"/>
      <c r="AM1148" s="696" t="s">
        <v>2986</v>
      </c>
      <c r="AN1148" s="709" t="s">
        <v>2645</v>
      </c>
      <c r="AO1148" s="189" t="s">
        <v>195</v>
      </c>
      <c r="AP1148" s="686">
        <f t="shared" si="83"/>
        <v>0</v>
      </c>
      <c r="AQ1148" s="686">
        <f t="shared" si="83"/>
        <v>0</v>
      </c>
      <c r="AR1148" s="686">
        <f t="shared" si="83"/>
        <v>0</v>
      </c>
      <c r="AS1148" s="190"/>
      <c r="AT1148" s="266"/>
      <c r="AU1148" s="266"/>
      <c r="AV1148" s="266"/>
      <c r="AW1148" s="194"/>
      <c r="AX1148" s="169"/>
    </row>
    <row r="1149" spans="32:50" ht="11.25" customHeight="1">
      <c r="AF1149" s="413" t="s">
        <v>2648</v>
      </c>
      <c r="AL1149" s="36"/>
      <c r="AM1149" s="696" t="s">
        <v>2987</v>
      </c>
      <c r="AN1149" s="709" t="s">
        <v>1325</v>
      </c>
      <c r="AO1149" s="189" t="s">
        <v>195</v>
      </c>
      <c r="AP1149" s="686">
        <f t="shared" si="83"/>
        <v>0</v>
      </c>
      <c r="AQ1149" s="686">
        <f t="shared" si="83"/>
        <v>0</v>
      </c>
      <c r="AR1149" s="686">
        <f t="shared" si="83"/>
        <v>0</v>
      </c>
      <c r="AS1149" s="190"/>
      <c r="AT1149" s="266"/>
      <c r="AU1149" s="266"/>
      <c r="AV1149" s="266"/>
      <c r="AW1149" s="194"/>
      <c r="AX1149" s="169"/>
    </row>
    <row r="1150" spans="32:50" ht="11.25" customHeight="1">
      <c r="AF1150" s="413" t="s">
        <v>2650</v>
      </c>
      <c r="AL1150" s="36"/>
      <c r="AM1150" s="696" t="s">
        <v>2988</v>
      </c>
      <c r="AN1150" s="709" t="s">
        <v>1326</v>
      </c>
      <c r="AO1150" s="189" t="s">
        <v>195</v>
      </c>
      <c r="AP1150" s="686">
        <f t="shared" ref="AP1150:AR1161" si="84">SUMIF($AS$9:$AW$9,AP$9,$AS1150:$AW1150)</f>
        <v>0</v>
      </c>
      <c r="AQ1150" s="686">
        <f t="shared" si="84"/>
        <v>0</v>
      </c>
      <c r="AR1150" s="686">
        <f t="shared" si="84"/>
        <v>0</v>
      </c>
      <c r="AS1150" s="190"/>
      <c r="AT1150" s="266"/>
      <c r="AU1150" s="266"/>
      <c r="AV1150" s="266"/>
      <c r="AW1150" s="194"/>
      <c r="AX1150" s="169"/>
    </row>
    <row r="1151" spans="32:50" ht="11.25" customHeight="1">
      <c r="AF1151" s="413" t="s">
        <v>2653</v>
      </c>
      <c r="AL1151" s="36"/>
      <c r="AM1151" s="696" t="s">
        <v>2989</v>
      </c>
      <c r="AN1151" s="709" t="s">
        <v>2652</v>
      </c>
      <c r="AO1151" s="189" t="s">
        <v>195</v>
      </c>
      <c r="AP1151" s="686">
        <f t="shared" si="84"/>
        <v>0</v>
      </c>
      <c r="AQ1151" s="686">
        <f t="shared" si="84"/>
        <v>0</v>
      </c>
      <c r="AR1151" s="686">
        <f t="shared" si="84"/>
        <v>0</v>
      </c>
      <c r="AS1151" s="190"/>
      <c r="AT1151" s="266"/>
      <c r="AU1151" s="266"/>
      <c r="AV1151" s="266"/>
      <c r="AW1151" s="194"/>
      <c r="AX1151" s="169"/>
    </row>
    <row r="1152" spans="32:50" ht="11.25" customHeight="1">
      <c r="AF1152" s="413" t="s">
        <v>1366</v>
      </c>
      <c r="AL1152" s="36"/>
      <c r="AM1152" s="696" t="s">
        <v>2990</v>
      </c>
      <c r="AN1152" s="710" t="s">
        <v>1364</v>
      </c>
      <c r="AO1152" s="189" t="s">
        <v>195</v>
      </c>
      <c r="AP1152" s="686">
        <f t="shared" si="84"/>
        <v>0</v>
      </c>
      <c r="AQ1152" s="686">
        <f t="shared" si="84"/>
        <v>0</v>
      </c>
      <c r="AR1152" s="686">
        <f t="shared" si="84"/>
        <v>0</v>
      </c>
      <c r="AS1152" s="190"/>
      <c r="AT1152" s="266"/>
      <c r="AU1152" s="266"/>
      <c r="AV1152" s="266"/>
      <c r="AW1152" s="194"/>
      <c r="AX1152" s="169"/>
    </row>
    <row r="1153" spans="32:50" ht="11.25" customHeight="1">
      <c r="AF1153" s="413" t="s">
        <v>1367</v>
      </c>
      <c r="AL1153" s="36"/>
      <c r="AM1153" s="696" t="s">
        <v>2991</v>
      </c>
      <c r="AN1153" s="710" t="s">
        <v>1365</v>
      </c>
      <c r="AO1153" s="189" t="s">
        <v>195</v>
      </c>
      <c r="AP1153" s="686">
        <f t="shared" si="84"/>
        <v>0</v>
      </c>
      <c r="AQ1153" s="686">
        <f t="shared" si="84"/>
        <v>0</v>
      </c>
      <c r="AR1153" s="686">
        <f t="shared" si="84"/>
        <v>0</v>
      </c>
      <c r="AS1153" s="190"/>
      <c r="AT1153" s="266"/>
      <c r="AU1153" s="266"/>
      <c r="AV1153" s="266"/>
      <c r="AW1153" s="194"/>
      <c r="AX1153" s="169"/>
    </row>
    <row r="1154" spans="32:50" ht="11.25" customHeight="1">
      <c r="AF1154" s="413" t="s">
        <v>1357</v>
      </c>
      <c r="AL1154" s="36"/>
      <c r="AM1154" s="696" t="s">
        <v>2992</v>
      </c>
      <c r="AN1154" s="711" t="s">
        <v>1327</v>
      </c>
      <c r="AO1154" s="189" t="s">
        <v>195</v>
      </c>
      <c r="AP1154" s="686">
        <f t="shared" si="84"/>
        <v>0</v>
      </c>
      <c r="AQ1154" s="686">
        <f t="shared" si="84"/>
        <v>0</v>
      </c>
      <c r="AR1154" s="686">
        <f t="shared" si="84"/>
        <v>0</v>
      </c>
      <c r="AS1154" s="190"/>
      <c r="AT1154" s="266"/>
      <c r="AU1154" s="266"/>
      <c r="AV1154" s="266"/>
      <c r="AW1154" s="194"/>
      <c r="AX1154" s="169"/>
    </row>
    <row r="1155" spans="32:50" ht="11.25" customHeight="1">
      <c r="AF1155" s="413" t="s">
        <v>1350</v>
      </c>
      <c r="AL1155" s="36"/>
      <c r="AM1155" s="696" t="s">
        <v>2993</v>
      </c>
      <c r="AN1155" s="712" t="s">
        <v>723</v>
      </c>
      <c r="AO1155" s="189" t="s">
        <v>195</v>
      </c>
      <c r="AP1155" s="686">
        <f t="shared" si="84"/>
        <v>0</v>
      </c>
      <c r="AQ1155" s="686">
        <f t="shared" si="84"/>
        <v>0</v>
      </c>
      <c r="AR1155" s="686">
        <f t="shared" si="84"/>
        <v>0</v>
      </c>
      <c r="AS1155" s="190"/>
      <c r="AT1155" s="266"/>
      <c r="AU1155" s="266"/>
      <c r="AV1155" s="266"/>
      <c r="AW1155" s="194"/>
      <c r="AX1155" s="169"/>
    </row>
    <row r="1156" spans="32:50" ht="11.25" customHeight="1">
      <c r="AF1156" s="413" t="s">
        <v>1351</v>
      </c>
      <c r="AL1156" s="36"/>
      <c r="AM1156" s="696" t="s">
        <v>2994</v>
      </c>
      <c r="AN1156" s="713" t="s">
        <v>748</v>
      </c>
      <c r="AO1156" s="189" t="s">
        <v>195</v>
      </c>
      <c r="AP1156" s="686">
        <f t="shared" si="84"/>
        <v>0</v>
      </c>
      <c r="AQ1156" s="686">
        <f t="shared" si="84"/>
        <v>0</v>
      </c>
      <c r="AR1156" s="686">
        <f t="shared" si="84"/>
        <v>0</v>
      </c>
      <c r="AS1156" s="190"/>
      <c r="AT1156" s="266"/>
      <c r="AU1156" s="266"/>
      <c r="AV1156" s="266"/>
      <c r="AW1156" s="194"/>
      <c r="AX1156" s="169"/>
    </row>
    <row r="1157" spans="32:50" ht="11.25" customHeight="1">
      <c r="AF1157" s="413" t="s">
        <v>1352</v>
      </c>
      <c r="AL1157" s="36"/>
      <c r="AM1157" s="696" t="s">
        <v>2995</v>
      </c>
      <c r="AN1157" s="714" t="s">
        <v>315</v>
      </c>
      <c r="AO1157" s="189" t="s">
        <v>195</v>
      </c>
      <c r="AP1157" s="686">
        <f t="shared" si="84"/>
        <v>0</v>
      </c>
      <c r="AQ1157" s="686">
        <f t="shared" si="84"/>
        <v>0</v>
      </c>
      <c r="AR1157" s="686">
        <f t="shared" si="84"/>
        <v>0</v>
      </c>
      <c r="AS1157" s="190"/>
      <c r="AT1157" s="266"/>
      <c r="AU1157" s="266"/>
      <c r="AV1157" s="266"/>
      <c r="AW1157" s="194"/>
      <c r="AX1157" s="169"/>
    </row>
    <row r="1158" spans="32:50" ht="11.25" customHeight="1">
      <c r="AF1158" s="413" t="s">
        <v>1354</v>
      </c>
      <c r="AL1158" s="36"/>
      <c r="AM1158" s="696" t="s">
        <v>2996</v>
      </c>
      <c r="AN1158" s="715" t="s">
        <v>316</v>
      </c>
      <c r="AO1158" s="189" t="s">
        <v>195</v>
      </c>
      <c r="AP1158" s="686">
        <f t="shared" si="84"/>
        <v>0</v>
      </c>
      <c r="AQ1158" s="686">
        <f t="shared" si="84"/>
        <v>0</v>
      </c>
      <c r="AR1158" s="686">
        <f t="shared" si="84"/>
        <v>0</v>
      </c>
      <c r="AS1158" s="190"/>
      <c r="AT1158" s="266"/>
      <c r="AU1158" s="266"/>
      <c r="AV1158" s="266"/>
      <c r="AW1158" s="194"/>
      <c r="AX1158" s="169"/>
    </row>
    <row r="1159" spans="32:50" ht="11.25" customHeight="1">
      <c r="AF1159" s="413" t="s">
        <v>1353</v>
      </c>
      <c r="AL1159" s="36"/>
      <c r="AM1159" s="696" t="s">
        <v>2997</v>
      </c>
      <c r="AN1159" s="716" t="s">
        <v>317</v>
      </c>
      <c r="AO1159" s="189" t="s">
        <v>195</v>
      </c>
      <c r="AP1159" s="686">
        <f t="shared" si="84"/>
        <v>0</v>
      </c>
      <c r="AQ1159" s="686">
        <f t="shared" si="84"/>
        <v>0</v>
      </c>
      <c r="AR1159" s="686">
        <f t="shared" si="84"/>
        <v>0</v>
      </c>
      <c r="AS1159" s="190"/>
      <c r="AT1159" s="266"/>
      <c r="AU1159" s="266"/>
      <c r="AV1159" s="266"/>
      <c r="AW1159" s="194"/>
      <c r="AX1159" s="169"/>
    </row>
    <row r="1160" spans="32:50" ht="11.25" customHeight="1">
      <c r="AF1160" s="413" t="s">
        <v>1355</v>
      </c>
      <c r="AL1160" s="36"/>
      <c r="AM1160" s="696" t="s">
        <v>2998</v>
      </c>
      <c r="AN1160" s="701" t="s">
        <v>318</v>
      </c>
      <c r="AO1160" s="189" t="s">
        <v>195</v>
      </c>
      <c r="AP1160" s="686">
        <f t="shared" si="84"/>
        <v>0</v>
      </c>
      <c r="AQ1160" s="686">
        <f t="shared" si="84"/>
        <v>0</v>
      </c>
      <c r="AR1160" s="686">
        <f t="shared" si="84"/>
        <v>0</v>
      </c>
      <c r="AS1160" s="190"/>
      <c r="AT1160" s="266"/>
      <c r="AU1160" s="266"/>
      <c r="AV1160" s="266"/>
      <c r="AW1160" s="194"/>
      <c r="AX1160" s="169"/>
    </row>
    <row r="1161" spans="32:50" ht="11.25" customHeight="1">
      <c r="AF1161" s="413" t="s">
        <v>1356</v>
      </c>
      <c r="AL1161" s="36"/>
      <c r="AM1161" s="696" t="s">
        <v>2999</v>
      </c>
      <c r="AN1161" s="717" t="s">
        <v>321</v>
      </c>
      <c r="AO1161" s="189" t="s">
        <v>195</v>
      </c>
      <c r="AP1161" s="686">
        <f t="shared" si="84"/>
        <v>0</v>
      </c>
      <c r="AQ1161" s="686">
        <f t="shared" si="84"/>
        <v>0</v>
      </c>
      <c r="AR1161" s="686">
        <f t="shared" si="84"/>
        <v>0</v>
      </c>
      <c r="AS1161" s="190"/>
      <c r="AT1161" s="266"/>
      <c r="AU1161" s="266"/>
      <c r="AV1161" s="266"/>
      <c r="AW1161" s="194"/>
      <c r="AX1161" s="169"/>
    </row>
    <row r="1162" spans="32:50" ht="0.15" customHeight="1">
      <c r="AF1162" s="115"/>
      <c r="AL1162" s="36"/>
      <c r="AM1162" s="491"/>
      <c r="AN1162" s="460"/>
      <c r="AO1162" s="461"/>
      <c r="AP1162" s="462"/>
      <c r="AQ1162" s="462"/>
      <c r="AR1162" s="462"/>
      <c r="AS1162" s="190"/>
      <c r="AT1162" s="266"/>
      <c r="AU1162" s="266"/>
      <c r="AV1162" s="266"/>
      <c r="AW1162" s="194"/>
      <c r="AX1162" s="169"/>
    </row>
    <row r="1163" spans="32:50" ht="0.15" customHeight="1">
      <c r="AF1163" s="115"/>
      <c r="AL1163" s="36"/>
      <c r="AM1163" s="491"/>
      <c r="AN1163" s="460"/>
      <c r="AO1163" s="461"/>
      <c r="AP1163" s="462"/>
      <c r="AQ1163" s="462"/>
      <c r="AR1163" s="462"/>
      <c r="AS1163" s="190"/>
      <c r="AT1163" s="266"/>
      <c r="AU1163" s="266"/>
      <c r="AV1163" s="266"/>
      <c r="AW1163" s="194"/>
      <c r="AX1163" s="169"/>
    </row>
    <row r="1164" spans="32:50" ht="0.15" customHeight="1">
      <c r="AF1164" s="115"/>
      <c r="AL1164" s="36"/>
      <c r="AM1164" s="491"/>
      <c r="AN1164" s="460"/>
      <c r="AO1164" s="461"/>
      <c r="AP1164" s="462"/>
      <c r="AQ1164" s="462"/>
      <c r="AR1164" s="462"/>
      <c r="AS1164" s="190"/>
      <c r="AT1164" s="266"/>
      <c r="AU1164" s="266"/>
      <c r="AV1164" s="266"/>
      <c r="AW1164" s="194"/>
      <c r="AX1164" s="169"/>
    </row>
    <row r="1165" spans="32:50" ht="0.15" customHeight="1">
      <c r="AF1165" s="115"/>
      <c r="AL1165" s="36"/>
      <c r="AM1165" s="491"/>
      <c r="AN1165" s="460"/>
      <c r="AO1165" s="461"/>
      <c r="AP1165" s="462"/>
      <c r="AQ1165" s="462"/>
      <c r="AR1165" s="462"/>
      <c r="AS1165" s="190"/>
      <c r="AT1165" s="266"/>
      <c r="AU1165" s="266"/>
      <c r="AV1165" s="266"/>
      <c r="AW1165" s="194"/>
      <c r="AX1165" s="169"/>
    </row>
    <row r="1166" spans="32:50" ht="0.15" customHeight="1">
      <c r="AF1166" s="115"/>
      <c r="AL1166" s="36"/>
      <c r="AM1166" s="491"/>
      <c r="AN1166" s="460"/>
      <c r="AO1166" s="461"/>
      <c r="AP1166" s="462"/>
      <c r="AQ1166" s="462"/>
      <c r="AR1166" s="462"/>
      <c r="AS1166" s="190"/>
      <c r="AT1166" s="266"/>
      <c r="AU1166" s="266"/>
      <c r="AV1166" s="266"/>
      <c r="AW1166" s="194"/>
      <c r="AX1166" s="169"/>
    </row>
    <row r="1167" spans="32:50" ht="0.15" customHeight="1">
      <c r="AF1167" s="115"/>
      <c r="AL1167" s="36"/>
      <c r="AM1167" s="491"/>
      <c r="AN1167" s="460"/>
      <c r="AO1167" s="461"/>
      <c r="AP1167" s="462"/>
      <c r="AQ1167" s="462"/>
      <c r="AR1167" s="462"/>
      <c r="AS1167" s="190"/>
      <c r="AT1167" s="266"/>
      <c r="AU1167" s="266"/>
      <c r="AV1167" s="266"/>
      <c r="AW1167" s="194"/>
      <c r="AX1167" s="169"/>
    </row>
    <row r="1168" spans="32:50" ht="0.15" customHeight="1">
      <c r="AF1168" s="115"/>
      <c r="AL1168" s="36"/>
      <c r="AM1168" s="491"/>
      <c r="AN1168" s="460"/>
      <c r="AO1168" s="461"/>
      <c r="AP1168" s="462"/>
      <c r="AQ1168" s="462"/>
      <c r="AR1168" s="462"/>
      <c r="AS1168" s="190"/>
      <c r="AT1168" s="266"/>
      <c r="AU1168" s="266"/>
      <c r="AV1168" s="266"/>
      <c r="AW1168" s="194"/>
      <c r="AX1168" s="169"/>
    </row>
    <row r="1169" spans="32:50" ht="0.15" customHeight="1">
      <c r="AF1169" s="115"/>
      <c r="AL1169" s="36"/>
      <c r="AM1169" s="491"/>
      <c r="AN1169" s="460"/>
      <c r="AO1169" s="461"/>
      <c r="AP1169" s="462"/>
      <c r="AQ1169" s="462"/>
      <c r="AR1169" s="462"/>
      <c r="AS1169" s="190"/>
      <c r="AT1169" s="266"/>
      <c r="AU1169" s="266"/>
      <c r="AV1169" s="266"/>
      <c r="AW1169" s="194"/>
      <c r="AX1169" s="169"/>
    </row>
    <row r="1170" spans="32:50" ht="0.15" customHeight="1">
      <c r="AF1170" s="115"/>
      <c r="AL1170" s="36"/>
      <c r="AM1170" s="491"/>
      <c r="AN1170" s="460"/>
      <c r="AO1170" s="461"/>
      <c r="AP1170" s="462"/>
      <c r="AQ1170" s="462"/>
      <c r="AR1170" s="462"/>
      <c r="AS1170" s="190"/>
      <c r="AT1170" s="266"/>
      <c r="AU1170" s="266"/>
      <c r="AV1170" s="266"/>
      <c r="AW1170" s="194"/>
      <c r="AX1170" s="169"/>
    </row>
    <row r="1171" spans="32:50" ht="0.15" customHeight="1">
      <c r="AF1171" s="115"/>
      <c r="AL1171" s="36"/>
      <c r="AM1171" s="491"/>
      <c r="AN1171" s="460"/>
      <c r="AO1171" s="461"/>
      <c r="AP1171" s="462"/>
      <c r="AQ1171" s="462"/>
      <c r="AR1171" s="462"/>
      <c r="AS1171" s="190"/>
      <c r="AT1171" s="266"/>
      <c r="AU1171" s="266"/>
      <c r="AV1171" s="266"/>
      <c r="AW1171" s="194"/>
      <c r="AX1171" s="169"/>
    </row>
    <row r="1172" spans="32:50" ht="0.15" customHeight="1">
      <c r="AF1172" s="115"/>
      <c r="AL1172" s="36"/>
      <c r="AM1172" s="491"/>
      <c r="AN1172" s="460"/>
      <c r="AO1172" s="461"/>
      <c r="AP1172" s="462"/>
      <c r="AQ1172" s="462"/>
      <c r="AR1172" s="462"/>
      <c r="AS1172" s="190"/>
      <c r="AT1172" s="266"/>
      <c r="AU1172" s="266"/>
      <c r="AV1172" s="266"/>
      <c r="AW1172" s="194"/>
      <c r="AX1172" s="169"/>
    </row>
    <row r="1173" spans="32:50" ht="0.15" customHeight="1">
      <c r="AF1173" s="115"/>
      <c r="AL1173" s="36"/>
      <c r="AM1173" s="491"/>
      <c r="AN1173" s="460"/>
      <c r="AO1173" s="461"/>
      <c r="AP1173" s="462"/>
      <c r="AQ1173" s="462"/>
      <c r="AR1173" s="462"/>
      <c r="AS1173" s="190"/>
      <c r="AT1173" s="266"/>
      <c r="AU1173" s="266"/>
      <c r="AV1173" s="266"/>
      <c r="AW1173" s="194"/>
      <c r="AX1173" s="169"/>
    </row>
    <row r="1174" spans="32:50" ht="0.15" customHeight="1">
      <c r="AF1174" s="115"/>
      <c r="AL1174" s="36"/>
      <c r="AM1174" s="491"/>
      <c r="AN1174" s="460"/>
      <c r="AO1174" s="461"/>
      <c r="AP1174" s="462"/>
      <c r="AQ1174" s="462"/>
      <c r="AR1174" s="462"/>
      <c r="AS1174" s="190"/>
      <c r="AT1174" s="266"/>
      <c r="AU1174" s="266"/>
      <c r="AV1174" s="266"/>
      <c r="AW1174" s="194"/>
      <c r="AX1174" s="169"/>
    </row>
    <row r="1175" spans="32:50" ht="0.15" customHeight="1">
      <c r="AF1175" s="115"/>
      <c r="AL1175" s="36"/>
      <c r="AM1175" s="491"/>
      <c r="AN1175" s="460"/>
      <c r="AO1175" s="461"/>
      <c r="AP1175" s="462"/>
      <c r="AQ1175" s="462"/>
      <c r="AR1175" s="462"/>
      <c r="AS1175" s="190"/>
      <c r="AT1175" s="266"/>
      <c r="AU1175" s="266"/>
      <c r="AV1175" s="266"/>
      <c r="AW1175" s="194"/>
      <c r="AX1175" s="169"/>
    </row>
    <row r="1176" spans="32:50" ht="0.15" customHeight="1">
      <c r="AF1176" s="115"/>
      <c r="AL1176" s="36"/>
      <c r="AM1176" s="491"/>
      <c r="AN1176" s="460"/>
      <c r="AO1176" s="461"/>
      <c r="AP1176" s="462"/>
      <c r="AQ1176" s="462"/>
      <c r="AR1176" s="462"/>
      <c r="AS1176" s="190"/>
      <c r="AT1176" s="266"/>
      <c r="AU1176" s="266"/>
      <c r="AV1176" s="266"/>
      <c r="AW1176" s="194"/>
      <c r="AX1176" s="169"/>
    </row>
    <row r="1177" spans="32:50" ht="0.15" customHeight="1">
      <c r="AF1177" s="115"/>
      <c r="AL1177" s="36"/>
      <c r="AM1177" s="491"/>
      <c r="AN1177" s="460"/>
      <c r="AO1177" s="461"/>
      <c r="AP1177" s="462"/>
      <c r="AQ1177" s="462"/>
      <c r="AR1177" s="462"/>
      <c r="AS1177" s="190"/>
      <c r="AT1177" s="266"/>
      <c r="AU1177" s="266"/>
      <c r="AV1177" s="266"/>
      <c r="AW1177" s="194"/>
      <c r="AX1177" s="169"/>
    </row>
    <row r="1178" spans="32:50" ht="0.15" customHeight="1">
      <c r="AF1178" s="115"/>
      <c r="AL1178" s="36"/>
      <c r="AM1178" s="491"/>
      <c r="AN1178" s="460"/>
      <c r="AO1178" s="461"/>
      <c r="AP1178" s="462"/>
      <c r="AQ1178" s="462"/>
      <c r="AR1178" s="462"/>
      <c r="AS1178" s="190"/>
      <c r="AT1178" s="266"/>
      <c r="AU1178" s="266"/>
      <c r="AV1178" s="266"/>
      <c r="AW1178" s="194"/>
      <c r="AX1178" s="169"/>
    </row>
    <row r="1179" spans="32:50" ht="0.15" customHeight="1">
      <c r="AF1179" s="115"/>
      <c r="AL1179" s="36"/>
      <c r="AM1179" s="491"/>
      <c r="AN1179" s="460"/>
      <c r="AO1179" s="461"/>
      <c r="AP1179" s="462"/>
      <c r="AQ1179" s="462"/>
      <c r="AR1179" s="462"/>
      <c r="AS1179" s="190"/>
      <c r="AT1179" s="266"/>
      <c r="AU1179" s="266"/>
      <c r="AV1179" s="266"/>
      <c r="AW1179" s="194"/>
      <c r="AX1179" s="169"/>
    </row>
    <row r="1180" spans="32:50" ht="0.15" customHeight="1">
      <c r="AF1180" s="115"/>
      <c r="AL1180" s="36"/>
      <c r="AM1180" s="491"/>
      <c r="AN1180" s="460"/>
      <c r="AO1180" s="461"/>
      <c r="AP1180" s="462"/>
      <c r="AQ1180" s="462"/>
      <c r="AR1180" s="462"/>
      <c r="AS1180" s="190"/>
      <c r="AT1180" s="266"/>
      <c r="AU1180" s="266"/>
      <c r="AV1180" s="266"/>
      <c r="AW1180" s="194"/>
      <c r="AX1180" s="169"/>
    </row>
    <row r="1181" spans="32:50" ht="0.15" customHeight="1">
      <c r="AF1181" s="115"/>
      <c r="AL1181" s="36"/>
      <c r="AM1181" s="491"/>
      <c r="AN1181" s="460"/>
      <c r="AO1181" s="461"/>
      <c r="AP1181" s="462"/>
      <c r="AQ1181" s="462"/>
      <c r="AR1181" s="462"/>
      <c r="AS1181" s="190"/>
      <c r="AT1181" s="266"/>
      <c r="AU1181" s="266"/>
      <c r="AV1181" s="266"/>
      <c r="AW1181" s="194"/>
      <c r="AX1181" s="169"/>
    </row>
    <row r="1182" spans="32:50" ht="0.15" customHeight="1">
      <c r="AF1182" s="115"/>
      <c r="AL1182" s="36"/>
      <c r="AM1182" s="491"/>
      <c r="AN1182" s="460"/>
      <c r="AO1182" s="461"/>
      <c r="AP1182" s="462"/>
      <c r="AQ1182" s="462"/>
      <c r="AR1182" s="462"/>
      <c r="AS1182" s="190"/>
      <c r="AT1182" s="266"/>
      <c r="AU1182" s="266"/>
      <c r="AV1182" s="266"/>
      <c r="AW1182" s="194"/>
      <c r="AX1182" s="169"/>
    </row>
    <row r="1183" spans="32:50" ht="0.15" customHeight="1">
      <c r="AF1183" s="115"/>
      <c r="AL1183" s="36"/>
      <c r="AM1183" s="491"/>
      <c r="AN1183" s="460"/>
      <c r="AO1183" s="461"/>
      <c r="AP1183" s="462"/>
      <c r="AQ1183" s="462"/>
      <c r="AR1183" s="462"/>
      <c r="AS1183" s="190"/>
      <c r="AT1183" s="266"/>
      <c r="AU1183" s="266"/>
      <c r="AV1183" s="266"/>
      <c r="AW1183" s="194"/>
      <c r="AX1183" s="169"/>
    </row>
    <row r="1184" spans="32:50" ht="0.15" customHeight="1">
      <c r="AF1184" s="115"/>
      <c r="AL1184" s="36"/>
      <c r="AM1184" s="491"/>
      <c r="AN1184" s="460"/>
      <c r="AO1184" s="461"/>
      <c r="AP1184" s="462"/>
      <c r="AQ1184" s="462"/>
      <c r="AR1184" s="462"/>
      <c r="AS1184" s="190"/>
      <c r="AT1184" s="266"/>
      <c r="AU1184" s="266"/>
      <c r="AV1184" s="266"/>
      <c r="AW1184" s="194"/>
      <c r="AX1184" s="169"/>
    </row>
    <row r="1185" spans="32:50" ht="0.15" customHeight="1">
      <c r="AF1185" s="115"/>
      <c r="AL1185" s="36"/>
      <c r="AM1185" s="491"/>
      <c r="AN1185" s="460"/>
      <c r="AO1185" s="461"/>
      <c r="AP1185" s="462"/>
      <c r="AQ1185" s="462"/>
      <c r="AR1185" s="462"/>
      <c r="AS1185" s="190"/>
      <c r="AT1185" s="266"/>
      <c r="AU1185" s="266"/>
      <c r="AV1185" s="266"/>
      <c r="AW1185" s="194"/>
      <c r="AX1185" s="169"/>
    </row>
    <row r="1186" spans="32:50" ht="0.15" customHeight="1">
      <c r="AF1186" s="115"/>
      <c r="AL1186" s="36"/>
      <c r="AM1186" s="491"/>
      <c r="AN1186" s="460"/>
      <c r="AO1186" s="461"/>
      <c r="AP1186" s="462"/>
      <c r="AQ1186" s="462"/>
      <c r="AR1186" s="462"/>
      <c r="AS1186" s="190"/>
      <c r="AT1186" s="266"/>
      <c r="AU1186" s="266"/>
      <c r="AV1186" s="266"/>
      <c r="AW1186" s="194"/>
      <c r="AX1186" s="169"/>
    </row>
    <row r="1187" spans="32:50" ht="0.15" customHeight="1">
      <c r="AF1187" s="115"/>
      <c r="AL1187" s="36"/>
      <c r="AM1187" s="491"/>
      <c r="AN1187" s="460"/>
      <c r="AO1187" s="461"/>
      <c r="AP1187" s="462"/>
      <c r="AQ1187" s="462"/>
      <c r="AR1187" s="462"/>
      <c r="AS1187" s="190"/>
      <c r="AT1187" s="266"/>
      <c r="AU1187" s="266"/>
      <c r="AV1187" s="266"/>
      <c r="AW1187" s="194"/>
      <c r="AX1187" s="169"/>
    </row>
    <row r="1188" spans="32:50" ht="0.15" customHeight="1">
      <c r="AF1188" s="115"/>
      <c r="AL1188" s="36"/>
      <c r="AM1188" s="491"/>
      <c r="AN1188" s="460"/>
      <c r="AO1188" s="461"/>
      <c r="AP1188" s="462"/>
      <c r="AQ1188" s="462"/>
      <c r="AR1188" s="462"/>
      <c r="AS1188" s="190"/>
      <c r="AT1188" s="266"/>
      <c r="AU1188" s="266"/>
      <c r="AV1188" s="266"/>
      <c r="AW1188" s="194"/>
      <c r="AX1188" s="169"/>
    </row>
    <row r="1189" spans="32:50" ht="0.15" customHeight="1">
      <c r="AF1189" s="115"/>
      <c r="AL1189" s="36"/>
      <c r="AM1189" s="491"/>
      <c r="AN1189" s="460"/>
      <c r="AO1189" s="461"/>
      <c r="AP1189" s="462"/>
      <c r="AQ1189" s="462"/>
      <c r="AR1189" s="462"/>
      <c r="AS1189" s="190"/>
      <c r="AT1189" s="266"/>
      <c r="AU1189" s="266"/>
      <c r="AV1189" s="266"/>
      <c r="AW1189" s="194"/>
      <c r="AX1189" s="169"/>
    </row>
    <row r="1190" spans="32:50" ht="0.15" customHeight="1">
      <c r="AF1190" s="115"/>
      <c r="AL1190" s="36"/>
      <c r="AM1190" s="491"/>
      <c r="AN1190" s="460"/>
      <c r="AO1190" s="461"/>
      <c r="AP1190" s="462"/>
      <c r="AQ1190" s="462"/>
      <c r="AR1190" s="462"/>
      <c r="AS1190" s="190"/>
      <c r="AT1190" s="266"/>
      <c r="AU1190" s="266"/>
      <c r="AV1190" s="266"/>
      <c r="AW1190" s="194"/>
      <c r="AX1190" s="169"/>
    </row>
    <row r="1191" spans="32:50" ht="0.15" customHeight="1">
      <c r="AF1191" s="115"/>
      <c r="AL1191" s="36"/>
      <c r="AM1191" s="491"/>
      <c r="AN1191" s="460"/>
      <c r="AO1191" s="461"/>
      <c r="AP1191" s="462"/>
      <c r="AQ1191" s="462"/>
      <c r="AR1191" s="462"/>
      <c r="AS1191" s="190"/>
      <c r="AT1191" s="266"/>
      <c r="AU1191" s="266"/>
      <c r="AV1191" s="266"/>
      <c r="AW1191" s="194"/>
      <c r="AX1191" s="169"/>
    </row>
    <row r="1192" spans="32:50" ht="0.15" customHeight="1">
      <c r="AF1192" s="115"/>
      <c r="AL1192" s="36"/>
      <c r="AM1192" s="491"/>
      <c r="AN1192" s="460"/>
      <c r="AO1192" s="461"/>
      <c r="AP1192" s="462"/>
      <c r="AQ1192" s="462"/>
      <c r="AR1192" s="462"/>
      <c r="AS1192" s="190"/>
      <c r="AT1192" s="266"/>
      <c r="AU1192" s="266"/>
      <c r="AV1192" s="266"/>
      <c r="AW1192" s="194"/>
      <c r="AX1192" s="169"/>
    </row>
    <row r="1193" spans="32:50" ht="0.15" customHeight="1">
      <c r="AF1193" s="115"/>
      <c r="AL1193" s="36"/>
      <c r="AM1193" s="491"/>
      <c r="AN1193" s="460"/>
      <c r="AO1193" s="461"/>
      <c r="AP1193" s="462"/>
      <c r="AQ1193" s="462"/>
      <c r="AR1193" s="462"/>
      <c r="AS1193" s="190"/>
      <c r="AT1193" s="266"/>
      <c r="AU1193" s="266"/>
      <c r="AV1193" s="266"/>
      <c r="AW1193" s="194"/>
      <c r="AX1193" s="169"/>
    </row>
    <row r="1194" spans="32:50" ht="0.15" customHeight="1">
      <c r="AF1194" s="115"/>
      <c r="AL1194" s="36"/>
      <c r="AM1194" s="491"/>
      <c r="AN1194" s="460"/>
      <c r="AO1194" s="461"/>
      <c r="AP1194" s="462"/>
      <c r="AQ1194" s="462"/>
      <c r="AR1194" s="462"/>
      <c r="AS1194" s="190"/>
      <c r="AT1194" s="266"/>
      <c r="AU1194" s="266"/>
      <c r="AV1194" s="266"/>
      <c r="AW1194" s="194"/>
      <c r="AX1194" s="169"/>
    </row>
    <row r="1195" spans="32:50" ht="0.15" customHeight="1">
      <c r="AF1195" s="115"/>
      <c r="AL1195" s="36"/>
      <c r="AM1195" s="491"/>
      <c r="AN1195" s="460"/>
      <c r="AO1195" s="461"/>
      <c r="AP1195" s="462"/>
      <c r="AQ1195" s="462"/>
      <c r="AR1195" s="462"/>
      <c r="AS1195" s="190"/>
      <c r="AT1195" s="266"/>
      <c r="AU1195" s="266"/>
      <c r="AV1195" s="266"/>
      <c r="AW1195" s="194"/>
      <c r="AX1195" s="169"/>
    </row>
    <row r="1196" spans="32:50" ht="0.15" customHeight="1">
      <c r="AF1196" s="115"/>
      <c r="AL1196" s="36"/>
      <c r="AM1196" s="491"/>
      <c r="AN1196" s="460"/>
      <c r="AO1196" s="461"/>
      <c r="AP1196" s="462"/>
      <c r="AQ1196" s="462"/>
      <c r="AR1196" s="462"/>
      <c r="AS1196" s="190"/>
      <c r="AT1196" s="266"/>
      <c r="AU1196" s="266"/>
      <c r="AV1196" s="266"/>
      <c r="AW1196" s="194"/>
      <c r="AX1196" s="169"/>
    </row>
    <row r="1197" spans="32:50" ht="0.15" customHeight="1">
      <c r="AF1197" s="115"/>
      <c r="AL1197" s="36"/>
      <c r="AM1197" s="491"/>
      <c r="AN1197" s="460"/>
      <c r="AO1197" s="461"/>
      <c r="AP1197" s="462"/>
      <c r="AQ1197" s="462"/>
      <c r="AR1197" s="462"/>
      <c r="AS1197" s="190"/>
      <c r="AT1197" s="266"/>
      <c r="AU1197" s="266"/>
      <c r="AV1197" s="266"/>
      <c r="AW1197" s="194"/>
      <c r="AX1197" s="169"/>
    </row>
    <row r="1198" spans="32:50" ht="0.15" customHeight="1">
      <c r="AF1198" s="115"/>
      <c r="AL1198" s="36"/>
      <c r="AM1198" s="491"/>
      <c r="AN1198" s="460"/>
      <c r="AO1198" s="461"/>
      <c r="AP1198" s="462"/>
      <c r="AQ1198" s="462"/>
      <c r="AR1198" s="462"/>
      <c r="AS1198" s="190"/>
      <c r="AT1198" s="266"/>
      <c r="AU1198" s="266"/>
      <c r="AV1198" s="266"/>
      <c r="AW1198" s="194"/>
      <c r="AX1198" s="169"/>
    </row>
    <row r="1199" spans="32:50" ht="0.15" customHeight="1">
      <c r="AF1199" s="115"/>
      <c r="AL1199" s="36"/>
      <c r="AM1199" s="491"/>
      <c r="AN1199" s="460"/>
      <c r="AO1199" s="461"/>
      <c r="AP1199" s="462"/>
      <c r="AQ1199" s="462"/>
      <c r="AR1199" s="462"/>
      <c r="AS1199" s="190"/>
      <c r="AT1199" s="266"/>
      <c r="AU1199" s="266"/>
      <c r="AV1199" s="266"/>
      <c r="AW1199" s="194"/>
      <c r="AX1199" s="169"/>
    </row>
    <row r="1200" spans="32:50" ht="0.15" customHeight="1">
      <c r="AF1200" s="115"/>
      <c r="AL1200" s="36"/>
      <c r="AM1200" s="491"/>
      <c r="AN1200" s="460"/>
      <c r="AO1200" s="461"/>
      <c r="AP1200" s="462"/>
      <c r="AQ1200" s="462"/>
      <c r="AR1200" s="462"/>
      <c r="AS1200" s="190"/>
      <c r="AT1200" s="266"/>
      <c r="AU1200" s="266"/>
      <c r="AV1200" s="266"/>
      <c r="AW1200" s="194"/>
      <c r="AX1200" s="169"/>
    </row>
    <row r="1201" spans="32:50" ht="0.15" customHeight="1">
      <c r="AF1201" s="115"/>
      <c r="AL1201" s="36"/>
      <c r="AM1201" s="491"/>
      <c r="AN1201" s="460"/>
      <c r="AO1201" s="461"/>
      <c r="AP1201" s="462"/>
      <c r="AQ1201" s="462"/>
      <c r="AR1201" s="462"/>
      <c r="AS1201" s="190"/>
      <c r="AT1201" s="266"/>
      <c r="AU1201" s="266"/>
      <c r="AV1201" s="266"/>
      <c r="AW1201" s="194"/>
      <c r="AX1201" s="169"/>
    </row>
    <row r="1202" spans="32:50" ht="0.15" customHeight="1">
      <c r="AF1202" s="115"/>
      <c r="AL1202" s="36"/>
      <c r="AM1202" s="491"/>
      <c r="AN1202" s="460"/>
      <c r="AO1202" s="461"/>
      <c r="AP1202" s="462"/>
      <c r="AQ1202" s="462"/>
      <c r="AR1202" s="462"/>
      <c r="AS1202" s="190"/>
      <c r="AT1202" s="266"/>
      <c r="AU1202" s="266"/>
      <c r="AV1202" s="266"/>
      <c r="AW1202" s="194"/>
      <c r="AX1202" s="169"/>
    </row>
    <row r="1203" spans="32:50" ht="0.15" customHeight="1">
      <c r="AF1203" s="115"/>
      <c r="AL1203" s="36"/>
      <c r="AM1203" s="491"/>
      <c r="AN1203" s="460"/>
      <c r="AO1203" s="461"/>
      <c r="AP1203" s="462"/>
      <c r="AQ1203" s="462"/>
      <c r="AR1203" s="462"/>
      <c r="AS1203" s="190"/>
      <c r="AT1203" s="266"/>
      <c r="AU1203" s="266"/>
      <c r="AV1203" s="266"/>
      <c r="AW1203" s="194"/>
      <c r="AX1203" s="169"/>
    </row>
    <row r="1204" spans="32:50" ht="0.15" customHeight="1">
      <c r="AF1204" s="115"/>
      <c r="AL1204" s="36"/>
      <c r="AM1204" s="491"/>
      <c r="AN1204" s="460"/>
      <c r="AO1204" s="461"/>
      <c r="AP1204" s="462"/>
      <c r="AQ1204" s="462"/>
      <c r="AR1204" s="462"/>
      <c r="AS1204" s="190"/>
      <c r="AT1204" s="266"/>
      <c r="AU1204" s="266"/>
      <c r="AV1204" s="266"/>
      <c r="AW1204" s="194"/>
      <c r="AX1204" s="169"/>
    </row>
    <row r="1205" spans="32:50" ht="0.15" customHeight="1">
      <c r="AF1205" s="115"/>
      <c r="AL1205" s="36"/>
      <c r="AM1205" s="491"/>
      <c r="AN1205" s="460"/>
      <c r="AO1205" s="461"/>
      <c r="AP1205" s="462"/>
      <c r="AQ1205" s="462"/>
      <c r="AR1205" s="462"/>
      <c r="AS1205" s="190"/>
      <c r="AT1205" s="266"/>
      <c r="AU1205" s="266"/>
      <c r="AV1205" s="266"/>
      <c r="AW1205" s="194"/>
      <c r="AX1205" s="169"/>
    </row>
    <row r="1206" spans="32:50" ht="0.15" customHeight="1">
      <c r="AF1206" s="115"/>
      <c r="AL1206" s="36"/>
      <c r="AM1206" s="491"/>
      <c r="AN1206" s="460"/>
      <c r="AO1206" s="461"/>
      <c r="AP1206" s="462"/>
      <c r="AQ1206" s="462"/>
      <c r="AR1206" s="462"/>
      <c r="AS1206" s="190"/>
      <c r="AT1206" s="266"/>
      <c r="AU1206" s="266"/>
      <c r="AV1206" s="266"/>
      <c r="AW1206" s="194"/>
      <c r="AX1206" s="169"/>
    </row>
    <row r="1207" spans="32:50" ht="0.15" customHeight="1">
      <c r="AF1207" s="115"/>
      <c r="AL1207" s="36"/>
      <c r="AM1207" s="491"/>
      <c r="AN1207" s="460"/>
      <c r="AO1207" s="461"/>
      <c r="AP1207" s="462"/>
      <c r="AQ1207" s="462"/>
      <c r="AR1207" s="462"/>
      <c r="AS1207" s="190"/>
      <c r="AT1207" s="266"/>
      <c r="AU1207" s="266"/>
      <c r="AV1207" s="266"/>
      <c r="AW1207" s="194"/>
      <c r="AX1207" s="169"/>
    </row>
    <row r="1208" spans="32:50" ht="0.15" customHeight="1">
      <c r="AF1208" s="115"/>
      <c r="AL1208" s="36"/>
      <c r="AM1208" s="491"/>
      <c r="AN1208" s="460"/>
      <c r="AO1208" s="461"/>
      <c r="AP1208" s="462"/>
      <c r="AQ1208" s="462"/>
      <c r="AR1208" s="462"/>
      <c r="AS1208" s="190"/>
      <c r="AT1208" s="266"/>
      <c r="AU1208" s="266"/>
      <c r="AV1208" s="266"/>
      <c r="AW1208" s="194"/>
      <c r="AX1208" s="169"/>
    </row>
    <row r="1209" spans="32:50" ht="0.15" customHeight="1">
      <c r="AF1209" s="115"/>
      <c r="AL1209" s="36"/>
      <c r="AM1209" s="491"/>
      <c r="AN1209" s="460"/>
      <c r="AO1209" s="461"/>
      <c r="AP1209" s="462"/>
      <c r="AQ1209" s="462"/>
      <c r="AR1209" s="462"/>
      <c r="AS1209" s="190"/>
      <c r="AT1209" s="266"/>
      <c r="AU1209" s="266"/>
      <c r="AV1209" s="266"/>
      <c r="AW1209" s="194"/>
      <c r="AX1209" s="169"/>
    </row>
    <row r="1210" spans="32:50" ht="0.15" customHeight="1">
      <c r="AF1210" s="115"/>
      <c r="AL1210" s="36"/>
      <c r="AM1210" s="491"/>
      <c r="AN1210" s="460"/>
      <c r="AO1210" s="461"/>
      <c r="AP1210" s="462"/>
      <c r="AQ1210" s="462"/>
      <c r="AR1210" s="462"/>
      <c r="AS1210" s="190"/>
      <c r="AT1210" s="266"/>
      <c r="AU1210" s="266"/>
      <c r="AV1210" s="266"/>
      <c r="AW1210" s="194"/>
      <c r="AX1210" s="169"/>
    </row>
    <row r="1211" spans="32:50" ht="0.15" customHeight="1">
      <c r="AF1211" s="115"/>
      <c r="AL1211" s="36"/>
      <c r="AM1211" s="491"/>
      <c r="AN1211" s="460"/>
      <c r="AO1211" s="461"/>
      <c r="AP1211" s="462"/>
      <c r="AQ1211" s="462"/>
      <c r="AR1211" s="462"/>
      <c r="AS1211" s="190"/>
      <c r="AT1211" s="266"/>
      <c r="AU1211" s="266"/>
      <c r="AV1211" s="266"/>
      <c r="AW1211" s="194"/>
      <c r="AX1211" s="169"/>
    </row>
    <row r="1212" spans="32:50" ht="0.15" customHeight="1">
      <c r="AF1212" s="115"/>
      <c r="AL1212" s="36"/>
      <c r="AM1212" s="491"/>
      <c r="AN1212" s="460"/>
      <c r="AO1212" s="461"/>
      <c r="AP1212" s="462"/>
      <c r="AQ1212" s="462"/>
      <c r="AR1212" s="462"/>
      <c r="AS1212" s="190"/>
      <c r="AT1212" s="266"/>
      <c r="AU1212" s="266"/>
      <c r="AV1212" s="266"/>
      <c r="AW1212" s="194"/>
      <c r="AX1212" s="169"/>
    </row>
    <row r="1213" spans="32:50" ht="0.15" customHeight="1">
      <c r="AF1213" s="115"/>
      <c r="AL1213" s="36"/>
      <c r="AM1213" s="491"/>
      <c r="AN1213" s="460"/>
      <c r="AO1213" s="461"/>
      <c r="AP1213" s="462"/>
      <c r="AQ1213" s="462"/>
      <c r="AR1213" s="462"/>
      <c r="AS1213" s="190"/>
      <c r="AT1213" s="266"/>
      <c r="AU1213" s="266"/>
      <c r="AV1213" s="266"/>
      <c r="AW1213" s="194"/>
      <c r="AX1213" s="169"/>
    </row>
    <row r="1214" spans="32:50" ht="0.75" hidden="1" customHeight="1">
      <c r="AF1214" s="115"/>
      <c r="AL1214" s="36"/>
      <c r="AM1214" s="491"/>
      <c r="AN1214" s="460"/>
      <c r="AO1214" s="461"/>
      <c r="AP1214" s="462"/>
      <c r="AQ1214" s="462"/>
      <c r="AR1214" s="462"/>
      <c r="AS1214" s="190"/>
      <c r="AT1214" s="266"/>
      <c r="AU1214" s="266"/>
      <c r="AV1214" s="266"/>
      <c r="AW1214" s="194"/>
      <c r="AX1214" s="169"/>
    </row>
    <row r="1215" spans="32:50" ht="12" customHeight="1">
      <c r="AM1215" s="127"/>
      <c r="AN1215" s="127"/>
      <c r="AO1215" s="188"/>
      <c r="AP1215" s="350"/>
      <c r="AQ1215" s="350"/>
      <c r="AR1215" s="350"/>
      <c r="AS1215" s="350"/>
      <c r="AT1215" s="350"/>
      <c r="AU1215" s="350"/>
      <c r="AV1215" s="350"/>
      <c r="AW1215" s="350"/>
      <c r="AX1215" s="169"/>
    </row>
  </sheetData>
  <sheetProtection algorithmName="SHA-512" hashValue="oLIm4S+JHaMyUIeP/4sJ1bKUw8U3sFb1oY0BWbxRAPvOJIgMjJTJwDKSsgbXVKO5o5UqinO7jkw0BJqjb8m6yQ==" saltValue="wJeVa5CmFzKCVu+UvZTIcQ==" spinCount="100000" sheet="1" objects="1" scenarios="1" formatColumns="0" formatRows="0"/>
  <mergeCells count="12">
    <mergeCell ref="AM19:AM20"/>
    <mergeCell ref="AN19:AN20"/>
    <mergeCell ref="AP19:AR20"/>
    <mergeCell ref="AO19:AO20"/>
    <mergeCell ref="AM13:AN14"/>
    <mergeCell ref="AP14:AR14"/>
    <mergeCell ref="AT22:AV22"/>
    <mergeCell ref="AT14:AV14"/>
    <mergeCell ref="AT18:AV18"/>
    <mergeCell ref="AT19:AV19"/>
    <mergeCell ref="AT20:AV20"/>
    <mergeCell ref="AT21:AV21"/>
  </mergeCells>
  <phoneticPr fontId="3" type="noConversion"/>
  <dataValidations count="2">
    <dataValidation type="decimal" allowBlank="1" showInputMessage="1" showErrorMessage="1" error="Ввведеное значение неверно" sqref="AP288:AR294 AP245:AR285 AT245:AV246 AU402:AV408 AU422:AV422 AU528:AV534 AU536:AV542 AU559:AV559 AU561:AV561">
      <formula1>-1000000000000000</formula1>
      <formula2>1000000000000000</formula2>
    </dataValidation>
    <dataValidation type="decimal" allowBlank="1" showErrorMessage="1" errorTitle="Ошибка" error="Допускается ввод только действительных чисел!" sqref="AT298">
      <formula1>-9.99999999999999E+23</formula1>
      <formula2>9.99999999999999E+23</formula2>
    </dataValidation>
  </dataValidations>
  <pageMargins left="0.25" right="0.25" top="0.25" bottom="0.25" header="0.3" footer="0.3"/>
  <pageSetup paperSize="9" scale="60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COLDVSNA_BAL_PR">
    <tabColor indexed="31"/>
    <pageSetUpPr fitToPage="1"/>
  </sheetPr>
  <dimension ref="A1:BH143"/>
  <sheetViews>
    <sheetView showGridLines="0" topLeftCell="D1" zoomScale="90" zoomScaleNormal="90" workbookViewId="0">
      <pane xSplit="4" ySplit="131" topLeftCell="H132" activePane="bottomRight" state="frozen"/>
      <selection activeCell="D118" sqref="D118"/>
      <selection pane="topRight" activeCell="H118" sqref="H118"/>
      <selection pane="bottomLeft" activeCell="D132" sqref="D132"/>
      <selection pane="bottomRight"/>
    </sheetView>
  </sheetViews>
  <sheetFormatPr defaultColWidth="9.125" defaultRowHeight="17.399999999999999"/>
  <cols>
    <col min="1" max="1" width="5.75" style="2" hidden="1" customWidth="1"/>
    <col min="2" max="2" width="5.75" style="24" hidden="1" customWidth="1"/>
    <col min="3" max="3" width="5.75" style="2" hidden="1" customWidth="1"/>
    <col min="4" max="4" width="5.75" style="86" customWidth="1"/>
    <col min="5" max="5" width="0.125" style="25" customWidth="1"/>
    <col min="6" max="6" width="6.75" style="2" customWidth="1"/>
    <col min="7" max="7" width="20.75" style="2" customWidth="1"/>
    <col min="8" max="9" width="12.75" style="2" customWidth="1"/>
    <col min="10" max="10" width="18.75" style="2" customWidth="1"/>
    <col min="11" max="13" width="15.75" style="2" customWidth="1"/>
    <col min="14" max="16" width="17.75" style="2" customWidth="1"/>
    <col min="17" max="17" width="13.75" style="2" customWidth="1"/>
    <col min="18" max="18" width="17.625" style="2" customWidth="1"/>
    <col min="19" max="22" width="19.125" style="2" customWidth="1"/>
    <col min="23" max="24" width="17.75" style="2" customWidth="1"/>
    <col min="25" max="28" width="13.75" style="2" customWidth="1"/>
    <col min="29" max="45" width="15.75" style="2" customWidth="1"/>
    <col min="46" max="47" width="2.75" customWidth="1"/>
    <col min="48" max="48" width="2.75" hidden="1" customWidth="1"/>
    <col min="49" max="52" width="2.75" customWidth="1"/>
    <col min="53" max="53" width="22.75" style="46" hidden="1" customWidth="1"/>
    <col min="54" max="54" width="8.75" style="44" customWidth="1"/>
    <col min="55" max="57" width="8.75" style="63" customWidth="1"/>
    <col min="58" max="58" width="9.125" style="24"/>
    <col min="59" max="16384" width="9.125" style="2"/>
  </cols>
  <sheetData>
    <row r="1" spans="1:58" s="114" customFormat="1" ht="24" hidden="1" customHeight="1">
      <c r="A1" s="287"/>
      <c r="B1" s="937"/>
      <c r="C1" s="271" t="str">
        <f>F3</f>
        <v>0.0</v>
      </c>
      <c r="D1" s="272" t="s">
        <v>112</v>
      </c>
      <c r="E1" s="273"/>
      <c r="F1" s="938">
        <f>B1</f>
        <v>0</v>
      </c>
      <c r="G1" s="945"/>
      <c r="H1" s="241"/>
      <c r="I1" s="241"/>
      <c r="J1" s="291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275"/>
      <c r="AL1" s="275"/>
      <c r="AM1" s="275"/>
      <c r="AN1" s="275"/>
      <c r="AO1" s="275"/>
      <c r="AP1" s="275"/>
      <c r="AQ1" s="275"/>
      <c r="AR1" s="275"/>
      <c r="AS1" s="270"/>
      <c r="AT1" s="169"/>
      <c r="AU1" s="169"/>
      <c r="AV1" s="169"/>
      <c r="AW1" s="169"/>
      <c r="AX1" s="169"/>
      <c r="AY1" s="169"/>
      <c r="AZ1" s="169"/>
      <c r="BA1" s="371"/>
      <c r="BB1" s="349"/>
      <c r="BC1" s="388"/>
      <c r="BD1" s="388"/>
      <c r="BE1" s="388"/>
      <c r="BF1" s="278"/>
    </row>
    <row r="2" spans="1:58" s="114" customFormat="1" ht="0.75" hidden="1" customHeight="1">
      <c r="A2" s="287"/>
      <c r="B2" s="937"/>
      <c r="C2" s="271"/>
      <c r="D2" s="272"/>
      <c r="E2" s="273"/>
      <c r="F2" s="939"/>
      <c r="G2" s="941"/>
      <c r="H2" s="241"/>
      <c r="I2" s="241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5"/>
      <c r="AL2" s="275"/>
      <c r="AM2" s="275"/>
      <c r="AN2" s="275"/>
      <c r="AO2" s="275"/>
      <c r="AP2" s="275"/>
      <c r="AQ2" s="275"/>
      <c r="AR2" s="275"/>
      <c r="AS2" s="270"/>
      <c r="AT2" s="169"/>
      <c r="AU2" s="169"/>
      <c r="AV2" s="169"/>
      <c r="AW2" s="169"/>
      <c r="AX2" s="169"/>
      <c r="AY2" s="169"/>
      <c r="AZ2" s="169"/>
      <c r="BA2" s="371"/>
      <c r="BB2" s="349"/>
      <c r="BC2" s="388"/>
      <c r="BD2" s="388"/>
      <c r="BE2" s="388"/>
      <c r="BF2" s="278"/>
    </row>
    <row r="3" spans="1:58" s="114" customFormat="1" ht="12" hidden="1" customHeight="1">
      <c r="A3" s="287"/>
      <c r="B3" s="937"/>
      <c r="C3" s="937"/>
      <c r="D3" s="281"/>
      <c r="E3" s="282"/>
      <c r="F3" s="283" t="str">
        <f>F1 &amp; ".0"</f>
        <v>0.0</v>
      </c>
      <c r="G3" s="301" t="s">
        <v>136</v>
      </c>
      <c r="H3" s="241"/>
      <c r="I3" s="241"/>
      <c r="J3" s="389"/>
      <c r="K3" s="275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5"/>
      <c r="AG3" s="275"/>
      <c r="AH3" s="275"/>
      <c r="AI3" s="275"/>
      <c r="AJ3" s="275"/>
      <c r="AK3" s="275"/>
      <c r="AL3" s="275"/>
      <c r="AM3" s="275"/>
      <c r="AN3" s="275"/>
      <c r="AO3" s="275"/>
      <c r="AP3" s="275"/>
      <c r="AQ3" s="275"/>
      <c r="AR3" s="275"/>
      <c r="AS3" s="270"/>
      <c r="AT3" s="169"/>
      <c r="AU3" s="169"/>
      <c r="AV3" s="169"/>
      <c r="AW3" s="169"/>
      <c r="AX3" s="169"/>
      <c r="AY3" s="169"/>
      <c r="AZ3" s="169"/>
      <c r="BA3" s="371"/>
      <c r="BB3" s="349"/>
      <c r="BC3" s="388"/>
      <c r="BD3" s="388"/>
      <c r="BE3" s="388"/>
      <c r="BF3" s="278"/>
    </row>
    <row r="4" spans="1:58" s="114" customFormat="1" ht="12" hidden="1" customHeight="1">
      <c r="A4" s="287"/>
      <c r="B4" s="937"/>
      <c r="C4" s="937"/>
      <c r="D4" s="281"/>
      <c r="E4" s="282"/>
      <c r="F4" s="283" t="str">
        <f>F1 &amp; ".1"</f>
        <v>0.1</v>
      </c>
      <c r="G4" s="301" t="s">
        <v>137</v>
      </c>
      <c r="H4" s="241"/>
      <c r="I4" s="241"/>
      <c r="J4" s="389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5"/>
      <c r="AG4" s="275"/>
      <c r="AH4" s="275"/>
      <c r="AI4" s="275"/>
      <c r="AJ4" s="275"/>
      <c r="AK4" s="275"/>
      <c r="AL4" s="275"/>
      <c r="AM4" s="275"/>
      <c r="AN4" s="275"/>
      <c r="AO4" s="275"/>
      <c r="AP4" s="275"/>
      <c r="AQ4" s="275"/>
      <c r="AR4" s="275"/>
      <c r="AS4" s="270"/>
      <c r="AT4" s="169"/>
      <c r="AU4" s="169"/>
      <c r="AV4" s="169"/>
      <c r="AW4" s="169"/>
      <c r="AX4" s="169"/>
      <c r="AY4" s="169"/>
      <c r="AZ4" s="169"/>
      <c r="BA4" s="280"/>
      <c r="BB4" s="349"/>
      <c r="BC4" s="388"/>
      <c r="BD4" s="388"/>
      <c r="BE4" s="388"/>
      <c r="BF4" s="278"/>
    </row>
    <row r="5" spans="1:58" s="114" customFormat="1" ht="12" hidden="1" customHeight="1">
      <c r="A5" s="287"/>
      <c r="B5" s="937"/>
      <c r="C5" s="937"/>
      <c r="D5" s="281"/>
      <c r="E5" s="282"/>
      <c r="F5" s="283" t="str">
        <f>F1 &amp; ".2"</f>
        <v>0.2</v>
      </c>
      <c r="G5" s="301" t="s">
        <v>138</v>
      </c>
      <c r="H5" s="241"/>
      <c r="I5" s="241"/>
      <c r="J5" s="389"/>
      <c r="K5" s="275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0"/>
      <c r="AT5" s="169"/>
      <c r="AU5" s="169"/>
      <c r="AV5" s="169"/>
      <c r="AW5" s="169"/>
      <c r="AX5" s="169"/>
      <c r="AY5" s="169"/>
      <c r="AZ5" s="169"/>
      <c r="BA5" s="280"/>
      <c r="BB5" s="349"/>
      <c r="BC5" s="388"/>
      <c r="BD5" s="388"/>
      <c r="BE5" s="388"/>
      <c r="BF5" s="278"/>
    </row>
    <row r="6" spans="1:58" s="114" customFormat="1" ht="12" hidden="1" customHeight="1">
      <c r="A6" s="287"/>
      <c r="B6" s="937"/>
      <c r="C6" s="937"/>
      <c r="D6" s="281"/>
      <c r="E6" s="282"/>
      <c r="F6" s="283" t="str">
        <f>F1 &amp; ".3"</f>
        <v>0.3</v>
      </c>
      <c r="G6" s="301" t="s">
        <v>139</v>
      </c>
      <c r="H6" s="241"/>
      <c r="I6" s="241"/>
      <c r="J6" s="389"/>
      <c r="K6" s="275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5"/>
      <c r="AG6" s="275"/>
      <c r="AH6" s="275"/>
      <c r="AI6" s="275"/>
      <c r="AJ6" s="275"/>
      <c r="AK6" s="275"/>
      <c r="AL6" s="275"/>
      <c r="AM6" s="275"/>
      <c r="AN6" s="275"/>
      <c r="AO6" s="275"/>
      <c r="AP6" s="275"/>
      <c r="AQ6" s="275"/>
      <c r="AR6" s="275"/>
      <c r="AS6" s="270"/>
      <c r="AT6" s="169"/>
      <c r="AU6" s="169"/>
      <c r="AV6" s="169"/>
      <c r="AW6" s="169"/>
      <c r="AX6" s="169"/>
      <c r="AY6" s="169"/>
      <c r="AZ6" s="169"/>
      <c r="BA6" s="280"/>
      <c r="BB6" s="349"/>
      <c r="BC6" s="388"/>
      <c r="BD6" s="388"/>
      <c r="BE6" s="388"/>
      <c r="BF6" s="278"/>
    </row>
    <row r="7" spans="1:58" s="114" customFormat="1" ht="12" hidden="1" customHeight="1">
      <c r="A7" s="287"/>
      <c r="B7" s="937"/>
      <c r="C7" s="937"/>
      <c r="D7" s="281"/>
      <c r="E7" s="282"/>
      <c r="F7" s="283" t="str">
        <f>F1 &amp; ".4"</f>
        <v>0.4</v>
      </c>
      <c r="G7" s="301" t="s">
        <v>140</v>
      </c>
      <c r="H7" s="241"/>
      <c r="I7" s="241"/>
      <c r="J7" s="389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5"/>
      <c r="AG7" s="275"/>
      <c r="AH7" s="275"/>
      <c r="AI7" s="275"/>
      <c r="AJ7" s="275"/>
      <c r="AK7" s="275"/>
      <c r="AL7" s="275"/>
      <c r="AM7" s="275"/>
      <c r="AN7" s="275"/>
      <c r="AO7" s="275"/>
      <c r="AP7" s="275"/>
      <c r="AQ7" s="275"/>
      <c r="AR7" s="275"/>
      <c r="AS7" s="270"/>
      <c r="AT7" s="169"/>
      <c r="AU7" s="169"/>
      <c r="AV7" s="169"/>
      <c r="AW7" s="169"/>
      <c r="AX7" s="169"/>
      <c r="AY7" s="169"/>
      <c r="AZ7" s="169"/>
      <c r="BA7" s="280"/>
      <c r="BB7" s="349"/>
      <c r="BC7" s="388"/>
      <c r="BD7" s="388"/>
      <c r="BE7" s="388"/>
      <c r="BF7" s="278"/>
    </row>
    <row r="8" spans="1:58" s="114" customFormat="1" ht="12" hidden="1" customHeight="1">
      <c r="A8" s="287"/>
      <c r="B8" s="937"/>
      <c r="C8" s="937"/>
      <c r="D8" s="281"/>
      <c r="E8" s="282"/>
      <c r="F8" s="283" t="str">
        <f>F1 &amp; ".5"</f>
        <v>0.5</v>
      </c>
      <c r="G8" s="301" t="s">
        <v>141</v>
      </c>
      <c r="H8" s="241"/>
      <c r="I8" s="241"/>
      <c r="J8" s="389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5"/>
      <c r="AG8" s="275"/>
      <c r="AH8" s="275"/>
      <c r="AI8" s="275"/>
      <c r="AJ8" s="275"/>
      <c r="AK8" s="275"/>
      <c r="AL8" s="275"/>
      <c r="AM8" s="275"/>
      <c r="AN8" s="275"/>
      <c r="AO8" s="275"/>
      <c r="AP8" s="275"/>
      <c r="AQ8" s="275"/>
      <c r="AR8" s="275"/>
      <c r="AS8" s="270"/>
      <c r="AT8" s="169"/>
      <c r="AU8" s="169"/>
      <c r="AV8" s="169"/>
      <c r="AW8" s="169"/>
      <c r="AX8" s="169"/>
      <c r="AY8" s="169"/>
      <c r="AZ8" s="169"/>
      <c r="BA8" s="280"/>
      <c r="BB8" s="349"/>
      <c r="BC8" s="388"/>
      <c r="BD8" s="388"/>
      <c r="BE8" s="388"/>
      <c r="BF8" s="278"/>
    </row>
    <row r="9" spans="1:58" s="114" customFormat="1" ht="12" hidden="1" customHeight="1">
      <c r="A9" s="287"/>
      <c r="B9" s="937"/>
      <c r="C9" s="937"/>
      <c r="D9" s="281"/>
      <c r="E9" s="282"/>
      <c r="F9" s="283" t="str">
        <f>F1 &amp; ".6"</f>
        <v>0.6</v>
      </c>
      <c r="G9" s="301" t="s">
        <v>142</v>
      </c>
      <c r="H9" s="241"/>
      <c r="I9" s="241"/>
      <c r="J9" s="389"/>
      <c r="K9" s="275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5"/>
      <c r="AG9" s="275"/>
      <c r="AH9" s="275"/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0"/>
      <c r="AT9" s="169"/>
      <c r="AU9" s="169"/>
      <c r="AV9" s="169"/>
      <c r="AW9" s="169"/>
      <c r="AX9" s="169"/>
      <c r="AY9" s="169"/>
      <c r="AZ9" s="169"/>
      <c r="BA9" s="280"/>
      <c r="BB9" s="349"/>
      <c r="BC9" s="388"/>
      <c r="BD9" s="388"/>
      <c r="BE9" s="388"/>
      <c r="BF9" s="278"/>
    </row>
    <row r="10" spans="1:58" s="114" customFormat="1" ht="12" hidden="1" customHeight="1">
      <c r="A10" s="287"/>
      <c r="B10" s="937"/>
      <c r="C10" s="937"/>
      <c r="D10" s="281"/>
      <c r="E10" s="282"/>
      <c r="F10" s="283" t="str">
        <f>F1 &amp; ".7"</f>
        <v>0.7</v>
      </c>
      <c r="G10" s="301" t="s">
        <v>143</v>
      </c>
      <c r="H10" s="241"/>
      <c r="I10" s="241"/>
      <c r="J10" s="389"/>
      <c r="K10" s="275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5"/>
      <c r="AG10" s="275"/>
      <c r="AH10" s="275"/>
      <c r="AI10" s="275"/>
      <c r="AJ10" s="275"/>
      <c r="AK10" s="275"/>
      <c r="AL10" s="275"/>
      <c r="AM10" s="275"/>
      <c r="AN10" s="275"/>
      <c r="AO10" s="275"/>
      <c r="AP10" s="275"/>
      <c r="AQ10" s="275"/>
      <c r="AR10" s="275"/>
      <c r="AS10" s="270"/>
      <c r="AT10" s="169"/>
      <c r="AU10" s="169"/>
      <c r="AV10" s="169"/>
      <c r="AW10" s="169"/>
      <c r="AX10" s="169"/>
      <c r="AY10" s="169"/>
      <c r="AZ10" s="169"/>
      <c r="BA10" s="280"/>
      <c r="BB10" s="349"/>
      <c r="BC10" s="388"/>
      <c r="BD10" s="388"/>
      <c r="BE10" s="388"/>
      <c r="BF10" s="278"/>
    </row>
    <row r="11" spans="1:58" s="114" customFormat="1" ht="12" hidden="1" customHeight="1">
      <c r="A11" s="287"/>
      <c r="B11" s="937"/>
      <c r="C11" s="937"/>
      <c r="D11" s="281"/>
      <c r="E11" s="282"/>
      <c r="F11" s="283" t="str">
        <f>F1 &amp; ".8"</f>
        <v>0.8</v>
      </c>
      <c r="G11" s="301" t="s">
        <v>144</v>
      </c>
      <c r="H11" s="241"/>
      <c r="I11" s="241"/>
      <c r="J11" s="389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5"/>
      <c r="AG11" s="275"/>
      <c r="AH11" s="275"/>
      <c r="AI11" s="275"/>
      <c r="AJ11" s="275"/>
      <c r="AK11" s="275"/>
      <c r="AL11" s="275"/>
      <c r="AM11" s="275"/>
      <c r="AN11" s="275"/>
      <c r="AO11" s="275"/>
      <c r="AP11" s="275"/>
      <c r="AQ11" s="275"/>
      <c r="AR11" s="275"/>
      <c r="AS11" s="270"/>
      <c r="AT11" s="169"/>
      <c r="AU11" s="169"/>
      <c r="AV11" s="169"/>
      <c r="AW11" s="169"/>
      <c r="AX11" s="169"/>
      <c r="AY11" s="169"/>
      <c r="AZ11" s="169"/>
      <c r="BA11" s="280"/>
      <c r="BB11" s="349"/>
      <c r="BC11" s="388"/>
      <c r="BD11" s="388"/>
      <c r="BE11" s="388"/>
      <c r="BF11" s="278"/>
    </row>
    <row r="12" spans="1:58" s="114" customFormat="1" ht="12" hidden="1" customHeight="1">
      <c r="A12" s="287"/>
      <c r="B12" s="937"/>
      <c r="C12" s="937"/>
      <c r="D12" s="281"/>
      <c r="E12" s="282"/>
      <c r="F12" s="283" t="str">
        <f>F1 &amp; ".9"</f>
        <v>0.9</v>
      </c>
      <c r="G12" s="301" t="s">
        <v>145</v>
      </c>
      <c r="H12" s="241"/>
      <c r="I12" s="241"/>
      <c r="J12" s="389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0"/>
      <c r="AT12" s="169"/>
      <c r="AU12" s="169"/>
      <c r="AV12" s="169"/>
      <c r="AW12" s="169"/>
      <c r="AX12" s="169"/>
      <c r="AY12" s="169"/>
      <c r="AZ12" s="169"/>
      <c r="BA12" s="280"/>
      <c r="BB12" s="349"/>
      <c r="BC12" s="388"/>
      <c r="BD12" s="388"/>
      <c r="BE12" s="388"/>
      <c r="BF12" s="278"/>
    </row>
    <row r="13" spans="1:58" s="114" customFormat="1" ht="12" hidden="1" customHeight="1">
      <c r="A13" s="287"/>
      <c r="B13" s="937"/>
      <c r="C13" s="937"/>
      <c r="D13" s="281"/>
      <c r="E13" s="282"/>
      <c r="F13" s="283" t="str">
        <f>F1 &amp; ".10"</f>
        <v>0.10</v>
      </c>
      <c r="G13" s="301" t="s">
        <v>146</v>
      </c>
      <c r="H13" s="241"/>
      <c r="I13" s="241"/>
      <c r="J13" s="389"/>
      <c r="K13" s="275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5"/>
      <c r="AG13" s="275"/>
      <c r="AH13" s="275"/>
      <c r="AI13" s="275"/>
      <c r="AJ13" s="275"/>
      <c r="AK13" s="275"/>
      <c r="AL13" s="275"/>
      <c r="AM13" s="275"/>
      <c r="AN13" s="275"/>
      <c r="AO13" s="275"/>
      <c r="AP13" s="275"/>
      <c r="AQ13" s="275"/>
      <c r="AR13" s="275"/>
      <c r="AS13" s="270"/>
      <c r="AT13" s="169"/>
      <c r="AU13" s="169"/>
      <c r="AV13" s="169"/>
      <c r="AW13" s="169"/>
      <c r="AX13" s="169"/>
      <c r="AY13" s="169"/>
      <c r="AZ13" s="169"/>
      <c r="BA13" s="280"/>
      <c r="BB13" s="349"/>
      <c r="BC13" s="388"/>
      <c r="BD13" s="388"/>
      <c r="BE13" s="388"/>
      <c r="BF13" s="278"/>
    </row>
    <row r="14" spans="1:58" s="114" customFormat="1" ht="12" hidden="1" customHeight="1">
      <c r="A14" s="287"/>
      <c r="B14" s="937"/>
      <c r="C14" s="937"/>
      <c r="D14" s="281"/>
      <c r="E14" s="282"/>
      <c r="F14" s="283" t="str">
        <f>F1 &amp; ".11"</f>
        <v>0.11</v>
      </c>
      <c r="G14" s="301" t="s">
        <v>147</v>
      </c>
      <c r="H14" s="241"/>
      <c r="I14" s="241"/>
      <c r="J14" s="389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5"/>
      <c r="AG14" s="275"/>
      <c r="AH14" s="275"/>
      <c r="AI14" s="275"/>
      <c r="AJ14" s="275"/>
      <c r="AK14" s="275"/>
      <c r="AL14" s="275"/>
      <c r="AM14" s="275"/>
      <c r="AN14" s="275"/>
      <c r="AO14" s="275"/>
      <c r="AP14" s="275"/>
      <c r="AQ14" s="275"/>
      <c r="AR14" s="275"/>
      <c r="AS14" s="270"/>
      <c r="AT14" s="169"/>
      <c r="AU14" s="169"/>
      <c r="AV14" s="169"/>
      <c r="AW14" s="169"/>
      <c r="AX14" s="169"/>
      <c r="AY14" s="169"/>
      <c r="AZ14" s="169"/>
      <c r="BA14" s="280"/>
      <c r="BB14" s="349"/>
      <c r="BC14" s="388"/>
      <c r="BD14" s="388"/>
      <c r="BE14" s="388"/>
      <c r="BF14" s="278"/>
    </row>
    <row r="15" spans="1:58" s="114" customFormat="1" ht="12" hidden="1" customHeight="1">
      <c r="A15" s="287"/>
      <c r="B15" s="937"/>
      <c r="C15" s="937"/>
      <c r="D15" s="281"/>
      <c r="E15" s="282"/>
      <c r="F15" s="283" t="str">
        <f>F1 &amp; ".12"</f>
        <v>0.12</v>
      </c>
      <c r="G15" s="301" t="s">
        <v>148</v>
      </c>
      <c r="H15" s="241"/>
      <c r="I15" s="241"/>
      <c r="J15" s="389"/>
      <c r="K15" s="275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5"/>
      <c r="AG15" s="275"/>
      <c r="AH15" s="275"/>
      <c r="AI15" s="275"/>
      <c r="AJ15" s="275"/>
      <c r="AK15" s="275"/>
      <c r="AL15" s="275"/>
      <c r="AM15" s="275"/>
      <c r="AN15" s="275"/>
      <c r="AO15" s="275"/>
      <c r="AP15" s="275"/>
      <c r="AQ15" s="275"/>
      <c r="AR15" s="275"/>
      <c r="AS15" s="270"/>
      <c r="AT15" s="169"/>
      <c r="AU15" s="169"/>
      <c r="AV15" s="169"/>
      <c r="AW15" s="169"/>
      <c r="AX15" s="169"/>
      <c r="AY15" s="169"/>
      <c r="AZ15" s="169"/>
      <c r="BA15" s="280"/>
      <c r="BB15" s="349"/>
      <c r="BC15" s="388"/>
      <c r="BD15" s="388"/>
      <c r="BE15" s="388"/>
      <c r="BF15" s="278"/>
    </row>
    <row r="16" spans="1:58" s="114" customFormat="1" ht="0.75" hidden="1" customHeight="1">
      <c r="A16" s="287"/>
      <c r="B16" s="937"/>
      <c r="C16" s="937"/>
      <c r="D16" s="281"/>
      <c r="E16" s="282"/>
      <c r="F16" s="390"/>
      <c r="G16" s="275"/>
      <c r="H16" s="241"/>
      <c r="I16" s="241"/>
      <c r="J16" s="390"/>
      <c r="K16" s="275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5"/>
      <c r="AG16" s="275"/>
      <c r="AH16" s="275"/>
      <c r="AI16" s="275"/>
      <c r="AJ16" s="275"/>
      <c r="AK16" s="275"/>
      <c r="AL16" s="275"/>
      <c r="AM16" s="275"/>
      <c r="AN16" s="275"/>
      <c r="AO16" s="275"/>
      <c r="AP16" s="275"/>
      <c r="AQ16" s="275"/>
      <c r="AR16" s="275"/>
      <c r="AS16" s="270"/>
      <c r="AT16" s="169"/>
      <c r="AU16" s="169"/>
      <c r="AV16" s="169"/>
      <c r="AW16" s="169"/>
      <c r="AX16" s="169"/>
      <c r="AY16" s="169"/>
      <c r="AZ16" s="169"/>
      <c r="BA16" s="371"/>
      <c r="BB16" s="349"/>
      <c r="BC16" s="388"/>
      <c r="BD16" s="388"/>
      <c r="BE16" s="388"/>
      <c r="BF16" s="278"/>
    </row>
    <row r="17" spans="1:58" s="114" customFormat="1" ht="0.75" hidden="1" customHeight="1">
      <c r="A17" s="287"/>
      <c r="B17" s="937"/>
      <c r="C17" s="937"/>
      <c r="D17" s="281"/>
      <c r="E17" s="282"/>
      <c r="F17" s="390"/>
      <c r="G17" s="275"/>
      <c r="H17" s="241"/>
      <c r="I17" s="241"/>
      <c r="J17" s="390"/>
      <c r="K17" s="275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0"/>
      <c r="AT17" s="169"/>
      <c r="AU17" s="169"/>
      <c r="AV17" s="169"/>
      <c r="AW17" s="169"/>
      <c r="AX17" s="169"/>
      <c r="AY17" s="169"/>
      <c r="AZ17" s="169"/>
      <c r="BA17" s="280"/>
      <c r="BB17" s="349"/>
      <c r="BC17" s="388"/>
      <c r="BD17" s="388"/>
      <c r="BE17" s="388"/>
      <c r="BF17" s="278"/>
    </row>
    <row r="18" spans="1:58" s="114" customFormat="1" ht="0.75" hidden="1" customHeight="1">
      <c r="A18" s="287"/>
      <c r="B18" s="937"/>
      <c r="C18" s="937"/>
      <c r="D18" s="281"/>
      <c r="E18" s="282"/>
      <c r="F18" s="390"/>
      <c r="G18" s="275"/>
      <c r="H18" s="241"/>
      <c r="I18" s="241"/>
      <c r="J18" s="390"/>
      <c r="K18" s="275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5"/>
      <c r="AG18" s="275"/>
      <c r="AH18" s="275"/>
      <c r="AI18" s="275"/>
      <c r="AJ18" s="275"/>
      <c r="AK18" s="275"/>
      <c r="AL18" s="275"/>
      <c r="AM18" s="275"/>
      <c r="AN18" s="275"/>
      <c r="AO18" s="275"/>
      <c r="AP18" s="275"/>
      <c r="AQ18" s="275"/>
      <c r="AR18" s="275"/>
      <c r="AS18" s="270"/>
      <c r="AT18" s="169"/>
      <c r="AU18" s="169"/>
      <c r="AV18" s="169"/>
      <c r="AW18" s="169"/>
      <c r="AX18" s="169"/>
      <c r="AY18" s="169"/>
      <c r="AZ18" s="169"/>
      <c r="BA18" s="280"/>
      <c r="BB18" s="349"/>
      <c r="BC18" s="388"/>
      <c r="BD18" s="388"/>
      <c r="BE18" s="388"/>
      <c r="BF18" s="278"/>
    </row>
    <row r="19" spans="1:58" s="114" customFormat="1" ht="0.75" hidden="1" customHeight="1">
      <c r="A19" s="287"/>
      <c r="B19" s="937"/>
      <c r="C19" s="937"/>
      <c r="D19" s="281"/>
      <c r="E19" s="282"/>
      <c r="F19" s="390"/>
      <c r="G19" s="275"/>
      <c r="H19" s="241"/>
      <c r="I19" s="241"/>
      <c r="J19" s="390"/>
      <c r="K19" s="275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5"/>
      <c r="AG19" s="275"/>
      <c r="AH19" s="275"/>
      <c r="AI19" s="275"/>
      <c r="AJ19" s="275"/>
      <c r="AK19" s="275"/>
      <c r="AL19" s="275"/>
      <c r="AM19" s="275"/>
      <c r="AN19" s="275"/>
      <c r="AO19" s="275"/>
      <c r="AP19" s="275"/>
      <c r="AQ19" s="275"/>
      <c r="AR19" s="275"/>
      <c r="AS19" s="270"/>
      <c r="AT19" s="169"/>
      <c r="AU19" s="169"/>
      <c r="AV19" s="169"/>
      <c r="AW19" s="169"/>
      <c r="AX19" s="169"/>
      <c r="AY19" s="169"/>
      <c r="AZ19" s="169"/>
      <c r="BA19" s="280"/>
      <c r="BB19" s="349"/>
      <c r="BC19" s="388"/>
      <c r="BD19" s="388"/>
      <c r="BE19" s="388"/>
      <c r="BF19" s="278"/>
    </row>
    <row r="20" spans="1:58" s="114" customFormat="1" ht="0.75" hidden="1" customHeight="1">
      <c r="A20" s="287"/>
      <c r="B20" s="937"/>
      <c r="C20" s="937"/>
      <c r="D20" s="281"/>
      <c r="E20" s="282"/>
      <c r="F20" s="390"/>
      <c r="G20" s="275"/>
      <c r="H20" s="241"/>
      <c r="I20" s="241"/>
      <c r="J20" s="390"/>
      <c r="K20" s="275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5"/>
      <c r="AG20" s="275"/>
      <c r="AH20" s="275"/>
      <c r="AI20" s="275"/>
      <c r="AJ20" s="275"/>
      <c r="AK20" s="275"/>
      <c r="AL20" s="275"/>
      <c r="AM20" s="275"/>
      <c r="AN20" s="275"/>
      <c r="AO20" s="275"/>
      <c r="AP20" s="275"/>
      <c r="AQ20" s="275"/>
      <c r="AR20" s="275"/>
      <c r="AS20" s="270"/>
      <c r="AT20" s="169"/>
      <c r="AU20" s="169"/>
      <c r="AV20" s="169"/>
      <c r="AW20" s="169"/>
      <c r="AX20" s="169"/>
      <c r="AY20" s="169"/>
      <c r="AZ20" s="169"/>
      <c r="BA20" s="280"/>
      <c r="BB20" s="349"/>
      <c r="BC20" s="388"/>
      <c r="BD20" s="388"/>
      <c r="BE20" s="388"/>
      <c r="BF20" s="278"/>
    </row>
    <row r="21" spans="1:58" s="114" customFormat="1" ht="0.75" hidden="1" customHeight="1">
      <c r="A21" s="287"/>
      <c r="B21" s="937"/>
      <c r="C21" s="937"/>
      <c r="D21" s="281"/>
      <c r="E21" s="282"/>
      <c r="F21" s="390"/>
      <c r="G21" s="275"/>
      <c r="H21" s="241"/>
      <c r="I21" s="241"/>
      <c r="J21" s="390"/>
      <c r="K21" s="275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5"/>
      <c r="AG21" s="275"/>
      <c r="AH21" s="275"/>
      <c r="AI21" s="275"/>
      <c r="AJ21" s="275"/>
      <c r="AK21" s="275"/>
      <c r="AL21" s="275"/>
      <c r="AM21" s="275"/>
      <c r="AN21" s="275"/>
      <c r="AO21" s="275"/>
      <c r="AP21" s="275"/>
      <c r="AQ21" s="275"/>
      <c r="AR21" s="275"/>
      <c r="AS21" s="270"/>
      <c r="AT21" s="169"/>
      <c r="AU21" s="169"/>
      <c r="AV21" s="169"/>
      <c r="AW21" s="169"/>
      <c r="AX21" s="169"/>
      <c r="AY21" s="169"/>
      <c r="AZ21" s="169"/>
      <c r="BA21" s="280"/>
      <c r="BB21" s="349"/>
      <c r="BC21" s="388"/>
      <c r="BD21" s="388"/>
      <c r="BE21" s="388"/>
      <c r="BF21" s="278"/>
    </row>
    <row r="22" spans="1:58" s="114" customFormat="1" ht="0.75" hidden="1" customHeight="1">
      <c r="A22" s="287"/>
      <c r="B22" s="937"/>
      <c r="C22" s="937"/>
      <c r="D22" s="281"/>
      <c r="E22" s="282"/>
      <c r="F22" s="390"/>
      <c r="G22" s="275"/>
      <c r="H22" s="241"/>
      <c r="I22" s="241"/>
      <c r="J22" s="390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0"/>
      <c r="AT22" s="169"/>
      <c r="AU22" s="169"/>
      <c r="AV22" s="169"/>
      <c r="AW22" s="169"/>
      <c r="AX22" s="169"/>
      <c r="AY22" s="169"/>
      <c r="AZ22" s="169"/>
      <c r="BA22" s="280"/>
      <c r="BB22" s="349"/>
      <c r="BC22" s="388"/>
      <c r="BD22" s="388"/>
      <c r="BE22" s="388"/>
      <c r="BF22" s="278"/>
    </row>
    <row r="23" spans="1:58" s="114" customFormat="1" ht="0.75" hidden="1" customHeight="1">
      <c r="A23" s="287"/>
      <c r="B23" s="937"/>
      <c r="C23" s="937"/>
      <c r="D23" s="281"/>
      <c r="E23" s="282"/>
      <c r="F23" s="390"/>
      <c r="G23" s="275"/>
      <c r="H23" s="241"/>
      <c r="I23" s="241"/>
      <c r="J23" s="390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  <c r="AJ23" s="275"/>
      <c r="AK23" s="275"/>
      <c r="AL23" s="275"/>
      <c r="AM23" s="275"/>
      <c r="AN23" s="275"/>
      <c r="AO23" s="275"/>
      <c r="AP23" s="275"/>
      <c r="AQ23" s="275"/>
      <c r="AR23" s="275"/>
      <c r="AS23" s="270"/>
      <c r="AT23" s="169"/>
      <c r="AU23" s="169"/>
      <c r="AV23" s="169"/>
      <c r="AW23" s="169"/>
      <c r="AX23" s="169"/>
      <c r="AY23" s="169"/>
      <c r="AZ23" s="169"/>
      <c r="BA23" s="280"/>
      <c r="BB23" s="349"/>
      <c r="BC23" s="388"/>
      <c r="BD23" s="388"/>
      <c r="BE23" s="388"/>
      <c r="BF23" s="278"/>
    </row>
    <row r="24" spans="1:58" s="114" customFormat="1" ht="0.75" hidden="1" customHeight="1">
      <c r="A24" s="287"/>
      <c r="B24" s="937"/>
      <c r="C24" s="937"/>
      <c r="D24" s="281"/>
      <c r="E24" s="282"/>
      <c r="F24" s="390"/>
      <c r="G24" s="275"/>
      <c r="H24" s="241"/>
      <c r="I24" s="241"/>
      <c r="J24" s="390"/>
      <c r="K24" s="275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5"/>
      <c r="AG24" s="275"/>
      <c r="AH24" s="275"/>
      <c r="AI24" s="275"/>
      <c r="AJ24" s="275"/>
      <c r="AK24" s="275"/>
      <c r="AL24" s="275"/>
      <c r="AM24" s="275"/>
      <c r="AN24" s="275"/>
      <c r="AO24" s="275"/>
      <c r="AP24" s="275"/>
      <c r="AQ24" s="275"/>
      <c r="AR24" s="275"/>
      <c r="AS24" s="270"/>
      <c r="AT24" s="169"/>
      <c r="AU24" s="169"/>
      <c r="AV24" s="169"/>
      <c r="AW24" s="169"/>
      <c r="AX24" s="169"/>
      <c r="AY24" s="169"/>
      <c r="AZ24" s="169"/>
      <c r="BA24" s="280"/>
      <c r="BB24" s="349"/>
      <c r="BC24" s="388"/>
      <c r="BD24" s="388"/>
      <c r="BE24" s="388"/>
      <c r="BF24" s="278"/>
    </row>
    <row r="25" spans="1:58" s="114" customFormat="1" ht="0.75" hidden="1" customHeight="1">
      <c r="A25" s="287"/>
      <c r="B25" s="937"/>
      <c r="C25" s="937"/>
      <c r="D25" s="281"/>
      <c r="E25" s="282"/>
      <c r="F25" s="390"/>
      <c r="G25" s="275"/>
      <c r="H25" s="241"/>
      <c r="I25" s="241"/>
      <c r="J25" s="390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0"/>
      <c r="AT25" s="169"/>
      <c r="AU25" s="169"/>
      <c r="AV25" s="169"/>
      <c r="AW25" s="169"/>
      <c r="AX25" s="169"/>
      <c r="AY25" s="169"/>
      <c r="AZ25" s="169"/>
      <c r="BA25" s="280"/>
      <c r="BB25" s="349"/>
      <c r="BC25" s="388"/>
      <c r="BD25" s="388"/>
      <c r="BE25" s="388"/>
      <c r="BF25" s="278"/>
    </row>
    <row r="26" spans="1:58" s="114" customFormat="1" ht="0.75" hidden="1" customHeight="1">
      <c r="A26" s="287"/>
      <c r="B26" s="937"/>
      <c r="C26" s="937"/>
      <c r="D26" s="281"/>
      <c r="E26" s="282"/>
      <c r="F26" s="390"/>
      <c r="G26" s="275"/>
      <c r="H26" s="241"/>
      <c r="I26" s="241"/>
      <c r="J26" s="390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5"/>
      <c r="AS26" s="270"/>
      <c r="AT26" s="169"/>
      <c r="AU26" s="169"/>
      <c r="AV26" s="169"/>
      <c r="AW26" s="169"/>
      <c r="AX26" s="169"/>
      <c r="AY26" s="169"/>
      <c r="AZ26" s="169"/>
      <c r="BA26" s="280"/>
      <c r="BB26" s="349"/>
      <c r="BC26" s="388"/>
      <c r="BD26" s="388"/>
      <c r="BE26" s="388"/>
      <c r="BF26" s="278"/>
    </row>
    <row r="27" spans="1:58" s="114" customFormat="1" ht="0.75" hidden="1" customHeight="1">
      <c r="A27" s="287"/>
      <c r="B27" s="937"/>
      <c r="C27" s="937"/>
      <c r="D27" s="281"/>
      <c r="E27" s="282"/>
      <c r="F27" s="390"/>
      <c r="G27" s="275"/>
      <c r="H27" s="241"/>
      <c r="I27" s="241"/>
      <c r="J27" s="390"/>
      <c r="K27" s="275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5"/>
      <c r="AG27" s="275"/>
      <c r="AH27" s="275"/>
      <c r="AI27" s="275"/>
      <c r="AJ27" s="275"/>
      <c r="AK27" s="275"/>
      <c r="AL27" s="275"/>
      <c r="AM27" s="275"/>
      <c r="AN27" s="275"/>
      <c r="AO27" s="275"/>
      <c r="AP27" s="275"/>
      <c r="AQ27" s="275"/>
      <c r="AR27" s="275"/>
      <c r="AS27" s="270"/>
      <c r="AT27" s="169"/>
      <c r="AU27" s="169"/>
      <c r="AV27" s="169"/>
      <c r="AW27" s="169"/>
      <c r="AX27" s="169"/>
      <c r="AY27" s="169"/>
      <c r="AZ27" s="169"/>
      <c r="BA27" s="280"/>
      <c r="BB27" s="349"/>
      <c r="BC27" s="388"/>
      <c r="BD27" s="388"/>
      <c r="BE27" s="388"/>
      <c r="BF27" s="278"/>
    </row>
    <row r="28" spans="1:58" s="114" customFormat="1" ht="0.75" hidden="1" customHeight="1">
      <c r="A28" s="287"/>
      <c r="B28" s="937"/>
      <c r="C28" s="937"/>
      <c r="D28" s="285"/>
      <c r="E28" s="282"/>
      <c r="F28" s="390"/>
      <c r="G28" s="275"/>
      <c r="H28" s="241"/>
      <c r="I28" s="241"/>
      <c r="J28" s="390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0"/>
      <c r="AT28" s="169"/>
      <c r="AU28" s="169"/>
      <c r="AV28" s="169"/>
      <c r="AW28" s="169"/>
      <c r="AX28" s="169"/>
      <c r="AY28" s="169"/>
      <c r="AZ28" s="169"/>
      <c r="BA28" s="280"/>
      <c r="BB28" s="349"/>
      <c r="BC28" s="388"/>
      <c r="BD28" s="388"/>
      <c r="BE28" s="388"/>
      <c r="BF28" s="278"/>
    </row>
    <row r="29" spans="1:58" s="114" customFormat="1" ht="24" hidden="1" customHeight="1">
      <c r="A29" s="391" t="s">
        <v>403</v>
      </c>
      <c r="B29" s="937"/>
      <c r="C29" s="271" t="str">
        <f>F31</f>
        <v>0.0</v>
      </c>
      <c r="D29" s="272" t="s">
        <v>112</v>
      </c>
      <c r="E29" s="273"/>
      <c r="F29" s="938">
        <f>B29</f>
        <v>0</v>
      </c>
      <c r="G29" s="945"/>
      <c r="H29" s="290">
        <f>H31</f>
        <v>0</v>
      </c>
      <c r="I29" s="290">
        <f>I31</f>
        <v>0</v>
      </c>
      <c r="J29" s="599" t="str">
        <f>A29</f>
        <v>TBD</v>
      </c>
      <c r="K29" s="290">
        <f t="shared" ref="K29:AC29" si="0">K31</f>
        <v>0</v>
      </c>
      <c r="L29" s="290">
        <f>L31</f>
        <v>0</v>
      </c>
      <c r="M29" s="290">
        <f>M31</f>
        <v>0</v>
      </c>
      <c r="N29" s="290">
        <f t="shared" si="0"/>
        <v>0</v>
      </c>
      <c r="O29" s="290">
        <f t="shared" si="0"/>
        <v>0</v>
      </c>
      <c r="P29" s="290">
        <f t="shared" si="0"/>
        <v>0</v>
      </c>
      <c r="Q29" s="290">
        <f t="shared" si="0"/>
        <v>0</v>
      </c>
      <c r="R29" s="290">
        <f t="shared" si="0"/>
        <v>0</v>
      </c>
      <c r="S29" s="290">
        <f t="shared" si="0"/>
        <v>0</v>
      </c>
      <c r="T29" s="290">
        <f t="shared" si="0"/>
        <v>0</v>
      </c>
      <c r="U29" s="290">
        <f t="shared" si="0"/>
        <v>0</v>
      </c>
      <c r="V29" s="290">
        <f t="shared" si="0"/>
        <v>0</v>
      </c>
      <c r="W29" s="290">
        <f t="shared" si="0"/>
        <v>0</v>
      </c>
      <c r="X29" s="290">
        <f t="shared" si="0"/>
        <v>0</v>
      </c>
      <c r="Y29" s="290">
        <f t="shared" si="0"/>
        <v>0</v>
      </c>
      <c r="Z29" s="290">
        <f t="shared" si="0"/>
        <v>0</v>
      </c>
      <c r="AA29" s="290">
        <f>AA31</f>
        <v>0</v>
      </c>
      <c r="AB29" s="290">
        <f t="shared" si="0"/>
        <v>0</v>
      </c>
      <c r="AC29" s="290">
        <f t="shared" si="0"/>
        <v>0</v>
      </c>
      <c r="AD29" s="290">
        <f>AD31</f>
        <v>0</v>
      </c>
      <c r="AE29" s="290">
        <f>AE31</f>
        <v>0</v>
      </c>
      <c r="AF29" s="290">
        <f>AF31</f>
        <v>0</v>
      </c>
      <c r="AG29" s="290">
        <f>AG31</f>
        <v>0</v>
      </c>
      <c r="AH29" s="290">
        <f t="shared" ref="AH29:AQ29" si="1">AH31</f>
        <v>0</v>
      </c>
      <c r="AI29" s="290">
        <f t="shared" si="1"/>
        <v>0</v>
      </c>
      <c r="AJ29" s="290">
        <f t="shared" si="1"/>
        <v>0</v>
      </c>
      <c r="AK29" s="290">
        <f t="shared" si="1"/>
        <v>0</v>
      </c>
      <c r="AL29" s="290">
        <f t="shared" si="1"/>
        <v>0</v>
      </c>
      <c r="AM29" s="290">
        <f t="shared" si="1"/>
        <v>0</v>
      </c>
      <c r="AN29" s="290">
        <f t="shared" si="1"/>
        <v>0</v>
      </c>
      <c r="AO29" s="290">
        <f t="shared" si="1"/>
        <v>0</v>
      </c>
      <c r="AP29" s="290">
        <f t="shared" si="1"/>
        <v>0</v>
      </c>
      <c r="AQ29" s="290">
        <f t="shared" si="1"/>
        <v>0</v>
      </c>
      <c r="AR29" s="290">
        <f>AR31</f>
        <v>0</v>
      </c>
      <c r="AS29" s="240">
        <f>AS31</f>
        <v>0</v>
      </c>
      <c r="AT29" s="169"/>
      <c r="AU29" s="169"/>
      <c r="AV29" s="169"/>
      <c r="AW29" s="169"/>
      <c r="AX29" s="169"/>
      <c r="AY29" s="169"/>
      <c r="AZ29" s="169"/>
      <c r="BA29" s="375" t="str">
        <f>IF(J29="питьевая вода","TOTAL_ORG_PW",IF(J29="техническая вода","TOTAL_ORG_TW",""))</f>
        <v/>
      </c>
      <c r="BB29" s="349"/>
      <c r="BC29" s="388"/>
      <c r="BD29" s="388"/>
      <c r="BE29" s="388"/>
      <c r="BF29" s="278"/>
    </row>
    <row r="30" spans="1:58" s="114" customFormat="1" ht="0.75" hidden="1" customHeight="1">
      <c r="A30" s="287"/>
      <c r="B30" s="937"/>
      <c r="C30" s="271"/>
      <c r="D30" s="272"/>
      <c r="E30" s="273"/>
      <c r="F30" s="939"/>
      <c r="G30" s="941"/>
      <c r="H30" s="274"/>
      <c r="I30" s="274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275"/>
      <c r="AG30" s="275"/>
      <c r="AH30" s="275"/>
      <c r="AI30" s="275"/>
      <c r="AJ30" s="275"/>
      <c r="AK30" s="275"/>
      <c r="AL30" s="275"/>
      <c r="AM30" s="275"/>
      <c r="AN30" s="275"/>
      <c r="AO30" s="275"/>
      <c r="AP30" s="275"/>
      <c r="AQ30" s="275"/>
      <c r="AR30" s="275"/>
      <c r="AS30" s="336"/>
      <c r="AT30" s="169"/>
      <c r="AU30" s="169"/>
      <c r="AV30" s="169"/>
      <c r="AW30" s="169"/>
      <c r="AX30" s="169"/>
      <c r="AY30" s="169"/>
      <c r="AZ30" s="169"/>
      <c r="BA30" s="371"/>
      <c r="BB30" s="349"/>
      <c r="BC30" s="388"/>
      <c r="BD30" s="388"/>
      <c r="BE30" s="388"/>
      <c r="BF30" s="278"/>
    </row>
    <row r="31" spans="1:58" s="114" customFormat="1" ht="12" hidden="1" customHeight="1">
      <c r="A31" s="287"/>
      <c r="B31" s="937"/>
      <c r="C31" s="937"/>
      <c r="D31" s="281"/>
      <c r="E31" s="282"/>
      <c r="F31" s="283" t="str">
        <f>F29 &amp; ".0"</f>
        <v>0.0</v>
      </c>
      <c r="G31" s="301" t="s">
        <v>136</v>
      </c>
      <c r="H31" s="749">
        <f>SUMIF('Список объектов'!$R$15:$R$19,$F31,'Список объектов'!$S$15:$S$19)</f>
        <v>0</v>
      </c>
      <c r="I31" s="292">
        <f>SUMIF('Список объектов'!$R$15:$R$19,$F31,'Список объектов'!$T$15:$T$19)</f>
        <v>0</v>
      </c>
      <c r="J31" s="392" t="str">
        <f>J29</f>
        <v>TBD</v>
      </c>
      <c r="K31" s="294">
        <f>S31+N31-Q31</f>
        <v>0</v>
      </c>
      <c r="L31" s="292"/>
      <c r="M31" s="292"/>
      <c r="N31" s="441">
        <f>SUM(O31:P31)</f>
        <v>0</v>
      </c>
      <c r="O31" s="292"/>
      <c r="P31" s="292"/>
      <c r="Q31" s="292"/>
      <c r="R31" s="292"/>
      <c r="S31" s="293">
        <f>X31+W31</f>
        <v>0</v>
      </c>
      <c r="T31" s="292"/>
      <c r="U31" s="292"/>
      <c r="V31" s="292"/>
      <c r="W31" s="292"/>
      <c r="X31" s="293">
        <f t="shared" ref="X31:X43" si="2">Y31+AC31+AF31</f>
        <v>0</v>
      </c>
      <c r="Y31" s="293">
        <f t="shared" ref="Y31:Y43" si="3">SUM(Z31:AB31)</f>
        <v>0</v>
      </c>
      <c r="Z31" s="293">
        <f t="shared" ref="Z31:AG31" si="4">SUM(Z32:Z43)</f>
        <v>0</v>
      </c>
      <c r="AA31" s="293">
        <f t="shared" si="4"/>
        <v>0</v>
      </c>
      <c r="AB31" s="293">
        <f t="shared" si="4"/>
        <v>0</v>
      </c>
      <c r="AC31" s="293">
        <f t="shared" si="4"/>
        <v>0</v>
      </c>
      <c r="AD31" s="293">
        <f t="shared" si="4"/>
        <v>0</v>
      </c>
      <c r="AE31" s="293">
        <f t="shared" si="4"/>
        <v>0</v>
      </c>
      <c r="AF31" s="293">
        <f t="shared" si="4"/>
        <v>0</v>
      </c>
      <c r="AG31" s="293">
        <f t="shared" si="4"/>
        <v>0</v>
      </c>
      <c r="AH31" s="293">
        <f t="shared" ref="AH31:AQ31" si="5">SUM(AH32:AH43)</f>
        <v>0</v>
      </c>
      <c r="AI31" s="293">
        <f t="shared" si="5"/>
        <v>0</v>
      </c>
      <c r="AJ31" s="293">
        <f>SUM(AJ32:AJ43)</f>
        <v>0</v>
      </c>
      <c r="AK31" s="293">
        <f t="shared" si="5"/>
        <v>0</v>
      </c>
      <c r="AL31" s="293">
        <f t="shared" si="5"/>
        <v>0</v>
      </c>
      <c r="AM31" s="293">
        <f>SUM(AM32:AM43)</f>
        <v>0</v>
      </c>
      <c r="AN31" s="293">
        <f t="shared" si="5"/>
        <v>0</v>
      </c>
      <c r="AO31" s="293">
        <f t="shared" si="5"/>
        <v>0</v>
      </c>
      <c r="AP31" s="293">
        <f t="shared" si="5"/>
        <v>0</v>
      </c>
      <c r="AQ31" s="293">
        <f t="shared" si="5"/>
        <v>0</v>
      </c>
      <c r="AR31" s="293">
        <f>SUM(AR32:AR43)</f>
        <v>0</v>
      </c>
      <c r="AS31" s="253">
        <f>SUM(AS32:AS43)</f>
        <v>0</v>
      </c>
      <c r="AT31" s="169"/>
      <c r="AU31" s="169"/>
      <c r="AV31" s="393">
        <f>IF(K31=0,0,N31/K31*100)</f>
        <v>0</v>
      </c>
      <c r="AW31" s="169"/>
      <c r="AX31" s="169"/>
      <c r="AY31" s="169"/>
      <c r="AZ31" s="169"/>
      <c r="BA31" s="375" t="str">
        <f>IF(J31="питьевая вода","TOTAL_ORG_YEAR_PW",IF(J31="техническая вода","TOTAL_ORG_YEAR_TW",""))</f>
        <v/>
      </c>
      <c r="BB31" s="349"/>
      <c r="BC31" s="388"/>
      <c r="BD31" s="388"/>
      <c r="BE31" s="388"/>
      <c r="BF31" s="278"/>
    </row>
    <row r="32" spans="1:58" s="114" customFormat="1" ht="12" hidden="1" customHeight="1">
      <c r="A32" s="287"/>
      <c r="B32" s="937"/>
      <c r="C32" s="937"/>
      <c r="D32" s="281"/>
      <c r="E32" s="282"/>
      <c r="F32" s="283" t="str">
        <f>F29 &amp; ".1"</f>
        <v>0.1</v>
      </c>
      <c r="G32" s="301" t="s">
        <v>137</v>
      </c>
      <c r="H32" s="241"/>
      <c r="I32" s="241"/>
      <c r="J32" s="602" t="str">
        <f ca="1">IF(OFFSET('Список территорий'!CJ$15,$F29,0)="a","Y","N")</f>
        <v>N</v>
      </c>
      <c r="K32" s="275"/>
      <c r="L32" s="275"/>
      <c r="M32" s="275"/>
      <c r="N32" s="275"/>
      <c r="O32" s="275"/>
      <c r="P32" s="275"/>
      <c r="Q32" s="275"/>
      <c r="R32" s="275"/>
      <c r="S32" s="275"/>
      <c r="T32" s="275"/>
      <c r="U32" s="275"/>
      <c r="V32" s="275"/>
      <c r="W32" s="275"/>
      <c r="X32" s="293">
        <f t="shared" si="2"/>
        <v>0</v>
      </c>
      <c r="Y32" s="293">
        <f t="shared" si="3"/>
        <v>0</v>
      </c>
      <c r="Z32" s="292"/>
      <c r="AA32" s="292"/>
      <c r="AB32" s="292"/>
      <c r="AC32" s="293">
        <f t="shared" ref="AC32:AC43" si="6">SUM(AD32,AE32)</f>
        <v>0</v>
      </c>
      <c r="AD32" s="292"/>
      <c r="AE32" s="292"/>
      <c r="AF32" s="293">
        <f>SUM(AG32,AJ32,AM32)</f>
        <v>0</v>
      </c>
      <c r="AG32" s="293">
        <f t="shared" ref="AG32:AG43" si="7">SUM(AH32,AI32)</f>
        <v>0</v>
      </c>
      <c r="AH32" s="292"/>
      <c r="AI32" s="292"/>
      <c r="AJ32" s="293">
        <f t="shared" ref="AJ32:AJ43" si="8">SUM(AK32,AL32)</f>
        <v>0</v>
      </c>
      <c r="AK32" s="292"/>
      <c r="AL32" s="292"/>
      <c r="AM32" s="293">
        <f t="shared" ref="AM32:AM43" si="9">SUM(AN32,AO32)</f>
        <v>0</v>
      </c>
      <c r="AN32" s="292"/>
      <c r="AO32" s="292"/>
      <c r="AP32" s="292"/>
      <c r="AQ32" s="292"/>
      <c r="AR32" s="292"/>
      <c r="AS32" s="269"/>
      <c r="AT32" s="169"/>
      <c r="AU32" s="169"/>
      <c r="AV32" s="169"/>
      <c r="AW32" s="169"/>
      <c r="AX32" s="169"/>
      <c r="AY32" s="169"/>
      <c r="AZ32" s="169"/>
      <c r="BA32" s="280" t="str">
        <f>C29 &amp; "-I"</f>
        <v>0.0-I</v>
      </c>
      <c r="BB32" s="349"/>
      <c r="BC32" s="388"/>
      <c r="BD32" s="388"/>
      <c r="BE32" s="388"/>
      <c r="BF32" s="278"/>
    </row>
    <row r="33" spans="1:58" s="114" customFormat="1" ht="12" hidden="1" customHeight="1">
      <c r="A33" s="287"/>
      <c r="B33" s="937"/>
      <c r="C33" s="937"/>
      <c r="D33" s="281"/>
      <c r="E33" s="282"/>
      <c r="F33" s="283" t="str">
        <f>F29 &amp; ".2"</f>
        <v>0.2</v>
      </c>
      <c r="G33" s="301" t="s">
        <v>138</v>
      </c>
      <c r="H33" s="241"/>
      <c r="I33" s="241"/>
      <c r="J33" s="602" t="str">
        <f ca="1">IF(OFFSET('Список территорий'!CK$15,$F29,0)="a","Y","N")</f>
        <v>N</v>
      </c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93">
        <f t="shared" si="2"/>
        <v>0</v>
      </c>
      <c r="Y33" s="293">
        <f t="shared" si="3"/>
        <v>0</v>
      </c>
      <c r="Z33" s="292"/>
      <c r="AA33" s="292"/>
      <c r="AB33" s="292"/>
      <c r="AC33" s="293">
        <f t="shared" si="6"/>
        <v>0</v>
      </c>
      <c r="AD33" s="292"/>
      <c r="AE33" s="292"/>
      <c r="AF33" s="293">
        <f t="shared" ref="AF33:AF43" si="10">SUM(AG33,AJ33,AM33)</f>
        <v>0</v>
      </c>
      <c r="AG33" s="293">
        <f t="shared" si="7"/>
        <v>0</v>
      </c>
      <c r="AH33" s="292"/>
      <c r="AI33" s="292"/>
      <c r="AJ33" s="293">
        <f t="shared" si="8"/>
        <v>0</v>
      </c>
      <c r="AK33" s="292"/>
      <c r="AL33" s="292"/>
      <c r="AM33" s="293">
        <f t="shared" si="9"/>
        <v>0</v>
      </c>
      <c r="AN33" s="292"/>
      <c r="AO33" s="292"/>
      <c r="AP33" s="292"/>
      <c r="AQ33" s="292"/>
      <c r="AR33" s="292"/>
      <c r="AS33" s="269"/>
      <c r="AT33" s="169"/>
      <c r="AU33" s="169"/>
      <c r="AV33" s="169"/>
      <c r="AW33" s="169"/>
      <c r="AX33" s="169"/>
      <c r="AY33" s="169"/>
      <c r="AZ33" s="169"/>
      <c r="BA33" s="280" t="str">
        <f>C29 &amp; "-I"</f>
        <v>0.0-I</v>
      </c>
      <c r="BB33" s="349"/>
      <c r="BC33" s="388"/>
      <c r="BD33" s="388"/>
      <c r="BE33" s="388"/>
      <c r="BF33" s="278"/>
    </row>
    <row r="34" spans="1:58" s="114" customFormat="1" ht="12" hidden="1" customHeight="1">
      <c r="A34" s="287"/>
      <c r="B34" s="937"/>
      <c r="C34" s="937"/>
      <c r="D34" s="281"/>
      <c r="E34" s="282"/>
      <c r="F34" s="283" t="str">
        <f>F29 &amp; ".3"</f>
        <v>0.3</v>
      </c>
      <c r="G34" s="301" t="s">
        <v>139</v>
      </c>
      <c r="H34" s="241"/>
      <c r="I34" s="241"/>
      <c r="J34" s="602" t="str">
        <f ca="1">IF(OFFSET('Список территорий'!CL$15,$F29,0)="a","Y","N")</f>
        <v>N</v>
      </c>
      <c r="K34" s="275"/>
      <c r="L34" s="275"/>
      <c r="M34" s="275"/>
      <c r="N34" s="275"/>
      <c r="O34" s="275"/>
      <c r="P34" s="275"/>
      <c r="Q34" s="275"/>
      <c r="R34" s="275"/>
      <c r="S34" s="275"/>
      <c r="T34" s="275"/>
      <c r="U34" s="275"/>
      <c r="V34" s="275"/>
      <c r="W34" s="275"/>
      <c r="X34" s="293">
        <f t="shared" si="2"/>
        <v>0</v>
      </c>
      <c r="Y34" s="293">
        <f t="shared" si="3"/>
        <v>0</v>
      </c>
      <c r="Z34" s="292"/>
      <c r="AA34" s="292"/>
      <c r="AB34" s="292"/>
      <c r="AC34" s="293">
        <f t="shared" si="6"/>
        <v>0</v>
      </c>
      <c r="AD34" s="292"/>
      <c r="AE34" s="292"/>
      <c r="AF34" s="293">
        <f t="shared" si="10"/>
        <v>0</v>
      </c>
      <c r="AG34" s="293">
        <f t="shared" si="7"/>
        <v>0</v>
      </c>
      <c r="AH34" s="292"/>
      <c r="AI34" s="292"/>
      <c r="AJ34" s="293">
        <f t="shared" si="8"/>
        <v>0</v>
      </c>
      <c r="AK34" s="292"/>
      <c r="AL34" s="292"/>
      <c r="AM34" s="293">
        <f t="shared" si="9"/>
        <v>0</v>
      </c>
      <c r="AN34" s="292"/>
      <c r="AO34" s="292"/>
      <c r="AP34" s="292"/>
      <c r="AQ34" s="292"/>
      <c r="AR34" s="292"/>
      <c r="AS34" s="269"/>
      <c r="AT34" s="169"/>
      <c r="AU34" s="169"/>
      <c r="AV34" s="169"/>
      <c r="AW34" s="169"/>
      <c r="AX34" s="169"/>
      <c r="AY34" s="169"/>
      <c r="AZ34" s="169"/>
      <c r="BA34" s="280" t="str">
        <f>C29 &amp; "-I"</f>
        <v>0.0-I</v>
      </c>
      <c r="BB34" s="349"/>
      <c r="BC34" s="388"/>
      <c r="BD34" s="388"/>
      <c r="BE34" s="388"/>
      <c r="BF34" s="278"/>
    </row>
    <row r="35" spans="1:58" s="114" customFormat="1" ht="12" hidden="1" customHeight="1">
      <c r="A35" s="287"/>
      <c r="B35" s="937"/>
      <c r="C35" s="937"/>
      <c r="D35" s="281"/>
      <c r="E35" s="282"/>
      <c r="F35" s="283" t="str">
        <f>F29 &amp; ".4"</f>
        <v>0.4</v>
      </c>
      <c r="G35" s="301" t="s">
        <v>140</v>
      </c>
      <c r="H35" s="241"/>
      <c r="I35" s="241"/>
      <c r="J35" s="602" t="str">
        <f ca="1">IF(OFFSET('Список территорий'!CM$15,$F29,0)="a","Y","N")</f>
        <v>N</v>
      </c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93">
        <f t="shared" si="2"/>
        <v>0</v>
      </c>
      <c r="Y35" s="293">
        <f t="shared" si="3"/>
        <v>0</v>
      </c>
      <c r="Z35" s="292"/>
      <c r="AA35" s="292"/>
      <c r="AB35" s="292"/>
      <c r="AC35" s="293">
        <f t="shared" si="6"/>
        <v>0</v>
      </c>
      <c r="AD35" s="292"/>
      <c r="AE35" s="292"/>
      <c r="AF35" s="293">
        <f t="shared" si="10"/>
        <v>0</v>
      </c>
      <c r="AG35" s="293">
        <f t="shared" si="7"/>
        <v>0</v>
      </c>
      <c r="AH35" s="292"/>
      <c r="AI35" s="292"/>
      <c r="AJ35" s="293">
        <f t="shared" si="8"/>
        <v>0</v>
      </c>
      <c r="AK35" s="292"/>
      <c r="AL35" s="292"/>
      <c r="AM35" s="293">
        <f t="shared" si="9"/>
        <v>0</v>
      </c>
      <c r="AN35" s="292"/>
      <c r="AO35" s="292"/>
      <c r="AP35" s="292"/>
      <c r="AQ35" s="292"/>
      <c r="AR35" s="292"/>
      <c r="AS35" s="269"/>
      <c r="AT35" s="169"/>
      <c r="AU35" s="169"/>
      <c r="AV35" s="169"/>
      <c r="AW35" s="169"/>
      <c r="AX35" s="169"/>
      <c r="AY35" s="169"/>
      <c r="AZ35" s="169"/>
      <c r="BA35" s="280" t="str">
        <f>C29 &amp; "-I"</f>
        <v>0.0-I</v>
      </c>
      <c r="BB35" s="349"/>
      <c r="BC35" s="388"/>
      <c r="BD35" s="388"/>
      <c r="BE35" s="388"/>
      <c r="BF35" s="278"/>
    </row>
    <row r="36" spans="1:58" s="114" customFormat="1" ht="12" hidden="1" customHeight="1">
      <c r="A36" s="287"/>
      <c r="B36" s="937"/>
      <c r="C36" s="937"/>
      <c r="D36" s="281"/>
      <c r="E36" s="282"/>
      <c r="F36" s="283" t="str">
        <f>F29 &amp; ".5"</f>
        <v>0.5</v>
      </c>
      <c r="G36" s="301" t="s">
        <v>141</v>
      </c>
      <c r="H36" s="241"/>
      <c r="I36" s="241"/>
      <c r="J36" s="602" t="str">
        <f ca="1">IF(OFFSET('Список территорий'!CN$15,$F29,0)="a","Y","N")</f>
        <v>N</v>
      </c>
      <c r="K36" s="275"/>
      <c r="L36" s="275"/>
      <c r="M36" s="275"/>
      <c r="N36" s="275"/>
      <c r="O36" s="275"/>
      <c r="P36" s="275"/>
      <c r="Q36" s="275"/>
      <c r="R36" s="275"/>
      <c r="S36" s="275"/>
      <c r="T36" s="275"/>
      <c r="U36" s="275"/>
      <c r="V36" s="275"/>
      <c r="W36" s="275"/>
      <c r="X36" s="293">
        <f t="shared" si="2"/>
        <v>0</v>
      </c>
      <c r="Y36" s="293">
        <f t="shared" si="3"/>
        <v>0</v>
      </c>
      <c r="Z36" s="292"/>
      <c r="AA36" s="292"/>
      <c r="AB36" s="292"/>
      <c r="AC36" s="293">
        <f t="shared" si="6"/>
        <v>0</v>
      </c>
      <c r="AD36" s="292"/>
      <c r="AE36" s="292"/>
      <c r="AF36" s="293">
        <f t="shared" si="10"/>
        <v>0</v>
      </c>
      <c r="AG36" s="293">
        <f t="shared" si="7"/>
        <v>0</v>
      </c>
      <c r="AH36" s="292"/>
      <c r="AI36" s="292"/>
      <c r="AJ36" s="293">
        <f t="shared" si="8"/>
        <v>0</v>
      </c>
      <c r="AK36" s="292"/>
      <c r="AL36" s="292"/>
      <c r="AM36" s="293">
        <f t="shared" si="9"/>
        <v>0</v>
      </c>
      <c r="AN36" s="292"/>
      <c r="AO36" s="292"/>
      <c r="AP36" s="292"/>
      <c r="AQ36" s="292"/>
      <c r="AR36" s="292"/>
      <c r="AS36" s="269"/>
      <c r="AT36" s="169"/>
      <c r="AU36" s="169"/>
      <c r="AV36" s="169"/>
      <c r="AW36" s="169"/>
      <c r="AX36" s="169"/>
      <c r="AY36" s="169"/>
      <c r="AZ36" s="169"/>
      <c r="BA36" s="280" t="str">
        <f>C29 &amp; "-I"</f>
        <v>0.0-I</v>
      </c>
      <c r="BB36" s="349"/>
      <c r="BC36" s="388"/>
      <c r="BD36" s="388"/>
      <c r="BE36" s="388"/>
      <c r="BF36" s="278"/>
    </row>
    <row r="37" spans="1:58" s="114" customFormat="1" ht="12" hidden="1" customHeight="1">
      <c r="A37" s="287"/>
      <c r="B37" s="937"/>
      <c r="C37" s="937"/>
      <c r="D37" s="281"/>
      <c r="E37" s="282"/>
      <c r="F37" s="283" t="str">
        <f>F29 &amp; ".6"</f>
        <v>0.6</v>
      </c>
      <c r="G37" s="301" t="s">
        <v>142</v>
      </c>
      <c r="H37" s="241"/>
      <c r="I37" s="241"/>
      <c r="J37" s="602" t="str">
        <f ca="1">IF(OFFSET('Список территорий'!CO$15,$F29,0)="a","Y","N")</f>
        <v>N</v>
      </c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93">
        <f t="shared" si="2"/>
        <v>0</v>
      </c>
      <c r="Y37" s="293">
        <f t="shared" si="3"/>
        <v>0</v>
      </c>
      <c r="Z37" s="292"/>
      <c r="AA37" s="292"/>
      <c r="AB37" s="292"/>
      <c r="AC37" s="293">
        <f t="shared" si="6"/>
        <v>0</v>
      </c>
      <c r="AD37" s="292"/>
      <c r="AE37" s="292"/>
      <c r="AF37" s="293">
        <f t="shared" si="10"/>
        <v>0</v>
      </c>
      <c r="AG37" s="293">
        <f t="shared" si="7"/>
        <v>0</v>
      </c>
      <c r="AH37" s="292"/>
      <c r="AI37" s="292"/>
      <c r="AJ37" s="293">
        <f t="shared" si="8"/>
        <v>0</v>
      </c>
      <c r="AK37" s="292"/>
      <c r="AL37" s="292"/>
      <c r="AM37" s="293">
        <f t="shared" si="9"/>
        <v>0</v>
      </c>
      <c r="AN37" s="292"/>
      <c r="AO37" s="292"/>
      <c r="AP37" s="292"/>
      <c r="AQ37" s="292"/>
      <c r="AR37" s="292"/>
      <c r="AS37" s="269"/>
      <c r="AT37" s="169"/>
      <c r="AU37" s="169"/>
      <c r="AV37" s="169"/>
      <c r="AW37" s="169"/>
      <c r="AX37" s="169"/>
      <c r="AY37" s="169"/>
      <c r="AZ37" s="169"/>
      <c r="BA37" s="280" t="str">
        <f>C29 &amp; "-I"</f>
        <v>0.0-I</v>
      </c>
      <c r="BB37" s="349"/>
      <c r="BC37" s="388"/>
      <c r="BD37" s="388"/>
      <c r="BE37" s="388"/>
      <c r="BF37" s="278"/>
    </row>
    <row r="38" spans="1:58" s="114" customFormat="1" ht="12" hidden="1" customHeight="1">
      <c r="A38" s="287"/>
      <c r="B38" s="937"/>
      <c r="C38" s="937"/>
      <c r="D38" s="281"/>
      <c r="E38" s="282"/>
      <c r="F38" s="283" t="str">
        <f>F29 &amp; ".7"</f>
        <v>0.7</v>
      </c>
      <c r="G38" s="301" t="s">
        <v>143</v>
      </c>
      <c r="H38" s="241"/>
      <c r="I38" s="241"/>
      <c r="J38" s="602" t="str">
        <f ca="1">IF(OFFSET('Список территорий'!CP$15,$F29,0)="a","Y","N")</f>
        <v>N</v>
      </c>
      <c r="K38" s="275"/>
      <c r="L38" s="275"/>
      <c r="M38" s="275"/>
      <c r="N38" s="275"/>
      <c r="O38" s="275"/>
      <c r="P38" s="275"/>
      <c r="Q38" s="275"/>
      <c r="R38" s="275"/>
      <c r="S38" s="275"/>
      <c r="T38" s="275"/>
      <c r="U38" s="275"/>
      <c r="V38" s="275"/>
      <c r="W38" s="275"/>
      <c r="X38" s="293">
        <f t="shared" si="2"/>
        <v>0</v>
      </c>
      <c r="Y38" s="293">
        <f t="shared" si="3"/>
        <v>0</v>
      </c>
      <c r="Z38" s="292"/>
      <c r="AA38" s="292"/>
      <c r="AB38" s="292"/>
      <c r="AC38" s="293">
        <f t="shared" si="6"/>
        <v>0</v>
      </c>
      <c r="AD38" s="292"/>
      <c r="AE38" s="292"/>
      <c r="AF38" s="293">
        <f t="shared" si="10"/>
        <v>0</v>
      </c>
      <c r="AG38" s="293">
        <f t="shared" si="7"/>
        <v>0</v>
      </c>
      <c r="AH38" s="292"/>
      <c r="AI38" s="292"/>
      <c r="AJ38" s="293">
        <f t="shared" si="8"/>
        <v>0</v>
      </c>
      <c r="AK38" s="292"/>
      <c r="AL38" s="292"/>
      <c r="AM38" s="293">
        <f t="shared" si="9"/>
        <v>0</v>
      </c>
      <c r="AN38" s="292"/>
      <c r="AO38" s="292"/>
      <c r="AP38" s="292"/>
      <c r="AQ38" s="292"/>
      <c r="AR38" s="292"/>
      <c r="AS38" s="269"/>
      <c r="AT38" s="169"/>
      <c r="AU38" s="169"/>
      <c r="AV38" s="169"/>
      <c r="AW38" s="169"/>
      <c r="AX38" s="169"/>
      <c r="AY38" s="169"/>
      <c r="AZ38" s="169"/>
      <c r="BA38" s="280" t="str">
        <f>C29 &amp; "-II"</f>
        <v>0.0-II</v>
      </c>
      <c r="BB38" s="349"/>
      <c r="BC38" s="388"/>
      <c r="BD38" s="388"/>
      <c r="BE38" s="388"/>
      <c r="BF38" s="278"/>
    </row>
    <row r="39" spans="1:58" s="114" customFormat="1" ht="12" hidden="1" customHeight="1">
      <c r="A39" s="287"/>
      <c r="B39" s="937"/>
      <c r="C39" s="937"/>
      <c r="D39" s="281"/>
      <c r="E39" s="282"/>
      <c r="F39" s="283" t="str">
        <f>F29 &amp; ".8"</f>
        <v>0.8</v>
      </c>
      <c r="G39" s="301" t="s">
        <v>144</v>
      </c>
      <c r="H39" s="241"/>
      <c r="I39" s="241"/>
      <c r="J39" s="602" t="str">
        <f ca="1">IF(OFFSET('Список территорий'!CQ$15,$F29,0)="a","Y","N")</f>
        <v>N</v>
      </c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93">
        <f t="shared" si="2"/>
        <v>0</v>
      </c>
      <c r="Y39" s="293">
        <f t="shared" si="3"/>
        <v>0</v>
      </c>
      <c r="Z39" s="292"/>
      <c r="AA39" s="292"/>
      <c r="AB39" s="292"/>
      <c r="AC39" s="293">
        <f t="shared" si="6"/>
        <v>0</v>
      </c>
      <c r="AD39" s="292"/>
      <c r="AE39" s="292"/>
      <c r="AF39" s="293">
        <f t="shared" si="10"/>
        <v>0</v>
      </c>
      <c r="AG39" s="293">
        <f t="shared" si="7"/>
        <v>0</v>
      </c>
      <c r="AH39" s="292"/>
      <c r="AI39" s="292"/>
      <c r="AJ39" s="293">
        <f t="shared" si="8"/>
        <v>0</v>
      </c>
      <c r="AK39" s="292"/>
      <c r="AL39" s="292"/>
      <c r="AM39" s="293">
        <f t="shared" si="9"/>
        <v>0</v>
      </c>
      <c r="AN39" s="292"/>
      <c r="AO39" s="292"/>
      <c r="AP39" s="292"/>
      <c r="AQ39" s="292"/>
      <c r="AR39" s="292"/>
      <c r="AS39" s="269"/>
      <c r="AT39" s="169"/>
      <c r="AU39" s="169"/>
      <c r="AV39" s="169"/>
      <c r="AW39" s="169"/>
      <c r="AX39" s="169"/>
      <c r="AY39" s="169"/>
      <c r="AZ39" s="169"/>
      <c r="BA39" s="280" t="str">
        <f>C29 &amp; "-II"</f>
        <v>0.0-II</v>
      </c>
      <c r="BB39" s="349"/>
      <c r="BC39" s="388"/>
      <c r="BD39" s="388"/>
      <c r="BE39" s="388"/>
      <c r="BF39" s="278"/>
    </row>
    <row r="40" spans="1:58" s="114" customFormat="1" ht="12" hidden="1" customHeight="1">
      <c r="A40" s="287"/>
      <c r="B40" s="937"/>
      <c r="C40" s="937"/>
      <c r="D40" s="281"/>
      <c r="E40" s="282"/>
      <c r="F40" s="283" t="str">
        <f>F29 &amp; ".9"</f>
        <v>0.9</v>
      </c>
      <c r="G40" s="301" t="s">
        <v>145</v>
      </c>
      <c r="H40" s="241"/>
      <c r="I40" s="241"/>
      <c r="J40" s="602" t="str">
        <f ca="1">IF(OFFSET('Список территорий'!CR$15,$F29,0)="a","Y","N")</f>
        <v>N</v>
      </c>
      <c r="K40" s="275"/>
      <c r="L40" s="275"/>
      <c r="M40" s="275"/>
      <c r="N40" s="275"/>
      <c r="O40" s="275"/>
      <c r="P40" s="275"/>
      <c r="Q40" s="275"/>
      <c r="R40" s="275"/>
      <c r="S40" s="275"/>
      <c r="T40" s="275"/>
      <c r="U40" s="275"/>
      <c r="V40" s="275"/>
      <c r="W40" s="275"/>
      <c r="X40" s="293">
        <f t="shared" si="2"/>
        <v>0</v>
      </c>
      <c r="Y40" s="293">
        <f t="shared" si="3"/>
        <v>0</v>
      </c>
      <c r="Z40" s="292"/>
      <c r="AA40" s="292"/>
      <c r="AB40" s="292"/>
      <c r="AC40" s="293">
        <f t="shared" si="6"/>
        <v>0</v>
      </c>
      <c r="AD40" s="292"/>
      <c r="AE40" s="292"/>
      <c r="AF40" s="293">
        <f t="shared" si="10"/>
        <v>0</v>
      </c>
      <c r="AG40" s="293">
        <f t="shared" si="7"/>
        <v>0</v>
      </c>
      <c r="AH40" s="292"/>
      <c r="AI40" s="292"/>
      <c r="AJ40" s="293">
        <f t="shared" si="8"/>
        <v>0</v>
      </c>
      <c r="AK40" s="292"/>
      <c r="AL40" s="292"/>
      <c r="AM40" s="293">
        <f t="shared" si="9"/>
        <v>0</v>
      </c>
      <c r="AN40" s="292"/>
      <c r="AO40" s="292"/>
      <c r="AP40" s="292"/>
      <c r="AQ40" s="292"/>
      <c r="AR40" s="292"/>
      <c r="AS40" s="269"/>
      <c r="AT40" s="169"/>
      <c r="AU40" s="169"/>
      <c r="AV40" s="169"/>
      <c r="AW40" s="169"/>
      <c r="AX40" s="169"/>
      <c r="AY40" s="169"/>
      <c r="AZ40" s="169"/>
      <c r="BA40" s="280" t="str">
        <f>C29 &amp; "-II"</f>
        <v>0.0-II</v>
      </c>
      <c r="BB40" s="349"/>
      <c r="BC40" s="388"/>
      <c r="BD40" s="388"/>
      <c r="BE40" s="388"/>
      <c r="BF40" s="278"/>
    </row>
    <row r="41" spans="1:58" s="114" customFormat="1" ht="12" hidden="1" customHeight="1">
      <c r="A41" s="287"/>
      <c r="B41" s="937"/>
      <c r="C41" s="937"/>
      <c r="D41" s="281"/>
      <c r="E41" s="282"/>
      <c r="F41" s="283" t="str">
        <f>F29 &amp; ".10"</f>
        <v>0.10</v>
      </c>
      <c r="G41" s="301" t="s">
        <v>146</v>
      </c>
      <c r="H41" s="241"/>
      <c r="I41" s="241"/>
      <c r="J41" s="602" t="str">
        <f ca="1">IF(OFFSET('Список территорий'!CS$15,$F29,0)="a","Y","N")</f>
        <v>N</v>
      </c>
      <c r="K41" s="275"/>
      <c r="L41" s="275"/>
      <c r="M41" s="275"/>
      <c r="N41" s="275"/>
      <c r="O41" s="275"/>
      <c r="P41" s="275"/>
      <c r="Q41" s="275"/>
      <c r="R41" s="275"/>
      <c r="S41" s="275"/>
      <c r="T41" s="275"/>
      <c r="U41" s="275"/>
      <c r="V41" s="275"/>
      <c r="W41" s="275"/>
      <c r="X41" s="293">
        <f t="shared" si="2"/>
        <v>0</v>
      </c>
      <c r="Y41" s="293">
        <f t="shared" si="3"/>
        <v>0</v>
      </c>
      <c r="Z41" s="292"/>
      <c r="AA41" s="292"/>
      <c r="AB41" s="292"/>
      <c r="AC41" s="293">
        <f t="shared" si="6"/>
        <v>0</v>
      </c>
      <c r="AD41" s="292"/>
      <c r="AE41" s="292"/>
      <c r="AF41" s="293">
        <f t="shared" si="10"/>
        <v>0</v>
      </c>
      <c r="AG41" s="293">
        <f t="shared" si="7"/>
        <v>0</v>
      </c>
      <c r="AH41" s="292"/>
      <c r="AI41" s="292"/>
      <c r="AJ41" s="293">
        <f t="shared" si="8"/>
        <v>0</v>
      </c>
      <c r="AK41" s="292"/>
      <c r="AL41" s="292"/>
      <c r="AM41" s="293">
        <f t="shared" si="9"/>
        <v>0</v>
      </c>
      <c r="AN41" s="292"/>
      <c r="AO41" s="292"/>
      <c r="AP41" s="292"/>
      <c r="AQ41" s="292"/>
      <c r="AR41" s="292"/>
      <c r="AS41" s="269"/>
      <c r="AT41" s="169"/>
      <c r="AU41" s="169"/>
      <c r="AV41" s="169"/>
      <c r="AW41" s="169"/>
      <c r="AX41" s="169"/>
      <c r="AY41" s="169"/>
      <c r="AZ41" s="169"/>
      <c r="BA41" s="280" t="str">
        <f>C29 &amp; "-II"</f>
        <v>0.0-II</v>
      </c>
      <c r="BB41" s="349"/>
      <c r="BC41" s="388"/>
      <c r="BD41" s="388"/>
      <c r="BE41" s="388"/>
      <c r="BF41" s="278"/>
    </row>
    <row r="42" spans="1:58" s="114" customFormat="1" ht="12" hidden="1" customHeight="1">
      <c r="A42" s="287"/>
      <c r="B42" s="937"/>
      <c r="C42" s="937"/>
      <c r="D42" s="281"/>
      <c r="E42" s="282"/>
      <c r="F42" s="283" t="str">
        <f>F29 &amp; ".11"</f>
        <v>0.11</v>
      </c>
      <c r="G42" s="301" t="s">
        <v>147</v>
      </c>
      <c r="H42" s="241"/>
      <c r="I42" s="241"/>
      <c r="J42" s="602" t="str">
        <f ca="1">IF(OFFSET('Список территорий'!CT$15,$F29,0)="a","Y","N")</f>
        <v>N</v>
      </c>
      <c r="K42" s="275"/>
      <c r="L42" s="275"/>
      <c r="M42" s="275"/>
      <c r="N42" s="275"/>
      <c r="O42" s="275"/>
      <c r="P42" s="275"/>
      <c r="Q42" s="275"/>
      <c r="R42" s="275"/>
      <c r="S42" s="275"/>
      <c r="T42" s="275"/>
      <c r="U42" s="275"/>
      <c r="V42" s="275"/>
      <c r="W42" s="275"/>
      <c r="X42" s="293">
        <f t="shared" si="2"/>
        <v>0</v>
      </c>
      <c r="Y42" s="293">
        <f t="shared" si="3"/>
        <v>0</v>
      </c>
      <c r="Z42" s="292"/>
      <c r="AA42" s="292"/>
      <c r="AB42" s="292"/>
      <c r="AC42" s="293">
        <f t="shared" si="6"/>
        <v>0</v>
      </c>
      <c r="AD42" s="292"/>
      <c r="AE42" s="292"/>
      <c r="AF42" s="293">
        <f t="shared" si="10"/>
        <v>0</v>
      </c>
      <c r="AG42" s="293">
        <f t="shared" si="7"/>
        <v>0</v>
      </c>
      <c r="AH42" s="292"/>
      <c r="AI42" s="292"/>
      <c r="AJ42" s="293">
        <f t="shared" si="8"/>
        <v>0</v>
      </c>
      <c r="AK42" s="292"/>
      <c r="AL42" s="292"/>
      <c r="AM42" s="293">
        <f t="shared" si="9"/>
        <v>0</v>
      </c>
      <c r="AN42" s="292"/>
      <c r="AO42" s="292"/>
      <c r="AP42" s="292"/>
      <c r="AQ42" s="292"/>
      <c r="AR42" s="292"/>
      <c r="AS42" s="269"/>
      <c r="AT42" s="169"/>
      <c r="AU42" s="169"/>
      <c r="AV42" s="169"/>
      <c r="AW42" s="169"/>
      <c r="AX42" s="169"/>
      <c r="AY42" s="169"/>
      <c r="AZ42" s="169"/>
      <c r="BA42" s="280" t="str">
        <f>C29 &amp; "-II"</f>
        <v>0.0-II</v>
      </c>
      <c r="BB42" s="349"/>
      <c r="BC42" s="388"/>
      <c r="BD42" s="388"/>
      <c r="BE42" s="388"/>
      <c r="BF42" s="278"/>
    </row>
    <row r="43" spans="1:58" s="114" customFormat="1" ht="12" hidden="1" customHeight="1">
      <c r="A43" s="287"/>
      <c r="B43" s="937"/>
      <c r="C43" s="937"/>
      <c r="D43" s="281"/>
      <c r="E43" s="282"/>
      <c r="F43" s="283" t="str">
        <f>F29 &amp; ".12"</f>
        <v>0.12</v>
      </c>
      <c r="G43" s="301" t="s">
        <v>148</v>
      </c>
      <c r="H43" s="241"/>
      <c r="I43" s="241"/>
      <c r="J43" s="602" t="str">
        <f ca="1">IF(OFFSET('Список территорий'!CU$15,$F29,0)="a","Y","N")</f>
        <v>N</v>
      </c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93">
        <f t="shared" si="2"/>
        <v>0</v>
      </c>
      <c r="Y43" s="293">
        <f t="shared" si="3"/>
        <v>0</v>
      </c>
      <c r="Z43" s="292"/>
      <c r="AA43" s="292"/>
      <c r="AB43" s="292"/>
      <c r="AC43" s="293">
        <f t="shared" si="6"/>
        <v>0</v>
      </c>
      <c r="AD43" s="292"/>
      <c r="AE43" s="292"/>
      <c r="AF43" s="293">
        <f t="shared" si="10"/>
        <v>0</v>
      </c>
      <c r="AG43" s="293">
        <f t="shared" si="7"/>
        <v>0</v>
      </c>
      <c r="AH43" s="292"/>
      <c r="AI43" s="292"/>
      <c r="AJ43" s="293">
        <f t="shared" si="8"/>
        <v>0</v>
      </c>
      <c r="AK43" s="292"/>
      <c r="AL43" s="292"/>
      <c r="AM43" s="293">
        <f t="shared" si="9"/>
        <v>0</v>
      </c>
      <c r="AN43" s="292"/>
      <c r="AO43" s="292"/>
      <c r="AP43" s="292"/>
      <c r="AQ43" s="292"/>
      <c r="AR43" s="292"/>
      <c r="AS43" s="269"/>
      <c r="AT43" s="169"/>
      <c r="AU43" s="169"/>
      <c r="AV43" s="169"/>
      <c r="AW43" s="169"/>
      <c r="AX43" s="169"/>
      <c r="AY43" s="169"/>
      <c r="AZ43" s="169"/>
      <c r="BA43" s="280" t="str">
        <f>C29 &amp; "-II"</f>
        <v>0.0-II</v>
      </c>
      <c r="BB43" s="349"/>
      <c r="BC43" s="388"/>
      <c r="BD43" s="388"/>
      <c r="BE43" s="388"/>
      <c r="BF43" s="278"/>
    </row>
    <row r="44" spans="1:58" s="114" customFormat="1" ht="0.75" hidden="1" customHeight="1">
      <c r="A44" s="287"/>
      <c r="B44" s="937"/>
      <c r="C44" s="937"/>
      <c r="D44" s="281"/>
      <c r="E44" s="282"/>
      <c r="F44" s="390"/>
      <c r="G44" s="275"/>
      <c r="H44" s="241"/>
      <c r="I44" s="241"/>
      <c r="J44" s="390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0"/>
      <c r="AT44" s="169"/>
      <c r="AU44" s="169"/>
      <c r="AV44" s="169"/>
      <c r="AW44" s="169"/>
      <c r="AX44" s="169"/>
      <c r="AY44" s="169"/>
      <c r="AZ44" s="169"/>
      <c r="BA44" s="371"/>
      <c r="BB44" s="349"/>
      <c r="BC44" s="388"/>
      <c r="BD44" s="388"/>
      <c r="BE44" s="388"/>
      <c r="BF44" s="278"/>
    </row>
    <row r="45" spans="1:58" s="114" customFormat="1" ht="0.75" hidden="1" customHeight="1">
      <c r="A45" s="287"/>
      <c r="B45" s="937"/>
      <c r="C45" s="937"/>
      <c r="D45" s="281"/>
      <c r="E45" s="282"/>
      <c r="F45" s="390"/>
      <c r="G45" s="275"/>
      <c r="H45" s="241"/>
      <c r="I45" s="241"/>
      <c r="J45" s="390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275"/>
      <c r="AH45" s="275"/>
      <c r="AI45" s="275"/>
      <c r="AJ45" s="275"/>
      <c r="AK45" s="275"/>
      <c r="AL45" s="275"/>
      <c r="AM45" s="275"/>
      <c r="AN45" s="275"/>
      <c r="AO45" s="275"/>
      <c r="AP45" s="275"/>
      <c r="AQ45" s="275"/>
      <c r="AR45" s="275"/>
      <c r="AS45" s="270"/>
      <c r="AT45" s="169"/>
      <c r="AU45" s="169"/>
      <c r="AV45" s="169"/>
      <c r="AW45" s="169"/>
      <c r="AX45" s="169"/>
      <c r="AY45" s="169"/>
      <c r="AZ45" s="169"/>
      <c r="BA45" s="280"/>
      <c r="BB45" s="349"/>
      <c r="BC45" s="388"/>
      <c r="BD45" s="388"/>
      <c r="BE45" s="388"/>
      <c r="BF45" s="278"/>
    </row>
    <row r="46" spans="1:58" s="114" customFormat="1" ht="0.75" hidden="1" customHeight="1">
      <c r="A46" s="287"/>
      <c r="B46" s="937"/>
      <c r="C46" s="937"/>
      <c r="D46" s="281"/>
      <c r="E46" s="282"/>
      <c r="F46" s="390"/>
      <c r="G46" s="275"/>
      <c r="H46" s="241"/>
      <c r="I46" s="241"/>
      <c r="J46" s="390"/>
      <c r="K46" s="275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5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0"/>
      <c r="AT46" s="169"/>
      <c r="AU46" s="169"/>
      <c r="AV46" s="169"/>
      <c r="AW46" s="169"/>
      <c r="AX46" s="169"/>
      <c r="AY46" s="169"/>
      <c r="AZ46" s="169"/>
      <c r="BA46" s="280"/>
      <c r="BB46" s="349"/>
      <c r="BC46" s="388"/>
      <c r="BD46" s="388"/>
      <c r="BE46" s="388"/>
      <c r="BF46" s="278"/>
    </row>
    <row r="47" spans="1:58" s="114" customFormat="1" ht="0.75" hidden="1" customHeight="1">
      <c r="A47" s="287"/>
      <c r="B47" s="937"/>
      <c r="C47" s="937"/>
      <c r="D47" s="281"/>
      <c r="E47" s="282"/>
      <c r="F47" s="390"/>
      <c r="G47" s="275"/>
      <c r="H47" s="241"/>
      <c r="I47" s="241"/>
      <c r="J47" s="390"/>
      <c r="K47" s="275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5"/>
      <c r="AG47" s="275"/>
      <c r="AH47" s="275"/>
      <c r="AI47" s="275"/>
      <c r="AJ47" s="275"/>
      <c r="AK47" s="275"/>
      <c r="AL47" s="275"/>
      <c r="AM47" s="275"/>
      <c r="AN47" s="275"/>
      <c r="AO47" s="275"/>
      <c r="AP47" s="275"/>
      <c r="AQ47" s="275"/>
      <c r="AR47" s="275"/>
      <c r="AS47" s="270"/>
      <c r="AT47" s="169"/>
      <c r="AU47" s="169"/>
      <c r="AV47" s="169"/>
      <c r="AW47" s="169"/>
      <c r="AX47" s="169"/>
      <c r="AY47" s="169"/>
      <c r="AZ47" s="169"/>
      <c r="BA47" s="280"/>
      <c r="BB47" s="349"/>
      <c r="BC47" s="388"/>
      <c r="BD47" s="388"/>
      <c r="BE47" s="388"/>
      <c r="BF47" s="278"/>
    </row>
    <row r="48" spans="1:58" s="114" customFormat="1" ht="0.75" hidden="1" customHeight="1">
      <c r="A48" s="287"/>
      <c r="B48" s="937"/>
      <c r="C48" s="937"/>
      <c r="D48" s="281"/>
      <c r="E48" s="282"/>
      <c r="F48" s="390"/>
      <c r="G48" s="275"/>
      <c r="H48" s="241"/>
      <c r="I48" s="241"/>
      <c r="J48" s="390"/>
      <c r="K48" s="275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  <c r="AA48" s="275"/>
      <c r="AB48" s="275"/>
      <c r="AC48" s="275"/>
      <c r="AD48" s="275"/>
      <c r="AE48" s="275"/>
      <c r="AF48" s="275"/>
      <c r="AG48" s="275"/>
      <c r="AH48" s="275"/>
      <c r="AI48" s="275"/>
      <c r="AJ48" s="275"/>
      <c r="AK48" s="275"/>
      <c r="AL48" s="275"/>
      <c r="AM48" s="275"/>
      <c r="AN48" s="275"/>
      <c r="AO48" s="275"/>
      <c r="AP48" s="275"/>
      <c r="AQ48" s="275"/>
      <c r="AR48" s="275"/>
      <c r="AS48" s="270"/>
      <c r="AT48" s="169"/>
      <c r="AU48" s="169"/>
      <c r="AV48" s="169"/>
      <c r="AW48" s="169"/>
      <c r="AX48" s="169"/>
      <c r="AY48" s="169"/>
      <c r="AZ48" s="169"/>
      <c r="BA48" s="280"/>
      <c r="BB48" s="349"/>
      <c r="BC48" s="388"/>
      <c r="BD48" s="388"/>
      <c r="BE48" s="388"/>
      <c r="BF48" s="278"/>
    </row>
    <row r="49" spans="1:58" s="114" customFormat="1" ht="0.75" hidden="1" customHeight="1">
      <c r="A49" s="287"/>
      <c r="B49" s="937"/>
      <c r="C49" s="937"/>
      <c r="D49" s="281"/>
      <c r="E49" s="282"/>
      <c r="F49" s="390"/>
      <c r="G49" s="275"/>
      <c r="H49" s="241"/>
      <c r="I49" s="241"/>
      <c r="J49" s="390"/>
      <c r="K49" s="275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5"/>
      <c r="AG49" s="275"/>
      <c r="AH49" s="275"/>
      <c r="AI49" s="275"/>
      <c r="AJ49" s="275"/>
      <c r="AK49" s="275"/>
      <c r="AL49" s="275"/>
      <c r="AM49" s="275"/>
      <c r="AN49" s="275"/>
      <c r="AO49" s="275"/>
      <c r="AP49" s="275"/>
      <c r="AQ49" s="275"/>
      <c r="AR49" s="275"/>
      <c r="AS49" s="270"/>
      <c r="AT49" s="169"/>
      <c r="AU49" s="169"/>
      <c r="AV49" s="169"/>
      <c r="AW49" s="169"/>
      <c r="AX49" s="169"/>
      <c r="AY49" s="169"/>
      <c r="AZ49" s="169"/>
      <c r="BA49" s="280"/>
      <c r="BB49" s="349"/>
      <c r="BC49" s="388"/>
      <c r="BD49" s="388"/>
      <c r="BE49" s="388"/>
      <c r="BF49" s="278"/>
    </row>
    <row r="50" spans="1:58" s="114" customFormat="1" ht="0.75" hidden="1" customHeight="1">
      <c r="A50" s="287"/>
      <c r="B50" s="937"/>
      <c r="C50" s="937"/>
      <c r="D50" s="281"/>
      <c r="E50" s="282"/>
      <c r="F50" s="390"/>
      <c r="G50" s="275"/>
      <c r="H50" s="241"/>
      <c r="I50" s="241"/>
      <c r="J50" s="390"/>
      <c r="K50" s="275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5"/>
      <c r="AG50" s="275"/>
      <c r="AH50" s="275"/>
      <c r="AI50" s="275"/>
      <c r="AJ50" s="275"/>
      <c r="AK50" s="275"/>
      <c r="AL50" s="275"/>
      <c r="AM50" s="275"/>
      <c r="AN50" s="275"/>
      <c r="AO50" s="275"/>
      <c r="AP50" s="275"/>
      <c r="AQ50" s="275"/>
      <c r="AR50" s="275"/>
      <c r="AS50" s="270"/>
      <c r="AT50" s="169"/>
      <c r="AU50" s="169"/>
      <c r="AV50" s="169"/>
      <c r="AW50" s="169"/>
      <c r="AX50" s="169"/>
      <c r="AY50" s="169"/>
      <c r="AZ50" s="169"/>
      <c r="BA50" s="280"/>
      <c r="BB50" s="349"/>
      <c r="BC50" s="388"/>
      <c r="BD50" s="388"/>
      <c r="BE50" s="388"/>
      <c r="BF50" s="278"/>
    </row>
    <row r="51" spans="1:58" s="114" customFormat="1" ht="0.75" hidden="1" customHeight="1">
      <c r="A51" s="287"/>
      <c r="B51" s="937"/>
      <c r="C51" s="937"/>
      <c r="D51" s="281"/>
      <c r="E51" s="282"/>
      <c r="F51" s="390"/>
      <c r="G51" s="275"/>
      <c r="H51" s="241"/>
      <c r="I51" s="241"/>
      <c r="J51" s="390"/>
      <c r="K51" s="275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5"/>
      <c r="AG51" s="275"/>
      <c r="AH51" s="275"/>
      <c r="AI51" s="275"/>
      <c r="AJ51" s="275"/>
      <c r="AK51" s="275"/>
      <c r="AL51" s="275"/>
      <c r="AM51" s="275"/>
      <c r="AN51" s="275"/>
      <c r="AO51" s="275"/>
      <c r="AP51" s="275"/>
      <c r="AQ51" s="275"/>
      <c r="AR51" s="275"/>
      <c r="AS51" s="270"/>
      <c r="AT51" s="169"/>
      <c r="AU51" s="169"/>
      <c r="AV51" s="169"/>
      <c r="AW51" s="169"/>
      <c r="AX51" s="169"/>
      <c r="AY51" s="169"/>
      <c r="AZ51" s="169"/>
      <c r="BA51" s="280"/>
      <c r="BB51" s="349"/>
      <c r="BC51" s="388"/>
      <c r="BD51" s="388"/>
      <c r="BE51" s="388"/>
      <c r="BF51" s="278"/>
    </row>
    <row r="52" spans="1:58" s="114" customFormat="1" ht="0.75" hidden="1" customHeight="1">
      <c r="A52" s="287"/>
      <c r="B52" s="937"/>
      <c r="C52" s="937"/>
      <c r="D52" s="281"/>
      <c r="E52" s="282"/>
      <c r="F52" s="390"/>
      <c r="G52" s="275"/>
      <c r="H52" s="241"/>
      <c r="I52" s="241"/>
      <c r="J52" s="390"/>
      <c r="K52" s="275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5"/>
      <c r="AG52" s="275"/>
      <c r="AH52" s="275"/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70"/>
      <c r="AT52" s="169"/>
      <c r="AU52" s="169"/>
      <c r="AV52" s="169"/>
      <c r="AW52" s="169"/>
      <c r="AX52" s="169"/>
      <c r="AY52" s="169"/>
      <c r="AZ52" s="169"/>
      <c r="BA52" s="280"/>
      <c r="BB52" s="349"/>
      <c r="BC52" s="388"/>
      <c r="BD52" s="388"/>
      <c r="BE52" s="388"/>
      <c r="BF52" s="278"/>
    </row>
    <row r="53" spans="1:58" s="114" customFormat="1" ht="0.75" hidden="1" customHeight="1">
      <c r="A53" s="287"/>
      <c r="B53" s="937"/>
      <c r="C53" s="937"/>
      <c r="D53" s="281"/>
      <c r="E53" s="282"/>
      <c r="F53" s="390"/>
      <c r="G53" s="275"/>
      <c r="H53" s="241"/>
      <c r="I53" s="241"/>
      <c r="J53" s="390"/>
      <c r="K53" s="275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5"/>
      <c r="AG53" s="275"/>
      <c r="AH53" s="275"/>
      <c r="AI53" s="275"/>
      <c r="AJ53" s="275"/>
      <c r="AK53" s="275"/>
      <c r="AL53" s="275"/>
      <c r="AM53" s="275"/>
      <c r="AN53" s="275"/>
      <c r="AO53" s="275"/>
      <c r="AP53" s="275"/>
      <c r="AQ53" s="275"/>
      <c r="AR53" s="275"/>
      <c r="AS53" s="270"/>
      <c r="AT53" s="169"/>
      <c r="AU53" s="169"/>
      <c r="AV53" s="169"/>
      <c r="AW53" s="169"/>
      <c r="AX53" s="169"/>
      <c r="AY53" s="169"/>
      <c r="AZ53" s="169"/>
      <c r="BA53" s="280"/>
      <c r="BB53" s="349"/>
      <c r="BC53" s="388"/>
      <c r="BD53" s="388"/>
      <c r="BE53" s="388"/>
      <c r="BF53" s="278"/>
    </row>
    <row r="54" spans="1:58" s="114" customFormat="1" ht="0.75" hidden="1" customHeight="1">
      <c r="A54" s="287"/>
      <c r="B54" s="937"/>
      <c r="C54" s="937"/>
      <c r="D54" s="281"/>
      <c r="E54" s="282"/>
      <c r="F54" s="390"/>
      <c r="G54" s="275"/>
      <c r="H54" s="241"/>
      <c r="I54" s="241"/>
      <c r="J54" s="390"/>
      <c r="K54" s="275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5"/>
      <c r="AG54" s="275"/>
      <c r="AH54" s="275"/>
      <c r="AI54" s="275"/>
      <c r="AJ54" s="275"/>
      <c r="AK54" s="275"/>
      <c r="AL54" s="275"/>
      <c r="AM54" s="275"/>
      <c r="AN54" s="275"/>
      <c r="AO54" s="275"/>
      <c r="AP54" s="275"/>
      <c r="AQ54" s="275"/>
      <c r="AR54" s="275"/>
      <c r="AS54" s="270"/>
      <c r="AT54" s="169"/>
      <c r="AU54" s="169"/>
      <c r="AV54" s="169"/>
      <c r="AW54" s="169"/>
      <c r="AX54" s="169"/>
      <c r="AY54" s="169"/>
      <c r="AZ54" s="169"/>
      <c r="BA54" s="280"/>
      <c r="BB54" s="349"/>
      <c r="BC54" s="388"/>
      <c r="BD54" s="388"/>
      <c r="BE54" s="388"/>
      <c r="BF54" s="278"/>
    </row>
    <row r="55" spans="1:58" s="114" customFormat="1" ht="0.75" hidden="1" customHeight="1">
      <c r="A55" s="287"/>
      <c r="B55" s="937"/>
      <c r="C55" s="937"/>
      <c r="D55" s="281"/>
      <c r="E55" s="282"/>
      <c r="F55" s="390"/>
      <c r="G55" s="275"/>
      <c r="H55" s="241"/>
      <c r="I55" s="241"/>
      <c r="J55" s="390"/>
      <c r="K55" s="275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5"/>
      <c r="AF55" s="275"/>
      <c r="AG55" s="275"/>
      <c r="AH55" s="275"/>
      <c r="AI55" s="275"/>
      <c r="AJ55" s="275"/>
      <c r="AK55" s="275"/>
      <c r="AL55" s="275"/>
      <c r="AM55" s="275"/>
      <c r="AN55" s="275"/>
      <c r="AO55" s="275"/>
      <c r="AP55" s="275"/>
      <c r="AQ55" s="275"/>
      <c r="AR55" s="275"/>
      <c r="AS55" s="270"/>
      <c r="AT55" s="169"/>
      <c r="AU55" s="169"/>
      <c r="AV55" s="169"/>
      <c r="AW55" s="169"/>
      <c r="AX55" s="169"/>
      <c r="AY55" s="169"/>
      <c r="AZ55" s="169"/>
      <c r="BA55" s="280"/>
      <c r="BB55" s="349"/>
      <c r="BC55" s="388"/>
      <c r="BD55" s="388"/>
      <c r="BE55" s="388"/>
      <c r="BF55" s="278"/>
    </row>
    <row r="56" spans="1:58" s="114" customFormat="1" ht="0.75" hidden="1" customHeight="1">
      <c r="A56" s="287"/>
      <c r="B56" s="937"/>
      <c r="C56" s="937"/>
      <c r="D56" s="285"/>
      <c r="E56" s="282"/>
      <c r="F56" s="390"/>
      <c r="G56" s="275"/>
      <c r="H56" s="241"/>
      <c r="I56" s="241"/>
      <c r="J56" s="390"/>
      <c r="K56" s="275"/>
      <c r="L56" s="275"/>
      <c r="M56" s="275"/>
      <c r="N56" s="275"/>
      <c r="O56" s="275"/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  <c r="AC56" s="275"/>
      <c r="AD56" s="275"/>
      <c r="AE56" s="275"/>
      <c r="AF56" s="275"/>
      <c r="AG56" s="275"/>
      <c r="AH56" s="275"/>
      <c r="AI56" s="275"/>
      <c r="AJ56" s="275"/>
      <c r="AK56" s="275"/>
      <c r="AL56" s="275"/>
      <c r="AM56" s="275"/>
      <c r="AN56" s="275"/>
      <c r="AO56" s="275"/>
      <c r="AP56" s="275"/>
      <c r="AQ56" s="275"/>
      <c r="AR56" s="275"/>
      <c r="AS56" s="270"/>
      <c r="AT56" s="169"/>
      <c r="AU56" s="169"/>
      <c r="AV56" s="169"/>
      <c r="AW56" s="169"/>
      <c r="AX56" s="169"/>
      <c r="AY56" s="169"/>
      <c r="AZ56" s="169"/>
      <c r="BA56" s="280"/>
      <c r="BB56" s="349"/>
      <c r="BC56" s="388"/>
      <c r="BD56" s="388"/>
      <c r="BE56" s="388"/>
      <c r="BF56" s="278"/>
    </row>
    <row r="57" spans="1:58" s="169" customFormat="1" ht="0.75" hidden="1" customHeight="1"/>
    <row r="58" spans="1:58" s="169" customFormat="1" ht="0.75" hidden="1" customHeight="1"/>
    <row r="59" spans="1:58" s="169" customFormat="1" ht="0.75" hidden="1" customHeight="1"/>
    <row r="60" spans="1:58" s="169" customFormat="1" ht="0.75" hidden="1" customHeight="1"/>
    <row r="61" spans="1:58" s="169" customFormat="1" ht="0.75" hidden="1" customHeight="1"/>
    <row r="62" spans="1:58" s="169" customFormat="1" ht="0.75" hidden="1" customHeight="1"/>
    <row r="63" spans="1:58" s="169" customFormat="1" ht="0.75" hidden="1" customHeight="1"/>
    <row r="64" spans="1:58" s="169" customFormat="1" ht="0.75" hidden="1" customHeight="1"/>
    <row r="65" s="169" customFormat="1" ht="0.75" hidden="1" customHeight="1"/>
    <row r="66" s="169" customFormat="1" ht="0.75" hidden="1" customHeight="1"/>
    <row r="67" s="169" customFormat="1" ht="0.75" hidden="1" customHeight="1"/>
    <row r="68" s="169" customFormat="1" ht="0.75" hidden="1" customHeight="1"/>
    <row r="69" s="169" customFormat="1" ht="0.75" hidden="1" customHeight="1"/>
    <row r="70" s="169" customFormat="1" ht="0.75" hidden="1" customHeight="1"/>
    <row r="71" s="169" customFormat="1" ht="0.75" hidden="1" customHeight="1"/>
    <row r="72" s="169" customFormat="1" ht="0.75" hidden="1" customHeight="1"/>
    <row r="73" s="169" customFormat="1" ht="0.75" hidden="1" customHeight="1"/>
    <row r="74" s="169" customFormat="1" ht="0.75" hidden="1" customHeight="1"/>
    <row r="75" s="169" customFormat="1" ht="0.75" hidden="1" customHeight="1"/>
    <row r="76" s="169" customFormat="1" ht="0.75" hidden="1" customHeight="1"/>
    <row r="77" s="169" customFormat="1" ht="0.75" hidden="1" customHeight="1"/>
    <row r="78" s="169" customFormat="1" ht="0.75" hidden="1" customHeight="1"/>
    <row r="79" s="169" customFormat="1" ht="0.75" hidden="1" customHeight="1"/>
    <row r="80" s="169" customFormat="1" ht="0.75" hidden="1" customHeight="1"/>
    <row r="81" spans="53:53" s="169" customFormat="1" ht="0.75" hidden="1" customHeight="1"/>
    <row r="82" spans="53:53" s="169" customFormat="1" ht="0.75" hidden="1" customHeight="1"/>
    <row r="83" spans="53:53" s="169" customFormat="1" ht="0.75" hidden="1" customHeight="1"/>
    <row r="84" spans="53:53" s="169" customFormat="1" ht="0.75" hidden="1" customHeight="1"/>
    <row r="85" spans="53:53" s="169" customFormat="1" ht="0.75" hidden="1" customHeight="1"/>
    <row r="86" spans="53:53" s="169" customFormat="1" ht="0.75" hidden="1" customHeight="1">
      <c r="BA86" s="224"/>
    </row>
    <row r="87" spans="53:53" s="169" customFormat="1" ht="0.75" hidden="1" customHeight="1">
      <c r="BA87" s="224"/>
    </row>
    <row r="88" spans="53:53" s="169" customFormat="1" ht="0.75" hidden="1" customHeight="1">
      <c r="BA88" s="224"/>
    </row>
    <row r="89" spans="53:53" s="169" customFormat="1" ht="0.75" hidden="1" customHeight="1">
      <c r="BA89" s="224"/>
    </row>
    <row r="90" spans="53:53" s="169" customFormat="1" ht="0.75" hidden="1" customHeight="1">
      <c r="BA90" s="224"/>
    </row>
    <row r="91" spans="53:53" s="169" customFormat="1" ht="0.75" hidden="1" customHeight="1">
      <c r="BA91" s="224"/>
    </row>
    <row r="92" spans="53:53" s="169" customFormat="1" ht="0.75" hidden="1" customHeight="1">
      <c r="BA92" s="224"/>
    </row>
    <row r="93" spans="53:53" s="169" customFormat="1" ht="0.75" hidden="1" customHeight="1">
      <c r="BA93" s="224"/>
    </row>
    <row r="94" spans="53:53" s="169" customFormat="1" ht="0.75" hidden="1" customHeight="1">
      <c r="BA94" s="224"/>
    </row>
    <row r="95" spans="53:53" s="169" customFormat="1" ht="0.75" hidden="1" customHeight="1">
      <c r="BA95" s="224"/>
    </row>
    <row r="96" spans="53:53" s="169" customFormat="1" ht="0.75" hidden="1" customHeight="1">
      <c r="BA96" s="224"/>
    </row>
    <row r="97" spans="53:53" s="169" customFormat="1" ht="0.75" hidden="1" customHeight="1">
      <c r="BA97" s="224"/>
    </row>
    <row r="98" spans="53:53" s="169" customFormat="1" ht="0.75" hidden="1" customHeight="1">
      <c r="BA98" s="224"/>
    </row>
    <row r="99" spans="53:53" s="169" customFormat="1" ht="0.75" hidden="1" customHeight="1">
      <c r="BA99" s="224"/>
    </row>
    <row r="100" spans="53:53" s="169" customFormat="1" ht="0.75" hidden="1" customHeight="1">
      <c r="BA100" s="224"/>
    </row>
    <row r="101" spans="53:53" s="169" customFormat="1" ht="0.75" hidden="1" customHeight="1">
      <c r="BA101" s="224"/>
    </row>
    <row r="102" spans="53:53" s="169" customFormat="1" ht="0.75" hidden="1" customHeight="1">
      <c r="BA102" s="224"/>
    </row>
    <row r="103" spans="53:53" s="169" customFormat="1" ht="0.75" hidden="1" customHeight="1">
      <c r="BA103" s="224"/>
    </row>
    <row r="104" spans="53:53" s="169" customFormat="1" ht="0.75" hidden="1" customHeight="1">
      <c r="BA104" s="224"/>
    </row>
    <row r="105" spans="53:53" s="169" customFormat="1" ht="0.75" hidden="1" customHeight="1">
      <c r="BA105" s="224"/>
    </row>
    <row r="106" spans="53:53" s="169" customFormat="1" ht="0.75" hidden="1" customHeight="1">
      <c r="BA106" s="224"/>
    </row>
    <row r="107" spans="53:53" s="169" customFormat="1" ht="0.75" hidden="1" customHeight="1">
      <c r="BA107" s="224"/>
    </row>
    <row r="108" spans="53:53" s="169" customFormat="1" ht="0.75" hidden="1" customHeight="1">
      <c r="BA108" s="224"/>
    </row>
    <row r="109" spans="53:53" s="169" customFormat="1" ht="0.75" hidden="1" customHeight="1">
      <c r="BA109" s="224"/>
    </row>
    <row r="110" spans="53:53" s="169" customFormat="1" ht="0.75" hidden="1" customHeight="1">
      <c r="BA110" s="224"/>
    </row>
    <row r="111" spans="53:53" s="169" customFormat="1" ht="0.75" hidden="1" customHeight="1">
      <c r="BA111" s="224"/>
    </row>
    <row r="112" spans="53:53" s="169" customFormat="1" ht="0.75" hidden="1" customHeight="1">
      <c r="BA112" s="224"/>
    </row>
    <row r="113" spans="1:60" s="114" customFormat="1" ht="0.75" hidden="1" customHeight="1">
      <c r="A113" s="249"/>
      <c r="B113" s="299"/>
      <c r="C113" s="249"/>
      <c r="D113" s="286"/>
      <c r="E113" s="316"/>
      <c r="F113" s="212"/>
      <c r="AT113" s="169"/>
      <c r="AU113" s="169"/>
      <c r="AV113" s="169"/>
      <c r="AW113" s="169"/>
      <c r="AX113" s="169"/>
      <c r="AY113" s="169"/>
      <c r="AZ113" s="169"/>
      <c r="BA113" s="224"/>
      <c r="BB113" s="348"/>
      <c r="BC113" s="386"/>
      <c r="BD113" s="386"/>
      <c r="BE113" s="386"/>
      <c r="BF113" s="8"/>
    </row>
    <row r="114" spans="1:60" s="114" customFormat="1" ht="0.75" hidden="1" customHeight="1">
      <c r="A114" s="249"/>
      <c r="B114" s="299"/>
      <c r="C114" s="249"/>
      <c r="D114" s="286"/>
      <c r="E114" s="337"/>
      <c r="F114" s="212"/>
      <c r="AT114" s="169"/>
      <c r="AU114" s="169"/>
      <c r="AV114" s="169"/>
      <c r="AW114" s="169"/>
      <c r="AX114" s="169"/>
      <c r="AY114" s="169"/>
      <c r="AZ114" s="169"/>
      <c r="BA114" s="224"/>
      <c r="BB114" s="348"/>
      <c r="BC114" s="386"/>
      <c r="BD114" s="386"/>
      <c r="BE114" s="386"/>
      <c r="BF114" s="8"/>
    </row>
    <row r="115" spans="1:60" s="169" customFormat="1" ht="0.75" hidden="1" customHeight="1">
      <c r="A115" s="249"/>
      <c r="B115" s="299"/>
      <c r="C115" s="249"/>
      <c r="D115" s="286"/>
      <c r="F115" s="394"/>
      <c r="BA115" s="224"/>
    </row>
    <row r="116" spans="1:60" s="169" customFormat="1" ht="0.75" hidden="1" customHeight="1">
      <c r="A116" s="249"/>
      <c r="B116" s="299"/>
      <c r="C116" s="249"/>
      <c r="D116" s="286"/>
      <c r="F116" s="394"/>
      <c r="BA116" s="224"/>
    </row>
    <row r="117" spans="1:60" s="169" customFormat="1" hidden="1">
      <c r="A117" s="249"/>
      <c r="B117" s="299"/>
      <c r="C117" s="249"/>
      <c r="D117" s="286"/>
      <c r="F117" s="394"/>
      <c r="BA117" s="224"/>
    </row>
    <row r="118" spans="1:60" s="10" customFormat="1" ht="12" customHeight="1">
      <c r="A118" s="9"/>
      <c r="B118" s="41"/>
      <c r="C118" s="11"/>
      <c r="D118" s="85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72"/>
      <c r="AE118" s="72"/>
      <c r="AF118" s="72"/>
      <c r="AG118" s="72"/>
      <c r="AH118" s="72"/>
      <c r="AI118" s="72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224"/>
      <c r="BB118" s="11"/>
      <c r="BC118" s="27"/>
      <c r="BD118" s="27"/>
      <c r="BE118" s="22"/>
      <c r="BF118" s="22"/>
      <c r="BG118" s="2"/>
      <c r="BH118" s="2"/>
    </row>
    <row r="119" spans="1:60" s="10" customFormat="1" ht="18" customHeight="1">
      <c r="A119" s="9"/>
      <c r="B119" s="41"/>
      <c r="C119" s="11"/>
      <c r="D119" s="85"/>
      <c r="E119" s="38"/>
      <c r="F119" s="119" t="str">
        <f>"Баланс " &amp; TEMPLATE_SPHERE &amp; " (производство)"</f>
        <v>Баланс теплоснабжения (производство)</v>
      </c>
      <c r="G119" s="120"/>
      <c r="H119" s="120"/>
      <c r="I119" s="120"/>
      <c r="J119" s="120"/>
      <c r="K119" s="12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70"/>
      <c r="W119" s="70"/>
      <c r="X119" s="70"/>
      <c r="Y119" s="70"/>
      <c r="Z119" s="70"/>
      <c r="AA119" s="70"/>
      <c r="AB119" s="70"/>
      <c r="AC119" s="70"/>
      <c r="AD119" s="73"/>
      <c r="AE119" s="73"/>
      <c r="AF119" s="73"/>
      <c r="AG119" s="74"/>
      <c r="AH119" s="74"/>
      <c r="AI119" s="74"/>
      <c r="AJ119" s="70"/>
      <c r="AK119" s="70"/>
      <c r="AL119" s="70"/>
      <c r="AM119" s="70"/>
      <c r="AN119" s="70"/>
      <c r="AO119" s="70"/>
      <c r="AP119" s="70"/>
      <c r="AQ119" s="70"/>
      <c r="AR119" s="70"/>
      <c r="AS119" s="70"/>
      <c r="AT119" s="70"/>
      <c r="AU119" s="70"/>
      <c r="AV119" s="70"/>
      <c r="AW119" s="70"/>
      <c r="AX119" s="70"/>
      <c r="AY119" s="70"/>
      <c r="AZ119" s="70"/>
      <c r="BA119" s="224"/>
      <c r="BB119" s="69"/>
      <c r="BC119" s="27"/>
      <c r="BD119" s="27"/>
      <c r="BE119" s="22"/>
      <c r="BF119" s="22"/>
      <c r="BG119" s="2"/>
      <c r="BH119" s="2"/>
    </row>
    <row r="120" spans="1:60" customFormat="1" ht="12" customHeight="1">
      <c r="A120" s="9"/>
      <c r="B120" s="41"/>
      <c r="C120" s="11"/>
      <c r="D120" s="85"/>
      <c r="F120" s="439" t="s">
        <v>515</v>
      </c>
      <c r="G120" s="127"/>
      <c r="H120" s="127"/>
      <c r="I120" s="127"/>
      <c r="J120" s="127"/>
      <c r="K120" s="127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225"/>
      <c r="AE120" s="225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BA120" s="224"/>
    </row>
    <row r="121" spans="1:60" ht="24" customHeight="1">
      <c r="B121" s="35"/>
      <c r="C121" s="9"/>
      <c r="D121" s="84"/>
      <c r="E121" s="36"/>
      <c r="F121" s="925" t="s">
        <v>104</v>
      </c>
      <c r="G121" s="925" t="s">
        <v>150</v>
      </c>
      <c r="H121" s="961" t="s">
        <v>399</v>
      </c>
      <c r="I121" s="961" t="s">
        <v>400</v>
      </c>
      <c r="J121" s="925" t="s">
        <v>686</v>
      </c>
      <c r="K121" s="925" t="s">
        <v>298</v>
      </c>
      <c r="L121" s="925"/>
      <c r="M121" s="925"/>
      <c r="N121" s="1009" t="s">
        <v>1137</v>
      </c>
      <c r="O121" s="1014"/>
      <c r="P121" s="1015"/>
      <c r="Q121" s="925" t="s">
        <v>299</v>
      </c>
      <c r="R121" s="925" t="s">
        <v>1071</v>
      </c>
      <c r="S121" s="925" t="s">
        <v>1080</v>
      </c>
      <c r="T121" s="925"/>
      <c r="U121" s="925"/>
      <c r="V121" s="925"/>
      <c r="W121" s="925" t="s">
        <v>300</v>
      </c>
      <c r="X121" s="925" t="s">
        <v>301</v>
      </c>
      <c r="Y121" s="925" t="s">
        <v>1139</v>
      </c>
      <c r="Z121" s="925"/>
      <c r="AA121" s="925"/>
      <c r="AB121" s="925"/>
      <c r="AC121" s="925" t="s">
        <v>302</v>
      </c>
      <c r="AD121" s="925"/>
      <c r="AE121" s="1009"/>
      <c r="AF121" s="1007" t="s">
        <v>303</v>
      </c>
      <c r="AG121" s="1007"/>
      <c r="AH121" s="1007"/>
      <c r="AI121" s="1007"/>
      <c r="AJ121" s="1007"/>
      <c r="AK121" s="1007"/>
      <c r="AL121" s="1007"/>
      <c r="AM121" s="1007"/>
      <c r="AN121" s="1007"/>
      <c r="AO121" s="1007"/>
      <c r="AP121" s="1000" t="s">
        <v>1078</v>
      </c>
      <c r="AQ121" s="984" t="s">
        <v>1079</v>
      </c>
      <c r="AR121" s="984" t="s">
        <v>304</v>
      </c>
      <c r="AS121" s="984" t="s">
        <v>305</v>
      </c>
      <c r="BA121" s="224"/>
    </row>
    <row r="122" spans="1:60" s="26" customFormat="1" ht="15" customHeight="1">
      <c r="A122" s="2"/>
      <c r="B122" s="43"/>
      <c r="C122" s="42"/>
      <c r="D122" s="84"/>
      <c r="E122" s="36"/>
      <c r="F122" s="925"/>
      <c r="G122" s="925"/>
      <c r="H122" s="961"/>
      <c r="I122" s="961"/>
      <c r="J122" s="925"/>
      <c r="K122" s="925" t="s">
        <v>160</v>
      </c>
      <c r="L122" s="925" t="s">
        <v>1070</v>
      </c>
      <c r="M122" s="925" t="s">
        <v>1075</v>
      </c>
      <c r="N122" s="958" t="s">
        <v>160</v>
      </c>
      <c r="O122" s="958" t="s">
        <v>1138</v>
      </c>
      <c r="P122" s="958" t="s">
        <v>306</v>
      </c>
      <c r="Q122" s="925"/>
      <c r="R122" s="925"/>
      <c r="S122" s="925" t="s">
        <v>160</v>
      </c>
      <c r="T122" s="925" t="s">
        <v>1072</v>
      </c>
      <c r="U122" s="925" t="s">
        <v>1073</v>
      </c>
      <c r="V122" s="925" t="s">
        <v>1074</v>
      </c>
      <c r="W122" s="925"/>
      <c r="X122" s="925"/>
      <c r="Y122" s="925" t="s">
        <v>160</v>
      </c>
      <c r="Z122" s="1007" t="s">
        <v>1140</v>
      </c>
      <c r="AA122" s="1007" t="s">
        <v>1141</v>
      </c>
      <c r="AB122" s="1007" t="s">
        <v>307</v>
      </c>
      <c r="AC122" s="925" t="s">
        <v>160</v>
      </c>
      <c r="AD122" s="1007" t="s">
        <v>1076</v>
      </c>
      <c r="AE122" s="1008" t="s">
        <v>1077</v>
      </c>
      <c r="AF122" s="1007" t="s">
        <v>160</v>
      </c>
      <c r="AG122" s="1007" t="s">
        <v>168</v>
      </c>
      <c r="AH122" s="1007"/>
      <c r="AI122" s="1007"/>
      <c r="AJ122" s="1007" t="s">
        <v>162</v>
      </c>
      <c r="AK122" s="1007"/>
      <c r="AL122" s="1007"/>
      <c r="AM122" s="1007" t="s">
        <v>163</v>
      </c>
      <c r="AN122" s="1007"/>
      <c r="AO122" s="1007"/>
      <c r="AP122" s="1000"/>
      <c r="AQ122" s="984"/>
      <c r="AR122" s="984"/>
      <c r="AS122" s="984"/>
      <c r="AT122"/>
      <c r="AU122"/>
      <c r="AV122"/>
      <c r="AW122"/>
      <c r="AX122"/>
      <c r="AY122"/>
      <c r="AZ122"/>
      <c r="BA122" s="46"/>
      <c r="BB122" s="62"/>
      <c r="BC122" s="64"/>
      <c r="BD122" s="64"/>
      <c r="BE122" s="64"/>
      <c r="BF122" s="28"/>
    </row>
    <row r="123" spans="1:60" s="26" customFormat="1" ht="45" customHeight="1">
      <c r="A123" s="2"/>
      <c r="B123" s="43"/>
      <c r="C123" s="42"/>
      <c r="D123" s="84"/>
      <c r="E123" s="36"/>
      <c r="F123" s="925"/>
      <c r="G123" s="925"/>
      <c r="H123" s="961"/>
      <c r="I123" s="961"/>
      <c r="J123" s="925"/>
      <c r="K123" s="925"/>
      <c r="L123" s="925"/>
      <c r="M123" s="925"/>
      <c r="N123" s="959"/>
      <c r="O123" s="959"/>
      <c r="P123" s="959"/>
      <c r="Q123" s="925"/>
      <c r="R123" s="925"/>
      <c r="S123" s="925"/>
      <c r="T123" s="925"/>
      <c r="U123" s="925"/>
      <c r="V123" s="925"/>
      <c r="W123" s="925"/>
      <c r="X123" s="925"/>
      <c r="Y123" s="925"/>
      <c r="Z123" s="1007"/>
      <c r="AA123" s="1007"/>
      <c r="AB123" s="1007"/>
      <c r="AC123" s="925"/>
      <c r="AD123" s="1007"/>
      <c r="AE123" s="1008"/>
      <c r="AF123" s="1007"/>
      <c r="AG123" s="419" t="s">
        <v>160</v>
      </c>
      <c r="AH123" s="419" t="s">
        <v>1076</v>
      </c>
      <c r="AI123" s="419" t="s">
        <v>1077</v>
      </c>
      <c r="AJ123" s="419" t="s">
        <v>160</v>
      </c>
      <c r="AK123" s="419" t="s">
        <v>1076</v>
      </c>
      <c r="AL123" s="419" t="s">
        <v>1077</v>
      </c>
      <c r="AM123" s="419" t="s">
        <v>160</v>
      </c>
      <c r="AN123" s="419" t="s">
        <v>1076</v>
      </c>
      <c r="AO123" s="419" t="s">
        <v>1077</v>
      </c>
      <c r="AP123" s="1000"/>
      <c r="AQ123" s="984"/>
      <c r="AR123" s="984"/>
      <c r="AS123" s="984"/>
      <c r="AT123"/>
      <c r="AU123"/>
      <c r="AV123"/>
      <c r="AW123"/>
      <c r="AX123"/>
      <c r="AY123"/>
      <c r="AZ123"/>
      <c r="BA123" s="46"/>
      <c r="BB123" s="62"/>
      <c r="BC123" s="64"/>
      <c r="BD123" s="64"/>
      <c r="BE123" s="64"/>
      <c r="BF123" s="28"/>
    </row>
    <row r="124" spans="1:60" s="300" customFormat="1" ht="12" customHeight="1">
      <c r="A124" s="249"/>
      <c r="B124" s="302"/>
      <c r="D124" s="303"/>
      <c r="E124" s="310"/>
      <c r="F124" s="353"/>
      <c r="G124" s="354" t="s">
        <v>170</v>
      </c>
      <c r="H124" s="354" t="s">
        <v>637</v>
      </c>
      <c r="I124" s="354" t="s">
        <v>1068</v>
      </c>
      <c r="J124" s="354" t="s">
        <v>101</v>
      </c>
      <c r="K124" s="354" t="s">
        <v>105</v>
      </c>
      <c r="L124" s="354" t="s">
        <v>198</v>
      </c>
      <c r="M124" s="354" t="s">
        <v>199</v>
      </c>
      <c r="N124" s="354" t="s">
        <v>164</v>
      </c>
      <c r="O124" s="354" t="s">
        <v>706</v>
      </c>
      <c r="P124" s="354" t="s">
        <v>708</v>
      </c>
      <c r="Q124" s="354" t="s">
        <v>165</v>
      </c>
      <c r="R124" s="354" t="s">
        <v>166</v>
      </c>
      <c r="S124" s="354" t="s">
        <v>180</v>
      </c>
      <c r="T124" s="354" t="s">
        <v>1113</v>
      </c>
      <c r="U124" s="354" t="s">
        <v>1114</v>
      </c>
      <c r="V124" s="354" t="s">
        <v>1115</v>
      </c>
      <c r="W124" s="354" t="s">
        <v>181</v>
      </c>
      <c r="X124" s="354" t="s">
        <v>182</v>
      </c>
      <c r="Y124" s="354" t="s">
        <v>183</v>
      </c>
      <c r="Z124" s="354" t="s">
        <v>642</v>
      </c>
      <c r="AA124" s="354" t="s">
        <v>643</v>
      </c>
      <c r="AB124" s="354" t="s">
        <v>308</v>
      </c>
      <c r="AC124" s="354" t="s">
        <v>184</v>
      </c>
      <c r="AD124" s="354" t="s">
        <v>1116</v>
      </c>
      <c r="AE124" s="354" t="s">
        <v>1117</v>
      </c>
      <c r="AF124" s="354" t="s">
        <v>185</v>
      </c>
      <c r="AG124" s="354" t="s">
        <v>186</v>
      </c>
      <c r="AH124" s="354" t="s">
        <v>1118</v>
      </c>
      <c r="AI124" s="354" t="s">
        <v>1119</v>
      </c>
      <c r="AJ124" s="354" t="s">
        <v>187</v>
      </c>
      <c r="AK124" s="354" t="s">
        <v>1120</v>
      </c>
      <c r="AL124" s="354" t="s">
        <v>1121</v>
      </c>
      <c r="AM124" s="354" t="s">
        <v>188</v>
      </c>
      <c r="AN124" s="354" t="s">
        <v>1122</v>
      </c>
      <c r="AO124" s="354" t="s">
        <v>1123</v>
      </c>
      <c r="AP124" s="354" t="s">
        <v>1112</v>
      </c>
      <c r="AQ124" s="354" t="s">
        <v>558</v>
      </c>
      <c r="AR124" s="354" t="s">
        <v>711</v>
      </c>
      <c r="AS124" s="354" t="s">
        <v>704</v>
      </c>
      <c r="AT124" s="310"/>
      <c r="AU124" s="310"/>
      <c r="AV124" s="310"/>
      <c r="AW124" s="310"/>
      <c r="AX124" s="310"/>
      <c r="AY124" s="310"/>
      <c r="AZ124" s="310"/>
      <c r="BA124" s="371"/>
      <c r="BB124" s="381"/>
      <c r="BC124" s="365"/>
      <c r="BD124" s="365"/>
      <c r="BE124" s="365"/>
      <c r="BF124" s="302"/>
    </row>
    <row r="125" spans="1:60" s="171" customFormat="1" ht="5.25" customHeight="1">
      <c r="A125" s="114"/>
      <c r="B125" s="302"/>
      <c r="C125" s="300"/>
      <c r="D125" s="303"/>
      <c r="E125" s="310"/>
      <c r="F125" s="382"/>
      <c r="G125" s="357"/>
      <c r="H125" s="357"/>
      <c r="I125" s="357"/>
      <c r="J125" s="357"/>
      <c r="K125" s="357"/>
      <c r="L125" s="357"/>
      <c r="M125" s="357"/>
      <c r="N125" s="357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83"/>
      <c r="AE125" s="383"/>
      <c r="AF125" s="384"/>
      <c r="AG125" s="384"/>
      <c r="AH125" s="384"/>
      <c r="AI125" s="384"/>
      <c r="AJ125" s="384"/>
      <c r="AK125" s="384"/>
      <c r="AL125" s="384"/>
      <c r="AM125" s="384"/>
      <c r="AN125" s="384"/>
      <c r="AO125" s="384"/>
      <c r="AP125" s="384"/>
      <c r="AQ125" s="384"/>
      <c r="AR125" s="384"/>
      <c r="AS125" s="384"/>
      <c r="AT125" s="169"/>
      <c r="AU125" s="169"/>
      <c r="AV125" s="169"/>
      <c r="AW125" s="169"/>
      <c r="AX125" s="169"/>
      <c r="AY125" s="169"/>
      <c r="AZ125" s="169"/>
      <c r="BA125" s="371"/>
      <c r="BB125" s="381"/>
      <c r="BC125" s="366"/>
      <c r="BD125" s="366"/>
      <c r="BE125" s="366"/>
      <c r="BF125" s="367"/>
    </row>
    <row r="126" spans="1:60" s="114" customFormat="1" ht="24" customHeight="1">
      <c r="B126" s="169"/>
      <c r="C126" s="169"/>
      <c r="D126" s="343" t="s">
        <v>112</v>
      </c>
      <c r="E126" s="372"/>
      <c r="F126" s="317" t="str">
        <f>IF(TEMPLATE_SPHERE_CODE="COLDVSNA","0.1.P","0.1")</f>
        <v>0.1</v>
      </c>
      <c r="G126" s="953" t="s">
        <v>2118</v>
      </c>
      <c r="H126" s="373"/>
      <c r="I126" s="241"/>
      <c r="J126" s="385" t="s">
        <v>240</v>
      </c>
      <c r="K126" s="1010">
        <f>S126+N126-Q126+S127+N127-Q127</f>
        <v>0</v>
      </c>
      <c r="L126" s="246">
        <f t="shared" ref="L126:AS126" si="11">SUMIF($BA$131:$BA$132,$BA126,L$131:L$132)</f>
        <v>0</v>
      </c>
      <c r="M126" s="246">
        <f t="shared" si="11"/>
        <v>0</v>
      </c>
      <c r="N126" s="246">
        <f t="shared" si="11"/>
        <v>0</v>
      </c>
      <c r="O126" s="246">
        <f t="shared" si="11"/>
        <v>0</v>
      </c>
      <c r="P126" s="246">
        <f t="shared" si="11"/>
        <v>0</v>
      </c>
      <c r="Q126" s="246">
        <f t="shared" si="11"/>
        <v>0</v>
      </c>
      <c r="R126" s="246">
        <f t="shared" si="11"/>
        <v>0</v>
      </c>
      <c r="S126" s="246">
        <f t="shared" si="11"/>
        <v>0</v>
      </c>
      <c r="T126" s="246">
        <f t="shared" si="11"/>
        <v>0</v>
      </c>
      <c r="U126" s="246">
        <f t="shared" si="11"/>
        <v>0</v>
      </c>
      <c r="V126" s="246">
        <f t="shared" si="11"/>
        <v>0</v>
      </c>
      <c r="W126" s="246">
        <f t="shared" si="11"/>
        <v>0</v>
      </c>
      <c r="X126" s="246">
        <f t="shared" si="11"/>
        <v>0</v>
      </c>
      <c r="Y126" s="246">
        <f t="shared" si="11"/>
        <v>0</v>
      </c>
      <c r="Z126" s="246">
        <f t="shared" si="11"/>
        <v>0</v>
      </c>
      <c r="AA126" s="246">
        <f t="shared" si="11"/>
        <v>0</v>
      </c>
      <c r="AB126" s="246">
        <f t="shared" si="11"/>
        <v>0</v>
      </c>
      <c r="AC126" s="246">
        <f t="shared" si="11"/>
        <v>0</v>
      </c>
      <c r="AD126" s="246">
        <f t="shared" si="11"/>
        <v>0</v>
      </c>
      <c r="AE126" s="246">
        <f t="shared" si="11"/>
        <v>0</v>
      </c>
      <c r="AF126" s="246">
        <f t="shared" si="11"/>
        <v>0</v>
      </c>
      <c r="AG126" s="246">
        <f t="shared" si="11"/>
        <v>0</v>
      </c>
      <c r="AH126" s="246">
        <f t="shared" si="11"/>
        <v>0</v>
      </c>
      <c r="AI126" s="246">
        <f t="shared" si="11"/>
        <v>0</v>
      </c>
      <c r="AJ126" s="246">
        <f t="shared" si="11"/>
        <v>0</v>
      </c>
      <c r="AK126" s="246">
        <f t="shared" si="11"/>
        <v>0</v>
      </c>
      <c r="AL126" s="246">
        <f t="shared" si="11"/>
        <v>0</v>
      </c>
      <c r="AM126" s="246">
        <f t="shared" si="11"/>
        <v>0</v>
      </c>
      <c r="AN126" s="246">
        <f t="shared" si="11"/>
        <v>0</v>
      </c>
      <c r="AO126" s="246">
        <f t="shared" si="11"/>
        <v>0</v>
      </c>
      <c r="AP126" s="246">
        <f t="shared" si="11"/>
        <v>0</v>
      </c>
      <c r="AQ126" s="246">
        <f t="shared" si="11"/>
        <v>0</v>
      </c>
      <c r="AR126" s="246">
        <f t="shared" si="11"/>
        <v>0</v>
      </c>
      <c r="AS126" s="246">
        <f t="shared" si="11"/>
        <v>0</v>
      </c>
      <c r="AT126" s="169"/>
      <c r="AU126" s="169"/>
      <c r="AV126" s="169"/>
      <c r="AW126" s="169"/>
      <c r="AX126" s="169"/>
      <c r="AY126" s="169"/>
      <c r="AZ126" s="169"/>
      <c r="BA126" s="375" t="str">
        <f>IF(J126="питьевая вода","TOTAL_ORG_YEAR_PW",IF(J126="техническая вода","TOTAL_ORG_YEAR_TW",""))</f>
        <v>TOTAL_ORG_YEAR_PW</v>
      </c>
      <c r="BB126" s="348"/>
      <c r="BC126" s="386"/>
      <c r="BD126" s="386"/>
      <c r="BE126" s="386"/>
      <c r="BF126" s="8"/>
    </row>
    <row r="127" spans="1:60" s="114" customFormat="1" ht="24" customHeight="1">
      <c r="B127" s="169"/>
      <c r="C127" s="169"/>
      <c r="D127" s="303"/>
      <c r="E127" s="310"/>
      <c r="F127" s="317" t="str">
        <f>IF(TEMPLATE_SPHERE_CODE="COLDVSNA","0.1.T","")</f>
        <v/>
      </c>
      <c r="G127" s="953"/>
      <c r="H127" s="373"/>
      <c r="I127" s="241"/>
      <c r="J127" s="385" t="s">
        <v>241</v>
      </c>
      <c r="K127" s="1011"/>
      <c r="L127" s="246">
        <f t="shared" ref="L127:AQ127" si="12">SUMIF($BA$131:$BA$132,$BA127,L$131:L$132)</f>
        <v>0</v>
      </c>
      <c r="M127" s="246">
        <f t="shared" si="12"/>
        <v>0</v>
      </c>
      <c r="N127" s="246">
        <f t="shared" si="12"/>
        <v>0</v>
      </c>
      <c r="O127" s="246">
        <f t="shared" si="12"/>
        <v>0</v>
      </c>
      <c r="P127" s="246">
        <f t="shared" si="12"/>
        <v>0</v>
      </c>
      <c r="Q127" s="246">
        <f t="shared" si="12"/>
        <v>0</v>
      </c>
      <c r="R127" s="246">
        <f t="shared" si="12"/>
        <v>0</v>
      </c>
      <c r="S127" s="246">
        <f t="shared" si="12"/>
        <v>0</v>
      </c>
      <c r="T127" s="246">
        <f t="shared" si="12"/>
        <v>0</v>
      </c>
      <c r="U127" s="246">
        <f t="shared" si="12"/>
        <v>0</v>
      </c>
      <c r="V127" s="246">
        <f t="shared" si="12"/>
        <v>0</v>
      </c>
      <c r="W127" s="246">
        <f t="shared" si="12"/>
        <v>0</v>
      </c>
      <c r="X127" s="246">
        <f t="shared" si="12"/>
        <v>0</v>
      </c>
      <c r="Y127" s="246">
        <f t="shared" si="12"/>
        <v>0</v>
      </c>
      <c r="Z127" s="246">
        <f t="shared" si="12"/>
        <v>0</v>
      </c>
      <c r="AA127" s="246">
        <f t="shared" si="12"/>
        <v>0</v>
      </c>
      <c r="AB127" s="246">
        <f t="shared" si="12"/>
        <v>0</v>
      </c>
      <c r="AC127" s="246">
        <f t="shared" si="12"/>
        <v>0</v>
      </c>
      <c r="AD127" s="246">
        <f t="shared" si="12"/>
        <v>0</v>
      </c>
      <c r="AE127" s="246">
        <f t="shared" si="12"/>
        <v>0</v>
      </c>
      <c r="AF127" s="246">
        <f t="shared" si="12"/>
        <v>0</v>
      </c>
      <c r="AG127" s="246">
        <f t="shared" si="12"/>
        <v>0</v>
      </c>
      <c r="AH127" s="246">
        <f t="shared" si="12"/>
        <v>0</v>
      </c>
      <c r="AI127" s="246">
        <f t="shared" si="12"/>
        <v>0</v>
      </c>
      <c r="AJ127" s="246">
        <f t="shared" si="12"/>
        <v>0</v>
      </c>
      <c r="AK127" s="246">
        <f t="shared" si="12"/>
        <v>0</v>
      </c>
      <c r="AL127" s="246">
        <f t="shared" si="12"/>
        <v>0</v>
      </c>
      <c r="AM127" s="246">
        <f t="shared" si="12"/>
        <v>0</v>
      </c>
      <c r="AN127" s="246">
        <f t="shared" si="12"/>
        <v>0</v>
      </c>
      <c r="AO127" s="246">
        <f t="shared" si="12"/>
        <v>0</v>
      </c>
      <c r="AP127" s="246">
        <f t="shared" si="12"/>
        <v>0</v>
      </c>
      <c r="AQ127" s="246">
        <f t="shared" si="12"/>
        <v>0</v>
      </c>
      <c r="AR127" s="241"/>
      <c r="AS127" s="241"/>
      <c r="AT127" s="169"/>
      <c r="AU127" s="169"/>
      <c r="AV127" s="169"/>
      <c r="AW127" s="169"/>
      <c r="AX127" s="169"/>
      <c r="AY127" s="169"/>
      <c r="AZ127" s="169"/>
      <c r="BA127" s="375" t="str">
        <f>IF(J127="питьевая вода","TOTAL_ORG_YEAR_PW",IF(J127="техническая вода","TOTAL_ORG_YEAR_TW",""))</f>
        <v>TOTAL_ORG_YEAR_TW</v>
      </c>
      <c r="BB127" s="348"/>
      <c r="BC127" s="386"/>
      <c r="BD127" s="386"/>
      <c r="BE127" s="386"/>
      <c r="BF127" s="8"/>
    </row>
    <row r="128" spans="1:60" s="114" customFormat="1" ht="0.75" customHeight="1">
      <c r="B128" s="169"/>
      <c r="C128" s="169"/>
      <c r="D128" s="169"/>
      <c r="E128" s="376"/>
      <c r="F128" s="377"/>
      <c r="G128" s="1012"/>
      <c r="H128" s="359"/>
      <c r="I128" s="336"/>
      <c r="J128" s="378"/>
      <c r="K128" s="1013"/>
      <c r="L128" s="421"/>
      <c r="M128" s="421"/>
      <c r="N128" s="379"/>
      <c r="O128" s="379"/>
      <c r="P128" s="379"/>
      <c r="Q128" s="379"/>
      <c r="R128" s="379"/>
      <c r="S128" s="379"/>
      <c r="T128" s="379"/>
      <c r="U128" s="379"/>
      <c r="V128" s="379"/>
      <c r="W128" s="379"/>
      <c r="X128" s="379"/>
      <c r="Y128" s="379"/>
      <c r="Z128" s="379"/>
      <c r="AA128" s="379"/>
      <c r="AB128" s="379"/>
      <c r="AC128" s="379"/>
      <c r="AD128" s="296"/>
      <c r="AE128" s="296"/>
      <c r="AF128" s="379"/>
      <c r="AG128" s="379"/>
      <c r="AH128" s="379"/>
      <c r="AI128" s="379"/>
      <c r="AJ128" s="379"/>
      <c r="AK128" s="379"/>
      <c r="AL128" s="379"/>
      <c r="AM128" s="379"/>
      <c r="AN128" s="379"/>
      <c r="AO128" s="379"/>
      <c r="AP128" s="379"/>
      <c r="AQ128" s="379"/>
      <c r="AR128" s="379"/>
      <c r="AS128" s="336"/>
      <c r="AT128" s="169"/>
      <c r="AU128" s="169"/>
      <c r="AV128" s="169"/>
      <c r="AW128" s="169"/>
      <c r="AX128" s="169"/>
      <c r="AY128" s="169"/>
      <c r="AZ128" s="169"/>
      <c r="BA128" s="371"/>
      <c r="BB128" s="348"/>
      <c r="BC128" s="386"/>
      <c r="BD128" s="386"/>
      <c r="BE128" s="386"/>
      <c r="BF128" s="8"/>
    </row>
    <row r="129" spans="1:59" s="114" customFormat="1" ht="0.75" customHeight="1">
      <c r="B129" s="169"/>
      <c r="C129" s="169"/>
      <c r="D129" s="169"/>
      <c r="E129" s="376"/>
      <c r="F129" s="321"/>
      <c r="G129" s="951"/>
      <c r="H129" s="361"/>
      <c r="I129" s="270"/>
      <c r="J129" s="378"/>
      <c r="K129" s="1013"/>
      <c r="L129" s="421"/>
      <c r="M129" s="421"/>
      <c r="N129" s="291"/>
      <c r="O129" s="291"/>
      <c r="P129" s="291"/>
      <c r="Q129" s="291"/>
      <c r="R129" s="291"/>
      <c r="S129" s="291"/>
      <c r="T129" s="291"/>
      <c r="U129" s="291"/>
      <c r="V129" s="291"/>
      <c r="W129" s="291"/>
      <c r="X129" s="291"/>
      <c r="Y129" s="291"/>
      <c r="Z129" s="291"/>
      <c r="AA129" s="291"/>
      <c r="AB129" s="291"/>
      <c r="AC129" s="291"/>
      <c r="AD129" s="275"/>
      <c r="AE129" s="275"/>
      <c r="AF129" s="291"/>
      <c r="AG129" s="291"/>
      <c r="AH129" s="291"/>
      <c r="AI129" s="291"/>
      <c r="AJ129" s="291"/>
      <c r="AK129" s="291"/>
      <c r="AL129" s="291"/>
      <c r="AM129" s="291"/>
      <c r="AN129" s="291"/>
      <c r="AO129" s="291"/>
      <c r="AP129" s="291"/>
      <c r="AQ129" s="291"/>
      <c r="AR129" s="275"/>
      <c r="AS129" s="270"/>
      <c r="AT129" s="169"/>
      <c r="AU129" s="169"/>
      <c r="AV129" s="169"/>
      <c r="AW129" s="169"/>
      <c r="AX129" s="169"/>
      <c r="AY129" s="169"/>
      <c r="AZ129" s="169"/>
      <c r="BA129" s="371"/>
      <c r="BB129" s="348"/>
      <c r="BC129" s="386"/>
      <c r="BD129" s="386"/>
      <c r="BE129" s="386"/>
      <c r="BF129" s="8"/>
    </row>
    <row r="130" spans="1:59" s="114" customFormat="1" ht="0.75" customHeight="1">
      <c r="B130" s="169"/>
      <c r="C130" s="169"/>
      <c r="D130" s="169"/>
      <c r="E130" s="310"/>
      <c r="F130" s="322"/>
      <c r="G130" s="314"/>
      <c r="H130" s="340"/>
      <c r="I130" s="340"/>
      <c r="J130" s="340"/>
      <c r="K130" s="340"/>
      <c r="L130" s="340"/>
      <c r="M130" s="340"/>
      <c r="N130" s="340"/>
      <c r="O130" s="340"/>
      <c r="P130" s="340"/>
      <c r="Q130" s="340"/>
      <c r="R130" s="340"/>
      <c r="S130" s="340"/>
      <c r="T130" s="340"/>
      <c r="U130" s="340"/>
      <c r="V130" s="340"/>
      <c r="W130" s="340"/>
      <c r="X130" s="340"/>
      <c r="Y130" s="340"/>
      <c r="Z130" s="340"/>
      <c r="AA130" s="340"/>
      <c r="AB130" s="340"/>
      <c r="AC130" s="340"/>
      <c r="AD130" s="315"/>
      <c r="AE130" s="315"/>
      <c r="AF130" s="341"/>
      <c r="AG130" s="341"/>
      <c r="AH130" s="341"/>
      <c r="AI130" s="341"/>
      <c r="AJ130" s="341"/>
      <c r="AK130" s="341"/>
      <c r="AL130" s="341"/>
      <c r="AM130" s="341"/>
      <c r="AN130" s="341"/>
      <c r="AO130" s="341"/>
      <c r="AP130" s="341"/>
      <c r="AQ130" s="341"/>
      <c r="AR130" s="341"/>
      <c r="AS130" s="341"/>
      <c r="AT130" s="169"/>
      <c r="AU130" s="169"/>
      <c r="AV130" s="169"/>
      <c r="AW130" s="169"/>
      <c r="AX130" s="169"/>
      <c r="AY130" s="169"/>
      <c r="AZ130" s="169"/>
      <c r="BA130" s="371"/>
      <c r="BB130" s="348"/>
      <c r="BC130" s="386"/>
      <c r="BD130" s="386"/>
      <c r="BE130" s="386"/>
      <c r="BF130" s="8"/>
    </row>
    <row r="131" spans="1:59" s="169" customFormat="1" ht="0.75" customHeight="1">
      <c r="B131" s="323">
        <v>0</v>
      </c>
      <c r="F131" s="324"/>
      <c r="G131" s="325"/>
      <c r="BA131" s="224"/>
    </row>
    <row r="132" spans="1:59" s="114" customFormat="1" ht="0.75" customHeight="1">
      <c r="A132" s="249"/>
      <c r="B132" s="299"/>
      <c r="C132" s="249"/>
      <c r="D132" s="286"/>
      <c r="E132" s="310"/>
      <c r="F132" s="198"/>
      <c r="G132" s="329" t="s">
        <v>135</v>
      </c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E132" s="198"/>
      <c r="AF132" s="198"/>
      <c r="AG132" s="198"/>
      <c r="AH132" s="198"/>
      <c r="AI132" s="198"/>
      <c r="AJ132" s="198"/>
      <c r="AK132" s="198"/>
      <c r="AL132" s="198"/>
      <c r="AM132" s="198"/>
      <c r="AN132" s="198"/>
      <c r="AO132" s="198"/>
      <c r="AP132" s="198"/>
      <c r="AQ132" s="198"/>
      <c r="AR132" s="198"/>
      <c r="AS132" s="198"/>
      <c r="AT132" s="169"/>
      <c r="AU132" s="169"/>
      <c r="AV132" s="169"/>
      <c r="AW132" s="169"/>
      <c r="AX132" s="169"/>
      <c r="AY132" s="169"/>
      <c r="AZ132" s="169"/>
      <c r="BA132" s="371"/>
      <c r="BB132" s="348"/>
      <c r="BC132" s="386"/>
      <c r="BD132" s="386"/>
      <c r="BE132" s="386"/>
      <c r="BF132" s="8"/>
      <c r="BG132" s="387"/>
    </row>
    <row r="133" spans="1:59" s="169" customFormat="1" ht="12" customHeight="1">
      <c r="A133" s="249"/>
      <c r="B133" s="299"/>
      <c r="C133" s="249"/>
      <c r="D133" s="286"/>
      <c r="F133" s="114"/>
      <c r="G133" s="114"/>
      <c r="AD133" s="114"/>
      <c r="AE133" s="114"/>
      <c r="BA133" s="224"/>
    </row>
    <row r="134" spans="1:59" customFormat="1">
      <c r="A134" s="2"/>
      <c r="B134" s="24"/>
      <c r="C134" s="2"/>
      <c r="D134" s="83"/>
      <c r="F134" s="75"/>
      <c r="BA134" s="224"/>
    </row>
    <row r="135" spans="1:59">
      <c r="D135" s="83"/>
    </row>
    <row r="136" spans="1:59">
      <c r="D136" s="83"/>
    </row>
    <row r="137" spans="1:59">
      <c r="D137" s="83"/>
    </row>
    <row r="138" spans="1:59">
      <c r="D138" s="83"/>
    </row>
    <row r="139" spans="1:59">
      <c r="D139" s="83"/>
    </row>
    <row r="140" spans="1:59">
      <c r="D140" s="83"/>
    </row>
    <row r="141" spans="1:59">
      <c r="D141" s="83"/>
    </row>
    <row r="142" spans="1:59">
      <c r="D142" s="83"/>
    </row>
    <row r="143" spans="1:59">
      <c r="D143" s="83"/>
    </row>
  </sheetData>
  <sheetProtection password="D0EA" sheet="1" objects="1" scenarios="1" formatColumns="0" formatRows="0"/>
  <mergeCells count="54">
    <mergeCell ref="F121:F123"/>
    <mergeCell ref="T122:T123"/>
    <mergeCell ref="U122:U123"/>
    <mergeCell ref="N121:P121"/>
    <mergeCell ref="N122:N123"/>
    <mergeCell ref="O122:O123"/>
    <mergeCell ref="P122:P123"/>
    <mergeCell ref="S121:V121"/>
    <mergeCell ref="S122:S123"/>
    <mergeCell ref="H121:H123"/>
    <mergeCell ref="V122:V123"/>
    <mergeCell ref="G126:G127"/>
    <mergeCell ref="K126:K127"/>
    <mergeCell ref="R121:R123"/>
    <mergeCell ref="K122:K123"/>
    <mergeCell ref="G128:G129"/>
    <mergeCell ref="J121:J123"/>
    <mergeCell ref="K121:M121"/>
    <mergeCell ref="Q121:Q123"/>
    <mergeCell ref="L122:L123"/>
    <mergeCell ref="M122:M123"/>
    <mergeCell ref="K128:K129"/>
    <mergeCell ref="AS121:AS123"/>
    <mergeCell ref="AF122:AF123"/>
    <mergeCell ref="AR121:AR123"/>
    <mergeCell ref="AC122:AC123"/>
    <mergeCell ref="AP121:AP123"/>
    <mergeCell ref="AF121:AO121"/>
    <mergeCell ref="AE122:AE123"/>
    <mergeCell ref="AC121:AE121"/>
    <mergeCell ref="B1:B28"/>
    <mergeCell ref="F1:F2"/>
    <mergeCell ref="B29:B56"/>
    <mergeCell ref="F29:F30"/>
    <mergeCell ref="C3:C15"/>
    <mergeCell ref="C16:C28"/>
    <mergeCell ref="C31:C43"/>
    <mergeCell ref="C44:C56"/>
    <mergeCell ref="G29:G30"/>
    <mergeCell ref="G1:G2"/>
    <mergeCell ref="AA122:AA123"/>
    <mergeCell ref="AQ121:AQ123"/>
    <mergeCell ref="AG122:AI122"/>
    <mergeCell ref="AJ122:AL122"/>
    <mergeCell ref="AM122:AO122"/>
    <mergeCell ref="AD122:AD123"/>
    <mergeCell ref="G121:G123"/>
    <mergeCell ref="I121:I123"/>
    <mergeCell ref="W121:W123"/>
    <mergeCell ref="Z122:Z123"/>
    <mergeCell ref="Y122:Y123"/>
    <mergeCell ref="X121:X123"/>
    <mergeCell ref="Y121:AB121"/>
    <mergeCell ref="AB122:AB123"/>
  </mergeCells>
  <phoneticPr fontId="0" type="noConversion"/>
  <dataValidations disablePrompts="1" count="1">
    <dataValidation type="decimal" operator="greaterThanOrEqual" allowBlank="1" showInputMessage="1" showErrorMessage="1" errorTitle="Ошибка" error="Допускается ввод только неотрицательных значений!" sqref="AR127:AS127 AS128 AR129:AS129">
      <formula1>0</formula1>
    </dataValidation>
  </dataValidations>
  <pageMargins left="0.37" right="0.35" top="1" bottom="1" header="0.5" footer="0.5"/>
  <pageSetup paperSize="9" scale="30" orientation="landscape" horizontalDpi="4294967292" verticalDpi="4294967292" r:id="rId1"/>
  <headerFooter alignWithMargins="0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COLDVSNA_BAL_TR">
    <tabColor indexed="31"/>
    <pageSetUpPr fitToPage="1"/>
  </sheetPr>
  <dimension ref="A1:BA143"/>
  <sheetViews>
    <sheetView showGridLines="0" topLeftCell="D1" zoomScale="90" zoomScaleNormal="90" workbookViewId="0">
      <pane xSplit="4" ySplit="131" topLeftCell="H132" activePane="bottomRight" state="frozen"/>
      <selection activeCell="D118" sqref="D118"/>
      <selection pane="topRight" activeCell="H118" sqref="H118"/>
      <selection pane="bottomLeft" activeCell="D132" sqref="D132"/>
      <selection pane="bottomRight"/>
    </sheetView>
  </sheetViews>
  <sheetFormatPr defaultColWidth="9.125" defaultRowHeight="17.399999999999999"/>
  <cols>
    <col min="1" max="2" width="5.75" style="24" hidden="1" customWidth="1"/>
    <col min="3" max="3" width="5.75" style="2" hidden="1" customWidth="1"/>
    <col min="4" max="4" width="5.75" style="86" customWidth="1"/>
    <col min="5" max="5" width="0.125" style="25" customWidth="1"/>
    <col min="6" max="6" width="6.75" style="2" customWidth="1"/>
    <col min="7" max="7" width="20.75" style="2" customWidth="1"/>
    <col min="8" max="9" width="12.75" style="2" customWidth="1"/>
    <col min="10" max="10" width="18.75" style="2" customWidth="1"/>
    <col min="11" max="13" width="15.75" style="2" customWidth="1"/>
    <col min="14" max="14" width="22.75" style="2" customWidth="1"/>
    <col min="15" max="29" width="15.75" style="2" customWidth="1"/>
    <col min="30" max="47" width="2.75" customWidth="1"/>
    <col min="48" max="48" width="2.75" hidden="1" customWidth="1"/>
    <col min="49" max="52" width="2.75" customWidth="1"/>
    <col min="53" max="53" width="22.75" style="11" hidden="1" customWidth="1"/>
    <col min="54" max="16384" width="9.125" style="2"/>
  </cols>
  <sheetData>
    <row r="1" spans="1:53" s="114" customFormat="1" ht="24" hidden="1" customHeight="1">
      <c r="A1" s="395"/>
      <c r="B1" s="937"/>
      <c r="C1" s="271" t="str">
        <f>F3</f>
        <v>0.0</v>
      </c>
      <c r="D1" s="272" t="s">
        <v>112</v>
      </c>
      <c r="E1" s="273"/>
      <c r="F1" s="938">
        <f>B1</f>
        <v>0</v>
      </c>
      <c r="G1" s="945"/>
      <c r="H1" s="241"/>
      <c r="I1" s="241"/>
      <c r="J1" s="291"/>
      <c r="K1" s="274"/>
      <c r="L1" s="274"/>
      <c r="M1" s="274"/>
      <c r="N1" s="274"/>
      <c r="O1" s="274"/>
      <c r="P1" s="274"/>
      <c r="Q1" s="274"/>
      <c r="R1" s="274"/>
      <c r="S1" s="274"/>
      <c r="T1" s="274"/>
      <c r="U1" s="274"/>
      <c r="V1" s="274"/>
      <c r="W1" s="274"/>
      <c r="X1" s="274"/>
      <c r="Y1" s="274"/>
      <c r="Z1" s="274"/>
      <c r="AA1" s="274"/>
      <c r="AB1" s="274"/>
      <c r="AC1" s="315"/>
      <c r="AD1" s="169"/>
      <c r="AE1" s="169"/>
      <c r="AF1" s="169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371"/>
    </row>
    <row r="2" spans="1:53" s="114" customFormat="1" ht="0.75" hidden="1" customHeight="1">
      <c r="A2" s="395"/>
      <c r="B2" s="937"/>
      <c r="C2" s="271"/>
      <c r="D2" s="272"/>
      <c r="E2" s="273"/>
      <c r="F2" s="939"/>
      <c r="G2" s="941"/>
      <c r="H2" s="241"/>
      <c r="I2" s="241"/>
      <c r="J2" s="275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315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371"/>
    </row>
    <row r="3" spans="1:53" s="114" customFormat="1" ht="12" hidden="1" customHeight="1">
      <c r="A3" s="395"/>
      <c r="B3" s="937"/>
      <c r="C3" s="937"/>
      <c r="D3" s="281"/>
      <c r="E3" s="282"/>
      <c r="F3" s="283" t="str">
        <f>F1 &amp; ".0"</f>
        <v>0.0</v>
      </c>
      <c r="G3" s="301" t="s">
        <v>136</v>
      </c>
      <c r="H3" s="241"/>
      <c r="I3" s="241"/>
      <c r="J3" s="389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315"/>
      <c r="AD3" s="169"/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371"/>
    </row>
    <row r="4" spans="1:53" s="114" customFormat="1" ht="12" hidden="1" customHeight="1">
      <c r="A4" s="395"/>
      <c r="B4" s="937"/>
      <c r="C4" s="937"/>
      <c r="D4" s="281"/>
      <c r="E4" s="282"/>
      <c r="F4" s="283" t="str">
        <f>F1 &amp; ".1"</f>
        <v>0.1</v>
      </c>
      <c r="G4" s="301" t="s">
        <v>137</v>
      </c>
      <c r="H4" s="241"/>
      <c r="I4" s="241"/>
      <c r="J4" s="389"/>
      <c r="K4" s="274"/>
      <c r="L4" s="274"/>
      <c r="M4" s="274"/>
      <c r="N4" s="274"/>
      <c r="O4" s="274"/>
      <c r="P4" s="274"/>
      <c r="Q4" s="274"/>
      <c r="R4" s="274"/>
      <c r="S4" s="274"/>
      <c r="T4" s="274"/>
      <c r="U4" s="274"/>
      <c r="V4" s="274"/>
      <c r="W4" s="274"/>
      <c r="X4" s="274"/>
      <c r="Y4" s="274"/>
      <c r="Z4" s="274"/>
      <c r="AA4" s="274"/>
      <c r="AB4" s="274"/>
      <c r="AC4" s="315"/>
      <c r="AD4" s="169"/>
      <c r="AE4" s="169"/>
      <c r="AF4" s="169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280"/>
    </row>
    <row r="5" spans="1:53" s="114" customFormat="1" ht="12" hidden="1" customHeight="1">
      <c r="A5" s="395"/>
      <c r="B5" s="937"/>
      <c r="C5" s="937"/>
      <c r="D5" s="281"/>
      <c r="E5" s="282"/>
      <c r="F5" s="283" t="str">
        <f>F1 &amp; ".2"</f>
        <v>0.2</v>
      </c>
      <c r="G5" s="301" t="s">
        <v>138</v>
      </c>
      <c r="H5" s="241"/>
      <c r="I5" s="241"/>
      <c r="J5" s="389"/>
      <c r="K5" s="274"/>
      <c r="L5" s="274"/>
      <c r="M5" s="274"/>
      <c r="N5" s="274"/>
      <c r="O5" s="274"/>
      <c r="P5" s="274"/>
      <c r="Q5" s="274"/>
      <c r="R5" s="274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315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280"/>
    </row>
    <row r="6" spans="1:53" s="114" customFormat="1" ht="12" hidden="1" customHeight="1">
      <c r="A6" s="395"/>
      <c r="B6" s="937"/>
      <c r="C6" s="937"/>
      <c r="D6" s="281"/>
      <c r="E6" s="282"/>
      <c r="F6" s="283" t="str">
        <f>F1 &amp; ".3"</f>
        <v>0.3</v>
      </c>
      <c r="G6" s="301" t="s">
        <v>139</v>
      </c>
      <c r="H6" s="241"/>
      <c r="I6" s="241"/>
      <c r="J6" s="389"/>
      <c r="K6" s="274"/>
      <c r="L6" s="274"/>
      <c r="M6" s="274"/>
      <c r="N6" s="274"/>
      <c r="O6" s="274"/>
      <c r="P6" s="274"/>
      <c r="Q6" s="274"/>
      <c r="R6" s="274"/>
      <c r="S6" s="274"/>
      <c r="T6" s="274"/>
      <c r="U6" s="274"/>
      <c r="V6" s="274"/>
      <c r="W6" s="274"/>
      <c r="X6" s="274"/>
      <c r="Y6" s="274"/>
      <c r="Z6" s="274"/>
      <c r="AA6" s="274"/>
      <c r="AB6" s="274"/>
      <c r="AC6" s="315"/>
      <c r="AD6" s="169"/>
      <c r="AE6" s="169"/>
      <c r="AF6" s="169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280"/>
    </row>
    <row r="7" spans="1:53" s="114" customFormat="1" ht="12" hidden="1" customHeight="1">
      <c r="A7" s="395"/>
      <c r="B7" s="937"/>
      <c r="C7" s="937"/>
      <c r="D7" s="281"/>
      <c r="E7" s="282"/>
      <c r="F7" s="283" t="str">
        <f>F1 &amp; ".4"</f>
        <v>0.4</v>
      </c>
      <c r="G7" s="301" t="s">
        <v>140</v>
      </c>
      <c r="H7" s="241"/>
      <c r="I7" s="241"/>
      <c r="J7" s="389"/>
      <c r="K7" s="274"/>
      <c r="L7" s="274"/>
      <c r="M7" s="274"/>
      <c r="N7" s="274"/>
      <c r="O7" s="274"/>
      <c r="P7" s="274"/>
      <c r="Q7" s="274"/>
      <c r="R7" s="274"/>
      <c r="S7" s="274"/>
      <c r="T7" s="274"/>
      <c r="U7" s="274"/>
      <c r="V7" s="274"/>
      <c r="W7" s="274"/>
      <c r="X7" s="274"/>
      <c r="Y7" s="274"/>
      <c r="Z7" s="274"/>
      <c r="AA7" s="274"/>
      <c r="AB7" s="274"/>
      <c r="AC7" s="315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280"/>
    </row>
    <row r="8" spans="1:53" s="114" customFormat="1" ht="12" hidden="1" customHeight="1">
      <c r="A8" s="395"/>
      <c r="B8" s="937"/>
      <c r="C8" s="937"/>
      <c r="D8" s="281"/>
      <c r="E8" s="282"/>
      <c r="F8" s="283" t="str">
        <f>F1 &amp; ".5"</f>
        <v>0.5</v>
      </c>
      <c r="G8" s="301" t="s">
        <v>141</v>
      </c>
      <c r="H8" s="241"/>
      <c r="I8" s="241"/>
      <c r="J8" s="389"/>
      <c r="K8" s="274"/>
      <c r="L8" s="274"/>
      <c r="M8" s="274"/>
      <c r="N8" s="274"/>
      <c r="O8" s="274"/>
      <c r="P8" s="274"/>
      <c r="Q8" s="274"/>
      <c r="R8" s="274"/>
      <c r="S8" s="274"/>
      <c r="T8" s="274"/>
      <c r="U8" s="274"/>
      <c r="V8" s="274"/>
      <c r="W8" s="274"/>
      <c r="X8" s="274"/>
      <c r="Y8" s="274"/>
      <c r="Z8" s="274"/>
      <c r="AA8" s="274"/>
      <c r="AB8" s="274"/>
      <c r="AC8" s="315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280"/>
    </row>
    <row r="9" spans="1:53" s="114" customFormat="1" ht="12" hidden="1" customHeight="1">
      <c r="A9" s="395"/>
      <c r="B9" s="937"/>
      <c r="C9" s="937"/>
      <c r="D9" s="281"/>
      <c r="E9" s="282"/>
      <c r="F9" s="283" t="str">
        <f>F1 &amp; ".6"</f>
        <v>0.6</v>
      </c>
      <c r="G9" s="301" t="s">
        <v>142</v>
      </c>
      <c r="H9" s="241"/>
      <c r="I9" s="241"/>
      <c r="J9" s="389"/>
      <c r="K9" s="274"/>
      <c r="L9" s="274"/>
      <c r="M9" s="274"/>
      <c r="N9" s="274"/>
      <c r="O9" s="274"/>
      <c r="P9" s="274"/>
      <c r="Q9" s="274"/>
      <c r="R9" s="274"/>
      <c r="S9" s="274"/>
      <c r="T9" s="274"/>
      <c r="U9" s="274"/>
      <c r="V9" s="274"/>
      <c r="W9" s="274"/>
      <c r="X9" s="274"/>
      <c r="Y9" s="274"/>
      <c r="Z9" s="274"/>
      <c r="AA9" s="274"/>
      <c r="AB9" s="274"/>
      <c r="AC9" s="315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280"/>
    </row>
    <row r="10" spans="1:53" s="114" customFormat="1" ht="12" hidden="1" customHeight="1">
      <c r="A10" s="395"/>
      <c r="B10" s="937"/>
      <c r="C10" s="937"/>
      <c r="D10" s="281"/>
      <c r="E10" s="282"/>
      <c r="F10" s="283" t="str">
        <f>F1 &amp; ".7"</f>
        <v>0.7</v>
      </c>
      <c r="G10" s="301" t="s">
        <v>143</v>
      </c>
      <c r="H10" s="241"/>
      <c r="I10" s="241"/>
      <c r="J10" s="389"/>
      <c r="K10" s="274"/>
      <c r="L10" s="274"/>
      <c r="M10" s="274"/>
      <c r="N10" s="274"/>
      <c r="O10" s="274"/>
      <c r="P10" s="274"/>
      <c r="Q10" s="274"/>
      <c r="R10" s="274"/>
      <c r="S10" s="274"/>
      <c r="T10" s="274"/>
      <c r="U10" s="274"/>
      <c r="V10" s="274"/>
      <c r="W10" s="274"/>
      <c r="X10" s="274"/>
      <c r="Y10" s="274"/>
      <c r="Z10" s="274"/>
      <c r="AA10" s="274"/>
      <c r="AB10" s="274"/>
      <c r="AC10" s="315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280"/>
    </row>
    <row r="11" spans="1:53" s="114" customFormat="1" ht="12" hidden="1" customHeight="1">
      <c r="A11" s="395"/>
      <c r="B11" s="937"/>
      <c r="C11" s="937"/>
      <c r="D11" s="281"/>
      <c r="E11" s="282"/>
      <c r="F11" s="283" t="str">
        <f>F1 &amp; ".8"</f>
        <v>0.8</v>
      </c>
      <c r="G11" s="301" t="s">
        <v>144</v>
      </c>
      <c r="H11" s="241"/>
      <c r="I11" s="241"/>
      <c r="J11" s="389"/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315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280"/>
    </row>
    <row r="12" spans="1:53" s="114" customFormat="1" ht="12" hidden="1" customHeight="1">
      <c r="A12" s="395"/>
      <c r="B12" s="937"/>
      <c r="C12" s="937"/>
      <c r="D12" s="281"/>
      <c r="E12" s="282"/>
      <c r="F12" s="283" t="str">
        <f>F1 &amp; ".9"</f>
        <v>0.9</v>
      </c>
      <c r="G12" s="301" t="s">
        <v>145</v>
      </c>
      <c r="H12" s="241"/>
      <c r="I12" s="241"/>
      <c r="J12" s="389"/>
      <c r="K12" s="274"/>
      <c r="L12" s="274"/>
      <c r="M12" s="274"/>
      <c r="N12" s="274"/>
      <c r="O12" s="274"/>
      <c r="P12" s="274"/>
      <c r="Q12" s="274"/>
      <c r="R12" s="274"/>
      <c r="S12" s="274"/>
      <c r="T12" s="274"/>
      <c r="U12" s="274"/>
      <c r="V12" s="274"/>
      <c r="W12" s="274"/>
      <c r="X12" s="274"/>
      <c r="Y12" s="274"/>
      <c r="Z12" s="274"/>
      <c r="AA12" s="274"/>
      <c r="AB12" s="274"/>
      <c r="AC12" s="315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280"/>
    </row>
    <row r="13" spans="1:53" s="114" customFormat="1" ht="12" hidden="1" customHeight="1">
      <c r="A13" s="395"/>
      <c r="B13" s="937"/>
      <c r="C13" s="937"/>
      <c r="D13" s="281"/>
      <c r="E13" s="282"/>
      <c r="F13" s="283" t="str">
        <f>F1 &amp; ".10"</f>
        <v>0.10</v>
      </c>
      <c r="G13" s="301" t="s">
        <v>146</v>
      </c>
      <c r="H13" s="241"/>
      <c r="I13" s="241"/>
      <c r="J13" s="389"/>
      <c r="K13" s="274"/>
      <c r="L13" s="274"/>
      <c r="M13" s="274"/>
      <c r="N13" s="274"/>
      <c r="O13" s="274"/>
      <c r="P13" s="274"/>
      <c r="Q13" s="274"/>
      <c r="R13" s="274"/>
      <c r="S13" s="274"/>
      <c r="T13" s="274"/>
      <c r="U13" s="274"/>
      <c r="V13" s="274"/>
      <c r="W13" s="274"/>
      <c r="X13" s="274"/>
      <c r="Y13" s="274"/>
      <c r="Z13" s="274"/>
      <c r="AA13" s="274"/>
      <c r="AB13" s="274"/>
      <c r="AC13" s="315"/>
      <c r="AD13" s="169"/>
      <c r="AE13" s="169"/>
      <c r="AF13" s="169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280"/>
    </row>
    <row r="14" spans="1:53" s="114" customFormat="1" ht="12" hidden="1" customHeight="1">
      <c r="A14" s="395"/>
      <c r="B14" s="937"/>
      <c r="C14" s="937"/>
      <c r="D14" s="281"/>
      <c r="E14" s="282"/>
      <c r="F14" s="283" t="str">
        <f>F1 &amp; ".11"</f>
        <v>0.11</v>
      </c>
      <c r="G14" s="301" t="s">
        <v>147</v>
      </c>
      <c r="H14" s="241"/>
      <c r="I14" s="241"/>
      <c r="J14" s="389"/>
      <c r="K14" s="274"/>
      <c r="L14" s="274"/>
      <c r="M14" s="274"/>
      <c r="N14" s="274"/>
      <c r="O14" s="274"/>
      <c r="P14" s="274"/>
      <c r="Q14" s="274"/>
      <c r="R14" s="274"/>
      <c r="S14" s="274"/>
      <c r="T14" s="274"/>
      <c r="U14" s="274"/>
      <c r="V14" s="274"/>
      <c r="W14" s="274"/>
      <c r="X14" s="274"/>
      <c r="Y14" s="274"/>
      <c r="Z14" s="274"/>
      <c r="AA14" s="274"/>
      <c r="AB14" s="274"/>
      <c r="AC14" s="315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69"/>
      <c r="AZ14" s="169"/>
      <c r="BA14" s="280"/>
    </row>
    <row r="15" spans="1:53" s="114" customFormat="1" ht="12" hidden="1" customHeight="1">
      <c r="A15" s="395"/>
      <c r="B15" s="937"/>
      <c r="C15" s="937"/>
      <c r="D15" s="281"/>
      <c r="E15" s="282"/>
      <c r="F15" s="283" t="str">
        <f>F1 &amp; ".12"</f>
        <v>0.12</v>
      </c>
      <c r="G15" s="301" t="s">
        <v>148</v>
      </c>
      <c r="H15" s="241"/>
      <c r="I15" s="241"/>
      <c r="J15" s="389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4"/>
      <c r="W15" s="274"/>
      <c r="X15" s="274"/>
      <c r="Y15" s="274"/>
      <c r="Z15" s="274"/>
      <c r="AA15" s="274"/>
      <c r="AB15" s="274"/>
      <c r="AC15" s="315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280"/>
    </row>
    <row r="16" spans="1:53" s="114" customFormat="1" ht="0.75" hidden="1" customHeight="1">
      <c r="A16" s="395"/>
      <c r="B16" s="937"/>
      <c r="C16" s="937"/>
      <c r="D16" s="281"/>
      <c r="E16" s="282"/>
      <c r="F16" s="390"/>
      <c r="G16" s="275"/>
      <c r="H16" s="241"/>
      <c r="I16" s="241"/>
      <c r="J16" s="390"/>
      <c r="K16" s="274"/>
      <c r="L16" s="274"/>
      <c r="M16" s="274"/>
      <c r="N16" s="274"/>
      <c r="O16" s="274"/>
      <c r="P16" s="274"/>
      <c r="Q16" s="274"/>
      <c r="R16" s="274"/>
      <c r="S16" s="274"/>
      <c r="T16" s="274"/>
      <c r="U16" s="274"/>
      <c r="V16" s="274"/>
      <c r="W16" s="274"/>
      <c r="X16" s="274"/>
      <c r="Y16" s="274"/>
      <c r="Z16" s="274"/>
      <c r="AA16" s="274"/>
      <c r="AB16" s="274"/>
      <c r="AC16" s="315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371"/>
    </row>
    <row r="17" spans="1:53" s="114" customFormat="1" ht="0.75" hidden="1" customHeight="1">
      <c r="A17" s="395"/>
      <c r="B17" s="937"/>
      <c r="C17" s="937"/>
      <c r="D17" s="281"/>
      <c r="E17" s="282"/>
      <c r="F17" s="390"/>
      <c r="G17" s="275"/>
      <c r="H17" s="241"/>
      <c r="I17" s="241"/>
      <c r="J17" s="390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315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280"/>
    </row>
    <row r="18" spans="1:53" s="114" customFormat="1" ht="0.75" hidden="1" customHeight="1">
      <c r="A18" s="395"/>
      <c r="B18" s="937"/>
      <c r="C18" s="937"/>
      <c r="D18" s="281"/>
      <c r="E18" s="282"/>
      <c r="F18" s="390"/>
      <c r="G18" s="275"/>
      <c r="H18" s="241"/>
      <c r="I18" s="241"/>
      <c r="J18" s="390"/>
      <c r="K18" s="274"/>
      <c r="L18" s="274"/>
      <c r="M18" s="274"/>
      <c r="N18" s="274"/>
      <c r="O18" s="274"/>
      <c r="P18" s="274"/>
      <c r="Q18" s="274"/>
      <c r="R18" s="274"/>
      <c r="S18" s="274"/>
      <c r="T18" s="274"/>
      <c r="U18" s="274"/>
      <c r="V18" s="274"/>
      <c r="W18" s="274"/>
      <c r="X18" s="274"/>
      <c r="Y18" s="274"/>
      <c r="Z18" s="274"/>
      <c r="AA18" s="274"/>
      <c r="AB18" s="274"/>
      <c r="AC18" s="315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280"/>
    </row>
    <row r="19" spans="1:53" s="114" customFormat="1" ht="0.75" hidden="1" customHeight="1">
      <c r="A19" s="395"/>
      <c r="B19" s="937"/>
      <c r="C19" s="937"/>
      <c r="D19" s="281"/>
      <c r="E19" s="282"/>
      <c r="F19" s="390"/>
      <c r="G19" s="275"/>
      <c r="H19" s="241"/>
      <c r="I19" s="241"/>
      <c r="J19" s="390"/>
      <c r="K19" s="274"/>
      <c r="L19" s="274"/>
      <c r="M19" s="274"/>
      <c r="N19" s="274"/>
      <c r="O19" s="274"/>
      <c r="P19" s="274"/>
      <c r="Q19" s="274"/>
      <c r="R19" s="274"/>
      <c r="S19" s="274"/>
      <c r="T19" s="274"/>
      <c r="U19" s="274"/>
      <c r="V19" s="274"/>
      <c r="W19" s="274"/>
      <c r="X19" s="274"/>
      <c r="Y19" s="274"/>
      <c r="Z19" s="274"/>
      <c r="AA19" s="274"/>
      <c r="AB19" s="274"/>
      <c r="AC19" s="315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280"/>
    </row>
    <row r="20" spans="1:53" s="114" customFormat="1" ht="0.75" hidden="1" customHeight="1">
      <c r="A20" s="395"/>
      <c r="B20" s="937"/>
      <c r="C20" s="937"/>
      <c r="D20" s="281"/>
      <c r="E20" s="282"/>
      <c r="F20" s="390"/>
      <c r="G20" s="275"/>
      <c r="H20" s="241"/>
      <c r="I20" s="241"/>
      <c r="J20" s="390"/>
      <c r="K20" s="274"/>
      <c r="L20" s="274"/>
      <c r="M20" s="274"/>
      <c r="N20" s="274"/>
      <c r="O20" s="274"/>
      <c r="P20" s="274"/>
      <c r="Q20" s="274"/>
      <c r="R20" s="274"/>
      <c r="S20" s="274"/>
      <c r="T20" s="274"/>
      <c r="U20" s="274"/>
      <c r="V20" s="274"/>
      <c r="W20" s="274"/>
      <c r="X20" s="274"/>
      <c r="Y20" s="274"/>
      <c r="Z20" s="274"/>
      <c r="AA20" s="274"/>
      <c r="AB20" s="274"/>
      <c r="AC20" s="315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280"/>
    </row>
    <row r="21" spans="1:53" s="114" customFormat="1" ht="0.75" hidden="1" customHeight="1">
      <c r="A21" s="395"/>
      <c r="B21" s="937"/>
      <c r="C21" s="937"/>
      <c r="D21" s="281"/>
      <c r="E21" s="282"/>
      <c r="F21" s="390"/>
      <c r="G21" s="275"/>
      <c r="H21" s="241"/>
      <c r="I21" s="241"/>
      <c r="J21" s="390"/>
      <c r="K21" s="274"/>
      <c r="L21" s="274"/>
      <c r="M21" s="274"/>
      <c r="N21" s="274"/>
      <c r="O21" s="274"/>
      <c r="P21" s="274"/>
      <c r="Q21" s="274"/>
      <c r="R21" s="274"/>
      <c r="S21" s="274"/>
      <c r="T21" s="274"/>
      <c r="U21" s="274"/>
      <c r="V21" s="274"/>
      <c r="W21" s="274"/>
      <c r="X21" s="274"/>
      <c r="Y21" s="274"/>
      <c r="Z21" s="274"/>
      <c r="AA21" s="274"/>
      <c r="AB21" s="274"/>
      <c r="AC21" s="315"/>
      <c r="AD21" s="169"/>
      <c r="AE21" s="169"/>
      <c r="AF21" s="169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280"/>
    </row>
    <row r="22" spans="1:53" s="114" customFormat="1" ht="0.75" hidden="1" customHeight="1">
      <c r="A22" s="395"/>
      <c r="B22" s="937"/>
      <c r="C22" s="937"/>
      <c r="D22" s="281"/>
      <c r="E22" s="282"/>
      <c r="F22" s="390"/>
      <c r="G22" s="275"/>
      <c r="H22" s="241"/>
      <c r="I22" s="241"/>
      <c r="J22" s="390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315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280"/>
    </row>
    <row r="23" spans="1:53" s="114" customFormat="1" ht="0.75" hidden="1" customHeight="1">
      <c r="A23" s="395"/>
      <c r="B23" s="937"/>
      <c r="C23" s="937"/>
      <c r="D23" s="281"/>
      <c r="E23" s="282"/>
      <c r="F23" s="390"/>
      <c r="G23" s="275"/>
      <c r="H23" s="241"/>
      <c r="I23" s="241"/>
      <c r="J23" s="390"/>
      <c r="K23" s="274"/>
      <c r="L23" s="274"/>
      <c r="M23" s="274"/>
      <c r="N23" s="274"/>
      <c r="O23" s="274"/>
      <c r="P23" s="274"/>
      <c r="Q23" s="274"/>
      <c r="R23" s="274"/>
      <c r="S23" s="274"/>
      <c r="T23" s="274"/>
      <c r="U23" s="274"/>
      <c r="V23" s="274"/>
      <c r="W23" s="274"/>
      <c r="X23" s="274"/>
      <c r="Y23" s="274"/>
      <c r="Z23" s="274"/>
      <c r="AA23" s="274"/>
      <c r="AB23" s="274"/>
      <c r="AC23" s="315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280"/>
    </row>
    <row r="24" spans="1:53" s="114" customFormat="1" ht="0.75" hidden="1" customHeight="1">
      <c r="A24" s="395"/>
      <c r="B24" s="937"/>
      <c r="C24" s="937"/>
      <c r="D24" s="281"/>
      <c r="E24" s="282"/>
      <c r="F24" s="390"/>
      <c r="G24" s="275"/>
      <c r="H24" s="241"/>
      <c r="I24" s="241"/>
      <c r="J24" s="390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4"/>
      <c r="Y24" s="274"/>
      <c r="Z24" s="274"/>
      <c r="AA24" s="274"/>
      <c r="AB24" s="274"/>
      <c r="AC24" s="315"/>
      <c r="AD24" s="169"/>
      <c r="AE24" s="169"/>
      <c r="AF24" s="169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280"/>
    </row>
    <row r="25" spans="1:53" s="114" customFormat="1" ht="0.75" hidden="1" customHeight="1">
      <c r="A25" s="395"/>
      <c r="B25" s="937"/>
      <c r="C25" s="937"/>
      <c r="D25" s="281"/>
      <c r="E25" s="282"/>
      <c r="F25" s="390"/>
      <c r="G25" s="275"/>
      <c r="H25" s="241"/>
      <c r="I25" s="241"/>
      <c r="J25" s="390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315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280"/>
    </row>
    <row r="26" spans="1:53" s="114" customFormat="1" ht="0.75" hidden="1" customHeight="1">
      <c r="A26" s="395"/>
      <c r="B26" s="937"/>
      <c r="C26" s="937"/>
      <c r="D26" s="281"/>
      <c r="E26" s="282"/>
      <c r="F26" s="390"/>
      <c r="G26" s="275"/>
      <c r="H26" s="241"/>
      <c r="I26" s="241"/>
      <c r="J26" s="390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315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280"/>
    </row>
    <row r="27" spans="1:53" s="114" customFormat="1" ht="0.75" hidden="1" customHeight="1">
      <c r="A27" s="395"/>
      <c r="B27" s="937"/>
      <c r="C27" s="937"/>
      <c r="D27" s="281"/>
      <c r="E27" s="282"/>
      <c r="F27" s="390"/>
      <c r="G27" s="275"/>
      <c r="H27" s="241"/>
      <c r="I27" s="241"/>
      <c r="J27" s="390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315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280"/>
    </row>
    <row r="28" spans="1:53" s="114" customFormat="1" ht="0.75" hidden="1" customHeight="1">
      <c r="A28" s="395"/>
      <c r="B28" s="937"/>
      <c r="C28" s="937"/>
      <c r="D28" s="285"/>
      <c r="E28" s="282"/>
      <c r="F28" s="390"/>
      <c r="G28" s="275"/>
      <c r="H28" s="241"/>
      <c r="I28" s="241"/>
      <c r="J28" s="390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315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280"/>
    </row>
    <row r="29" spans="1:53" s="114" customFormat="1" ht="24" hidden="1" customHeight="1">
      <c r="A29" s="391" t="s">
        <v>403</v>
      </c>
      <c r="B29" s="937"/>
      <c r="C29" s="271" t="str">
        <f>F31</f>
        <v>0.0</v>
      </c>
      <c r="D29" s="272" t="s">
        <v>112</v>
      </c>
      <c r="E29" s="273"/>
      <c r="F29" s="938">
        <f>B29</f>
        <v>0</v>
      </c>
      <c r="G29" s="945"/>
      <c r="H29" s="290">
        <f>H31</f>
        <v>0</v>
      </c>
      <c r="I29" s="290">
        <f>I31</f>
        <v>0</v>
      </c>
      <c r="J29" s="599" t="str">
        <f>A29</f>
        <v>TBD</v>
      </c>
      <c r="K29" s="290">
        <f t="shared" ref="K29:R29" si="0">K31</f>
        <v>0</v>
      </c>
      <c r="L29" s="290">
        <f t="shared" si="0"/>
        <v>0</v>
      </c>
      <c r="M29" s="290">
        <f t="shared" si="0"/>
        <v>0</v>
      </c>
      <c r="N29" s="290">
        <f t="shared" si="0"/>
        <v>0</v>
      </c>
      <c r="O29" s="290">
        <f t="shared" si="0"/>
        <v>0</v>
      </c>
      <c r="P29" s="290">
        <f t="shared" si="0"/>
        <v>0</v>
      </c>
      <c r="Q29" s="290">
        <f t="shared" si="0"/>
        <v>0</v>
      </c>
      <c r="R29" s="290">
        <f t="shared" si="0"/>
        <v>0</v>
      </c>
      <c r="S29" s="290">
        <f t="shared" ref="S29:AC29" si="1">S31</f>
        <v>0</v>
      </c>
      <c r="T29" s="290">
        <f t="shared" si="1"/>
        <v>0</v>
      </c>
      <c r="U29" s="290">
        <f t="shared" si="1"/>
        <v>0</v>
      </c>
      <c r="V29" s="290">
        <f t="shared" si="1"/>
        <v>0</v>
      </c>
      <c r="W29" s="290">
        <f t="shared" si="1"/>
        <v>0</v>
      </c>
      <c r="X29" s="290">
        <f t="shared" si="1"/>
        <v>0</v>
      </c>
      <c r="Y29" s="290">
        <f t="shared" si="1"/>
        <v>0</v>
      </c>
      <c r="Z29" s="290">
        <f t="shared" si="1"/>
        <v>0</v>
      </c>
      <c r="AA29" s="290">
        <f t="shared" si="1"/>
        <v>0</v>
      </c>
      <c r="AB29" s="290">
        <f t="shared" si="1"/>
        <v>0</v>
      </c>
      <c r="AC29" s="240">
        <f t="shared" si="1"/>
        <v>0</v>
      </c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375" t="str">
        <f>IF(J29="питьевая вода","TOTAL_ORG_PW",IF(J29="техническая вода","TOTAL_ORG_TW",""))</f>
        <v/>
      </c>
    </row>
    <row r="30" spans="1:53" s="114" customFormat="1" ht="0.75" hidden="1" customHeight="1">
      <c r="A30" s="395"/>
      <c r="B30" s="937"/>
      <c r="C30" s="271"/>
      <c r="D30" s="272"/>
      <c r="E30" s="273"/>
      <c r="F30" s="939"/>
      <c r="G30" s="941"/>
      <c r="H30" s="274"/>
      <c r="I30" s="274"/>
      <c r="J30" s="275"/>
      <c r="K30" s="275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41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371"/>
    </row>
    <row r="31" spans="1:53" s="114" customFormat="1" ht="12" hidden="1" customHeight="1">
      <c r="A31" s="395"/>
      <c r="B31" s="937"/>
      <c r="C31" s="937"/>
      <c r="D31" s="281"/>
      <c r="E31" s="282"/>
      <c r="F31" s="283" t="str">
        <f>F29 &amp; ".0"</f>
        <v>0.0</v>
      </c>
      <c r="G31" s="301" t="s">
        <v>136</v>
      </c>
      <c r="H31" s="749">
        <f>SUMIF('Список объектов'!$R$15:$R$19,$F31,'Список объектов'!$W$15:$W$19)</f>
        <v>0</v>
      </c>
      <c r="I31" s="292">
        <f>SUMIF('Список объектов'!$R$15:$R$19,$F31,'Список объектов'!$X$15:$X$19)</f>
        <v>0</v>
      </c>
      <c r="J31" s="392" t="str">
        <f>J29</f>
        <v>TBD</v>
      </c>
      <c r="K31" s="293">
        <f>P31+O31</f>
        <v>0</v>
      </c>
      <c r="L31" s="292"/>
      <c r="M31" s="292"/>
      <c r="N31" s="292"/>
      <c r="O31" s="292"/>
      <c r="P31" s="293">
        <f>SUM(P32:P43)</f>
        <v>0</v>
      </c>
      <c r="Q31" s="293">
        <f>SUM(Q32:Q43)</f>
        <v>0</v>
      </c>
      <c r="R31" s="293">
        <f>SUM(R32:R43)</f>
        <v>0</v>
      </c>
      <c r="S31" s="293">
        <f t="shared" ref="S31:AC31" si="2">SUM(S32:S43)</f>
        <v>0</v>
      </c>
      <c r="T31" s="293">
        <f t="shared" si="2"/>
        <v>0</v>
      </c>
      <c r="U31" s="293">
        <f t="shared" si="2"/>
        <v>0</v>
      </c>
      <c r="V31" s="293">
        <f t="shared" si="2"/>
        <v>0</v>
      </c>
      <c r="W31" s="293">
        <f t="shared" si="2"/>
        <v>0</v>
      </c>
      <c r="X31" s="293">
        <f t="shared" si="2"/>
        <v>0</v>
      </c>
      <c r="Y31" s="293">
        <f t="shared" si="2"/>
        <v>0</v>
      </c>
      <c r="Z31" s="293">
        <f t="shared" si="2"/>
        <v>0</v>
      </c>
      <c r="AA31" s="293">
        <f t="shared" si="2"/>
        <v>0</v>
      </c>
      <c r="AB31" s="293">
        <f t="shared" si="2"/>
        <v>0</v>
      </c>
      <c r="AC31" s="247">
        <f t="shared" si="2"/>
        <v>0</v>
      </c>
      <c r="AD31" s="169"/>
      <c r="AE31" s="169"/>
      <c r="AF31" s="1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169"/>
      <c r="AW31" s="169"/>
      <c r="AX31" s="169"/>
      <c r="AY31" s="169"/>
      <c r="AZ31" s="169"/>
      <c r="BA31" s="375" t="str">
        <f>IF(J31="питьевая вода","TOTAL_ORG_YEAR_PW",IF(J31="техническая вода","TOTAL_ORG_YEAR_TW",""))</f>
        <v/>
      </c>
    </row>
    <row r="32" spans="1:53" s="114" customFormat="1" ht="12" hidden="1" customHeight="1">
      <c r="A32" s="395"/>
      <c r="B32" s="937"/>
      <c r="C32" s="937"/>
      <c r="D32" s="281"/>
      <c r="E32" s="282"/>
      <c r="F32" s="283" t="str">
        <f>F29 &amp; ".1"</f>
        <v>0.1</v>
      </c>
      <c r="G32" s="301" t="s">
        <v>137</v>
      </c>
      <c r="H32" s="241"/>
      <c r="I32" s="241"/>
      <c r="J32" s="602" t="str">
        <f ca="1">IF(OFFSET('Список территорий'!CJ$15,$F29,0)="a","Y","N")</f>
        <v>N</v>
      </c>
      <c r="K32" s="275"/>
      <c r="L32" s="275"/>
      <c r="M32" s="275"/>
      <c r="N32" s="275"/>
      <c r="O32" s="275"/>
      <c r="P32" s="293">
        <f>SUM(Q32,U32,R32,X32,AA32)</f>
        <v>0</v>
      </c>
      <c r="Q32" s="292"/>
      <c r="R32" s="293">
        <f>SUM(S32,T32)</f>
        <v>0</v>
      </c>
      <c r="S32" s="292"/>
      <c r="T32" s="292"/>
      <c r="U32" s="293">
        <f>SUM(V32,W32)</f>
        <v>0</v>
      </c>
      <c r="V32" s="292"/>
      <c r="W32" s="292"/>
      <c r="X32" s="293">
        <f>SUM(Y32,Z32)</f>
        <v>0</v>
      </c>
      <c r="Y32" s="292"/>
      <c r="Z32" s="292"/>
      <c r="AA32" s="293">
        <f>SUM(AB32,AC32)</f>
        <v>0</v>
      </c>
      <c r="AB32" s="292"/>
      <c r="AC32" s="245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280" t="str">
        <f>C29 &amp; "-I"</f>
        <v>0.0-I</v>
      </c>
    </row>
    <row r="33" spans="1:53" s="114" customFormat="1" ht="12" hidden="1" customHeight="1">
      <c r="A33" s="395"/>
      <c r="B33" s="937"/>
      <c r="C33" s="937"/>
      <c r="D33" s="281"/>
      <c r="E33" s="282"/>
      <c r="F33" s="283" t="str">
        <f>F29 &amp; ".2"</f>
        <v>0.2</v>
      </c>
      <c r="G33" s="301" t="s">
        <v>138</v>
      </c>
      <c r="H33" s="241"/>
      <c r="I33" s="241"/>
      <c r="J33" s="602" t="str">
        <f ca="1">IF(OFFSET('Список территорий'!CK$15,$F29,0)="a","Y","N")</f>
        <v>N</v>
      </c>
      <c r="K33" s="275"/>
      <c r="L33" s="275"/>
      <c r="M33" s="275"/>
      <c r="N33" s="275"/>
      <c r="O33" s="275"/>
      <c r="P33" s="293">
        <f t="shared" ref="P33:P43" si="3">SUM(Q33,U33,R33,X33,AA33)</f>
        <v>0</v>
      </c>
      <c r="Q33" s="292"/>
      <c r="R33" s="293">
        <f t="shared" ref="R33:R43" si="4">SUM(S33,T33)</f>
        <v>0</v>
      </c>
      <c r="S33" s="292"/>
      <c r="T33" s="292"/>
      <c r="U33" s="293">
        <f t="shared" ref="U33:U43" si="5">SUM(V33,W33)</f>
        <v>0</v>
      </c>
      <c r="V33" s="292"/>
      <c r="W33" s="292"/>
      <c r="X33" s="293">
        <f t="shared" ref="X33:X43" si="6">SUM(Y33,Z33)</f>
        <v>0</v>
      </c>
      <c r="Y33" s="292"/>
      <c r="Z33" s="292"/>
      <c r="AA33" s="293">
        <f t="shared" ref="AA33:AA43" si="7">SUM(AB33,AC33)</f>
        <v>0</v>
      </c>
      <c r="AB33" s="292"/>
      <c r="AC33" s="245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280" t="str">
        <f>C29 &amp; "-I"</f>
        <v>0.0-I</v>
      </c>
    </row>
    <row r="34" spans="1:53" s="114" customFormat="1" ht="12" hidden="1" customHeight="1">
      <c r="A34" s="395"/>
      <c r="B34" s="937"/>
      <c r="C34" s="937"/>
      <c r="D34" s="281"/>
      <c r="E34" s="282"/>
      <c r="F34" s="283" t="str">
        <f>F29 &amp; ".3"</f>
        <v>0.3</v>
      </c>
      <c r="G34" s="301" t="s">
        <v>139</v>
      </c>
      <c r="H34" s="241"/>
      <c r="I34" s="241"/>
      <c r="J34" s="602" t="str">
        <f ca="1">IF(OFFSET('Список территорий'!CL$15,$F29,0)="a","Y","N")</f>
        <v>N</v>
      </c>
      <c r="K34" s="275"/>
      <c r="L34" s="275"/>
      <c r="M34" s="275"/>
      <c r="N34" s="275"/>
      <c r="O34" s="275"/>
      <c r="P34" s="293">
        <f t="shared" si="3"/>
        <v>0</v>
      </c>
      <c r="Q34" s="292"/>
      <c r="R34" s="293">
        <f t="shared" si="4"/>
        <v>0</v>
      </c>
      <c r="S34" s="292"/>
      <c r="T34" s="292"/>
      <c r="U34" s="293">
        <f t="shared" si="5"/>
        <v>0</v>
      </c>
      <c r="V34" s="292"/>
      <c r="W34" s="292"/>
      <c r="X34" s="293">
        <f t="shared" si="6"/>
        <v>0</v>
      </c>
      <c r="Y34" s="292"/>
      <c r="Z34" s="292"/>
      <c r="AA34" s="293">
        <f t="shared" si="7"/>
        <v>0</v>
      </c>
      <c r="AB34" s="292"/>
      <c r="AC34" s="245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280" t="str">
        <f>C29 &amp; "-I"</f>
        <v>0.0-I</v>
      </c>
    </row>
    <row r="35" spans="1:53" s="114" customFormat="1" ht="12" hidden="1" customHeight="1">
      <c r="A35" s="395"/>
      <c r="B35" s="937"/>
      <c r="C35" s="937"/>
      <c r="D35" s="281"/>
      <c r="E35" s="282"/>
      <c r="F35" s="283" t="str">
        <f>F29 &amp; ".4"</f>
        <v>0.4</v>
      </c>
      <c r="G35" s="301" t="s">
        <v>140</v>
      </c>
      <c r="H35" s="241"/>
      <c r="I35" s="241"/>
      <c r="J35" s="602" t="str">
        <f ca="1">IF(OFFSET('Список территорий'!CM$15,$F29,0)="a","Y","N")</f>
        <v>N</v>
      </c>
      <c r="K35" s="275"/>
      <c r="L35" s="275"/>
      <c r="M35" s="275"/>
      <c r="N35" s="275"/>
      <c r="O35" s="275"/>
      <c r="P35" s="293">
        <f t="shared" si="3"/>
        <v>0</v>
      </c>
      <c r="Q35" s="292"/>
      <c r="R35" s="293">
        <f t="shared" si="4"/>
        <v>0</v>
      </c>
      <c r="S35" s="292"/>
      <c r="T35" s="292"/>
      <c r="U35" s="293">
        <f t="shared" si="5"/>
        <v>0</v>
      </c>
      <c r="V35" s="292"/>
      <c r="W35" s="292"/>
      <c r="X35" s="293">
        <f t="shared" si="6"/>
        <v>0</v>
      </c>
      <c r="Y35" s="292"/>
      <c r="Z35" s="292"/>
      <c r="AA35" s="293">
        <f t="shared" si="7"/>
        <v>0</v>
      </c>
      <c r="AB35" s="292"/>
      <c r="AC35" s="245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280" t="str">
        <f>C29 &amp; "-I"</f>
        <v>0.0-I</v>
      </c>
    </row>
    <row r="36" spans="1:53" s="114" customFormat="1" ht="12" hidden="1" customHeight="1">
      <c r="A36" s="395"/>
      <c r="B36" s="937"/>
      <c r="C36" s="937"/>
      <c r="D36" s="281"/>
      <c r="E36" s="282"/>
      <c r="F36" s="283" t="str">
        <f>F29 &amp; ".5"</f>
        <v>0.5</v>
      </c>
      <c r="G36" s="301" t="s">
        <v>141</v>
      </c>
      <c r="H36" s="241"/>
      <c r="I36" s="241"/>
      <c r="J36" s="602" t="str">
        <f ca="1">IF(OFFSET('Список территорий'!CN$15,$F29,0)="a","Y","N")</f>
        <v>N</v>
      </c>
      <c r="K36" s="275"/>
      <c r="L36" s="275"/>
      <c r="M36" s="275"/>
      <c r="N36" s="275"/>
      <c r="O36" s="275"/>
      <c r="P36" s="293">
        <f t="shared" si="3"/>
        <v>0</v>
      </c>
      <c r="Q36" s="292"/>
      <c r="R36" s="293">
        <f t="shared" si="4"/>
        <v>0</v>
      </c>
      <c r="S36" s="292"/>
      <c r="T36" s="292"/>
      <c r="U36" s="293">
        <f t="shared" si="5"/>
        <v>0</v>
      </c>
      <c r="V36" s="292"/>
      <c r="W36" s="292"/>
      <c r="X36" s="293">
        <f t="shared" si="6"/>
        <v>0</v>
      </c>
      <c r="Y36" s="292"/>
      <c r="Z36" s="292"/>
      <c r="AA36" s="293">
        <f t="shared" si="7"/>
        <v>0</v>
      </c>
      <c r="AB36" s="292"/>
      <c r="AC36" s="245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280" t="str">
        <f>C29 &amp; "-I"</f>
        <v>0.0-I</v>
      </c>
    </row>
    <row r="37" spans="1:53" s="114" customFormat="1" ht="12" hidden="1" customHeight="1">
      <c r="A37" s="395"/>
      <c r="B37" s="937"/>
      <c r="C37" s="937"/>
      <c r="D37" s="281"/>
      <c r="E37" s="282"/>
      <c r="F37" s="283" t="str">
        <f>F29 &amp; ".6"</f>
        <v>0.6</v>
      </c>
      <c r="G37" s="301" t="s">
        <v>142</v>
      </c>
      <c r="H37" s="241"/>
      <c r="I37" s="241"/>
      <c r="J37" s="602" t="str">
        <f ca="1">IF(OFFSET('Список территорий'!CO$15,$F29,0)="a","Y","N")</f>
        <v>N</v>
      </c>
      <c r="K37" s="275"/>
      <c r="L37" s="275"/>
      <c r="M37" s="275"/>
      <c r="N37" s="275"/>
      <c r="O37" s="275"/>
      <c r="P37" s="293">
        <f t="shared" si="3"/>
        <v>0</v>
      </c>
      <c r="Q37" s="292"/>
      <c r="R37" s="293">
        <f t="shared" si="4"/>
        <v>0</v>
      </c>
      <c r="S37" s="292"/>
      <c r="T37" s="292"/>
      <c r="U37" s="293">
        <f t="shared" si="5"/>
        <v>0</v>
      </c>
      <c r="V37" s="292"/>
      <c r="W37" s="292"/>
      <c r="X37" s="293">
        <f t="shared" si="6"/>
        <v>0</v>
      </c>
      <c r="Y37" s="292"/>
      <c r="Z37" s="292"/>
      <c r="AA37" s="293">
        <f t="shared" si="7"/>
        <v>0</v>
      </c>
      <c r="AB37" s="292"/>
      <c r="AC37" s="245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280" t="str">
        <f>C29 &amp; "-I"</f>
        <v>0.0-I</v>
      </c>
    </row>
    <row r="38" spans="1:53" s="114" customFormat="1" ht="12" hidden="1" customHeight="1">
      <c r="A38" s="395"/>
      <c r="B38" s="937"/>
      <c r="C38" s="937"/>
      <c r="D38" s="281"/>
      <c r="E38" s="282"/>
      <c r="F38" s="283" t="str">
        <f>F29 &amp; ".7"</f>
        <v>0.7</v>
      </c>
      <c r="G38" s="301" t="s">
        <v>143</v>
      </c>
      <c r="H38" s="241"/>
      <c r="I38" s="241"/>
      <c r="J38" s="602" t="str">
        <f ca="1">IF(OFFSET('Список территорий'!CP$15,$F29,0)="a","Y","N")</f>
        <v>N</v>
      </c>
      <c r="K38" s="275"/>
      <c r="L38" s="275"/>
      <c r="M38" s="275"/>
      <c r="N38" s="275"/>
      <c r="O38" s="275"/>
      <c r="P38" s="293">
        <f t="shared" si="3"/>
        <v>0</v>
      </c>
      <c r="Q38" s="292"/>
      <c r="R38" s="293">
        <f t="shared" si="4"/>
        <v>0</v>
      </c>
      <c r="S38" s="292"/>
      <c r="T38" s="292"/>
      <c r="U38" s="293">
        <f t="shared" si="5"/>
        <v>0</v>
      </c>
      <c r="V38" s="292"/>
      <c r="W38" s="292"/>
      <c r="X38" s="293">
        <f t="shared" si="6"/>
        <v>0</v>
      </c>
      <c r="Y38" s="292"/>
      <c r="Z38" s="292"/>
      <c r="AA38" s="293">
        <f t="shared" si="7"/>
        <v>0</v>
      </c>
      <c r="AB38" s="292"/>
      <c r="AC38" s="245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280" t="str">
        <f>C29 &amp; "-II"</f>
        <v>0.0-II</v>
      </c>
    </row>
    <row r="39" spans="1:53" s="114" customFormat="1" ht="12" hidden="1" customHeight="1">
      <c r="A39" s="395"/>
      <c r="B39" s="937"/>
      <c r="C39" s="937"/>
      <c r="D39" s="281"/>
      <c r="E39" s="282"/>
      <c r="F39" s="283" t="str">
        <f>F29 &amp; ".8"</f>
        <v>0.8</v>
      </c>
      <c r="G39" s="301" t="s">
        <v>144</v>
      </c>
      <c r="H39" s="241"/>
      <c r="I39" s="241"/>
      <c r="J39" s="602" t="str">
        <f ca="1">IF(OFFSET('Список территорий'!CQ$15,$F29,0)="a","Y","N")</f>
        <v>N</v>
      </c>
      <c r="K39" s="275"/>
      <c r="L39" s="275"/>
      <c r="M39" s="275"/>
      <c r="N39" s="275"/>
      <c r="O39" s="275"/>
      <c r="P39" s="293">
        <f t="shared" si="3"/>
        <v>0</v>
      </c>
      <c r="Q39" s="292"/>
      <c r="R39" s="293">
        <f t="shared" si="4"/>
        <v>0</v>
      </c>
      <c r="S39" s="292"/>
      <c r="T39" s="292"/>
      <c r="U39" s="293">
        <f t="shared" si="5"/>
        <v>0</v>
      </c>
      <c r="V39" s="292"/>
      <c r="W39" s="292"/>
      <c r="X39" s="293">
        <f t="shared" si="6"/>
        <v>0</v>
      </c>
      <c r="Y39" s="292"/>
      <c r="Z39" s="292"/>
      <c r="AA39" s="293">
        <f t="shared" si="7"/>
        <v>0</v>
      </c>
      <c r="AB39" s="292"/>
      <c r="AC39" s="245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280" t="str">
        <f>C29 &amp; "-II"</f>
        <v>0.0-II</v>
      </c>
    </row>
    <row r="40" spans="1:53" s="114" customFormat="1" ht="12" hidden="1" customHeight="1">
      <c r="A40" s="395"/>
      <c r="B40" s="937"/>
      <c r="C40" s="937"/>
      <c r="D40" s="281"/>
      <c r="E40" s="282"/>
      <c r="F40" s="283" t="str">
        <f>F29 &amp; ".9"</f>
        <v>0.9</v>
      </c>
      <c r="G40" s="301" t="s">
        <v>145</v>
      </c>
      <c r="H40" s="241"/>
      <c r="I40" s="241"/>
      <c r="J40" s="602" t="str">
        <f ca="1">IF(OFFSET('Список территорий'!CR$15,$F29,0)="a","Y","N")</f>
        <v>N</v>
      </c>
      <c r="K40" s="275"/>
      <c r="L40" s="275"/>
      <c r="M40" s="275"/>
      <c r="N40" s="275"/>
      <c r="O40" s="275"/>
      <c r="P40" s="293">
        <f t="shared" si="3"/>
        <v>0</v>
      </c>
      <c r="Q40" s="292"/>
      <c r="R40" s="293">
        <f t="shared" si="4"/>
        <v>0</v>
      </c>
      <c r="S40" s="292"/>
      <c r="T40" s="292"/>
      <c r="U40" s="293">
        <f t="shared" si="5"/>
        <v>0</v>
      </c>
      <c r="V40" s="292"/>
      <c r="W40" s="292"/>
      <c r="X40" s="293">
        <f t="shared" si="6"/>
        <v>0</v>
      </c>
      <c r="Y40" s="292"/>
      <c r="Z40" s="292"/>
      <c r="AA40" s="293">
        <f t="shared" si="7"/>
        <v>0</v>
      </c>
      <c r="AB40" s="292"/>
      <c r="AC40" s="245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280" t="str">
        <f>C29 &amp; "-II"</f>
        <v>0.0-II</v>
      </c>
    </row>
    <row r="41" spans="1:53" s="114" customFormat="1" ht="12" hidden="1" customHeight="1">
      <c r="A41" s="395"/>
      <c r="B41" s="937"/>
      <c r="C41" s="937"/>
      <c r="D41" s="281"/>
      <c r="E41" s="282"/>
      <c r="F41" s="283" t="str">
        <f>F29 &amp; ".10"</f>
        <v>0.10</v>
      </c>
      <c r="G41" s="301" t="s">
        <v>146</v>
      </c>
      <c r="H41" s="241"/>
      <c r="I41" s="241"/>
      <c r="J41" s="602" t="str">
        <f ca="1">IF(OFFSET('Список территорий'!CS$15,$F29,0)="a","Y","N")</f>
        <v>N</v>
      </c>
      <c r="K41" s="275"/>
      <c r="L41" s="275"/>
      <c r="M41" s="275"/>
      <c r="N41" s="275"/>
      <c r="O41" s="275"/>
      <c r="P41" s="293">
        <f t="shared" si="3"/>
        <v>0</v>
      </c>
      <c r="Q41" s="292"/>
      <c r="R41" s="293">
        <f t="shared" si="4"/>
        <v>0</v>
      </c>
      <c r="S41" s="292"/>
      <c r="T41" s="292"/>
      <c r="U41" s="293">
        <f t="shared" si="5"/>
        <v>0</v>
      </c>
      <c r="V41" s="292"/>
      <c r="W41" s="292"/>
      <c r="X41" s="293">
        <f t="shared" si="6"/>
        <v>0</v>
      </c>
      <c r="Y41" s="292"/>
      <c r="Z41" s="292"/>
      <c r="AA41" s="293">
        <f t="shared" si="7"/>
        <v>0</v>
      </c>
      <c r="AB41" s="292"/>
      <c r="AC41" s="245"/>
      <c r="AD41" s="169"/>
      <c r="AE41" s="169"/>
      <c r="AF41" s="169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280" t="str">
        <f>C29 &amp; "-II"</f>
        <v>0.0-II</v>
      </c>
    </row>
    <row r="42" spans="1:53" s="114" customFormat="1" ht="12" hidden="1" customHeight="1">
      <c r="A42" s="395"/>
      <c r="B42" s="937"/>
      <c r="C42" s="937"/>
      <c r="D42" s="281"/>
      <c r="E42" s="282"/>
      <c r="F42" s="283" t="str">
        <f>F29 &amp; ".11"</f>
        <v>0.11</v>
      </c>
      <c r="G42" s="301" t="s">
        <v>147</v>
      </c>
      <c r="H42" s="241"/>
      <c r="I42" s="241"/>
      <c r="J42" s="602" t="str">
        <f ca="1">IF(OFFSET('Список территорий'!CT$15,$F29,0)="a","Y","N")</f>
        <v>N</v>
      </c>
      <c r="K42" s="275"/>
      <c r="L42" s="275"/>
      <c r="M42" s="275"/>
      <c r="N42" s="275"/>
      <c r="O42" s="275"/>
      <c r="P42" s="293">
        <f t="shared" si="3"/>
        <v>0</v>
      </c>
      <c r="Q42" s="292"/>
      <c r="R42" s="293">
        <f t="shared" si="4"/>
        <v>0</v>
      </c>
      <c r="S42" s="292"/>
      <c r="T42" s="292"/>
      <c r="U42" s="293">
        <f t="shared" si="5"/>
        <v>0</v>
      </c>
      <c r="V42" s="292"/>
      <c r="W42" s="292"/>
      <c r="X42" s="293">
        <f t="shared" si="6"/>
        <v>0</v>
      </c>
      <c r="Y42" s="292"/>
      <c r="Z42" s="292"/>
      <c r="AA42" s="293">
        <f t="shared" si="7"/>
        <v>0</v>
      </c>
      <c r="AB42" s="292"/>
      <c r="AC42" s="245"/>
      <c r="AD42" s="169"/>
      <c r="AE42" s="169"/>
      <c r="AF42" s="169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280" t="str">
        <f>C29 &amp; "-II"</f>
        <v>0.0-II</v>
      </c>
    </row>
    <row r="43" spans="1:53" s="114" customFormat="1" ht="12" hidden="1" customHeight="1">
      <c r="A43" s="395"/>
      <c r="B43" s="937"/>
      <c r="C43" s="937"/>
      <c r="D43" s="281"/>
      <c r="E43" s="282"/>
      <c r="F43" s="283" t="str">
        <f>F29 &amp; ".12"</f>
        <v>0.12</v>
      </c>
      <c r="G43" s="301" t="s">
        <v>148</v>
      </c>
      <c r="H43" s="241"/>
      <c r="I43" s="241"/>
      <c r="J43" s="602" t="str">
        <f ca="1">IF(OFFSET('Список территорий'!CU$15,$F29,0)="a","Y","N")</f>
        <v>N</v>
      </c>
      <c r="K43" s="275"/>
      <c r="L43" s="275"/>
      <c r="M43" s="275"/>
      <c r="N43" s="275"/>
      <c r="O43" s="275"/>
      <c r="P43" s="293">
        <f t="shared" si="3"/>
        <v>0</v>
      </c>
      <c r="Q43" s="292"/>
      <c r="R43" s="293">
        <f t="shared" si="4"/>
        <v>0</v>
      </c>
      <c r="S43" s="292"/>
      <c r="T43" s="292"/>
      <c r="U43" s="293">
        <f t="shared" si="5"/>
        <v>0</v>
      </c>
      <c r="V43" s="292"/>
      <c r="W43" s="292"/>
      <c r="X43" s="293">
        <f t="shared" si="6"/>
        <v>0</v>
      </c>
      <c r="Y43" s="292"/>
      <c r="Z43" s="292"/>
      <c r="AA43" s="293">
        <f t="shared" si="7"/>
        <v>0</v>
      </c>
      <c r="AB43" s="292"/>
      <c r="AC43" s="245"/>
      <c r="AD43" s="169"/>
      <c r="AE43" s="169"/>
      <c r="AF43" s="169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280" t="str">
        <f>C29 &amp; "-II"</f>
        <v>0.0-II</v>
      </c>
    </row>
    <row r="44" spans="1:53" s="114" customFormat="1" ht="0.75" hidden="1" customHeight="1">
      <c r="A44" s="395"/>
      <c r="B44" s="937"/>
      <c r="C44" s="937"/>
      <c r="D44" s="281"/>
      <c r="E44" s="282"/>
      <c r="F44" s="390"/>
      <c r="G44" s="275"/>
      <c r="H44" s="241"/>
      <c r="I44" s="241"/>
      <c r="J44" s="390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274"/>
      <c r="W44" s="274"/>
      <c r="X44" s="274"/>
      <c r="Y44" s="274"/>
      <c r="Z44" s="274"/>
      <c r="AA44" s="274"/>
      <c r="AB44" s="274"/>
      <c r="AC44" s="315"/>
      <c r="AD44" s="169"/>
      <c r="AE44" s="169"/>
      <c r="AF44" s="169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371"/>
    </row>
    <row r="45" spans="1:53" s="114" customFormat="1" ht="0.75" hidden="1" customHeight="1">
      <c r="A45" s="395"/>
      <c r="B45" s="937"/>
      <c r="C45" s="937"/>
      <c r="D45" s="281"/>
      <c r="E45" s="282"/>
      <c r="F45" s="390"/>
      <c r="G45" s="275"/>
      <c r="H45" s="241"/>
      <c r="I45" s="241"/>
      <c r="J45" s="390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274"/>
      <c r="AA45" s="274"/>
      <c r="AB45" s="274"/>
      <c r="AC45" s="315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280"/>
    </row>
    <row r="46" spans="1:53" s="114" customFormat="1" ht="0.75" hidden="1" customHeight="1">
      <c r="A46" s="395"/>
      <c r="B46" s="937"/>
      <c r="C46" s="937"/>
      <c r="D46" s="281"/>
      <c r="E46" s="282"/>
      <c r="F46" s="390"/>
      <c r="G46" s="275"/>
      <c r="H46" s="241"/>
      <c r="I46" s="241"/>
      <c r="J46" s="390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315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280"/>
    </row>
    <row r="47" spans="1:53" s="114" customFormat="1" ht="0.75" hidden="1" customHeight="1">
      <c r="A47" s="395"/>
      <c r="B47" s="937"/>
      <c r="C47" s="937"/>
      <c r="D47" s="281"/>
      <c r="E47" s="282"/>
      <c r="F47" s="390"/>
      <c r="G47" s="275"/>
      <c r="H47" s="241"/>
      <c r="I47" s="241"/>
      <c r="J47" s="390"/>
      <c r="K47" s="274"/>
      <c r="L47" s="274"/>
      <c r="M47" s="274"/>
      <c r="N47" s="274"/>
      <c r="O47" s="274"/>
      <c r="P47" s="274"/>
      <c r="Q47" s="274"/>
      <c r="R47" s="274"/>
      <c r="S47" s="274"/>
      <c r="T47" s="274"/>
      <c r="U47" s="274"/>
      <c r="V47" s="274"/>
      <c r="W47" s="274"/>
      <c r="X47" s="274"/>
      <c r="Y47" s="274"/>
      <c r="Z47" s="274"/>
      <c r="AA47" s="274"/>
      <c r="AB47" s="274"/>
      <c r="AC47" s="315"/>
      <c r="AD47" s="169"/>
      <c r="AE47" s="169"/>
      <c r="AF47" s="169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280"/>
    </row>
    <row r="48" spans="1:53" s="114" customFormat="1" ht="0.75" hidden="1" customHeight="1">
      <c r="A48" s="395"/>
      <c r="B48" s="937"/>
      <c r="C48" s="937"/>
      <c r="D48" s="281"/>
      <c r="E48" s="282"/>
      <c r="F48" s="390"/>
      <c r="G48" s="275"/>
      <c r="H48" s="241"/>
      <c r="I48" s="241"/>
      <c r="J48" s="390"/>
      <c r="K48" s="274"/>
      <c r="L48" s="274"/>
      <c r="M48" s="274"/>
      <c r="N48" s="274"/>
      <c r="O48" s="274"/>
      <c r="P48" s="274"/>
      <c r="Q48" s="274"/>
      <c r="R48" s="274"/>
      <c r="S48" s="274"/>
      <c r="T48" s="274"/>
      <c r="U48" s="274"/>
      <c r="V48" s="274"/>
      <c r="W48" s="274"/>
      <c r="X48" s="274"/>
      <c r="Y48" s="274"/>
      <c r="Z48" s="274"/>
      <c r="AA48" s="274"/>
      <c r="AB48" s="274"/>
      <c r="AC48" s="315"/>
      <c r="AD48" s="169"/>
      <c r="AE48" s="169"/>
      <c r="AF48" s="169"/>
      <c r="AG48" s="169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280"/>
    </row>
    <row r="49" spans="1:53" s="114" customFormat="1" ht="0.75" hidden="1" customHeight="1">
      <c r="A49" s="395"/>
      <c r="B49" s="937"/>
      <c r="C49" s="937"/>
      <c r="D49" s="281"/>
      <c r="E49" s="282"/>
      <c r="F49" s="390"/>
      <c r="G49" s="275"/>
      <c r="H49" s="241"/>
      <c r="I49" s="241"/>
      <c r="J49" s="390"/>
      <c r="K49" s="274"/>
      <c r="L49" s="274"/>
      <c r="M49" s="274"/>
      <c r="N49" s="274"/>
      <c r="O49" s="274"/>
      <c r="P49" s="274"/>
      <c r="Q49" s="274"/>
      <c r="R49" s="274"/>
      <c r="S49" s="274"/>
      <c r="T49" s="274"/>
      <c r="U49" s="274"/>
      <c r="V49" s="274"/>
      <c r="W49" s="274"/>
      <c r="X49" s="274"/>
      <c r="Y49" s="274"/>
      <c r="Z49" s="274"/>
      <c r="AA49" s="274"/>
      <c r="AB49" s="274"/>
      <c r="AC49" s="315"/>
      <c r="AD49" s="169"/>
      <c r="AE49" s="169"/>
      <c r="AF49" s="169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280"/>
    </row>
    <row r="50" spans="1:53" s="114" customFormat="1" ht="0.75" hidden="1" customHeight="1">
      <c r="A50" s="395"/>
      <c r="B50" s="937"/>
      <c r="C50" s="937"/>
      <c r="D50" s="281"/>
      <c r="E50" s="282"/>
      <c r="F50" s="390"/>
      <c r="G50" s="275"/>
      <c r="H50" s="241"/>
      <c r="I50" s="241"/>
      <c r="J50" s="390"/>
      <c r="K50" s="274"/>
      <c r="L50" s="274"/>
      <c r="M50" s="274"/>
      <c r="N50" s="274"/>
      <c r="O50" s="274"/>
      <c r="P50" s="274"/>
      <c r="Q50" s="274"/>
      <c r="R50" s="274"/>
      <c r="S50" s="274"/>
      <c r="T50" s="274"/>
      <c r="U50" s="274"/>
      <c r="V50" s="274"/>
      <c r="W50" s="274"/>
      <c r="X50" s="274"/>
      <c r="Y50" s="274"/>
      <c r="Z50" s="274"/>
      <c r="AA50" s="274"/>
      <c r="AB50" s="274"/>
      <c r="AC50" s="315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280"/>
    </row>
    <row r="51" spans="1:53" s="114" customFormat="1" ht="0.75" hidden="1" customHeight="1">
      <c r="A51" s="395"/>
      <c r="B51" s="937"/>
      <c r="C51" s="937"/>
      <c r="D51" s="281"/>
      <c r="E51" s="282"/>
      <c r="F51" s="390"/>
      <c r="G51" s="275"/>
      <c r="H51" s="241"/>
      <c r="I51" s="241"/>
      <c r="J51" s="390"/>
      <c r="K51" s="274"/>
      <c r="L51" s="274"/>
      <c r="M51" s="274"/>
      <c r="N51" s="274"/>
      <c r="O51" s="274"/>
      <c r="P51" s="274"/>
      <c r="Q51" s="274"/>
      <c r="R51" s="274"/>
      <c r="S51" s="274"/>
      <c r="T51" s="274"/>
      <c r="U51" s="274"/>
      <c r="V51" s="274"/>
      <c r="W51" s="274"/>
      <c r="X51" s="274"/>
      <c r="Y51" s="274"/>
      <c r="Z51" s="274"/>
      <c r="AA51" s="274"/>
      <c r="AB51" s="274"/>
      <c r="AC51" s="315"/>
      <c r="AD51" s="169"/>
      <c r="AE51" s="169"/>
      <c r="AF51" s="169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280"/>
    </row>
    <row r="52" spans="1:53" s="114" customFormat="1" ht="0.75" hidden="1" customHeight="1">
      <c r="A52" s="395"/>
      <c r="B52" s="937"/>
      <c r="C52" s="937"/>
      <c r="D52" s="281"/>
      <c r="E52" s="282"/>
      <c r="F52" s="390"/>
      <c r="G52" s="275"/>
      <c r="H52" s="241"/>
      <c r="I52" s="241"/>
      <c r="J52" s="390"/>
      <c r="K52" s="274"/>
      <c r="L52" s="274"/>
      <c r="M52" s="274"/>
      <c r="N52" s="274"/>
      <c r="O52" s="274"/>
      <c r="P52" s="274"/>
      <c r="Q52" s="274"/>
      <c r="R52" s="274"/>
      <c r="S52" s="274"/>
      <c r="T52" s="274"/>
      <c r="U52" s="274"/>
      <c r="V52" s="274"/>
      <c r="W52" s="274"/>
      <c r="X52" s="274"/>
      <c r="Y52" s="274"/>
      <c r="Z52" s="274"/>
      <c r="AA52" s="274"/>
      <c r="AB52" s="274"/>
      <c r="AC52" s="315"/>
      <c r="AD52" s="169"/>
      <c r="AE52" s="169"/>
      <c r="AF52" s="169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280"/>
    </row>
    <row r="53" spans="1:53" s="114" customFormat="1" ht="0.75" hidden="1" customHeight="1">
      <c r="A53" s="395"/>
      <c r="B53" s="937"/>
      <c r="C53" s="937"/>
      <c r="D53" s="281"/>
      <c r="E53" s="282"/>
      <c r="F53" s="390"/>
      <c r="G53" s="275"/>
      <c r="H53" s="241"/>
      <c r="I53" s="241"/>
      <c r="J53" s="390"/>
      <c r="K53" s="274"/>
      <c r="L53" s="274"/>
      <c r="M53" s="274"/>
      <c r="N53" s="274"/>
      <c r="O53" s="274"/>
      <c r="P53" s="274"/>
      <c r="Q53" s="274"/>
      <c r="R53" s="274"/>
      <c r="S53" s="274"/>
      <c r="T53" s="274"/>
      <c r="U53" s="274"/>
      <c r="V53" s="274"/>
      <c r="W53" s="274"/>
      <c r="X53" s="274"/>
      <c r="Y53" s="274"/>
      <c r="Z53" s="274"/>
      <c r="AA53" s="274"/>
      <c r="AB53" s="274"/>
      <c r="AC53" s="315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280"/>
    </row>
    <row r="54" spans="1:53" s="114" customFormat="1" ht="0.75" hidden="1" customHeight="1">
      <c r="A54" s="395"/>
      <c r="B54" s="937"/>
      <c r="C54" s="937"/>
      <c r="D54" s="281"/>
      <c r="E54" s="282"/>
      <c r="F54" s="390"/>
      <c r="G54" s="275"/>
      <c r="H54" s="241"/>
      <c r="I54" s="241"/>
      <c r="J54" s="390"/>
      <c r="K54" s="274"/>
      <c r="L54" s="274"/>
      <c r="M54" s="274"/>
      <c r="N54" s="274"/>
      <c r="O54" s="274"/>
      <c r="P54" s="274"/>
      <c r="Q54" s="274"/>
      <c r="R54" s="274"/>
      <c r="S54" s="274"/>
      <c r="T54" s="274"/>
      <c r="U54" s="274"/>
      <c r="V54" s="274"/>
      <c r="W54" s="274"/>
      <c r="X54" s="274"/>
      <c r="Y54" s="274"/>
      <c r="Z54" s="274"/>
      <c r="AA54" s="274"/>
      <c r="AB54" s="274"/>
      <c r="AC54" s="315"/>
      <c r="AD54" s="169"/>
      <c r="AE54" s="169"/>
      <c r="AF54" s="169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280"/>
    </row>
    <row r="55" spans="1:53" s="114" customFormat="1" ht="0.75" hidden="1" customHeight="1">
      <c r="A55" s="395"/>
      <c r="B55" s="937"/>
      <c r="C55" s="937"/>
      <c r="D55" s="281"/>
      <c r="E55" s="282"/>
      <c r="F55" s="390"/>
      <c r="G55" s="275"/>
      <c r="H55" s="241"/>
      <c r="I55" s="241"/>
      <c r="J55" s="390"/>
      <c r="K55" s="274"/>
      <c r="L55" s="274"/>
      <c r="M55" s="274"/>
      <c r="N55" s="274"/>
      <c r="O55" s="274"/>
      <c r="P55" s="274"/>
      <c r="Q55" s="274"/>
      <c r="R55" s="274"/>
      <c r="S55" s="274"/>
      <c r="T55" s="274"/>
      <c r="U55" s="274"/>
      <c r="V55" s="274"/>
      <c r="W55" s="274"/>
      <c r="X55" s="274"/>
      <c r="Y55" s="274"/>
      <c r="Z55" s="274"/>
      <c r="AA55" s="274"/>
      <c r="AB55" s="274"/>
      <c r="AC55" s="315"/>
      <c r="AD55" s="169"/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280"/>
    </row>
    <row r="56" spans="1:53" s="114" customFormat="1" ht="0.75" hidden="1" customHeight="1">
      <c r="A56" s="395"/>
      <c r="B56" s="937"/>
      <c r="C56" s="937"/>
      <c r="D56" s="285"/>
      <c r="E56" s="282"/>
      <c r="F56" s="390"/>
      <c r="G56" s="275"/>
      <c r="H56" s="241"/>
      <c r="I56" s="241"/>
      <c r="J56" s="390"/>
      <c r="K56" s="274"/>
      <c r="L56" s="274"/>
      <c r="M56" s="274"/>
      <c r="N56" s="274"/>
      <c r="O56" s="274"/>
      <c r="P56" s="274"/>
      <c r="Q56" s="274"/>
      <c r="R56" s="274"/>
      <c r="S56" s="274"/>
      <c r="T56" s="274"/>
      <c r="U56" s="274"/>
      <c r="V56" s="274"/>
      <c r="W56" s="274"/>
      <c r="X56" s="274"/>
      <c r="Y56" s="274"/>
      <c r="Z56" s="274"/>
      <c r="AA56" s="274"/>
      <c r="AB56" s="274"/>
      <c r="AC56" s="424"/>
      <c r="AD56" s="169"/>
      <c r="AE56" s="169"/>
      <c r="AF56" s="169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280"/>
    </row>
    <row r="57" spans="1:53" s="169" customFormat="1" ht="0.75" hidden="1" customHeight="1"/>
    <row r="58" spans="1:53" s="169" customFormat="1" ht="0.75" hidden="1" customHeight="1"/>
    <row r="59" spans="1:53" s="169" customFormat="1" ht="0.75" hidden="1" customHeight="1"/>
    <row r="60" spans="1:53" s="169" customFormat="1" ht="0.75" hidden="1" customHeight="1"/>
    <row r="61" spans="1:53" s="169" customFormat="1" ht="0.75" hidden="1" customHeight="1"/>
    <row r="62" spans="1:53" s="169" customFormat="1" ht="0.75" hidden="1" customHeight="1"/>
    <row r="63" spans="1:53" s="169" customFormat="1" ht="0.75" hidden="1" customHeight="1"/>
    <row r="64" spans="1:53" s="169" customFormat="1" ht="0.75" hidden="1" customHeight="1"/>
    <row r="65" s="169" customFormat="1" ht="0.75" hidden="1" customHeight="1"/>
    <row r="66" s="169" customFormat="1" ht="0.75" hidden="1" customHeight="1"/>
    <row r="67" s="169" customFormat="1" ht="0.75" hidden="1" customHeight="1"/>
    <row r="68" s="169" customFormat="1" ht="0.75" hidden="1" customHeight="1"/>
    <row r="69" s="169" customFormat="1" ht="0.75" hidden="1" customHeight="1"/>
    <row r="70" s="169" customFormat="1" ht="0.75" hidden="1" customHeight="1"/>
    <row r="71" s="169" customFormat="1" ht="0.75" hidden="1" customHeight="1"/>
    <row r="72" s="169" customFormat="1" ht="0.75" hidden="1" customHeight="1"/>
    <row r="73" s="169" customFormat="1" ht="0.75" hidden="1" customHeight="1"/>
    <row r="74" s="169" customFormat="1" ht="0.75" hidden="1" customHeight="1"/>
    <row r="75" s="169" customFormat="1" ht="0.75" hidden="1" customHeight="1"/>
    <row r="76" s="169" customFormat="1" ht="0.75" hidden="1" customHeight="1"/>
    <row r="77" s="169" customFormat="1" ht="0.75" hidden="1" customHeight="1"/>
    <row r="78" s="169" customFormat="1" ht="0.75" hidden="1" customHeight="1"/>
    <row r="79" s="169" customFormat="1" ht="0.75" hidden="1" customHeight="1"/>
    <row r="80" s="169" customFormat="1" ht="0.75" hidden="1" customHeight="1"/>
    <row r="81" spans="53:53" s="169" customFormat="1" ht="0.75" hidden="1" customHeight="1"/>
    <row r="82" spans="53:53" s="169" customFormat="1" ht="0.75" hidden="1" customHeight="1"/>
    <row r="83" spans="53:53" s="169" customFormat="1" ht="0.75" hidden="1" customHeight="1"/>
    <row r="84" spans="53:53" s="169" customFormat="1" ht="0.75" hidden="1" customHeight="1"/>
    <row r="85" spans="53:53" s="169" customFormat="1" ht="0.75" hidden="1" customHeight="1"/>
    <row r="86" spans="53:53" s="169" customFormat="1" ht="0.75" hidden="1" customHeight="1"/>
    <row r="87" spans="53:53" s="169" customFormat="1" ht="0.75" hidden="1" customHeight="1"/>
    <row r="88" spans="53:53" s="169" customFormat="1" ht="0.75" hidden="1" customHeight="1"/>
    <row r="89" spans="53:53" s="169" customFormat="1" ht="0.75" hidden="1" customHeight="1"/>
    <row r="90" spans="53:53" s="169" customFormat="1" ht="0.75" hidden="1" customHeight="1"/>
    <row r="91" spans="53:53" s="169" customFormat="1" ht="0.75" hidden="1" customHeight="1"/>
    <row r="92" spans="53:53" s="169" customFormat="1" ht="0.75" hidden="1" customHeight="1"/>
    <row r="93" spans="53:53" s="169" customFormat="1" ht="0.75" hidden="1" customHeight="1"/>
    <row r="94" spans="53:53" s="169" customFormat="1" ht="0.75" hidden="1" customHeight="1"/>
    <row r="95" spans="53:53" s="169" customFormat="1" ht="0.75" hidden="1" customHeight="1">
      <c r="BA95" s="224"/>
    </row>
    <row r="96" spans="53:53" s="169" customFormat="1" ht="0.75" hidden="1" customHeight="1">
      <c r="BA96" s="224"/>
    </row>
    <row r="97" spans="53:53" s="169" customFormat="1" ht="0.75" hidden="1" customHeight="1">
      <c r="BA97" s="224"/>
    </row>
    <row r="98" spans="53:53" s="169" customFormat="1" ht="0.75" hidden="1" customHeight="1">
      <c r="BA98" s="224"/>
    </row>
    <row r="99" spans="53:53" s="169" customFormat="1" ht="0.75" hidden="1" customHeight="1">
      <c r="BA99" s="224"/>
    </row>
    <row r="100" spans="53:53" s="169" customFormat="1" ht="0.75" hidden="1" customHeight="1">
      <c r="BA100" s="224"/>
    </row>
    <row r="101" spans="53:53" s="169" customFormat="1" ht="0.75" hidden="1" customHeight="1">
      <c r="BA101" s="224"/>
    </row>
    <row r="102" spans="53:53" s="169" customFormat="1" ht="0.75" hidden="1" customHeight="1">
      <c r="BA102" s="224"/>
    </row>
    <row r="103" spans="53:53" s="169" customFormat="1" ht="0.75" hidden="1" customHeight="1">
      <c r="BA103" s="224"/>
    </row>
    <row r="104" spans="53:53" s="169" customFormat="1" ht="0.75" hidden="1" customHeight="1">
      <c r="BA104" s="224"/>
    </row>
    <row r="105" spans="53:53" s="169" customFormat="1" ht="0.75" hidden="1" customHeight="1">
      <c r="BA105" s="224"/>
    </row>
    <row r="106" spans="53:53" s="169" customFormat="1" ht="0.75" hidden="1" customHeight="1">
      <c r="BA106" s="224"/>
    </row>
    <row r="107" spans="53:53" s="169" customFormat="1" ht="0.75" hidden="1" customHeight="1">
      <c r="BA107" s="224"/>
    </row>
    <row r="108" spans="53:53" s="169" customFormat="1" ht="0.75" hidden="1" customHeight="1">
      <c r="BA108" s="224"/>
    </row>
    <row r="109" spans="53:53" s="169" customFormat="1" ht="0.75" hidden="1" customHeight="1">
      <c r="BA109" s="224"/>
    </row>
    <row r="110" spans="53:53" s="169" customFormat="1" ht="0.75" hidden="1" customHeight="1">
      <c r="BA110" s="224"/>
    </row>
    <row r="111" spans="53:53" s="169" customFormat="1" ht="0.75" hidden="1" customHeight="1">
      <c r="BA111" s="224"/>
    </row>
    <row r="112" spans="53:53" s="169" customFormat="1" ht="0.75" hidden="1" customHeight="1">
      <c r="BA112" s="224"/>
    </row>
    <row r="113" spans="1:53" s="169" customFormat="1" ht="0.75" hidden="1" customHeight="1">
      <c r="BA113" s="224"/>
    </row>
    <row r="114" spans="1:53" s="169" customFormat="1" ht="0.75" hidden="1" customHeight="1">
      <c r="BA114" s="224"/>
    </row>
    <row r="115" spans="1:53" s="169" customFormat="1" ht="0.75" hidden="1" customHeight="1">
      <c r="B115" s="299"/>
      <c r="C115" s="249"/>
      <c r="D115" s="286"/>
      <c r="BA115" s="224"/>
    </row>
    <row r="116" spans="1:53" s="169" customFormat="1" ht="0.75" hidden="1" customHeight="1">
      <c r="B116" s="299"/>
      <c r="C116" s="249"/>
      <c r="D116" s="286"/>
      <c r="BA116" s="224"/>
    </row>
    <row r="117" spans="1:53" s="169" customFormat="1" hidden="1">
      <c r="B117" s="299"/>
      <c r="C117" s="249"/>
      <c r="D117" s="286"/>
      <c r="BA117" s="224"/>
    </row>
    <row r="118" spans="1:53" customFormat="1" ht="11.25" customHeight="1">
      <c r="B118" s="41"/>
      <c r="C118" s="11"/>
      <c r="D118" s="85"/>
      <c r="E118" s="11"/>
      <c r="F118" s="36"/>
      <c r="G118" s="36"/>
      <c r="H118" s="36"/>
      <c r="I118" s="36"/>
      <c r="J118" s="36"/>
      <c r="K118" s="36"/>
      <c r="L118" s="36"/>
      <c r="M118" s="36"/>
      <c r="N118" s="36"/>
      <c r="BA118" s="224"/>
    </row>
    <row r="119" spans="1:53" customFormat="1" ht="18" customHeight="1">
      <c r="B119" s="41"/>
      <c r="C119" s="11"/>
      <c r="D119" s="85"/>
      <c r="E119" s="38"/>
      <c r="F119" s="119" t="str">
        <f>"Баланс " &amp; TEMPLATE_SPHERE &amp; " (транспортировка)"</f>
        <v>Баланс теплоснабжения (транспортировка)</v>
      </c>
      <c r="G119" s="120"/>
      <c r="H119" s="120"/>
      <c r="I119" s="120"/>
      <c r="J119" s="120"/>
      <c r="K119" s="120"/>
      <c r="L119" s="70"/>
      <c r="M119" s="70"/>
      <c r="N119" s="70"/>
      <c r="O119" s="70"/>
      <c r="BA119" s="224"/>
    </row>
    <row r="120" spans="1:53" customFormat="1" ht="15" customHeight="1">
      <c r="B120" s="41"/>
      <c r="C120" s="11"/>
      <c r="D120" s="85"/>
      <c r="F120" s="439" t="s">
        <v>515</v>
      </c>
      <c r="G120" s="127"/>
      <c r="H120" s="127"/>
      <c r="I120" s="127"/>
      <c r="J120" s="127"/>
      <c r="K120" s="127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BA120" s="224"/>
    </row>
    <row r="121" spans="1:53" ht="24" customHeight="1">
      <c r="B121" s="43"/>
      <c r="C121" s="42"/>
      <c r="D121" s="84"/>
      <c r="E121" s="36"/>
      <c r="F121" s="925" t="s">
        <v>104</v>
      </c>
      <c r="G121" s="925" t="s">
        <v>150</v>
      </c>
      <c r="H121" s="925" t="s">
        <v>399</v>
      </c>
      <c r="I121" s="925" t="s">
        <v>400</v>
      </c>
      <c r="J121" s="925" t="s">
        <v>686</v>
      </c>
      <c r="K121" s="984" t="s">
        <v>1082</v>
      </c>
      <c r="L121" s="984"/>
      <c r="M121" s="984"/>
      <c r="N121" s="984"/>
      <c r="O121" s="925" t="s">
        <v>190</v>
      </c>
      <c r="P121" s="984" t="s">
        <v>309</v>
      </c>
      <c r="Q121" s="984"/>
      <c r="R121" s="984"/>
      <c r="S121" s="984"/>
      <c r="T121" s="984"/>
      <c r="U121" s="984"/>
      <c r="V121" s="984"/>
      <c r="W121" s="984"/>
      <c r="X121" s="984"/>
      <c r="Y121" s="984"/>
      <c r="Z121" s="984"/>
      <c r="AA121" s="984"/>
      <c r="AB121" s="984"/>
      <c r="AC121" s="984"/>
      <c r="BA121" s="46"/>
    </row>
    <row r="122" spans="1:53" ht="15" customHeight="1">
      <c r="B122" s="43"/>
      <c r="C122" s="42"/>
      <c r="D122" s="84"/>
      <c r="E122" s="36"/>
      <c r="F122" s="925"/>
      <c r="G122" s="925"/>
      <c r="H122" s="925"/>
      <c r="I122" s="925"/>
      <c r="J122" s="925"/>
      <c r="K122" s="925" t="s">
        <v>160</v>
      </c>
      <c r="L122" s="925" t="s">
        <v>1072</v>
      </c>
      <c r="M122" s="925" t="s">
        <v>1073</v>
      </c>
      <c r="N122" s="925" t="s">
        <v>1074</v>
      </c>
      <c r="O122" s="925"/>
      <c r="P122" s="925" t="s">
        <v>160</v>
      </c>
      <c r="Q122" s="925" t="s">
        <v>1081</v>
      </c>
      <c r="R122" s="984" t="s">
        <v>310</v>
      </c>
      <c r="S122" s="984"/>
      <c r="T122" s="984"/>
      <c r="U122" s="984" t="s">
        <v>161</v>
      </c>
      <c r="V122" s="984"/>
      <c r="W122" s="984"/>
      <c r="X122" s="984" t="s">
        <v>162</v>
      </c>
      <c r="Y122" s="984"/>
      <c r="Z122" s="984"/>
      <c r="AA122" s="984" t="s">
        <v>163</v>
      </c>
      <c r="AB122" s="984"/>
      <c r="AC122" s="984"/>
      <c r="BA122" s="46"/>
    </row>
    <row r="123" spans="1:53" ht="45" customHeight="1">
      <c r="B123" s="43"/>
      <c r="C123" s="42"/>
      <c r="D123" s="84"/>
      <c r="E123" s="36"/>
      <c r="F123" s="925"/>
      <c r="G123" s="925"/>
      <c r="H123" s="925"/>
      <c r="I123" s="925"/>
      <c r="J123" s="925"/>
      <c r="K123" s="925"/>
      <c r="L123" s="925"/>
      <c r="M123" s="925"/>
      <c r="N123" s="925"/>
      <c r="O123" s="925"/>
      <c r="P123" s="925"/>
      <c r="Q123" s="925"/>
      <c r="R123" s="419" t="s">
        <v>160</v>
      </c>
      <c r="S123" s="419" t="s">
        <v>1076</v>
      </c>
      <c r="T123" s="419" t="s">
        <v>1077</v>
      </c>
      <c r="U123" s="419" t="s">
        <v>160</v>
      </c>
      <c r="V123" s="419" t="s">
        <v>1076</v>
      </c>
      <c r="W123" s="419" t="s">
        <v>1077</v>
      </c>
      <c r="X123" s="419" t="s">
        <v>160</v>
      </c>
      <c r="Y123" s="419" t="s">
        <v>1076</v>
      </c>
      <c r="Z123" s="419" t="s">
        <v>1077</v>
      </c>
      <c r="AA123" s="419" t="s">
        <v>160</v>
      </c>
      <c r="AB123" s="419" t="s">
        <v>1076</v>
      </c>
      <c r="AC123" s="419" t="s">
        <v>1077</v>
      </c>
      <c r="BA123" s="46"/>
    </row>
    <row r="124" spans="1:53" s="249" customFormat="1" ht="12" customHeight="1">
      <c r="A124" s="299"/>
      <c r="B124" s="302"/>
      <c r="C124" s="300"/>
      <c r="D124" s="303"/>
      <c r="E124" s="310"/>
      <c r="F124" s="354"/>
      <c r="G124" s="354" t="s">
        <v>170</v>
      </c>
      <c r="H124" s="354" t="s">
        <v>637</v>
      </c>
      <c r="I124" s="354" t="s">
        <v>1068</v>
      </c>
      <c r="J124" s="354" t="s">
        <v>101</v>
      </c>
      <c r="K124" s="354">
        <v>1</v>
      </c>
      <c r="L124" s="354" t="s">
        <v>198</v>
      </c>
      <c r="M124" s="354" t="s">
        <v>199</v>
      </c>
      <c r="N124" s="354" t="s">
        <v>705</v>
      </c>
      <c r="O124" s="354">
        <v>2</v>
      </c>
      <c r="P124" s="354">
        <v>3</v>
      </c>
      <c r="Q124" s="354" t="s">
        <v>171</v>
      </c>
      <c r="R124" s="354" t="s">
        <v>172</v>
      </c>
      <c r="S124" s="354" t="s">
        <v>514</v>
      </c>
      <c r="T124" s="354" t="s">
        <v>995</v>
      </c>
      <c r="U124" s="354" t="s">
        <v>173</v>
      </c>
      <c r="V124" s="354" t="s">
        <v>1108</v>
      </c>
      <c r="W124" s="354" t="s">
        <v>1109</v>
      </c>
      <c r="X124" s="354" t="s">
        <v>174</v>
      </c>
      <c r="Y124" s="354" t="s">
        <v>1110</v>
      </c>
      <c r="Z124" s="354" t="s">
        <v>1111</v>
      </c>
      <c r="AA124" s="354" t="s">
        <v>175</v>
      </c>
      <c r="AB124" s="354" t="s">
        <v>405</v>
      </c>
      <c r="AC124" s="354" t="s">
        <v>406</v>
      </c>
      <c r="AD124" s="310"/>
      <c r="AE124" s="310"/>
      <c r="AF124" s="310"/>
      <c r="AG124" s="310"/>
      <c r="AH124" s="310"/>
      <c r="AI124" s="310"/>
      <c r="AJ124" s="310"/>
      <c r="AK124" s="310"/>
      <c r="AL124" s="310"/>
      <c r="AM124" s="310"/>
      <c r="AN124" s="310"/>
      <c r="AO124" s="310"/>
      <c r="AP124" s="310"/>
      <c r="AQ124" s="310"/>
      <c r="AR124" s="310"/>
      <c r="AS124" s="310"/>
      <c r="AT124" s="310"/>
      <c r="AU124" s="310"/>
      <c r="AV124" s="310"/>
      <c r="AW124" s="310"/>
      <c r="AX124" s="310"/>
      <c r="AY124" s="310"/>
      <c r="AZ124" s="310"/>
      <c r="BA124" s="371"/>
    </row>
    <row r="125" spans="1:53" s="249" customFormat="1" ht="5.25" customHeight="1">
      <c r="A125" s="299"/>
      <c r="B125" s="302"/>
      <c r="C125" s="300"/>
      <c r="D125" s="303"/>
      <c r="E125" s="310"/>
      <c r="F125" s="357"/>
      <c r="G125" s="357"/>
      <c r="H125" s="357"/>
      <c r="I125" s="357"/>
      <c r="J125" s="357"/>
      <c r="K125" s="357"/>
      <c r="L125" s="357"/>
      <c r="M125" s="357"/>
      <c r="N125" s="357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10"/>
      <c r="AE125" s="310"/>
      <c r="AF125" s="310"/>
      <c r="AG125" s="310"/>
      <c r="AH125" s="310"/>
      <c r="AI125" s="310"/>
      <c r="AJ125" s="310"/>
      <c r="AK125" s="310"/>
      <c r="AL125" s="310"/>
      <c r="AM125" s="310"/>
      <c r="AN125" s="310"/>
      <c r="AO125" s="310"/>
      <c r="AP125" s="310"/>
      <c r="AQ125" s="310"/>
      <c r="AR125" s="310"/>
      <c r="AS125" s="310"/>
      <c r="AT125" s="310"/>
      <c r="AU125" s="310"/>
      <c r="AV125" s="310"/>
      <c r="AW125" s="310"/>
      <c r="AX125" s="310"/>
      <c r="AY125" s="310"/>
      <c r="AZ125" s="310"/>
      <c r="BA125" s="371"/>
    </row>
    <row r="126" spans="1:53" s="114" customFormat="1" ht="24" customHeight="1">
      <c r="A126" s="8"/>
      <c r="B126" s="169"/>
      <c r="C126" s="249"/>
      <c r="D126" s="343" t="s">
        <v>112</v>
      </c>
      <c r="E126" s="372"/>
      <c r="F126" s="317" t="str">
        <f>IF(TEMPLATE_SPHERE_CODE="COLDVSNA","0.1.P","0.1")</f>
        <v>0.1</v>
      </c>
      <c r="G126" s="953" t="s">
        <v>2118</v>
      </c>
      <c r="H126" s="373"/>
      <c r="I126" s="241"/>
      <c r="J126" s="374" t="s">
        <v>240</v>
      </c>
      <c r="K126" s="246">
        <f t="shared" ref="K126:AC126" si="8">SUMIF($BA131:$BA132,$BA126,K131:K132)</f>
        <v>0</v>
      </c>
      <c r="L126" s="246">
        <f t="shared" si="8"/>
        <v>0</v>
      </c>
      <c r="M126" s="246">
        <f t="shared" si="8"/>
        <v>0</v>
      </c>
      <c r="N126" s="246">
        <f t="shared" si="8"/>
        <v>0</v>
      </c>
      <c r="O126" s="246">
        <f t="shared" si="8"/>
        <v>0</v>
      </c>
      <c r="P126" s="246">
        <f t="shared" si="8"/>
        <v>0</v>
      </c>
      <c r="Q126" s="246">
        <f t="shared" si="8"/>
        <v>0</v>
      </c>
      <c r="R126" s="246">
        <f t="shared" si="8"/>
        <v>0</v>
      </c>
      <c r="S126" s="246">
        <f t="shared" si="8"/>
        <v>0</v>
      </c>
      <c r="T126" s="246">
        <f t="shared" si="8"/>
        <v>0</v>
      </c>
      <c r="U126" s="246">
        <f t="shared" si="8"/>
        <v>0</v>
      </c>
      <c r="V126" s="246">
        <f t="shared" si="8"/>
        <v>0</v>
      </c>
      <c r="W126" s="246">
        <f t="shared" si="8"/>
        <v>0</v>
      </c>
      <c r="X126" s="246">
        <f t="shared" si="8"/>
        <v>0</v>
      </c>
      <c r="Y126" s="246">
        <f t="shared" si="8"/>
        <v>0</v>
      </c>
      <c r="Z126" s="246">
        <f t="shared" si="8"/>
        <v>0</v>
      </c>
      <c r="AA126" s="246">
        <f t="shared" si="8"/>
        <v>0</v>
      </c>
      <c r="AB126" s="246">
        <f t="shared" si="8"/>
        <v>0</v>
      </c>
      <c r="AC126" s="246">
        <f t="shared" si="8"/>
        <v>0</v>
      </c>
      <c r="AD126" s="169"/>
      <c r="AE126" s="169"/>
      <c r="AF126" s="169"/>
      <c r="AG126" s="169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69"/>
      <c r="AS126" s="169"/>
      <c r="AT126" s="169"/>
      <c r="AU126" s="169"/>
      <c r="AV126" s="169"/>
      <c r="AW126" s="169"/>
      <c r="AX126" s="169"/>
      <c r="AY126" s="169"/>
      <c r="AZ126" s="169"/>
      <c r="BA126" s="375" t="str">
        <f>IF(J126="питьевая вода","TOTAL_ORG_YEAR_PW",IF(J126="техническая вода","TOTAL_ORG_YEAR_TW",""))</f>
        <v>TOTAL_ORG_YEAR_PW</v>
      </c>
    </row>
    <row r="127" spans="1:53" s="114" customFormat="1" ht="24" customHeight="1">
      <c r="A127" s="8"/>
      <c r="B127" s="169"/>
      <c r="C127" s="249"/>
      <c r="D127" s="303"/>
      <c r="E127" s="310"/>
      <c r="F127" s="317" t="str">
        <f>IF(TEMPLATE_SPHERE_CODE="COLDVSNA","0.1.T","")</f>
        <v/>
      </c>
      <c r="G127" s="953"/>
      <c r="H127" s="373"/>
      <c r="I127" s="241"/>
      <c r="J127" s="374" t="s">
        <v>241</v>
      </c>
      <c r="K127" s="246">
        <f t="shared" ref="K127:AC127" si="9">SUMIF($BA131:$BA132,$BA127,K131:K132)</f>
        <v>0</v>
      </c>
      <c r="L127" s="246">
        <f t="shared" si="9"/>
        <v>0</v>
      </c>
      <c r="M127" s="246">
        <f t="shared" si="9"/>
        <v>0</v>
      </c>
      <c r="N127" s="246">
        <f t="shared" si="9"/>
        <v>0</v>
      </c>
      <c r="O127" s="246">
        <f t="shared" si="9"/>
        <v>0</v>
      </c>
      <c r="P127" s="246">
        <f t="shared" si="9"/>
        <v>0</v>
      </c>
      <c r="Q127" s="246">
        <f t="shared" si="9"/>
        <v>0</v>
      </c>
      <c r="R127" s="246">
        <f t="shared" si="9"/>
        <v>0</v>
      </c>
      <c r="S127" s="246">
        <f t="shared" si="9"/>
        <v>0</v>
      </c>
      <c r="T127" s="246">
        <f t="shared" si="9"/>
        <v>0</v>
      </c>
      <c r="U127" s="246">
        <f t="shared" si="9"/>
        <v>0</v>
      </c>
      <c r="V127" s="246">
        <f t="shared" si="9"/>
        <v>0</v>
      </c>
      <c r="W127" s="246">
        <f t="shared" si="9"/>
        <v>0</v>
      </c>
      <c r="X127" s="246">
        <f t="shared" si="9"/>
        <v>0</v>
      </c>
      <c r="Y127" s="246">
        <f t="shared" si="9"/>
        <v>0</v>
      </c>
      <c r="Z127" s="246">
        <f t="shared" si="9"/>
        <v>0</v>
      </c>
      <c r="AA127" s="246">
        <f t="shared" si="9"/>
        <v>0</v>
      </c>
      <c r="AB127" s="246">
        <f t="shared" si="9"/>
        <v>0</v>
      </c>
      <c r="AC127" s="246">
        <f t="shared" si="9"/>
        <v>0</v>
      </c>
      <c r="AD127" s="169"/>
      <c r="AE127" s="169"/>
      <c r="AF127" s="169"/>
      <c r="AG127" s="169"/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69"/>
      <c r="AS127" s="169"/>
      <c r="AT127" s="169"/>
      <c r="AU127" s="169"/>
      <c r="AV127" s="169"/>
      <c r="AW127" s="169"/>
      <c r="AX127" s="169"/>
      <c r="AY127" s="169"/>
      <c r="AZ127" s="169"/>
      <c r="BA127" s="375" t="str">
        <f>IF(J127="питьевая вода","TOTAL_ORG_YEAR_PW",IF(J127="техническая вода","TOTAL_ORG_YEAR_TW",""))</f>
        <v>TOTAL_ORG_YEAR_TW</v>
      </c>
    </row>
    <row r="128" spans="1:53" s="114" customFormat="1" ht="0.75" customHeight="1">
      <c r="A128" s="8"/>
      <c r="B128" s="169"/>
      <c r="C128" s="249"/>
      <c r="D128" s="286"/>
      <c r="E128" s="376"/>
      <c r="F128" s="377"/>
      <c r="G128" s="1012"/>
      <c r="H128" s="359"/>
      <c r="I128" s="336"/>
      <c r="J128" s="378"/>
      <c r="K128" s="379"/>
      <c r="L128" s="379"/>
      <c r="M128" s="379"/>
      <c r="N128" s="379"/>
      <c r="O128" s="379"/>
      <c r="P128" s="379"/>
      <c r="Q128" s="379"/>
      <c r="R128" s="379"/>
      <c r="S128" s="379"/>
      <c r="T128" s="379"/>
      <c r="U128" s="379"/>
      <c r="V128" s="379"/>
      <c r="W128" s="379"/>
      <c r="X128" s="379"/>
      <c r="Y128" s="379"/>
      <c r="Z128" s="379"/>
      <c r="AA128" s="380"/>
      <c r="AB128" s="379"/>
      <c r="AC128" s="380"/>
      <c r="AD128" s="169"/>
      <c r="AE128" s="169"/>
      <c r="AF128" s="169"/>
      <c r="AG128" s="169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69"/>
      <c r="AS128" s="169"/>
      <c r="AT128" s="169"/>
      <c r="AU128" s="169"/>
      <c r="AV128" s="169"/>
      <c r="AW128" s="169"/>
      <c r="AX128" s="169"/>
      <c r="AY128" s="169"/>
      <c r="AZ128" s="169"/>
      <c r="BA128" s="371" t="s">
        <v>17</v>
      </c>
    </row>
    <row r="129" spans="1:53" s="114" customFormat="1" ht="0.75" customHeight="1">
      <c r="A129" s="8"/>
      <c r="B129" s="169"/>
      <c r="C129" s="249"/>
      <c r="D129" s="286"/>
      <c r="E129" s="376"/>
      <c r="F129" s="321"/>
      <c r="G129" s="951"/>
      <c r="H129" s="361"/>
      <c r="I129" s="270"/>
      <c r="J129" s="378"/>
      <c r="K129" s="291"/>
      <c r="L129" s="291"/>
      <c r="M129" s="291"/>
      <c r="N129" s="291"/>
      <c r="O129" s="291"/>
      <c r="P129" s="291"/>
      <c r="Q129" s="291"/>
      <c r="R129" s="291"/>
      <c r="S129" s="291"/>
      <c r="T129" s="291"/>
      <c r="U129" s="291"/>
      <c r="V129" s="291"/>
      <c r="W129" s="291"/>
      <c r="X129" s="291"/>
      <c r="Y129" s="291"/>
      <c r="Z129" s="291"/>
      <c r="AA129" s="362"/>
      <c r="AB129" s="291"/>
      <c r="AC129" s="362"/>
      <c r="AD129" s="169"/>
      <c r="AE129" s="169"/>
      <c r="AF129" s="169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69"/>
      <c r="AS129" s="169"/>
      <c r="AT129" s="169"/>
      <c r="AU129" s="169"/>
      <c r="AV129" s="169"/>
      <c r="AW129" s="169"/>
      <c r="AX129" s="169"/>
      <c r="AY129" s="169"/>
      <c r="AZ129" s="169"/>
      <c r="BA129" s="371" t="s">
        <v>18</v>
      </c>
    </row>
    <row r="130" spans="1:53" s="114" customFormat="1" ht="0.75" customHeight="1">
      <c r="A130" s="8"/>
      <c r="B130" s="169"/>
      <c r="C130" s="249"/>
      <c r="D130" s="286"/>
      <c r="E130" s="310"/>
      <c r="F130" s="322"/>
      <c r="G130" s="314"/>
      <c r="H130" s="340"/>
      <c r="I130" s="340"/>
      <c r="J130" s="340"/>
      <c r="K130" s="340"/>
      <c r="L130" s="340"/>
      <c r="M130" s="340"/>
      <c r="N130" s="340"/>
      <c r="O130" s="340"/>
      <c r="P130" s="340"/>
      <c r="Q130" s="340"/>
      <c r="R130" s="340"/>
      <c r="S130" s="340"/>
      <c r="T130" s="340"/>
      <c r="U130" s="340"/>
      <c r="V130" s="340"/>
      <c r="W130" s="340"/>
      <c r="X130" s="340"/>
      <c r="Y130" s="340"/>
      <c r="Z130" s="340"/>
      <c r="AA130" s="340"/>
      <c r="AB130" s="340"/>
      <c r="AC130" s="340"/>
      <c r="AD130" s="169"/>
      <c r="AE130" s="169"/>
      <c r="AF130" s="169"/>
      <c r="AG130" s="169"/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69"/>
      <c r="AS130" s="169"/>
      <c r="AT130" s="169"/>
      <c r="AU130" s="169"/>
      <c r="AV130" s="169"/>
      <c r="AW130" s="169"/>
      <c r="AX130" s="169"/>
      <c r="AY130" s="169"/>
      <c r="AZ130" s="169"/>
      <c r="BA130" s="371"/>
    </row>
    <row r="131" spans="1:53" s="249" customFormat="1" ht="0.75" customHeight="1">
      <c r="A131" s="299"/>
      <c r="B131" s="323">
        <v>0</v>
      </c>
      <c r="D131" s="286"/>
      <c r="E131" s="310"/>
      <c r="F131" s="363"/>
      <c r="G131" s="363"/>
      <c r="H131" s="169"/>
      <c r="I131" s="169"/>
      <c r="J131" s="169"/>
      <c r="K131" s="363"/>
      <c r="L131" s="363"/>
      <c r="M131" s="363"/>
      <c r="N131" s="363"/>
      <c r="O131" s="363"/>
      <c r="P131" s="363"/>
      <c r="Q131" s="363"/>
      <c r="R131" s="363"/>
      <c r="S131" s="363"/>
      <c r="T131" s="363"/>
      <c r="U131" s="363"/>
      <c r="V131" s="363"/>
      <c r="W131" s="363"/>
      <c r="X131" s="363"/>
      <c r="Y131" s="363"/>
      <c r="Z131" s="363"/>
      <c r="AA131" s="363"/>
      <c r="AB131" s="363"/>
      <c r="AC131" s="363"/>
      <c r="AD131" s="310"/>
      <c r="AE131" s="310"/>
      <c r="AF131" s="310"/>
      <c r="AG131" s="310"/>
      <c r="AH131" s="310"/>
      <c r="AI131" s="310"/>
      <c r="AJ131" s="310"/>
      <c r="AK131" s="310"/>
      <c r="AL131" s="310"/>
      <c r="AM131" s="310"/>
      <c r="AN131" s="310"/>
      <c r="AO131" s="310"/>
      <c r="AP131" s="310"/>
      <c r="AQ131" s="310"/>
      <c r="AR131" s="310"/>
      <c r="AS131" s="310"/>
      <c r="AT131" s="310"/>
      <c r="AU131" s="310"/>
      <c r="AV131" s="310"/>
      <c r="AW131" s="310"/>
      <c r="AX131" s="310"/>
      <c r="AY131" s="310"/>
      <c r="AZ131" s="310"/>
      <c r="BA131" s="371"/>
    </row>
    <row r="132" spans="1:53" s="114" customFormat="1" ht="0.75" customHeight="1">
      <c r="A132" s="8"/>
      <c r="B132" s="169"/>
      <c r="C132" s="249"/>
      <c r="D132" s="286"/>
      <c r="E132" s="310"/>
      <c r="F132" s="198"/>
      <c r="G132" s="329" t="s">
        <v>135</v>
      </c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69"/>
      <c r="AE132" s="169"/>
      <c r="AF132" s="169"/>
      <c r="AG132" s="169"/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69"/>
      <c r="AS132" s="169"/>
      <c r="AT132" s="169"/>
      <c r="AU132" s="169"/>
      <c r="AV132" s="169"/>
      <c r="AW132" s="169"/>
      <c r="AX132" s="169"/>
      <c r="AY132" s="169"/>
      <c r="AZ132" s="169"/>
      <c r="BA132" s="371"/>
    </row>
    <row r="133" spans="1:53" s="114" customFormat="1" ht="12" customHeight="1">
      <c r="A133" s="8"/>
      <c r="B133" s="169"/>
      <c r="C133" s="249"/>
      <c r="D133" s="286"/>
      <c r="E133" s="169"/>
      <c r="F133" s="8"/>
      <c r="G133" s="8"/>
      <c r="H133" s="169"/>
      <c r="I133" s="169"/>
      <c r="J133" s="169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169"/>
      <c r="AF133" s="169"/>
      <c r="AG133" s="169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69"/>
      <c r="AS133" s="169"/>
      <c r="AT133" s="169"/>
      <c r="AU133" s="169"/>
      <c r="AV133" s="169"/>
      <c r="AW133" s="169"/>
      <c r="AX133" s="169"/>
      <c r="AY133" s="169"/>
      <c r="AZ133" s="169"/>
      <c r="BA133" s="371"/>
    </row>
    <row r="134" spans="1:53" ht="12" customHeight="1">
      <c r="D134" s="83"/>
      <c r="E134"/>
      <c r="F134" s="24"/>
      <c r="G134" s="24"/>
      <c r="H134"/>
      <c r="I134"/>
      <c r="J13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</row>
    <row r="135" spans="1:53">
      <c r="D135" s="83"/>
    </row>
    <row r="136" spans="1:53" ht="18" customHeight="1">
      <c r="D136" s="83"/>
    </row>
    <row r="137" spans="1:53">
      <c r="D137" s="83"/>
    </row>
    <row r="138" spans="1:53">
      <c r="D138" s="83"/>
    </row>
    <row r="139" spans="1:53">
      <c r="D139" s="83"/>
    </row>
    <row r="140" spans="1:53">
      <c r="D140" s="83"/>
    </row>
    <row r="141" spans="1:53">
      <c r="D141" s="83"/>
    </row>
    <row r="142" spans="1:53">
      <c r="D142" s="83"/>
    </row>
    <row r="143" spans="1:53">
      <c r="D143" s="83"/>
    </row>
  </sheetData>
  <sheetProtection password="D0EA" sheet="1" objects="1" scenarios="1" formatColumns="0" formatRows="0"/>
  <mergeCells count="30">
    <mergeCell ref="G1:G2"/>
    <mergeCell ref="G128:G129"/>
    <mergeCell ref="G126:G127"/>
    <mergeCell ref="G29:G30"/>
    <mergeCell ref="B1:B28"/>
    <mergeCell ref="F1:F2"/>
    <mergeCell ref="B29:B56"/>
    <mergeCell ref="C44:C56"/>
    <mergeCell ref="C3:C15"/>
    <mergeCell ref="C16:C28"/>
    <mergeCell ref="C31:C43"/>
    <mergeCell ref="F29:F30"/>
    <mergeCell ref="F121:F123"/>
    <mergeCell ref="G121:G123"/>
    <mergeCell ref="H121:H123"/>
    <mergeCell ref="I121:I123"/>
    <mergeCell ref="J121:J123"/>
    <mergeCell ref="L122:L123"/>
    <mergeCell ref="P121:AC121"/>
    <mergeCell ref="K122:K123"/>
    <mergeCell ref="K121:N121"/>
    <mergeCell ref="M122:M123"/>
    <mergeCell ref="N122:N123"/>
    <mergeCell ref="O121:O123"/>
    <mergeCell ref="P122:P123"/>
    <mergeCell ref="Q122:Q123"/>
    <mergeCell ref="R122:T122"/>
    <mergeCell ref="U122:W122"/>
    <mergeCell ref="X122:Z122"/>
    <mergeCell ref="AA122:AC122"/>
  </mergeCells>
  <phoneticPr fontId="0" type="noConversion"/>
  <dataValidations disablePrompts="1" count="1">
    <dataValidation allowBlank="1" showInputMessage="1" showErrorMessage="1" sqref="R122:W122"/>
  </dataValidations>
  <pageMargins left="0.37" right="0.35" top="1" bottom="1" header="0.5" footer="0.5"/>
  <pageSetup paperSize="9" scale="37" orientation="landscape" horizontalDpi="4294967292" verticalDpi="4294967292" r:id="rId1"/>
  <headerFooter alignWithMargins="0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COLDVSNA_CALC">
    <tabColor rgb="FF00B050"/>
    <outlinePr summaryBelow="0"/>
  </sheetPr>
  <dimension ref="A1:AV363"/>
  <sheetViews>
    <sheetView showGridLines="0" topLeftCell="AK9" zoomScale="90" zoomScaleNormal="90" workbookViewId="0">
      <pane xSplit="9" ySplit="14" topLeftCell="AT23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/>
    </sheetView>
  </sheetViews>
  <sheetFormatPr defaultColWidth="8.75" defaultRowHeight="11.4"/>
  <cols>
    <col min="1" max="36" width="2.75" style="45" hidden="1" customWidth="1"/>
    <col min="37" max="37" width="2.75" style="45" customWidth="1"/>
    <col min="38" max="38" width="2.75" style="2" hidden="1" customWidth="1"/>
    <col min="39" max="39" width="13.75" style="26" customWidth="1"/>
    <col min="40" max="40" width="48.75" style="2" customWidth="1"/>
    <col min="41" max="44" width="12.75" style="2" customWidth="1"/>
    <col min="45" max="46" width="0.125" style="2" hidden="1" customWidth="1"/>
    <col min="47" max="47" width="2.75" style="2" customWidth="1"/>
    <col min="48" max="48" width="2.625" style="2" customWidth="1"/>
    <col min="49" max="16384" width="8.75" style="2"/>
  </cols>
  <sheetData>
    <row r="1" spans="1:47" ht="12" hidden="1" customHeight="1">
      <c r="A1" s="2"/>
      <c r="B1" s="2"/>
      <c r="C1" s="2"/>
      <c r="D1" s="2"/>
      <c r="E1" s="2"/>
      <c r="F1" s="2"/>
      <c r="G1" s="2"/>
      <c r="H1" s="2"/>
      <c r="I1" s="2"/>
      <c r="J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0"/>
    </row>
    <row r="2" spans="1:47" ht="12" hidden="1" customHeight="1">
      <c r="A2" s="2"/>
      <c r="B2" s="2"/>
      <c r="C2" s="2"/>
      <c r="D2" s="2"/>
      <c r="E2" s="2"/>
      <c r="F2" s="2"/>
      <c r="G2" s="2"/>
      <c r="H2" s="2"/>
      <c r="I2" s="2"/>
      <c r="J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0"/>
    </row>
    <row r="3" spans="1:47" ht="12" hidden="1" customHeight="1">
      <c r="A3" s="2"/>
      <c r="B3" s="2"/>
      <c r="C3" s="2"/>
      <c r="D3" s="2"/>
      <c r="E3" s="2"/>
      <c r="F3" s="2"/>
      <c r="G3" s="2"/>
      <c r="H3" s="2"/>
      <c r="I3" s="2"/>
      <c r="J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0"/>
    </row>
    <row r="4" spans="1:47" ht="12" hidden="1" customHeight="1">
      <c r="A4" s="2"/>
      <c r="B4" s="2"/>
      <c r="C4" s="2"/>
      <c r="D4" s="2"/>
      <c r="E4" s="2"/>
      <c r="F4" s="2"/>
      <c r="G4" s="2"/>
      <c r="H4" s="2"/>
      <c r="I4" s="2"/>
      <c r="J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0"/>
    </row>
    <row r="5" spans="1:47" ht="12" hidden="1" customHeight="1">
      <c r="A5" s="2"/>
      <c r="B5" s="2"/>
      <c r="C5" s="2"/>
      <c r="D5" s="2"/>
      <c r="E5" s="2"/>
      <c r="F5" s="2"/>
      <c r="G5" s="2"/>
      <c r="H5" s="2"/>
      <c r="I5" s="2"/>
      <c r="J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0"/>
    </row>
    <row r="6" spans="1:47" ht="12" hidden="1" customHeight="1">
      <c r="A6" s="2"/>
      <c r="B6" s="2"/>
      <c r="C6" s="2"/>
      <c r="D6" s="2"/>
      <c r="E6" s="2"/>
      <c r="F6" s="2"/>
      <c r="G6" s="2"/>
      <c r="H6" s="2"/>
      <c r="I6" s="2"/>
      <c r="J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0"/>
      <c r="AP6" s="157">
        <v>12</v>
      </c>
      <c r="AQ6" s="157">
        <v>6</v>
      </c>
      <c r="AR6" s="157">
        <v>6</v>
      </c>
    </row>
    <row r="7" spans="1:47" ht="12" hidden="1" customHeight="1">
      <c r="A7" s="2"/>
      <c r="B7" s="2"/>
      <c r="C7" s="2"/>
      <c r="D7" s="2"/>
      <c r="E7" s="2"/>
      <c r="F7" s="2"/>
      <c r="G7" s="2"/>
      <c r="H7" s="2"/>
      <c r="I7" s="2"/>
      <c r="J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0"/>
      <c r="AP7" s="157"/>
      <c r="AQ7" s="157"/>
      <c r="AR7" s="157"/>
    </row>
    <row r="8" spans="1:47" s="114" customFormat="1" ht="12" hidden="1" customHeight="1">
      <c r="J8" s="169"/>
      <c r="AL8" s="170"/>
      <c r="AM8" s="171"/>
      <c r="AP8" s="172"/>
      <c r="AQ8" s="172"/>
      <c r="AR8" s="172"/>
    </row>
    <row r="9" spans="1:47" s="144" customFormat="1" ht="12" customHeight="1">
      <c r="A9" s="148"/>
      <c r="J9" s="155"/>
      <c r="AL9" s="148"/>
      <c r="AM9" s="156"/>
      <c r="AP9" s="143" t="s">
        <v>275</v>
      </c>
      <c r="AQ9" s="143" t="s">
        <v>194</v>
      </c>
      <c r="AR9" s="143" t="s">
        <v>609</v>
      </c>
    </row>
    <row r="10" spans="1:47" s="144" customFormat="1" ht="12" customHeight="1">
      <c r="J10" s="155"/>
      <c r="AL10" s="148"/>
      <c r="AM10" s="156"/>
      <c r="AP10" s="143"/>
      <c r="AQ10" s="143"/>
      <c r="AR10" s="143"/>
      <c r="AS10" s="144" t="s">
        <v>276</v>
      </c>
      <c r="AT10" s="144" t="s">
        <v>277</v>
      </c>
    </row>
    <row r="11" spans="1:47" s="144" customFormat="1" ht="12" customHeight="1">
      <c r="J11" s="155"/>
      <c r="AL11" s="148"/>
      <c r="AM11" s="156"/>
      <c r="AP11" s="143"/>
      <c r="AQ11" s="143"/>
      <c r="AR11" s="143"/>
    </row>
    <row r="12" spans="1:47" s="144" customFormat="1" ht="12" customHeight="1">
      <c r="J12" s="155"/>
      <c r="AL12" s="148"/>
      <c r="AM12" s="157"/>
      <c r="AN12" s="71" t="s">
        <v>2117</v>
      </c>
      <c r="AO12" s="71"/>
      <c r="AP12" s="143"/>
      <c r="AQ12" s="143"/>
      <c r="AR12" s="143"/>
    </row>
    <row r="13" spans="1:47" ht="27" customHeight="1">
      <c r="A13" s="2" t="s">
        <v>589</v>
      </c>
      <c r="B13" s="2"/>
      <c r="C13" s="2"/>
      <c r="D13" s="2"/>
      <c r="E13" s="2"/>
      <c r="F13" s="2"/>
      <c r="G13" s="2"/>
      <c r="H13" s="2"/>
      <c r="I13" s="2"/>
      <c r="J1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7"/>
      <c r="AL13" s="27"/>
      <c r="AM13" s="998" t="s">
        <v>2135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168"/>
    </row>
    <row r="14" spans="1:47" ht="27" hidden="1" customHeight="1">
      <c r="A14" s="2"/>
      <c r="B14" s="2"/>
      <c r="C14" s="2"/>
      <c r="D14" s="2"/>
      <c r="E14" s="2"/>
      <c r="F14" s="2"/>
      <c r="G14" s="2"/>
      <c r="H14" s="2"/>
      <c r="I14" s="2"/>
      <c r="J1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/>
      <c r="AL14" s="27"/>
      <c r="AM14" s="998"/>
      <c r="AN14" s="999"/>
      <c r="AO14" s="164"/>
      <c r="AP14" s="1000"/>
      <c r="AQ14" s="984"/>
      <c r="AR14" s="984"/>
      <c r="AS14" s="168"/>
      <c r="AT14" s="168"/>
      <c r="AU14" s="9"/>
    </row>
    <row r="15" spans="1:47" ht="12" hidden="1" customHeight="1">
      <c r="A15" s="2"/>
      <c r="B15" s="2"/>
      <c r="C15" s="2"/>
      <c r="D15" s="2"/>
      <c r="E15" s="2"/>
      <c r="F15" s="2"/>
      <c r="G15" s="2"/>
      <c r="H15" s="2"/>
      <c r="I15" s="2"/>
      <c r="J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0"/>
      <c r="AP15" s="167"/>
      <c r="AQ15" s="167"/>
      <c r="AR15" s="167"/>
    </row>
    <row r="16" spans="1:47" s="67" customFormat="1" ht="12" hidden="1" customHeight="1">
      <c r="J16" s="66"/>
      <c r="AL16" s="76"/>
      <c r="AS16" s="65"/>
      <c r="AT16" s="65"/>
      <c r="AU16" s="65"/>
    </row>
    <row r="17" spans="1:47" s="148" customFormat="1" ht="12" hidden="1" customHeight="1"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154"/>
      <c r="AU17" s="151"/>
    </row>
    <row r="18" spans="1:47" ht="12" hidden="1" customHeight="1">
      <c r="A18" s="2"/>
      <c r="B18" s="2"/>
      <c r="C18" s="2"/>
      <c r="D18" s="2"/>
      <c r="E18" s="2"/>
      <c r="F18" s="2"/>
      <c r="G18" s="2"/>
      <c r="H18" s="2"/>
      <c r="I18" s="2"/>
      <c r="J1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146"/>
      <c r="AN18" s="68"/>
      <c r="AO18" s="68"/>
      <c r="AT18" s="2" t="s">
        <v>135</v>
      </c>
    </row>
    <row r="19" spans="1:47" ht="12" customHeight="1">
      <c r="A19" s="2"/>
      <c r="B19" s="2"/>
      <c r="C19" s="2"/>
      <c r="D19" s="2"/>
      <c r="E19" s="2"/>
      <c r="F19" s="2"/>
      <c r="G19" s="2"/>
      <c r="H19" s="2"/>
      <c r="I19" s="2"/>
      <c r="J1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7"/>
      <c r="AL19" s="20"/>
      <c r="AM19" s="925" t="s">
        <v>104</v>
      </c>
      <c r="AN19" s="912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161"/>
      <c r="AU19" s="61"/>
    </row>
    <row r="20" spans="1:47" ht="24" customHeight="1">
      <c r="A20" s="2"/>
      <c r="B20" s="2"/>
      <c r="C20" s="2"/>
      <c r="D20" s="2"/>
      <c r="E20" s="2"/>
      <c r="F20" s="2"/>
      <c r="G20" s="2"/>
      <c r="H20" s="2"/>
      <c r="I20" s="2"/>
      <c r="J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7"/>
      <c r="AL20" s="20"/>
      <c r="AM20" s="925"/>
      <c r="AN20" s="912"/>
      <c r="AO20" s="912"/>
      <c r="AP20" s="1005"/>
      <c r="AQ20" s="1006"/>
      <c r="AR20" s="1006"/>
      <c r="AS20" s="174"/>
      <c r="AT20" s="161"/>
      <c r="AU20" s="61"/>
    </row>
    <row r="21" spans="1:47" ht="11.25" customHeight="1">
      <c r="A21" s="2"/>
      <c r="B21" s="2"/>
      <c r="C21" s="2"/>
      <c r="D21" s="2"/>
      <c r="E21" s="2"/>
      <c r="F21" s="2"/>
      <c r="G21" s="2"/>
      <c r="H21" s="2"/>
      <c r="I21" s="2"/>
      <c r="J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7"/>
      <c r="AL21" s="20"/>
      <c r="AM21" s="218"/>
      <c r="AN21" s="219" t="s">
        <v>197</v>
      </c>
      <c r="AO21" s="219"/>
      <c r="AP21" s="181"/>
      <c r="AQ21" s="182"/>
      <c r="AR21" s="182"/>
      <c r="AS21" s="194"/>
      <c r="AT21" s="161"/>
      <c r="AU21" s="61"/>
    </row>
    <row r="22" spans="1:47" ht="24" customHeight="1">
      <c r="A22" s="2"/>
      <c r="B22" s="2"/>
      <c r="C22" s="2"/>
      <c r="D22" s="2"/>
      <c r="E22" s="2"/>
      <c r="F22" s="2"/>
      <c r="G22" s="2"/>
      <c r="H22" s="2"/>
      <c r="I22" s="2"/>
      <c r="J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7"/>
      <c r="AL22" s="20"/>
      <c r="AM22" s="220"/>
      <c r="AN22" s="192" t="str">
        <f>IF(CALC_IDENTIFIER="","",CALC_IDENTIFIER)</f>
        <v/>
      </c>
      <c r="AO22" s="192"/>
      <c r="AP22" s="181"/>
      <c r="AQ22" s="182"/>
      <c r="AR22" s="182"/>
      <c r="AS22" s="194"/>
      <c r="AT22" s="161"/>
      <c r="AU22" s="61"/>
    </row>
    <row r="23" spans="1:47">
      <c r="A23" s="2"/>
      <c r="B23" s="2"/>
      <c r="C23" s="2"/>
      <c r="D23" s="2"/>
      <c r="E23" s="2"/>
      <c r="F23" s="2"/>
      <c r="G23" s="2"/>
      <c r="H23" s="2"/>
      <c r="I23" s="2"/>
      <c r="J2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0"/>
      <c r="AM23" s="490" t="s">
        <v>105</v>
      </c>
      <c r="AN23" s="490" t="s">
        <v>839</v>
      </c>
      <c r="AO23" s="420" t="s">
        <v>195</v>
      </c>
      <c r="AP23" s="247">
        <f t="shared" ref="AP23:AR29" si="0">SUMIF($AS$9:$AT$9,AP$9,$AS23:$AT23)</f>
        <v>0</v>
      </c>
      <c r="AQ23" s="247">
        <f t="shared" si="0"/>
        <v>0</v>
      </c>
      <c r="AR23" s="247">
        <f t="shared" si="0"/>
        <v>0</v>
      </c>
      <c r="AS23" s="194"/>
      <c r="AT23" s="194"/>
      <c r="AU23" s="326"/>
    </row>
    <row r="24" spans="1:47" ht="20.399999999999999">
      <c r="A24" s="2"/>
      <c r="B24" s="2"/>
      <c r="C24" s="2"/>
      <c r="D24" s="2"/>
      <c r="E24" s="2"/>
      <c r="F24" s="2"/>
      <c r="G24" s="2"/>
      <c r="H24" s="2"/>
      <c r="I24" s="2"/>
      <c r="J2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0"/>
      <c r="AM24" s="509" t="s">
        <v>198</v>
      </c>
      <c r="AN24" s="525" t="s">
        <v>840</v>
      </c>
      <c r="AO24" s="420" t="s">
        <v>195</v>
      </c>
      <c r="AP24" s="247">
        <f t="shared" si="0"/>
        <v>0</v>
      </c>
      <c r="AQ24" s="247">
        <f t="shared" si="0"/>
        <v>0</v>
      </c>
      <c r="AR24" s="247">
        <f t="shared" si="0"/>
        <v>0</v>
      </c>
      <c r="AS24" s="194"/>
      <c r="AT24" s="194"/>
      <c r="AU24" s="326"/>
    </row>
    <row r="25" spans="1:47">
      <c r="A25" s="2"/>
      <c r="B25" s="2"/>
      <c r="C25" s="2"/>
      <c r="D25" s="2"/>
      <c r="E25" s="2"/>
      <c r="F25" s="2"/>
      <c r="G25" s="2"/>
      <c r="H25" s="2"/>
      <c r="I25" s="2"/>
      <c r="J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0"/>
      <c r="AM25" s="509" t="s">
        <v>610</v>
      </c>
      <c r="AN25" s="526" t="s">
        <v>841</v>
      </c>
      <c r="AO25" s="420" t="s">
        <v>195</v>
      </c>
      <c r="AP25" s="247">
        <f t="shared" si="0"/>
        <v>0</v>
      </c>
      <c r="AQ25" s="247">
        <f t="shared" si="0"/>
        <v>0</v>
      </c>
      <c r="AR25" s="247">
        <f t="shared" si="0"/>
        <v>0</v>
      </c>
      <c r="AS25" s="194"/>
      <c r="AT25" s="194"/>
      <c r="AU25" s="326"/>
    </row>
    <row r="26" spans="1:47">
      <c r="A26" s="2"/>
      <c r="B26" s="2"/>
      <c r="C26" s="2"/>
      <c r="D26" s="2"/>
      <c r="E26" s="2"/>
      <c r="F26" s="2"/>
      <c r="G26" s="2"/>
      <c r="H26" s="2"/>
      <c r="I26" s="2"/>
      <c r="J2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0"/>
      <c r="AM26" s="509" t="s">
        <v>611</v>
      </c>
      <c r="AN26" s="526" t="s">
        <v>843</v>
      </c>
      <c r="AO26" s="420" t="s">
        <v>195</v>
      </c>
      <c r="AP26" s="247">
        <f t="shared" si="0"/>
        <v>0</v>
      </c>
      <c r="AQ26" s="247">
        <f t="shared" si="0"/>
        <v>0</v>
      </c>
      <c r="AR26" s="247">
        <f t="shared" si="0"/>
        <v>0</v>
      </c>
      <c r="AS26" s="194"/>
      <c r="AT26" s="194"/>
      <c r="AU26" s="326"/>
    </row>
    <row r="27" spans="1:47">
      <c r="A27" s="2"/>
      <c r="B27" s="2"/>
      <c r="C27" s="2"/>
      <c r="D27" s="2"/>
      <c r="E27" s="2"/>
      <c r="F27" s="2"/>
      <c r="G27" s="2"/>
      <c r="H27" s="2"/>
      <c r="I27" s="2"/>
      <c r="J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0"/>
      <c r="AM27" s="509" t="s">
        <v>633</v>
      </c>
      <c r="AN27" s="526" t="s">
        <v>844</v>
      </c>
      <c r="AO27" s="420" t="s">
        <v>195</v>
      </c>
      <c r="AP27" s="247">
        <f t="shared" si="0"/>
        <v>0</v>
      </c>
      <c r="AQ27" s="247">
        <f t="shared" si="0"/>
        <v>0</v>
      </c>
      <c r="AR27" s="247">
        <f t="shared" si="0"/>
        <v>0</v>
      </c>
      <c r="AS27" s="194"/>
      <c r="AT27" s="194"/>
      <c r="AU27" s="326"/>
    </row>
    <row r="28" spans="1:47">
      <c r="A28" s="2"/>
      <c r="B28" s="2"/>
      <c r="C28" s="2"/>
      <c r="D28" s="2"/>
      <c r="E28" s="2"/>
      <c r="F28" s="2"/>
      <c r="G28" s="2"/>
      <c r="H28" s="2"/>
      <c r="I28" s="2"/>
      <c r="J28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0"/>
      <c r="AM28" s="509" t="s">
        <v>199</v>
      </c>
      <c r="AN28" s="525" t="s">
        <v>845</v>
      </c>
      <c r="AO28" s="420" t="s">
        <v>195</v>
      </c>
      <c r="AP28" s="247">
        <f t="shared" si="0"/>
        <v>0</v>
      </c>
      <c r="AQ28" s="247">
        <f t="shared" si="0"/>
        <v>0</v>
      </c>
      <c r="AR28" s="247">
        <f t="shared" si="0"/>
        <v>0</v>
      </c>
      <c r="AS28" s="194"/>
      <c r="AT28" s="194"/>
      <c r="AU28" s="326"/>
    </row>
    <row r="29" spans="1:47">
      <c r="A29" s="2"/>
      <c r="B29" s="2"/>
      <c r="C29" s="2"/>
      <c r="D29" s="2"/>
      <c r="E29" s="2"/>
      <c r="F29" s="2"/>
      <c r="G29" s="2"/>
      <c r="H29" s="2"/>
      <c r="I29" s="2"/>
      <c r="J2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0"/>
      <c r="AM29" s="509" t="s">
        <v>200</v>
      </c>
      <c r="AN29" s="526" t="s">
        <v>846</v>
      </c>
      <c r="AO29" s="420" t="s">
        <v>195</v>
      </c>
      <c r="AP29" s="247">
        <f t="shared" si="0"/>
        <v>0</v>
      </c>
      <c r="AQ29" s="247">
        <f t="shared" si="0"/>
        <v>0</v>
      </c>
      <c r="AR29" s="247">
        <f t="shared" si="0"/>
        <v>0</v>
      </c>
      <c r="AS29" s="194"/>
      <c r="AT29" s="194"/>
      <c r="AU29" s="326"/>
    </row>
    <row r="30" spans="1:47">
      <c r="A30" s="2"/>
      <c r="B30" s="2"/>
      <c r="C30" s="2"/>
      <c r="D30" s="2"/>
      <c r="E30" s="2"/>
      <c r="F30" s="2"/>
      <c r="G30" s="2"/>
      <c r="H30" s="2"/>
      <c r="I30" s="2"/>
      <c r="J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0"/>
      <c r="AM30" s="510" t="s">
        <v>847</v>
      </c>
      <c r="AN30" s="527" t="s">
        <v>848</v>
      </c>
      <c r="AO30" s="420"/>
      <c r="AP30" s="142"/>
      <c r="AQ30" s="142"/>
      <c r="AR30" s="142"/>
      <c r="AS30" s="194"/>
      <c r="AT30" s="194"/>
      <c r="AU30" s="326"/>
    </row>
    <row r="31" spans="1:47" ht="20.399999999999999">
      <c r="A31" s="2"/>
      <c r="B31" s="2"/>
      <c r="C31" s="2"/>
      <c r="D31" s="2"/>
      <c r="E31" s="2"/>
      <c r="F31" s="2"/>
      <c r="G31" s="2"/>
      <c r="H31" s="2"/>
      <c r="I31" s="2"/>
      <c r="J3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0"/>
      <c r="AM31" s="510" t="s">
        <v>849</v>
      </c>
      <c r="AN31" s="528" t="s">
        <v>850</v>
      </c>
      <c r="AO31" s="420" t="s">
        <v>284</v>
      </c>
      <c r="AP31" s="247">
        <f t="shared" ref="AP31:AR36" si="1">SUMIF($AS$9:$AT$9,AP$9,$AS31:$AT31)</f>
        <v>0</v>
      </c>
      <c r="AQ31" s="247">
        <f t="shared" si="1"/>
        <v>0</v>
      </c>
      <c r="AR31" s="247">
        <f t="shared" si="1"/>
        <v>0</v>
      </c>
      <c r="AS31" s="194"/>
      <c r="AT31" s="194"/>
      <c r="AU31" s="326"/>
    </row>
    <row r="32" spans="1:47">
      <c r="A32" s="2"/>
      <c r="B32" s="2"/>
      <c r="C32" s="2"/>
      <c r="D32" s="2"/>
      <c r="E32" s="2"/>
      <c r="F32" s="2"/>
      <c r="G32" s="2"/>
      <c r="H32" s="2"/>
      <c r="I32" s="2"/>
      <c r="J3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0"/>
      <c r="AM32" s="510" t="s">
        <v>851</v>
      </c>
      <c r="AN32" s="529" t="s">
        <v>852</v>
      </c>
      <c r="AO32" s="420" t="s">
        <v>284</v>
      </c>
      <c r="AP32" s="247">
        <f t="shared" si="1"/>
        <v>0</v>
      </c>
      <c r="AQ32" s="247">
        <f t="shared" si="1"/>
        <v>0</v>
      </c>
      <c r="AR32" s="247">
        <f t="shared" si="1"/>
        <v>0</v>
      </c>
      <c r="AS32" s="194"/>
      <c r="AT32" s="194"/>
      <c r="AU32" s="326"/>
    </row>
    <row r="33" spans="1:47">
      <c r="A33" s="2"/>
      <c r="B33" s="2"/>
      <c r="C33" s="2"/>
      <c r="D33" s="2"/>
      <c r="E33" s="2"/>
      <c r="F33" s="2"/>
      <c r="G33" s="2"/>
      <c r="H33" s="2"/>
      <c r="I33" s="2"/>
      <c r="J3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0"/>
      <c r="AM33" s="510" t="s">
        <v>853</v>
      </c>
      <c r="AN33" s="529" t="s">
        <v>854</v>
      </c>
      <c r="AO33" s="420" t="s">
        <v>284</v>
      </c>
      <c r="AP33" s="247">
        <f t="shared" si="1"/>
        <v>0</v>
      </c>
      <c r="AQ33" s="247">
        <f t="shared" si="1"/>
        <v>0</v>
      </c>
      <c r="AR33" s="247">
        <f t="shared" si="1"/>
        <v>0</v>
      </c>
      <c r="AS33" s="194"/>
      <c r="AT33" s="194"/>
      <c r="AU33" s="326"/>
    </row>
    <row r="34" spans="1:47">
      <c r="A34" s="2"/>
      <c r="B34" s="2"/>
      <c r="C34" s="2"/>
      <c r="D34" s="2"/>
      <c r="E34" s="2"/>
      <c r="F34" s="2"/>
      <c r="G34" s="2"/>
      <c r="H34" s="2"/>
      <c r="I34" s="2"/>
      <c r="J3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0"/>
      <c r="AM34" s="510" t="s">
        <v>855</v>
      </c>
      <c r="AN34" s="529" t="s">
        <v>856</v>
      </c>
      <c r="AO34" s="420" t="s">
        <v>284</v>
      </c>
      <c r="AP34" s="247">
        <f t="shared" si="1"/>
        <v>0</v>
      </c>
      <c r="AQ34" s="247">
        <f t="shared" si="1"/>
        <v>0</v>
      </c>
      <c r="AR34" s="247">
        <f t="shared" si="1"/>
        <v>0</v>
      </c>
      <c r="AS34" s="194"/>
      <c r="AT34" s="194"/>
      <c r="AU34" s="326"/>
    </row>
    <row r="35" spans="1:47">
      <c r="A35" s="2"/>
      <c r="B35" s="2"/>
      <c r="C35" s="2"/>
      <c r="D35" s="2"/>
      <c r="E35" s="2"/>
      <c r="F35" s="2"/>
      <c r="G35" s="2"/>
      <c r="H35" s="2"/>
      <c r="I35" s="2"/>
      <c r="J3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0"/>
      <c r="AM35" s="510" t="s">
        <v>857</v>
      </c>
      <c r="AN35" s="529" t="s">
        <v>858</v>
      </c>
      <c r="AO35" s="420" t="s">
        <v>284</v>
      </c>
      <c r="AP35" s="247">
        <f t="shared" si="1"/>
        <v>0</v>
      </c>
      <c r="AQ35" s="247">
        <f t="shared" si="1"/>
        <v>0</v>
      </c>
      <c r="AR35" s="247">
        <f t="shared" si="1"/>
        <v>0</v>
      </c>
      <c r="AS35" s="194"/>
      <c r="AT35" s="194"/>
      <c r="AU35" s="326"/>
    </row>
    <row r="36" spans="1:47">
      <c r="A36" s="2"/>
      <c r="B36" s="2"/>
      <c r="C36" s="2"/>
      <c r="D36" s="2"/>
      <c r="E36" s="2"/>
      <c r="F36" s="2"/>
      <c r="G36" s="2"/>
      <c r="H36" s="2"/>
      <c r="I36" s="2"/>
      <c r="J3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0"/>
      <c r="AM36" s="510" t="s">
        <v>859</v>
      </c>
      <c r="AN36" s="529" t="s">
        <v>860</v>
      </c>
      <c r="AO36" s="420" t="s">
        <v>284</v>
      </c>
      <c r="AP36" s="247">
        <f t="shared" si="1"/>
        <v>0</v>
      </c>
      <c r="AQ36" s="247">
        <f t="shared" si="1"/>
        <v>0</v>
      </c>
      <c r="AR36" s="247">
        <f t="shared" si="1"/>
        <v>0</v>
      </c>
      <c r="AS36" s="194"/>
      <c r="AT36" s="194"/>
      <c r="AU36" s="326"/>
    </row>
    <row r="37" spans="1:47" ht="20.399999999999999">
      <c r="A37" s="2"/>
      <c r="B37" s="2"/>
      <c r="C37" s="2"/>
      <c r="D37" s="2"/>
      <c r="E37" s="2"/>
      <c r="F37" s="2"/>
      <c r="G37" s="2"/>
      <c r="H37" s="2"/>
      <c r="I37" s="2"/>
      <c r="J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0"/>
      <c r="AM37" s="510" t="s">
        <v>861</v>
      </c>
      <c r="AN37" s="528" t="s">
        <v>862</v>
      </c>
      <c r="AO37" s="420"/>
      <c r="AP37" s="142"/>
      <c r="AQ37" s="142"/>
      <c r="AR37" s="142"/>
      <c r="AS37" s="194"/>
      <c r="AT37" s="194"/>
      <c r="AU37" s="326"/>
    </row>
    <row r="38" spans="1:47">
      <c r="A38" s="2"/>
      <c r="B38" s="2"/>
      <c r="C38" s="2"/>
      <c r="D38" s="2"/>
      <c r="E38" s="2"/>
      <c r="F38" s="2"/>
      <c r="G38" s="2"/>
      <c r="H38" s="2"/>
      <c r="I38" s="2"/>
      <c r="J3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0"/>
      <c r="AM38" s="510" t="s">
        <v>863</v>
      </c>
      <c r="AN38" s="529" t="s">
        <v>864</v>
      </c>
      <c r="AO38" s="420" t="s">
        <v>865</v>
      </c>
      <c r="AP38" s="247">
        <f t="shared" ref="AP38:AR49" si="2">SUMIF($AS$9:$AT$9,AP$9,$AS38:$AT38)</f>
        <v>0</v>
      </c>
      <c r="AQ38" s="247">
        <f t="shared" si="2"/>
        <v>0</v>
      </c>
      <c r="AR38" s="247">
        <f t="shared" si="2"/>
        <v>0</v>
      </c>
      <c r="AS38" s="194"/>
      <c r="AT38" s="194"/>
      <c r="AU38" s="326"/>
    </row>
    <row r="39" spans="1:47">
      <c r="A39" s="2"/>
      <c r="B39" s="2"/>
      <c r="C39" s="2"/>
      <c r="D39" s="2"/>
      <c r="E39" s="2"/>
      <c r="F39" s="2"/>
      <c r="G39" s="2"/>
      <c r="H39" s="2"/>
      <c r="I39" s="2"/>
      <c r="J3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0"/>
      <c r="AM39" s="510" t="s">
        <v>866</v>
      </c>
      <c r="AN39" s="530" t="s">
        <v>852</v>
      </c>
      <c r="AO39" s="420" t="s">
        <v>865</v>
      </c>
      <c r="AP39" s="247">
        <f t="shared" si="2"/>
        <v>0</v>
      </c>
      <c r="AQ39" s="247">
        <f t="shared" si="2"/>
        <v>0</v>
      </c>
      <c r="AR39" s="247">
        <f t="shared" si="2"/>
        <v>0</v>
      </c>
      <c r="AS39" s="194"/>
      <c r="AT39" s="194"/>
      <c r="AU39" s="326"/>
    </row>
    <row r="40" spans="1:47">
      <c r="A40" s="2"/>
      <c r="B40" s="2"/>
      <c r="C40" s="2"/>
      <c r="D40" s="2"/>
      <c r="E40" s="2"/>
      <c r="F40" s="2"/>
      <c r="G40" s="2"/>
      <c r="H40" s="2"/>
      <c r="I40" s="2"/>
      <c r="J4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0"/>
      <c r="AM40" s="510" t="s">
        <v>867</v>
      </c>
      <c r="AN40" s="530" t="s">
        <v>854</v>
      </c>
      <c r="AO40" s="420" t="s">
        <v>865</v>
      </c>
      <c r="AP40" s="247">
        <f t="shared" si="2"/>
        <v>0</v>
      </c>
      <c r="AQ40" s="247">
        <f t="shared" si="2"/>
        <v>0</v>
      </c>
      <c r="AR40" s="247">
        <f t="shared" si="2"/>
        <v>0</v>
      </c>
      <c r="AS40" s="194"/>
      <c r="AT40" s="194"/>
      <c r="AU40" s="326"/>
    </row>
    <row r="41" spans="1:47">
      <c r="A41" s="2"/>
      <c r="B41" s="2"/>
      <c r="C41" s="2"/>
      <c r="D41" s="2"/>
      <c r="E41" s="2"/>
      <c r="F41" s="2"/>
      <c r="G41" s="2"/>
      <c r="H41" s="2"/>
      <c r="I41" s="2"/>
      <c r="J4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0"/>
      <c r="AM41" s="510" t="s">
        <v>868</v>
      </c>
      <c r="AN41" s="530" t="s">
        <v>856</v>
      </c>
      <c r="AO41" s="420" t="s">
        <v>865</v>
      </c>
      <c r="AP41" s="247">
        <f t="shared" si="2"/>
        <v>0</v>
      </c>
      <c r="AQ41" s="247">
        <f t="shared" si="2"/>
        <v>0</v>
      </c>
      <c r="AR41" s="247">
        <f t="shared" si="2"/>
        <v>0</v>
      </c>
      <c r="AS41" s="194"/>
      <c r="AT41" s="194"/>
      <c r="AU41" s="326"/>
    </row>
    <row r="42" spans="1:47">
      <c r="A42" s="2"/>
      <c r="B42" s="2"/>
      <c r="C42" s="2"/>
      <c r="D42" s="2"/>
      <c r="E42" s="2"/>
      <c r="F42" s="2"/>
      <c r="G42" s="2"/>
      <c r="H42" s="2"/>
      <c r="I42" s="2"/>
      <c r="J4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0"/>
      <c r="AM42" s="510" t="s">
        <v>1128</v>
      </c>
      <c r="AN42" s="530" t="s">
        <v>858</v>
      </c>
      <c r="AO42" s="420" t="s">
        <v>865</v>
      </c>
      <c r="AP42" s="247">
        <f t="shared" si="2"/>
        <v>0</v>
      </c>
      <c r="AQ42" s="247">
        <f t="shared" si="2"/>
        <v>0</v>
      </c>
      <c r="AR42" s="247">
        <f t="shared" si="2"/>
        <v>0</v>
      </c>
      <c r="AS42" s="194"/>
      <c r="AT42" s="194"/>
      <c r="AU42" s="326"/>
    </row>
    <row r="43" spans="1:47">
      <c r="A43" s="2"/>
      <c r="B43" s="2"/>
      <c r="C43" s="2"/>
      <c r="D43" s="2"/>
      <c r="E43" s="2"/>
      <c r="F43" s="2"/>
      <c r="G43" s="2"/>
      <c r="H43" s="2"/>
      <c r="I43" s="2"/>
      <c r="J4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0"/>
      <c r="AM43" s="510" t="s">
        <v>1129</v>
      </c>
      <c r="AN43" s="530" t="s">
        <v>1040</v>
      </c>
      <c r="AO43" s="420" t="s">
        <v>865</v>
      </c>
      <c r="AP43" s="247">
        <f t="shared" si="2"/>
        <v>0</v>
      </c>
      <c r="AQ43" s="247">
        <f t="shared" si="2"/>
        <v>0</v>
      </c>
      <c r="AR43" s="247">
        <f t="shared" si="2"/>
        <v>0</v>
      </c>
      <c r="AS43" s="194"/>
      <c r="AT43" s="194"/>
      <c r="AU43" s="326"/>
    </row>
    <row r="44" spans="1:47">
      <c r="A44" s="2"/>
      <c r="B44" s="2"/>
      <c r="C44" s="2"/>
      <c r="D44" s="2"/>
      <c r="E44" s="2"/>
      <c r="F44" s="2"/>
      <c r="G44" s="2"/>
      <c r="H44" s="2"/>
      <c r="I44" s="2"/>
      <c r="J4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0"/>
      <c r="AM44" s="510" t="s">
        <v>869</v>
      </c>
      <c r="AN44" s="529" t="s">
        <v>870</v>
      </c>
      <c r="AO44" s="420" t="s">
        <v>284</v>
      </c>
      <c r="AP44" s="247">
        <f t="shared" si="2"/>
        <v>0</v>
      </c>
      <c r="AQ44" s="247">
        <f t="shared" si="2"/>
        <v>0</v>
      </c>
      <c r="AR44" s="247">
        <f t="shared" si="2"/>
        <v>0</v>
      </c>
      <c r="AS44" s="194"/>
      <c r="AT44" s="194"/>
      <c r="AU44" s="326"/>
    </row>
    <row r="45" spans="1:47">
      <c r="A45" s="2"/>
      <c r="B45" s="2"/>
      <c r="C45" s="2"/>
      <c r="D45" s="2"/>
      <c r="E45" s="2"/>
      <c r="F45" s="2"/>
      <c r="G45" s="2"/>
      <c r="H45" s="2"/>
      <c r="I45" s="2"/>
      <c r="J4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0"/>
      <c r="AM45" s="510" t="s">
        <v>871</v>
      </c>
      <c r="AN45" s="530" t="s">
        <v>852</v>
      </c>
      <c r="AO45" s="420" t="s">
        <v>284</v>
      </c>
      <c r="AP45" s="247">
        <f t="shared" si="2"/>
        <v>0</v>
      </c>
      <c r="AQ45" s="247">
        <f t="shared" si="2"/>
        <v>0</v>
      </c>
      <c r="AR45" s="247">
        <f t="shared" si="2"/>
        <v>0</v>
      </c>
      <c r="AS45" s="194"/>
      <c r="AT45" s="194"/>
      <c r="AU45" s="326"/>
    </row>
    <row r="46" spans="1:47">
      <c r="A46" s="2"/>
      <c r="B46" s="2"/>
      <c r="C46" s="2"/>
      <c r="D46" s="2"/>
      <c r="E46" s="2"/>
      <c r="F46" s="2"/>
      <c r="G46" s="2"/>
      <c r="H46" s="2"/>
      <c r="I46" s="2"/>
      <c r="J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0"/>
      <c r="AM46" s="510" t="s">
        <v>872</v>
      </c>
      <c r="AN46" s="530" t="s">
        <v>854</v>
      </c>
      <c r="AO46" s="420" t="s">
        <v>284</v>
      </c>
      <c r="AP46" s="247">
        <f t="shared" si="2"/>
        <v>0</v>
      </c>
      <c r="AQ46" s="247">
        <f t="shared" si="2"/>
        <v>0</v>
      </c>
      <c r="AR46" s="247">
        <f t="shared" si="2"/>
        <v>0</v>
      </c>
      <c r="AS46" s="194"/>
      <c r="AT46" s="194"/>
      <c r="AU46" s="326"/>
    </row>
    <row r="47" spans="1:47">
      <c r="A47" s="2"/>
      <c r="B47" s="2"/>
      <c r="C47" s="2"/>
      <c r="D47" s="2"/>
      <c r="E47" s="2"/>
      <c r="F47" s="2"/>
      <c r="G47" s="2"/>
      <c r="H47" s="2"/>
      <c r="I47" s="2"/>
      <c r="J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0"/>
      <c r="AM47" s="510" t="s">
        <v>873</v>
      </c>
      <c r="AN47" s="530" t="s">
        <v>856</v>
      </c>
      <c r="AO47" s="420" t="s">
        <v>284</v>
      </c>
      <c r="AP47" s="247">
        <f t="shared" si="2"/>
        <v>0</v>
      </c>
      <c r="AQ47" s="247">
        <f t="shared" si="2"/>
        <v>0</v>
      </c>
      <c r="AR47" s="247">
        <f t="shared" si="2"/>
        <v>0</v>
      </c>
      <c r="AS47" s="194"/>
      <c r="AT47" s="194"/>
      <c r="AU47" s="326"/>
    </row>
    <row r="48" spans="1:47">
      <c r="A48" s="2"/>
      <c r="B48" s="2"/>
      <c r="C48" s="2"/>
      <c r="D48" s="2"/>
      <c r="E48" s="2"/>
      <c r="F48" s="2"/>
      <c r="G48" s="2"/>
      <c r="H48" s="2"/>
      <c r="I48" s="2"/>
      <c r="J4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0"/>
      <c r="AM48" s="510" t="s">
        <v>874</v>
      </c>
      <c r="AN48" s="530" t="s">
        <v>858</v>
      </c>
      <c r="AO48" s="420" t="s">
        <v>284</v>
      </c>
      <c r="AP48" s="247">
        <f t="shared" si="2"/>
        <v>0</v>
      </c>
      <c r="AQ48" s="247">
        <f t="shared" si="2"/>
        <v>0</v>
      </c>
      <c r="AR48" s="247">
        <f t="shared" si="2"/>
        <v>0</v>
      </c>
      <c r="AS48" s="194"/>
      <c r="AT48" s="194"/>
      <c r="AU48" s="326"/>
    </row>
    <row r="49" spans="1:47">
      <c r="A49" s="2"/>
      <c r="B49" s="2"/>
      <c r="C49" s="2"/>
      <c r="D49" s="2"/>
      <c r="E49" s="2"/>
      <c r="F49" s="2"/>
      <c r="G49" s="2"/>
      <c r="H49" s="2"/>
      <c r="I49" s="2"/>
      <c r="J49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0"/>
      <c r="AM49" s="510" t="s">
        <v>875</v>
      </c>
      <c r="AN49" s="530" t="s">
        <v>1040</v>
      </c>
      <c r="AO49" s="420" t="s">
        <v>284</v>
      </c>
      <c r="AP49" s="247">
        <f t="shared" si="2"/>
        <v>0</v>
      </c>
      <c r="AQ49" s="247">
        <f t="shared" si="2"/>
        <v>0</v>
      </c>
      <c r="AR49" s="247">
        <f t="shared" si="2"/>
        <v>0</v>
      </c>
      <c r="AS49" s="194"/>
      <c r="AT49" s="194"/>
      <c r="AU49" s="326"/>
    </row>
    <row r="50" spans="1:47">
      <c r="A50" s="2"/>
      <c r="B50" s="2"/>
      <c r="C50" s="2"/>
      <c r="D50" s="2"/>
      <c r="E50" s="2"/>
      <c r="F50" s="2"/>
      <c r="G50" s="2"/>
      <c r="H50" s="2"/>
      <c r="I50" s="2"/>
      <c r="J5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0"/>
      <c r="AM50" s="510" t="s">
        <v>876</v>
      </c>
      <c r="AN50" s="527" t="s">
        <v>877</v>
      </c>
      <c r="AO50" s="420"/>
      <c r="AP50" s="142"/>
      <c r="AQ50" s="142"/>
      <c r="AR50" s="142"/>
      <c r="AS50" s="194"/>
      <c r="AT50" s="194"/>
      <c r="AU50" s="326"/>
    </row>
    <row r="51" spans="1:47">
      <c r="A51" s="2"/>
      <c r="B51" s="2"/>
      <c r="C51" s="2"/>
      <c r="D51" s="2"/>
      <c r="E51" s="2"/>
      <c r="F51" s="2"/>
      <c r="G51" s="2"/>
      <c r="H51" s="2"/>
      <c r="I51" s="2"/>
      <c r="J5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0"/>
      <c r="AM51" s="510" t="s">
        <v>878</v>
      </c>
      <c r="AN51" s="528" t="s">
        <v>879</v>
      </c>
      <c r="AO51" s="420"/>
      <c r="AP51" s="142"/>
      <c r="AQ51" s="142"/>
      <c r="AR51" s="142"/>
      <c r="AS51" s="194"/>
      <c r="AT51" s="194"/>
      <c r="AU51" s="326"/>
    </row>
    <row r="52" spans="1:47">
      <c r="A52" s="2"/>
      <c r="B52" s="2"/>
      <c r="C52" s="2"/>
      <c r="D52" s="2"/>
      <c r="E52" s="2"/>
      <c r="F52" s="2"/>
      <c r="G52" s="2"/>
      <c r="H52" s="2"/>
      <c r="I52" s="2"/>
      <c r="J5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0"/>
      <c r="AM52" s="510" t="s">
        <v>880</v>
      </c>
      <c r="AN52" s="529" t="s">
        <v>852</v>
      </c>
      <c r="AO52" s="420" t="s">
        <v>313</v>
      </c>
      <c r="AP52" s="244">
        <f>IF(AP32=0,0,AP72/AP32)</f>
        <v>0</v>
      </c>
      <c r="AQ52" s="244">
        <f>IF(AQ32=0,0,AQ72/AQ32)</f>
        <v>0</v>
      </c>
      <c r="AR52" s="244">
        <f>IF(AR32=0,0,AR72/AR32)</f>
        <v>0</v>
      </c>
      <c r="AS52" s="194"/>
      <c r="AT52" s="194"/>
      <c r="AU52" s="326"/>
    </row>
    <row r="53" spans="1:47">
      <c r="A53" s="2"/>
      <c r="B53" s="2"/>
      <c r="C53" s="2"/>
      <c r="D53" s="2"/>
      <c r="E53" s="2"/>
      <c r="F53" s="2"/>
      <c r="G53" s="2"/>
      <c r="H53" s="2"/>
      <c r="I53" s="2"/>
      <c r="J5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0"/>
      <c r="AM53" s="510" t="s">
        <v>881</v>
      </c>
      <c r="AN53" s="529" t="s">
        <v>854</v>
      </c>
      <c r="AO53" s="420" t="s">
        <v>313</v>
      </c>
      <c r="AP53" s="244">
        <f t="shared" ref="AP53:AR56" si="3">IF(AP33=0,0,AP73/AP33)</f>
        <v>0</v>
      </c>
      <c r="AQ53" s="244">
        <f t="shared" si="3"/>
        <v>0</v>
      </c>
      <c r="AR53" s="244">
        <f t="shared" si="3"/>
        <v>0</v>
      </c>
      <c r="AS53" s="194"/>
      <c r="AT53" s="194"/>
      <c r="AU53" s="326"/>
    </row>
    <row r="54" spans="1:47">
      <c r="A54" s="2"/>
      <c r="B54" s="2"/>
      <c r="C54" s="2"/>
      <c r="D54" s="2"/>
      <c r="E54" s="2"/>
      <c r="F54" s="2"/>
      <c r="G54" s="2"/>
      <c r="H54" s="2"/>
      <c r="I54" s="2"/>
      <c r="J5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0"/>
      <c r="AM54" s="510" t="s">
        <v>882</v>
      </c>
      <c r="AN54" s="529" t="s">
        <v>856</v>
      </c>
      <c r="AO54" s="420" t="s">
        <v>313</v>
      </c>
      <c r="AP54" s="244">
        <f t="shared" si="3"/>
        <v>0</v>
      </c>
      <c r="AQ54" s="244">
        <f t="shared" si="3"/>
        <v>0</v>
      </c>
      <c r="AR54" s="244">
        <f t="shared" si="3"/>
        <v>0</v>
      </c>
      <c r="AS54" s="194"/>
      <c r="AT54" s="194"/>
      <c r="AU54" s="326"/>
    </row>
    <row r="55" spans="1:47">
      <c r="A55" s="2"/>
      <c r="B55" s="2"/>
      <c r="C55" s="2"/>
      <c r="D55" s="2"/>
      <c r="E55" s="2"/>
      <c r="F55" s="2"/>
      <c r="G55" s="2"/>
      <c r="H55" s="2"/>
      <c r="I55" s="2"/>
      <c r="J5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0"/>
      <c r="AM55" s="510" t="s">
        <v>883</v>
      </c>
      <c r="AN55" s="529" t="s">
        <v>858</v>
      </c>
      <c r="AO55" s="420" t="s">
        <v>313</v>
      </c>
      <c r="AP55" s="244">
        <f t="shared" si="3"/>
        <v>0</v>
      </c>
      <c r="AQ55" s="244">
        <f t="shared" si="3"/>
        <v>0</v>
      </c>
      <c r="AR55" s="244">
        <f t="shared" si="3"/>
        <v>0</v>
      </c>
      <c r="AS55" s="194"/>
      <c r="AT55" s="194"/>
      <c r="AU55" s="326"/>
    </row>
    <row r="56" spans="1:47">
      <c r="A56" s="2"/>
      <c r="B56" s="2"/>
      <c r="C56" s="2"/>
      <c r="D56" s="2"/>
      <c r="E56" s="2"/>
      <c r="F56" s="2"/>
      <c r="G56" s="2"/>
      <c r="H56" s="2"/>
      <c r="I56" s="2"/>
      <c r="J5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0"/>
      <c r="AM56" s="510" t="s">
        <v>884</v>
      </c>
      <c r="AN56" s="529" t="s">
        <v>860</v>
      </c>
      <c r="AO56" s="420" t="s">
        <v>313</v>
      </c>
      <c r="AP56" s="244">
        <f t="shared" si="3"/>
        <v>0</v>
      </c>
      <c r="AQ56" s="244">
        <f t="shared" si="3"/>
        <v>0</v>
      </c>
      <c r="AR56" s="244">
        <f t="shared" si="3"/>
        <v>0</v>
      </c>
      <c r="AS56" s="194"/>
      <c r="AT56" s="194"/>
      <c r="AU56" s="326"/>
    </row>
    <row r="57" spans="1:47" ht="20.399999999999999">
      <c r="A57" s="2"/>
      <c r="B57" s="2"/>
      <c r="C57" s="2"/>
      <c r="D57" s="2"/>
      <c r="E57" s="2"/>
      <c r="F57" s="2"/>
      <c r="G57" s="2"/>
      <c r="H57" s="2"/>
      <c r="I57" s="2"/>
      <c r="J5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0"/>
      <c r="AM57" s="510" t="s">
        <v>885</v>
      </c>
      <c r="AN57" s="529" t="s">
        <v>886</v>
      </c>
      <c r="AO57" s="420" t="s">
        <v>313</v>
      </c>
      <c r="AP57" s="244">
        <f>IF(AP31=0,0,AP71/AP31)</f>
        <v>0</v>
      </c>
      <c r="AQ57" s="244">
        <f>IF(AQ31=0,0,AQ71/AQ31)</f>
        <v>0</v>
      </c>
      <c r="AR57" s="244">
        <f>IF(AR31=0,0,AR71/AR31)</f>
        <v>0</v>
      </c>
      <c r="AS57" s="194"/>
      <c r="AT57" s="194"/>
      <c r="AU57" s="326"/>
    </row>
    <row r="58" spans="1:47">
      <c r="A58" s="2"/>
      <c r="B58" s="2"/>
      <c r="C58" s="2"/>
      <c r="D58" s="2"/>
      <c r="E58" s="2"/>
      <c r="F58" s="2"/>
      <c r="G58" s="2"/>
      <c r="H58" s="2"/>
      <c r="I58" s="2"/>
      <c r="J58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0"/>
      <c r="AM58" s="510" t="s">
        <v>887</v>
      </c>
      <c r="AN58" s="528" t="s">
        <v>888</v>
      </c>
      <c r="AO58" s="420"/>
      <c r="AP58" s="142"/>
      <c r="AQ58" s="142"/>
      <c r="AR58" s="142"/>
      <c r="AS58" s="194"/>
      <c r="AT58" s="194"/>
      <c r="AU58" s="326"/>
    </row>
    <row r="59" spans="1:47">
      <c r="A59" s="2"/>
      <c r="B59" s="2"/>
      <c r="C59" s="2"/>
      <c r="D59" s="2"/>
      <c r="E59" s="2"/>
      <c r="F59" s="2"/>
      <c r="G59" s="2"/>
      <c r="H59" s="2"/>
      <c r="I59" s="2"/>
      <c r="J5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0"/>
      <c r="AM59" s="510" t="s">
        <v>889</v>
      </c>
      <c r="AN59" s="529" t="s">
        <v>890</v>
      </c>
      <c r="AO59" s="420" t="s">
        <v>1038</v>
      </c>
      <c r="AP59" s="244">
        <f t="shared" ref="AP59:AR60" si="4">IF(AP38=0,0,AP77*1000/AP38)</f>
        <v>0</v>
      </c>
      <c r="AQ59" s="244">
        <f t="shared" si="4"/>
        <v>0</v>
      </c>
      <c r="AR59" s="244">
        <f t="shared" si="4"/>
        <v>0</v>
      </c>
      <c r="AS59" s="194"/>
      <c r="AT59" s="194"/>
      <c r="AU59" s="326"/>
    </row>
    <row r="60" spans="1:47">
      <c r="A60" s="2"/>
      <c r="B60" s="2"/>
      <c r="C60" s="2"/>
      <c r="D60" s="2"/>
      <c r="E60" s="2"/>
      <c r="F60" s="2"/>
      <c r="G60" s="2"/>
      <c r="H60" s="2"/>
      <c r="I60" s="2"/>
      <c r="J6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0"/>
      <c r="AM60" s="510" t="s">
        <v>891</v>
      </c>
      <c r="AN60" s="530" t="s">
        <v>852</v>
      </c>
      <c r="AO60" s="420" t="s">
        <v>1038</v>
      </c>
      <c r="AP60" s="244">
        <f t="shared" si="4"/>
        <v>0</v>
      </c>
      <c r="AQ60" s="244">
        <f t="shared" si="4"/>
        <v>0</v>
      </c>
      <c r="AR60" s="244">
        <f t="shared" si="4"/>
        <v>0</v>
      </c>
      <c r="AS60" s="194"/>
      <c r="AT60" s="194"/>
      <c r="AU60" s="326"/>
    </row>
    <row r="61" spans="1:47">
      <c r="A61" s="2"/>
      <c r="B61" s="2"/>
      <c r="C61" s="2"/>
      <c r="D61" s="2"/>
      <c r="E61" s="2"/>
      <c r="F61" s="2"/>
      <c r="G61" s="2"/>
      <c r="H61" s="2"/>
      <c r="I61" s="2"/>
      <c r="J6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0"/>
      <c r="AM61" s="510" t="s">
        <v>892</v>
      </c>
      <c r="AN61" s="530" t="s">
        <v>854</v>
      </c>
      <c r="AO61" s="420" t="s">
        <v>1038</v>
      </c>
      <c r="AP61" s="244">
        <f t="shared" ref="AP61:AR64" si="5">IF(AP40=0,0,AP79*1000/AP40)</f>
        <v>0</v>
      </c>
      <c r="AQ61" s="244">
        <f t="shared" si="5"/>
        <v>0</v>
      </c>
      <c r="AR61" s="244">
        <f t="shared" si="5"/>
        <v>0</v>
      </c>
      <c r="AS61" s="194"/>
      <c r="AT61" s="194"/>
      <c r="AU61" s="326"/>
    </row>
    <row r="62" spans="1:47">
      <c r="A62" s="2"/>
      <c r="B62" s="2"/>
      <c r="C62" s="2"/>
      <c r="D62" s="2"/>
      <c r="E62" s="2"/>
      <c r="F62" s="2"/>
      <c r="G62" s="2"/>
      <c r="H62" s="2"/>
      <c r="I62" s="2"/>
      <c r="J6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0"/>
      <c r="AM62" s="510" t="s">
        <v>893</v>
      </c>
      <c r="AN62" s="530" t="s">
        <v>856</v>
      </c>
      <c r="AO62" s="420" t="s">
        <v>1038</v>
      </c>
      <c r="AP62" s="244">
        <f t="shared" si="5"/>
        <v>0</v>
      </c>
      <c r="AQ62" s="244">
        <f t="shared" si="5"/>
        <v>0</v>
      </c>
      <c r="AR62" s="244">
        <f t="shared" si="5"/>
        <v>0</v>
      </c>
      <c r="AS62" s="194"/>
      <c r="AT62" s="194"/>
      <c r="AU62" s="326"/>
    </row>
    <row r="63" spans="1:47">
      <c r="A63" s="2"/>
      <c r="B63" s="2"/>
      <c r="C63" s="2"/>
      <c r="D63" s="2"/>
      <c r="E63" s="2"/>
      <c r="F63" s="2"/>
      <c r="G63" s="2"/>
      <c r="H63" s="2"/>
      <c r="I63" s="2"/>
      <c r="J6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0"/>
      <c r="AM63" s="510" t="s">
        <v>894</v>
      </c>
      <c r="AN63" s="530" t="s">
        <v>858</v>
      </c>
      <c r="AO63" s="420" t="s">
        <v>1038</v>
      </c>
      <c r="AP63" s="244">
        <f t="shared" si="5"/>
        <v>0</v>
      </c>
      <c r="AQ63" s="244">
        <f t="shared" si="5"/>
        <v>0</v>
      </c>
      <c r="AR63" s="244">
        <f t="shared" si="5"/>
        <v>0</v>
      </c>
      <c r="AS63" s="194"/>
      <c r="AT63" s="194"/>
      <c r="AU63" s="326"/>
    </row>
    <row r="64" spans="1:47">
      <c r="A64" s="2"/>
      <c r="B64" s="2"/>
      <c r="C64" s="2"/>
      <c r="D64" s="2"/>
      <c r="E64" s="2"/>
      <c r="F64" s="2"/>
      <c r="G64" s="2"/>
      <c r="H64" s="2"/>
      <c r="I64" s="2"/>
      <c r="J6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0"/>
      <c r="AM64" s="510" t="s">
        <v>895</v>
      </c>
      <c r="AN64" s="530" t="s">
        <v>1040</v>
      </c>
      <c r="AO64" s="420" t="s">
        <v>1038</v>
      </c>
      <c r="AP64" s="244">
        <f t="shared" si="5"/>
        <v>0</v>
      </c>
      <c r="AQ64" s="244">
        <f t="shared" si="5"/>
        <v>0</v>
      </c>
      <c r="AR64" s="244">
        <f t="shared" si="5"/>
        <v>0</v>
      </c>
      <c r="AS64" s="194"/>
      <c r="AT64" s="194"/>
      <c r="AU64" s="326"/>
    </row>
    <row r="65" spans="1:47">
      <c r="A65" s="2"/>
      <c r="B65" s="2"/>
      <c r="C65" s="2"/>
      <c r="D65" s="2"/>
      <c r="E65" s="2"/>
      <c r="F65" s="2"/>
      <c r="G65" s="2"/>
      <c r="H65" s="2"/>
      <c r="I65" s="2"/>
      <c r="J6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0"/>
      <c r="AM65" s="510" t="s">
        <v>896</v>
      </c>
      <c r="AN65" s="529" t="s">
        <v>897</v>
      </c>
      <c r="AO65" s="420" t="s">
        <v>313</v>
      </c>
      <c r="AP65" s="244">
        <f>IF(AP44=0,0,AP83/AP44)</f>
        <v>0</v>
      </c>
      <c r="AQ65" s="244">
        <f>IF(AQ44=0,0,AQ83/AQ44)</f>
        <v>0</v>
      </c>
      <c r="AR65" s="244">
        <f>IF(AR44=0,0,AR83/AR44)</f>
        <v>0</v>
      </c>
      <c r="AS65" s="194"/>
      <c r="AT65" s="194"/>
      <c r="AU65" s="326"/>
    </row>
    <row r="66" spans="1:47">
      <c r="A66" s="2"/>
      <c r="B66" s="2"/>
      <c r="C66" s="2"/>
      <c r="D66" s="2"/>
      <c r="E66" s="2"/>
      <c r="F66" s="2"/>
      <c r="G66" s="2"/>
      <c r="H66" s="2"/>
      <c r="I66" s="2"/>
      <c r="J6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0"/>
      <c r="AM66" s="510" t="s">
        <v>898</v>
      </c>
      <c r="AN66" s="530" t="s">
        <v>852</v>
      </c>
      <c r="AO66" s="420" t="s">
        <v>313</v>
      </c>
      <c r="AP66" s="244">
        <f t="shared" ref="AP66:AR70" si="6">IF(AP45=0,0,AP84/AP45)</f>
        <v>0</v>
      </c>
      <c r="AQ66" s="244">
        <f t="shared" si="6"/>
        <v>0</v>
      </c>
      <c r="AR66" s="244">
        <f t="shared" si="6"/>
        <v>0</v>
      </c>
      <c r="AS66" s="194"/>
      <c r="AT66" s="194"/>
      <c r="AU66" s="326"/>
    </row>
    <row r="67" spans="1:47">
      <c r="A67" s="2"/>
      <c r="B67" s="2"/>
      <c r="C67" s="2"/>
      <c r="D67" s="2"/>
      <c r="E67" s="2"/>
      <c r="F67" s="2"/>
      <c r="G67" s="2"/>
      <c r="H67" s="2"/>
      <c r="I67" s="2"/>
      <c r="J6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0"/>
      <c r="AM67" s="510" t="s">
        <v>899</v>
      </c>
      <c r="AN67" s="530" t="s">
        <v>854</v>
      </c>
      <c r="AO67" s="420" t="s">
        <v>313</v>
      </c>
      <c r="AP67" s="244">
        <f t="shared" si="6"/>
        <v>0</v>
      </c>
      <c r="AQ67" s="244">
        <f t="shared" si="6"/>
        <v>0</v>
      </c>
      <c r="AR67" s="244">
        <f t="shared" si="6"/>
        <v>0</v>
      </c>
      <c r="AS67" s="194"/>
      <c r="AT67" s="194"/>
      <c r="AU67" s="326"/>
    </row>
    <row r="68" spans="1:47">
      <c r="A68" s="2"/>
      <c r="B68" s="2"/>
      <c r="C68" s="2"/>
      <c r="D68" s="2"/>
      <c r="E68" s="2"/>
      <c r="F68" s="2"/>
      <c r="G68" s="2"/>
      <c r="H68" s="2"/>
      <c r="I68" s="2"/>
      <c r="J68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0"/>
      <c r="AM68" s="510" t="s">
        <v>900</v>
      </c>
      <c r="AN68" s="530" t="s">
        <v>856</v>
      </c>
      <c r="AO68" s="420" t="s">
        <v>313</v>
      </c>
      <c r="AP68" s="244">
        <f t="shared" si="6"/>
        <v>0</v>
      </c>
      <c r="AQ68" s="244">
        <f t="shared" si="6"/>
        <v>0</v>
      </c>
      <c r="AR68" s="244">
        <f t="shared" si="6"/>
        <v>0</v>
      </c>
      <c r="AS68" s="194"/>
      <c r="AT68" s="194"/>
      <c r="AU68" s="326"/>
    </row>
    <row r="69" spans="1:47">
      <c r="A69" s="2"/>
      <c r="B69" s="2"/>
      <c r="C69" s="2"/>
      <c r="D69" s="2"/>
      <c r="E69" s="2"/>
      <c r="F69" s="2"/>
      <c r="G69" s="2"/>
      <c r="H69" s="2"/>
      <c r="I69" s="2"/>
      <c r="J6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0"/>
      <c r="AM69" s="510" t="s">
        <v>901</v>
      </c>
      <c r="AN69" s="530" t="s">
        <v>858</v>
      </c>
      <c r="AO69" s="420" t="s">
        <v>313</v>
      </c>
      <c r="AP69" s="244">
        <f t="shared" si="6"/>
        <v>0</v>
      </c>
      <c r="AQ69" s="244">
        <f t="shared" si="6"/>
        <v>0</v>
      </c>
      <c r="AR69" s="244">
        <f t="shared" si="6"/>
        <v>0</v>
      </c>
      <c r="AS69" s="194"/>
      <c r="AT69" s="194"/>
      <c r="AU69" s="326"/>
    </row>
    <row r="70" spans="1:47">
      <c r="A70" s="2"/>
      <c r="B70" s="2"/>
      <c r="C70" s="2"/>
      <c r="D70" s="2"/>
      <c r="E70" s="2"/>
      <c r="F70" s="2"/>
      <c r="G70" s="2"/>
      <c r="H70" s="2"/>
      <c r="I70" s="2"/>
      <c r="J7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0"/>
      <c r="AM70" s="510" t="s">
        <v>902</v>
      </c>
      <c r="AN70" s="530" t="s">
        <v>1040</v>
      </c>
      <c r="AO70" s="420" t="s">
        <v>313</v>
      </c>
      <c r="AP70" s="244">
        <f t="shared" si="6"/>
        <v>0</v>
      </c>
      <c r="AQ70" s="244">
        <f t="shared" si="6"/>
        <v>0</v>
      </c>
      <c r="AR70" s="244">
        <f t="shared" si="6"/>
        <v>0</v>
      </c>
      <c r="AS70" s="194"/>
      <c r="AT70" s="194"/>
      <c r="AU70" s="326"/>
    </row>
    <row r="71" spans="1:47" ht="20.399999999999999">
      <c r="A71" s="2"/>
      <c r="B71" s="2"/>
      <c r="C71" s="2"/>
      <c r="D71" s="2"/>
      <c r="E71" s="2"/>
      <c r="F71" s="2"/>
      <c r="G71" s="2"/>
      <c r="H71" s="2"/>
      <c r="I71" s="2"/>
      <c r="J7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0"/>
      <c r="AM71" s="510" t="s">
        <v>903</v>
      </c>
      <c r="AN71" s="527" t="s">
        <v>904</v>
      </c>
      <c r="AO71" s="420" t="s">
        <v>195</v>
      </c>
      <c r="AP71" s="247">
        <f t="shared" ref="AP71:AR91" si="7">SUMIF($AS$9:$AT$9,AP$9,$AS71:$AT71)</f>
        <v>0</v>
      </c>
      <c r="AQ71" s="247">
        <f t="shared" si="7"/>
        <v>0</v>
      </c>
      <c r="AR71" s="247">
        <f t="shared" si="7"/>
        <v>0</v>
      </c>
      <c r="AS71" s="194"/>
      <c r="AT71" s="194"/>
      <c r="AU71" s="326"/>
    </row>
    <row r="72" spans="1:47">
      <c r="A72" s="2"/>
      <c r="B72" s="2"/>
      <c r="C72" s="2"/>
      <c r="D72" s="2"/>
      <c r="E72" s="2"/>
      <c r="F72" s="2"/>
      <c r="G72" s="2"/>
      <c r="H72" s="2"/>
      <c r="I72" s="2"/>
      <c r="J7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0"/>
      <c r="AM72" s="510" t="s">
        <v>1041</v>
      </c>
      <c r="AN72" s="528" t="s">
        <v>852</v>
      </c>
      <c r="AO72" s="420" t="s">
        <v>195</v>
      </c>
      <c r="AP72" s="247">
        <f t="shared" si="7"/>
        <v>0</v>
      </c>
      <c r="AQ72" s="247">
        <f t="shared" si="7"/>
        <v>0</v>
      </c>
      <c r="AR72" s="247">
        <f t="shared" si="7"/>
        <v>0</v>
      </c>
      <c r="AS72" s="194"/>
      <c r="AT72" s="194"/>
      <c r="AU72" s="326"/>
    </row>
    <row r="73" spans="1:47">
      <c r="A73" s="2"/>
      <c r="B73" s="2"/>
      <c r="C73" s="2"/>
      <c r="D73" s="2"/>
      <c r="E73" s="2"/>
      <c r="F73" s="2"/>
      <c r="G73" s="2"/>
      <c r="H73" s="2"/>
      <c r="I73" s="2"/>
      <c r="J7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0"/>
      <c r="AM73" s="510" t="s">
        <v>1042</v>
      </c>
      <c r="AN73" s="528" t="s">
        <v>854</v>
      </c>
      <c r="AO73" s="420" t="s">
        <v>195</v>
      </c>
      <c r="AP73" s="247">
        <f t="shared" si="7"/>
        <v>0</v>
      </c>
      <c r="AQ73" s="247">
        <f t="shared" si="7"/>
        <v>0</v>
      </c>
      <c r="AR73" s="247">
        <f t="shared" si="7"/>
        <v>0</v>
      </c>
      <c r="AS73" s="194"/>
      <c r="AT73" s="194"/>
      <c r="AU73" s="326"/>
    </row>
    <row r="74" spans="1:47">
      <c r="A74" s="2"/>
      <c r="B74" s="2"/>
      <c r="C74" s="2"/>
      <c r="D74" s="2"/>
      <c r="E74" s="2"/>
      <c r="F74" s="2"/>
      <c r="G74" s="2"/>
      <c r="H74" s="2"/>
      <c r="I74" s="2"/>
      <c r="J7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0"/>
      <c r="AM74" s="510" t="s">
        <v>1043</v>
      </c>
      <c r="AN74" s="528" t="s">
        <v>856</v>
      </c>
      <c r="AO74" s="420" t="s">
        <v>195</v>
      </c>
      <c r="AP74" s="247">
        <f t="shared" si="7"/>
        <v>0</v>
      </c>
      <c r="AQ74" s="247">
        <f t="shared" si="7"/>
        <v>0</v>
      </c>
      <c r="AR74" s="247">
        <f t="shared" si="7"/>
        <v>0</v>
      </c>
      <c r="AS74" s="194"/>
      <c r="AT74" s="194"/>
      <c r="AU74" s="326"/>
    </row>
    <row r="75" spans="1:47">
      <c r="A75" s="2"/>
      <c r="B75" s="2"/>
      <c r="C75" s="2"/>
      <c r="D75" s="2"/>
      <c r="E75" s="2"/>
      <c r="F75" s="2"/>
      <c r="G75" s="2"/>
      <c r="H75" s="2"/>
      <c r="I75" s="2"/>
      <c r="J7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0"/>
      <c r="AM75" s="510" t="s">
        <v>1044</v>
      </c>
      <c r="AN75" s="528" t="s">
        <v>858</v>
      </c>
      <c r="AO75" s="420" t="s">
        <v>195</v>
      </c>
      <c r="AP75" s="247">
        <f t="shared" si="7"/>
        <v>0</v>
      </c>
      <c r="AQ75" s="247">
        <f t="shared" si="7"/>
        <v>0</v>
      </c>
      <c r="AR75" s="247">
        <f t="shared" si="7"/>
        <v>0</v>
      </c>
      <c r="AS75" s="194"/>
      <c r="AT75" s="194"/>
      <c r="AU75" s="326"/>
    </row>
    <row r="76" spans="1:47">
      <c r="A76" s="2"/>
      <c r="B76" s="2"/>
      <c r="C76" s="2"/>
      <c r="D76" s="2"/>
      <c r="E76" s="2"/>
      <c r="F76" s="2"/>
      <c r="G76" s="2"/>
      <c r="H76" s="2"/>
      <c r="I76" s="2"/>
      <c r="J7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0"/>
      <c r="AM76" s="510" t="s">
        <v>1045</v>
      </c>
      <c r="AN76" s="528" t="s">
        <v>860</v>
      </c>
      <c r="AO76" s="420" t="s">
        <v>195</v>
      </c>
      <c r="AP76" s="247">
        <f t="shared" si="7"/>
        <v>0</v>
      </c>
      <c r="AQ76" s="247">
        <f t="shared" si="7"/>
        <v>0</v>
      </c>
      <c r="AR76" s="247">
        <f t="shared" si="7"/>
        <v>0</v>
      </c>
      <c r="AS76" s="194"/>
      <c r="AT76" s="194"/>
      <c r="AU76" s="326"/>
    </row>
    <row r="77" spans="1:47" ht="20.399999999999999">
      <c r="A77" s="2"/>
      <c r="B77" s="2"/>
      <c r="C77" s="2"/>
      <c r="D77" s="2"/>
      <c r="E77" s="2"/>
      <c r="F77" s="2"/>
      <c r="G77" s="2"/>
      <c r="H77" s="2"/>
      <c r="I77" s="2"/>
      <c r="J7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0"/>
      <c r="AM77" s="510" t="s">
        <v>905</v>
      </c>
      <c r="AN77" s="527" t="s">
        <v>1039</v>
      </c>
      <c r="AO77" s="420" t="s">
        <v>195</v>
      </c>
      <c r="AP77" s="247">
        <f t="shared" si="7"/>
        <v>0</v>
      </c>
      <c r="AQ77" s="247">
        <f t="shared" si="7"/>
        <v>0</v>
      </c>
      <c r="AR77" s="247">
        <f t="shared" si="7"/>
        <v>0</v>
      </c>
      <c r="AS77" s="194"/>
      <c r="AT77" s="194"/>
      <c r="AU77" s="326"/>
    </row>
    <row r="78" spans="1:47">
      <c r="A78" s="2"/>
      <c r="B78" s="2"/>
      <c r="C78" s="2"/>
      <c r="D78" s="2"/>
      <c r="E78" s="2"/>
      <c r="F78" s="2"/>
      <c r="G78" s="2"/>
      <c r="H78" s="2"/>
      <c r="I78" s="2"/>
      <c r="J7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0"/>
      <c r="AM78" s="510" t="s">
        <v>1046</v>
      </c>
      <c r="AN78" s="528" t="s">
        <v>852</v>
      </c>
      <c r="AO78" s="420" t="s">
        <v>195</v>
      </c>
      <c r="AP78" s="247">
        <f t="shared" si="7"/>
        <v>0</v>
      </c>
      <c r="AQ78" s="247">
        <f t="shared" si="7"/>
        <v>0</v>
      </c>
      <c r="AR78" s="247">
        <f t="shared" si="7"/>
        <v>0</v>
      </c>
      <c r="AS78" s="194"/>
      <c r="AT78" s="194"/>
      <c r="AU78" s="326"/>
    </row>
    <row r="79" spans="1:47">
      <c r="A79" s="2"/>
      <c r="B79" s="2"/>
      <c r="C79" s="2"/>
      <c r="D79" s="2"/>
      <c r="E79" s="2"/>
      <c r="F79" s="2"/>
      <c r="G79" s="2"/>
      <c r="H79" s="2"/>
      <c r="I79" s="2"/>
      <c r="J7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0"/>
      <c r="AM79" s="510" t="s">
        <v>1047</v>
      </c>
      <c r="AN79" s="528" t="s">
        <v>854</v>
      </c>
      <c r="AO79" s="420" t="s">
        <v>195</v>
      </c>
      <c r="AP79" s="247">
        <f t="shared" si="7"/>
        <v>0</v>
      </c>
      <c r="AQ79" s="247">
        <f t="shared" si="7"/>
        <v>0</v>
      </c>
      <c r="AR79" s="247">
        <f t="shared" si="7"/>
        <v>0</v>
      </c>
      <c r="AS79" s="194"/>
      <c r="AT79" s="194"/>
      <c r="AU79" s="326"/>
    </row>
    <row r="80" spans="1:47">
      <c r="A80" s="2"/>
      <c r="B80" s="2"/>
      <c r="C80" s="2"/>
      <c r="D80" s="2"/>
      <c r="E80" s="2"/>
      <c r="F80" s="2"/>
      <c r="G80" s="2"/>
      <c r="H80" s="2"/>
      <c r="I80" s="2"/>
      <c r="J8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0"/>
      <c r="AM80" s="510" t="s">
        <v>1048</v>
      </c>
      <c r="AN80" s="528" t="s">
        <v>856</v>
      </c>
      <c r="AO80" s="420" t="s">
        <v>195</v>
      </c>
      <c r="AP80" s="247">
        <f t="shared" si="7"/>
        <v>0</v>
      </c>
      <c r="AQ80" s="247">
        <f t="shared" si="7"/>
        <v>0</v>
      </c>
      <c r="AR80" s="247">
        <f t="shared" si="7"/>
        <v>0</v>
      </c>
      <c r="AS80" s="194"/>
      <c r="AT80" s="194"/>
      <c r="AU80" s="326"/>
    </row>
    <row r="81" spans="1:47">
      <c r="A81" s="2"/>
      <c r="B81" s="2"/>
      <c r="C81" s="2"/>
      <c r="D81" s="2"/>
      <c r="E81" s="2"/>
      <c r="F81" s="2"/>
      <c r="G81" s="2"/>
      <c r="H81" s="2"/>
      <c r="I81" s="2"/>
      <c r="J8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0"/>
      <c r="AM81" s="510" t="s">
        <v>1049</v>
      </c>
      <c r="AN81" s="528" t="s">
        <v>858</v>
      </c>
      <c r="AO81" s="420" t="s">
        <v>195</v>
      </c>
      <c r="AP81" s="247">
        <f t="shared" si="7"/>
        <v>0</v>
      </c>
      <c r="AQ81" s="247">
        <f t="shared" si="7"/>
        <v>0</v>
      </c>
      <c r="AR81" s="247">
        <f t="shared" si="7"/>
        <v>0</v>
      </c>
      <c r="AS81" s="194"/>
      <c r="AT81" s="194"/>
      <c r="AU81" s="326"/>
    </row>
    <row r="82" spans="1:47">
      <c r="A82" s="2"/>
      <c r="B82" s="2"/>
      <c r="C82" s="2"/>
      <c r="D82" s="2"/>
      <c r="E82" s="2"/>
      <c r="F82" s="2"/>
      <c r="G82" s="2"/>
      <c r="H82" s="2"/>
      <c r="I82" s="2"/>
      <c r="J8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0"/>
      <c r="AM82" s="510" t="s">
        <v>1050</v>
      </c>
      <c r="AN82" s="528" t="s">
        <v>1040</v>
      </c>
      <c r="AO82" s="420" t="s">
        <v>195</v>
      </c>
      <c r="AP82" s="247">
        <f t="shared" si="7"/>
        <v>0</v>
      </c>
      <c r="AQ82" s="247">
        <f t="shared" si="7"/>
        <v>0</v>
      </c>
      <c r="AR82" s="247">
        <f t="shared" si="7"/>
        <v>0</v>
      </c>
      <c r="AS82" s="194"/>
      <c r="AT82" s="194"/>
      <c r="AU82" s="326"/>
    </row>
    <row r="83" spans="1:47" ht="20.399999999999999">
      <c r="A83" s="2"/>
      <c r="B83" s="2"/>
      <c r="C83" s="2"/>
      <c r="D83" s="2"/>
      <c r="E83" s="2"/>
      <c r="F83" s="2"/>
      <c r="G83" s="2"/>
      <c r="H83" s="2"/>
      <c r="I83" s="2"/>
      <c r="J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0"/>
      <c r="AM83" s="510" t="s">
        <v>907</v>
      </c>
      <c r="AN83" s="527" t="s">
        <v>906</v>
      </c>
      <c r="AO83" s="420" t="s">
        <v>195</v>
      </c>
      <c r="AP83" s="247">
        <f t="shared" si="7"/>
        <v>0</v>
      </c>
      <c r="AQ83" s="247">
        <f t="shared" si="7"/>
        <v>0</v>
      </c>
      <c r="AR83" s="247">
        <f t="shared" si="7"/>
        <v>0</v>
      </c>
      <c r="AS83" s="194"/>
      <c r="AT83" s="194"/>
      <c r="AU83" s="326"/>
    </row>
    <row r="84" spans="1:47">
      <c r="A84" s="2"/>
      <c r="B84" s="2"/>
      <c r="C84" s="2"/>
      <c r="D84" s="2"/>
      <c r="E84" s="2"/>
      <c r="F84" s="2"/>
      <c r="G84" s="2"/>
      <c r="H84" s="2"/>
      <c r="I84" s="2"/>
      <c r="J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0"/>
      <c r="AM84" s="510" t="s">
        <v>1051</v>
      </c>
      <c r="AN84" s="528" t="s">
        <v>852</v>
      </c>
      <c r="AO84" s="420" t="s">
        <v>195</v>
      </c>
      <c r="AP84" s="247">
        <f t="shared" si="7"/>
        <v>0</v>
      </c>
      <c r="AQ84" s="247">
        <f t="shared" si="7"/>
        <v>0</v>
      </c>
      <c r="AR84" s="247">
        <f t="shared" si="7"/>
        <v>0</v>
      </c>
      <c r="AS84" s="194"/>
      <c r="AT84" s="194"/>
      <c r="AU84" s="326"/>
    </row>
    <row r="85" spans="1:47">
      <c r="A85" s="2"/>
      <c r="B85" s="2"/>
      <c r="C85" s="2"/>
      <c r="D85" s="2"/>
      <c r="E85" s="2"/>
      <c r="F85" s="2"/>
      <c r="G85" s="2"/>
      <c r="H85" s="2"/>
      <c r="I85" s="2"/>
      <c r="J8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0"/>
      <c r="AM85" s="510" t="s">
        <v>1052</v>
      </c>
      <c r="AN85" s="528" t="s">
        <v>854</v>
      </c>
      <c r="AO85" s="420" t="s">
        <v>195</v>
      </c>
      <c r="AP85" s="247">
        <f t="shared" si="7"/>
        <v>0</v>
      </c>
      <c r="AQ85" s="247">
        <f t="shared" si="7"/>
        <v>0</v>
      </c>
      <c r="AR85" s="247">
        <f t="shared" si="7"/>
        <v>0</v>
      </c>
      <c r="AS85" s="194"/>
      <c r="AT85" s="194"/>
      <c r="AU85" s="326"/>
    </row>
    <row r="86" spans="1:47">
      <c r="A86" s="2"/>
      <c r="B86" s="2"/>
      <c r="C86" s="2"/>
      <c r="D86" s="2"/>
      <c r="E86" s="2"/>
      <c r="F86" s="2"/>
      <c r="G86" s="2"/>
      <c r="H86" s="2"/>
      <c r="I86" s="2"/>
      <c r="J8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0"/>
      <c r="AM86" s="510" t="s">
        <v>1053</v>
      </c>
      <c r="AN86" s="528" t="s">
        <v>856</v>
      </c>
      <c r="AO86" s="420" t="s">
        <v>195</v>
      </c>
      <c r="AP86" s="247">
        <f t="shared" si="7"/>
        <v>0</v>
      </c>
      <c r="AQ86" s="247">
        <f t="shared" si="7"/>
        <v>0</v>
      </c>
      <c r="AR86" s="247">
        <f t="shared" si="7"/>
        <v>0</v>
      </c>
      <c r="AS86" s="194"/>
      <c r="AT86" s="194"/>
      <c r="AU86" s="326"/>
    </row>
    <row r="87" spans="1:47">
      <c r="A87" s="2"/>
      <c r="B87" s="2"/>
      <c r="C87" s="2"/>
      <c r="D87" s="2"/>
      <c r="E87" s="2"/>
      <c r="F87" s="2"/>
      <c r="G87" s="2"/>
      <c r="H87" s="2"/>
      <c r="I87" s="2"/>
      <c r="J8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0"/>
      <c r="AM87" s="510" t="s">
        <v>1054</v>
      </c>
      <c r="AN87" s="528" t="s">
        <v>858</v>
      </c>
      <c r="AO87" s="420" t="s">
        <v>195</v>
      </c>
      <c r="AP87" s="247">
        <f t="shared" si="7"/>
        <v>0</v>
      </c>
      <c r="AQ87" s="247">
        <f t="shared" si="7"/>
        <v>0</v>
      </c>
      <c r="AR87" s="247">
        <f t="shared" si="7"/>
        <v>0</v>
      </c>
      <c r="AS87" s="194"/>
      <c r="AT87" s="194"/>
      <c r="AU87" s="326"/>
    </row>
    <row r="88" spans="1:47">
      <c r="A88" s="2"/>
      <c r="B88" s="2"/>
      <c r="C88" s="2"/>
      <c r="D88" s="2"/>
      <c r="E88" s="2"/>
      <c r="F88" s="2"/>
      <c r="G88" s="2"/>
      <c r="H88" s="2"/>
      <c r="I88" s="2"/>
      <c r="J88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0"/>
      <c r="AM88" s="510" t="s">
        <v>1055</v>
      </c>
      <c r="AN88" s="528" t="s">
        <v>1040</v>
      </c>
      <c r="AO88" s="420" t="s">
        <v>195</v>
      </c>
      <c r="AP88" s="247">
        <f t="shared" si="7"/>
        <v>0</v>
      </c>
      <c r="AQ88" s="247">
        <f t="shared" si="7"/>
        <v>0</v>
      </c>
      <c r="AR88" s="247">
        <f t="shared" si="7"/>
        <v>0</v>
      </c>
      <c r="AS88" s="194"/>
      <c r="AT88" s="194"/>
      <c r="AU88" s="326"/>
    </row>
    <row r="89" spans="1:47">
      <c r="A89" s="2"/>
      <c r="B89" s="2"/>
      <c r="C89" s="2"/>
      <c r="D89" s="2"/>
      <c r="E89" s="2"/>
      <c r="F89" s="2"/>
      <c r="G89" s="2"/>
      <c r="H89" s="2"/>
      <c r="I89" s="2"/>
      <c r="J8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0"/>
      <c r="AM89" s="509" t="s">
        <v>703</v>
      </c>
      <c r="AN89" s="526" t="s">
        <v>908</v>
      </c>
      <c r="AO89" s="420" t="s">
        <v>195</v>
      </c>
      <c r="AP89" s="247">
        <f t="shared" si="7"/>
        <v>0</v>
      </c>
      <c r="AQ89" s="247">
        <f t="shared" si="7"/>
        <v>0</v>
      </c>
      <c r="AR89" s="247">
        <f t="shared" si="7"/>
        <v>0</v>
      </c>
      <c r="AS89" s="194"/>
      <c r="AT89" s="194"/>
      <c r="AU89" s="326"/>
    </row>
    <row r="90" spans="1:47">
      <c r="A90" s="2"/>
      <c r="B90" s="2"/>
      <c r="C90" s="2"/>
      <c r="D90" s="2"/>
      <c r="E90" s="2"/>
      <c r="F90" s="2"/>
      <c r="G90" s="2"/>
      <c r="H90" s="2"/>
      <c r="I90" s="2"/>
      <c r="J90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0"/>
      <c r="AM90" s="509" t="s">
        <v>695</v>
      </c>
      <c r="AN90" s="526" t="s">
        <v>909</v>
      </c>
      <c r="AO90" s="420" t="s">
        <v>195</v>
      </c>
      <c r="AP90" s="247">
        <f t="shared" si="7"/>
        <v>0</v>
      </c>
      <c r="AQ90" s="247">
        <f t="shared" si="7"/>
        <v>0</v>
      </c>
      <c r="AR90" s="247">
        <f t="shared" si="7"/>
        <v>0</v>
      </c>
      <c r="AS90" s="194"/>
      <c r="AT90" s="194"/>
      <c r="AU90" s="326"/>
    </row>
    <row r="91" spans="1:47">
      <c r="A91" s="2"/>
      <c r="B91" s="2"/>
      <c r="C91" s="2"/>
      <c r="D91" s="2"/>
      <c r="E91" s="2"/>
      <c r="F91" s="2"/>
      <c r="G91" s="2"/>
      <c r="H91" s="2"/>
      <c r="I91" s="2"/>
      <c r="J9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0"/>
      <c r="AM91" s="509" t="s">
        <v>696</v>
      </c>
      <c r="AN91" s="526" t="s">
        <v>910</v>
      </c>
      <c r="AO91" s="420" t="s">
        <v>195</v>
      </c>
      <c r="AP91" s="247">
        <f t="shared" si="7"/>
        <v>0</v>
      </c>
      <c r="AQ91" s="247">
        <f t="shared" si="7"/>
        <v>0</v>
      </c>
      <c r="AR91" s="247">
        <f t="shared" si="7"/>
        <v>0</v>
      </c>
      <c r="AS91" s="194"/>
      <c r="AT91" s="194"/>
      <c r="AU91" s="326"/>
    </row>
    <row r="92" spans="1:47" ht="0.75" hidden="1" customHeight="1">
      <c r="AK92" s="2"/>
      <c r="AL92" s="20"/>
      <c r="AM92" s="532"/>
      <c r="AN92" s="533"/>
      <c r="AO92" s="422"/>
      <c r="AP92" s="142"/>
      <c r="AQ92" s="142"/>
      <c r="AR92" s="142"/>
      <c r="AS92" s="194"/>
      <c r="AT92" s="194"/>
    </row>
    <row r="93" spans="1:47" ht="0.75" hidden="1" customHeight="1">
      <c r="AK93" s="2"/>
      <c r="AL93" s="20"/>
      <c r="AM93" s="532"/>
      <c r="AN93" s="533"/>
      <c r="AO93" s="422"/>
      <c r="AP93" s="142"/>
      <c r="AQ93" s="142"/>
      <c r="AR93" s="142"/>
      <c r="AS93" s="194"/>
      <c r="AT93" s="194"/>
    </row>
    <row r="94" spans="1:47" ht="0.75" hidden="1" customHeight="1">
      <c r="AK94" s="2"/>
      <c r="AL94" s="20"/>
      <c r="AM94" s="532"/>
      <c r="AN94" s="533"/>
      <c r="AO94" s="422"/>
      <c r="AP94" s="142"/>
      <c r="AQ94" s="142"/>
      <c r="AR94" s="142"/>
      <c r="AS94" s="194"/>
      <c r="AT94" s="194"/>
    </row>
    <row r="95" spans="1:47" ht="0.75" hidden="1" customHeight="1">
      <c r="AK95" s="2"/>
      <c r="AL95" s="20"/>
      <c r="AM95" s="532"/>
      <c r="AN95" s="533"/>
      <c r="AO95" s="422"/>
      <c r="AP95" s="142"/>
      <c r="AQ95" s="142"/>
      <c r="AR95" s="142"/>
      <c r="AS95" s="194"/>
      <c r="AT95" s="194"/>
    </row>
    <row r="96" spans="1:47">
      <c r="AK96" s="2"/>
      <c r="AL96" s="20"/>
      <c r="AM96" s="509" t="s">
        <v>911</v>
      </c>
      <c r="AN96" s="526" t="s">
        <v>912</v>
      </c>
      <c r="AO96" s="420" t="s">
        <v>195</v>
      </c>
      <c r="AP96" s="247">
        <f>SUMIF($AS$9:$AT$9,AP$9,$AS96:$AT96)</f>
        <v>0</v>
      </c>
      <c r="AQ96" s="247">
        <f>SUMIF($AS$9:$AT$9,AQ$9,$AS96:$AT96)</f>
        <v>0</v>
      </c>
      <c r="AR96" s="247">
        <f>SUMIF($AS$9:$AT$9,AR$9,$AS96:$AT96)</f>
        <v>0</v>
      </c>
      <c r="AS96" s="194"/>
      <c r="AT96" s="194"/>
      <c r="AU96" s="326"/>
    </row>
    <row r="97" spans="1:47">
      <c r="AK97" s="2"/>
      <c r="AL97" s="20"/>
      <c r="AM97" s="509" t="s">
        <v>913</v>
      </c>
      <c r="AN97" s="531" t="s">
        <v>914</v>
      </c>
      <c r="AO97" s="420" t="s">
        <v>397</v>
      </c>
      <c r="AP97" s="247">
        <f>IF(AP98=0,0,AP96/AP98)</f>
        <v>0</v>
      </c>
      <c r="AQ97" s="247">
        <f>IF(AQ98=0,0,AQ96/AQ98)</f>
        <v>0</v>
      </c>
      <c r="AR97" s="247">
        <f>IF(AR98=0,0,AR96/AR98)</f>
        <v>0</v>
      </c>
      <c r="AS97" s="194"/>
      <c r="AT97" s="194"/>
      <c r="AU97" s="326"/>
    </row>
    <row r="98" spans="1:47">
      <c r="AK98" s="2"/>
      <c r="AL98" s="20"/>
      <c r="AM98" s="509" t="s">
        <v>915</v>
      </c>
      <c r="AN98" s="531" t="s">
        <v>283</v>
      </c>
      <c r="AO98" s="417" t="s">
        <v>1026</v>
      </c>
      <c r="AP98" s="247">
        <f>SUMIF($AS$9:$AT$9,AP$9,$AS98:$AT98)</f>
        <v>0</v>
      </c>
      <c r="AQ98" s="247">
        <f>SUMIF($AS$9:$AT$9,AQ$9,$AS98:$AT98)</f>
        <v>0</v>
      </c>
      <c r="AR98" s="247">
        <f>SUMIF($AS$9:$AT$9,AR$9,$AS98:$AT98)</f>
        <v>0</v>
      </c>
      <c r="AS98" s="194"/>
      <c r="AT98" s="194"/>
      <c r="AU98" s="326"/>
    </row>
    <row r="99" spans="1:47" ht="0.75" hidden="1" customHeight="1">
      <c r="AK99" s="2"/>
      <c r="AL99" s="20"/>
      <c r="AM99" s="532"/>
      <c r="AN99" s="533"/>
      <c r="AO99" s="422"/>
      <c r="AP99" s="142"/>
      <c r="AQ99" s="142"/>
      <c r="AR99" s="142"/>
      <c r="AS99" s="194"/>
      <c r="AT99" s="194"/>
    </row>
    <row r="100" spans="1:47" ht="0.75" hidden="1" customHeight="1">
      <c r="AK100" s="2"/>
      <c r="AL100" s="20"/>
      <c r="AM100" s="532"/>
      <c r="AN100" s="533"/>
      <c r="AO100" s="422"/>
      <c r="AP100" s="142"/>
      <c r="AQ100" s="142"/>
      <c r="AR100" s="142"/>
      <c r="AS100" s="194"/>
      <c r="AT100" s="194"/>
    </row>
    <row r="101" spans="1:47" ht="0.75" hidden="1" customHeight="1">
      <c r="AK101" s="2"/>
      <c r="AL101" s="20"/>
      <c r="AM101" s="532"/>
      <c r="AN101" s="533"/>
      <c r="AO101" s="422"/>
      <c r="AP101" s="142"/>
      <c r="AQ101" s="142"/>
      <c r="AR101" s="142"/>
      <c r="AS101" s="194"/>
      <c r="AT101" s="194"/>
    </row>
    <row r="102" spans="1:47" ht="0.75" hidden="1" customHeight="1">
      <c r="AK102" s="2"/>
      <c r="AL102" s="20"/>
      <c r="AM102" s="532"/>
      <c r="AN102" s="533"/>
      <c r="AO102" s="422"/>
      <c r="AP102" s="142"/>
      <c r="AQ102" s="142"/>
      <c r="AR102" s="142"/>
      <c r="AS102" s="194"/>
      <c r="AT102" s="194"/>
    </row>
    <row r="103" spans="1:47" ht="0.75" hidden="1" customHeight="1">
      <c r="AK103" s="2"/>
      <c r="AL103" s="20"/>
      <c r="AM103" s="532"/>
      <c r="AN103" s="533"/>
      <c r="AO103" s="422"/>
      <c r="AP103" s="142"/>
      <c r="AQ103" s="142"/>
      <c r="AR103" s="142"/>
      <c r="AS103" s="194"/>
      <c r="AT103" s="194"/>
    </row>
    <row r="104" spans="1:47" ht="0.75" hidden="1" customHeight="1">
      <c r="AK104" s="2"/>
      <c r="AL104" s="20"/>
      <c r="AM104" s="532"/>
      <c r="AN104" s="533"/>
      <c r="AO104" s="422"/>
      <c r="AP104" s="142"/>
      <c r="AQ104" s="142"/>
      <c r="AR104" s="142"/>
      <c r="AS104" s="194"/>
      <c r="AT104" s="194"/>
    </row>
    <row r="105" spans="1:47" ht="0.75" hidden="1" customHeight="1">
      <c r="AK105" s="2"/>
      <c r="AL105" s="20"/>
      <c r="AM105" s="532"/>
      <c r="AN105" s="533"/>
      <c r="AO105" s="422"/>
      <c r="AP105" s="142"/>
      <c r="AQ105" s="142"/>
      <c r="AR105" s="142"/>
      <c r="AS105" s="194"/>
      <c r="AT105" s="194"/>
    </row>
    <row r="106" spans="1:47" ht="51">
      <c r="A106" s="2"/>
      <c r="B106" s="2"/>
      <c r="C106" s="2"/>
      <c r="D106" s="2"/>
      <c r="E106" s="2"/>
      <c r="F106" s="2"/>
      <c r="G106" s="2"/>
      <c r="H106" s="2"/>
      <c r="I106" s="2"/>
      <c r="J10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0"/>
      <c r="AM106" s="509" t="s">
        <v>705</v>
      </c>
      <c r="AN106" s="525" t="s">
        <v>916</v>
      </c>
      <c r="AO106" s="420" t="s">
        <v>195</v>
      </c>
      <c r="AP106" s="247">
        <f t="shared" ref="AP106:AR109" si="8">SUMIF($AS$9:$AT$9,AP$9,$AS106:$AT106)</f>
        <v>0</v>
      </c>
      <c r="AQ106" s="247">
        <f t="shared" si="8"/>
        <v>0</v>
      </c>
      <c r="AR106" s="247">
        <f t="shared" si="8"/>
        <v>0</v>
      </c>
      <c r="AS106" s="194"/>
      <c r="AT106" s="194"/>
      <c r="AU106" s="326"/>
    </row>
    <row r="107" spans="1:47" ht="30.6">
      <c r="A107" s="2"/>
      <c r="B107" s="2"/>
      <c r="C107" s="2"/>
      <c r="D107" s="2"/>
      <c r="E107" s="2"/>
      <c r="F107" s="2"/>
      <c r="G107" s="2"/>
      <c r="H107" s="2"/>
      <c r="I107" s="2"/>
      <c r="J10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0"/>
      <c r="AM107" s="509" t="s">
        <v>917</v>
      </c>
      <c r="AN107" s="525" t="s">
        <v>918</v>
      </c>
      <c r="AO107" s="420" t="s">
        <v>195</v>
      </c>
      <c r="AP107" s="247">
        <f t="shared" si="8"/>
        <v>0</v>
      </c>
      <c r="AQ107" s="247">
        <f t="shared" si="8"/>
        <v>0</v>
      </c>
      <c r="AR107" s="247">
        <f t="shared" si="8"/>
        <v>0</v>
      </c>
      <c r="AS107" s="194"/>
      <c r="AT107" s="194"/>
      <c r="AU107" s="326"/>
    </row>
    <row r="108" spans="1:47" ht="20.399999999999999">
      <c r="A108" s="2"/>
      <c r="B108" s="2"/>
      <c r="C108" s="2"/>
      <c r="D108" s="2"/>
      <c r="E108" s="2"/>
      <c r="F108" s="2"/>
      <c r="G108" s="2"/>
      <c r="H108" s="2"/>
      <c r="I108" s="2"/>
      <c r="J108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0"/>
      <c r="AM108" s="509" t="s">
        <v>521</v>
      </c>
      <c r="AN108" s="526" t="s">
        <v>919</v>
      </c>
      <c r="AO108" s="420" t="s">
        <v>195</v>
      </c>
      <c r="AP108" s="247">
        <f t="shared" si="8"/>
        <v>0</v>
      </c>
      <c r="AQ108" s="247">
        <f t="shared" si="8"/>
        <v>0</v>
      </c>
      <c r="AR108" s="247">
        <f t="shared" si="8"/>
        <v>0</v>
      </c>
      <c r="AS108" s="194"/>
      <c r="AT108" s="194"/>
      <c r="AU108" s="326"/>
    </row>
    <row r="109" spans="1:47" ht="20.399999999999999">
      <c r="A109" s="2"/>
      <c r="B109" s="2"/>
      <c r="C109" s="2"/>
      <c r="D109" s="2"/>
      <c r="E109" s="2"/>
      <c r="F109" s="2"/>
      <c r="G109" s="2"/>
      <c r="H109" s="2"/>
      <c r="I109" s="2"/>
      <c r="J10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0"/>
      <c r="AM109" s="510" t="s">
        <v>920</v>
      </c>
      <c r="AN109" s="534" t="s">
        <v>921</v>
      </c>
      <c r="AO109" s="420" t="s">
        <v>289</v>
      </c>
      <c r="AP109" s="247">
        <f t="shared" si="8"/>
        <v>0</v>
      </c>
      <c r="AQ109" s="247">
        <f t="shared" si="8"/>
        <v>0</v>
      </c>
      <c r="AR109" s="247">
        <f t="shared" si="8"/>
        <v>0</v>
      </c>
      <c r="AS109" s="142"/>
      <c r="AT109" s="194"/>
    </row>
    <row r="110" spans="1:47" ht="20.399999999999999">
      <c r="A110" s="2"/>
      <c r="B110" s="2"/>
      <c r="C110" s="2"/>
      <c r="D110" s="2"/>
      <c r="E110" s="2"/>
      <c r="F110" s="2"/>
      <c r="G110" s="2"/>
      <c r="H110" s="2"/>
      <c r="I110" s="2"/>
      <c r="J110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0"/>
      <c r="AM110" s="510" t="s">
        <v>922</v>
      </c>
      <c r="AN110" s="535" t="s">
        <v>1031</v>
      </c>
      <c r="AO110" s="420" t="s">
        <v>29</v>
      </c>
      <c r="AP110" s="244">
        <f>IF(AP109=0,0,AP108/AP109*1000/AP$6)</f>
        <v>0</v>
      </c>
      <c r="AQ110" s="244">
        <f>IF(AQ109=0,0,AQ108/AQ109*1000/AQ$6)</f>
        <v>0</v>
      </c>
      <c r="AR110" s="244">
        <f>IF(AR109=0,0,AR108/AR109*1000/AR$6)</f>
        <v>0</v>
      </c>
      <c r="AS110" s="142"/>
      <c r="AT110" s="194"/>
    </row>
    <row r="111" spans="1:47" ht="30.6">
      <c r="A111" s="2"/>
      <c r="B111" s="2"/>
      <c r="C111" s="2"/>
      <c r="D111" s="2"/>
      <c r="E111" s="2"/>
      <c r="F111" s="2"/>
      <c r="G111" s="2"/>
      <c r="H111" s="2"/>
      <c r="I111" s="2"/>
      <c r="J1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0"/>
      <c r="AM111" s="510" t="s">
        <v>923</v>
      </c>
      <c r="AN111" s="536" t="s">
        <v>1033</v>
      </c>
      <c r="AO111" s="420" t="s">
        <v>289</v>
      </c>
      <c r="AP111" s="247">
        <f t="shared" ref="AP111:AR112" si="9">SUMIF($AS$9:$AT$9,AP$9,$AS111:$AT111)</f>
        <v>0</v>
      </c>
      <c r="AQ111" s="247">
        <f t="shared" si="9"/>
        <v>0</v>
      </c>
      <c r="AR111" s="247">
        <f t="shared" si="9"/>
        <v>0</v>
      </c>
      <c r="AS111" s="142"/>
      <c r="AT111" s="194"/>
    </row>
    <row r="112" spans="1:47" ht="30.6">
      <c r="A112" s="2"/>
      <c r="B112" s="2"/>
      <c r="C112" s="2"/>
      <c r="D112" s="2"/>
      <c r="E112" s="2"/>
      <c r="F112" s="2"/>
      <c r="G112" s="2"/>
      <c r="H112" s="2"/>
      <c r="I112" s="2"/>
      <c r="J11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0"/>
      <c r="AM112" s="510" t="s">
        <v>924</v>
      </c>
      <c r="AN112" s="537" t="s">
        <v>1032</v>
      </c>
      <c r="AO112" s="420" t="s">
        <v>289</v>
      </c>
      <c r="AP112" s="247">
        <f t="shared" si="9"/>
        <v>0</v>
      </c>
      <c r="AQ112" s="247">
        <f t="shared" si="9"/>
        <v>0</v>
      </c>
      <c r="AR112" s="247">
        <f t="shared" si="9"/>
        <v>0</v>
      </c>
      <c r="AS112" s="142"/>
      <c r="AT112" s="194"/>
    </row>
    <row r="113" spans="1:47">
      <c r="A113" s="2"/>
      <c r="B113" s="2"/>
      <c r="C113" s="2"/>
      <c r="D113" s="2"/>
      <c r="E113" s="2"/>
      <c r="F113" s="2"/>
      <c r="G113" s="2"/>
      <c r="H113" s="2"/>
      <c r="I113" s="2"/>
      <c r="J1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0"/>
      <c r="AM113" s="510" t="s">
        <v>925</v>
      </c>
      <c r="AN113" s="527" t="s">
        <v>33</v>
      </c>
      <c r="AO113" s="420" t="s">
        <v>29</v>
      </c>
      <c r="AP113" s="142"/>
      <c r="AQ113" s="142"/>
      <c r="AR113" s="142"/>
      <c r="AS113" s="142"/>
      <c r="AT113" s="194"/>
    </row>
    <row r="114" spans="1:47">
      <c r="A114" s="2"/>
      <c r="B114" s="2"/>
      <c r="C114" s="2"/>
      <c r="D114" s="2"/>
      <c r="E114" s="2"/>
      <c r="F114" s="2"/>
      <c r="G114" s="2"/>
      <c r="H114" s="2"/>
      <c r="I114" s="2"/>
      <c r="J11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0"/>
      <c r="AM114" s="510" t="s">
        <v>926</v>
      </c>
      <c r="AN114" s="538" t="s">
        <v>927</v>
      </c>
      <c r="AO114" s="420"/>
      <c r="AP114" s="142"/>
      <c r="AQ114" s="142"/>
      <c r="AR114" s="142"/>
      <c r="AS114" s="142"/>
      <c r="AT114" s="194"/>
    </row>
    <row r="115" spans="1:47" ht="20.399999999999999">
      <c r="A115" s="2"/>
      <c r="B115" s="2"/>
      <c r="C115" s="2"/>
      <c r="D115" s="2"/>
      <c r="E115" s="2"/>
      <c r="F115" s="2"/>
      <c r="G115" s="2"/>
      <c r="H115" s="2"/>
      <c r="I115" s="2"/>
      <c r="J11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0"/>
      <c r="AM115" s="510" t="s">
        <v>928</v>
      </c>
      <c r="AN115" s="527" t="s">
        <v>929</v>
      </c>
      <c r="AO115" s="420" t="s">
        <v>29</v>
      </c>
      <c r="AP115" s="142"/>
      <c r="AQ115" s="142"/>
      <c r="AR115" s="142"/>
      <c r="AS115" s="142"/>
      <c r="AT115" s="194"/>
    </row>
    <row r="116" spans="1:47">
      <c r="A116" s="2"/>
      <c r="B116" s="2"/>
      <c r="C116" s="2"/>
      <c r="D116" s="2"/>
      <c r="E116" s="2"/>
      <c r="F116" s="2"/>
      <c r="G116" s="2"/>
      <c r="H116" s="2"/>
      <c r="I116" s="2"/>
      <c r="J11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0"/>
      <c r="AM116" s="510" t="s">
        <v>930</v>
      </c>
      <c r="AN116" s="539" t="s">
        <v>931</v>
      </c>
      <c r="AO116" s="420"/>
      <c r="AP116" s="142"/>
      <c r="AQ116" s="142"/>
      <c r="AR116" s="142"/>
      <c r="AS116" s="142"/>
      <c r="AT116" s="194"/>
    </row>
    <row r="117" spans="1:47">
      <c r="A117" s="2"/>
      <c r="B117" s="2"/>
      <c r="C117" s="2"/>
      <c r="D117" s="2"/>
      <c r="E117" s="2"/>
      <c r="F117" s="2"/>
      <c r="G117" s="2"/>
      <c r="H117" s="2"/>
      <c r="I117" s="2"/>
      <c r="J11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0"/>
      <c r="AM117" s="510" t="s">
        <v>932</v>
      </c>
      <c r="AN117" s="540" t="s">
        <v>933</v>
      </c>
      <c r="AO117" s="420" t="s">
        <v>29</v>
      </c>
      <c r="AP117" s="142"/>
      <c r="AQ117" s="142"/>
      <c r="AR117" s="142"/>
      <c r="AS117" s="142"/>
      <c r="AT117" s="194"/>
    </row>
    <row r="118" spans="1:47" ht="20.399999999999999">
      <c r="A118" s="2"/>
      <c r="B118" s="2"/>
      <c r="C118" s="2"/>
      <c r="D118" s="2"/>
      <c r="E118" s="2"/>
      <c r="F118" s="2"/>
      <c r="G118" s="2"/>
      <c r="H118" s="2"/>
      <c r="I118" s="2"/>
      <c r="J118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0"/>
      <c r="AM118" s="510" t="s">
        <v>934</v>
      </c>
      <c r="AN118" s="541" t="s">
        <v>935</v>
      </c>
      <c r="AO118" s="420" t="s">
        <v>29</v>
      </c>
      <c r="AP118" s="142"/>
      <c r="AQ118" s="142"/>
      <c r="AR118" s="142"/>
      <c r="AS118" s="142"/>
      <c r="AT118" s="194"/>
    </row>
    <row r="119" spans="1:47" ht="20.399999999999999">
      <c r="A119" s="2"/>
      <c r="B119" s="2"/>
      <c r="C119" s="2"/>
      <c r="D119" s="2"/>
      <c r="E119" s="2"/>
      <c r="F119" s="2"/>
      <c r="G119" s="2"/>
      <c r="H119" s="2"/>
      <c r="I119" s="2"/>
      <c r="J11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0"/>
      <c r="AM119" s="509" t="s">
        <v>522</v>
      </c>
      <c r="AN119" s="542" t="s">
        <v>936</v>
      </c>
      <c r="AO119" s="420" t="s">
        <v>195</v>
      </c>
      <c r="AP119" s="247">
        <f t="shared" ref="AP119:AR125" si="10">SUMIF($AS$9:$AT$9,AP$9,$AS119:$AT119)</f>
        <v>0</v>
      </c>
      <c r="AQ119" s="247">
        <f t="shared" si="10"/>
        <v>0</v>
      </c>
      <c r="AR119" s="247">
        <f t="shared" si="10"/>
        <v>0</v>
      </c>
      <c r="AS119" s="194"/>
      <c r="AT119" s="194"/>
      <c r="AU119" s="326"/>
    </row>
    <row r="120" spans="1:47" ht="30.6">
      <c r="A120" s="2"/>
      <c r="B120" s="2"/>
      <c r="C120" s="2"/>
      <c r="D120" s="2"/>
      <c r="E120" s="2"/>
      <c r="F120" s="2"/>
      <c r="G120" s="2"/>
      <c r="H120" s="2"/>
      <c r="I120" s="2"/>
      <c r="J120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0"/>
      <c r="AM120" s="509" t="s">
        <v>937</v>
      </c>
      <c r="AN120" s="543" t="s">
        <v>1901</v>
      </c>
      <c r="AO120" s="420" t="s">
        <v>195</v>
      </c>
      <c r="AP120" s="247">
        <f t="shared" si="10"/>
        <v>0</v>
      </c>
      <c r="AQ120" s="247">
        <f t="shared" si="10"/>
        <v>0</v>
      </c>
      <c r="AR120" s="247">
        <f t="shared" si="10"/>
        <v>0</v>
      </c>
      <c r="AS120" s="194"/>
      <c r="AT120" s="194"/>
      <c r="AU120" s="326"/>
    </row>
    <row r="121" spans="1:47">
      <c r="A121" s="2"/>
      <c r="B121" s="2"/>
      <c r="C121" s="2"/>
      <c r="D121" s="2"/>
      <c r="E121" s="2"/>
      <c r="F121" s="2"/>
      <c r="G121" s="2"/>
      <c r="H121" s="2"/>
      <c r="I121" s="2"/>
      <c r="J12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0"/>
      <c r="AM121" s="509" t="s">
        <v>938</v>
      </c>
      <c r="AN121" s="523" t="s">
        <v>939</v>
      </c>
      <c r="AO121" s="420" t="s">
        <v>195</v>
      </c>
      <c r="AP121" s="247">
        <f t="shared" si="10"/>
        <v>0</v>
      </c>
      <c r="AQ121" s="247">
        <f t="shared" si="10"/>
        <v>0</v>
      </c>
      <c r="AR121" s="247">
        <f t="shared" si="10"/>
        <v>0</v>
      </c>
      <c r="AS121" s="194"/>
      <c r="AT121" s="194"/>
      <c r="AU121" s="326"/>
    </row>
    <row r="122" spans="1:47">
      <c r="A122" s="2"/>
      <c r="B122" s="2"/>
      <c r="C122" s="2"/>
      <c r="D122" s="2"/>
      <c r="E122" s="2"/>
      <c r="F122" s="2"/>
      <c r="G122" s="2"/>
      <c r="H122" s="2"/>
      <c r="I122" s="2"/>
      <c r="J1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0"/>
      <c r="AM122" s="509" t="s">
        <v>940</v>
      </c>
      <c r="AN122" s="523" t="s">
        <v>941</v>
      </c>
      <c r="AO122" s="420" t="s">
        <v>195</v>
      </c>
      <c r="AP122" s="247">
        <f t="shared" si="10"/>
        <v>0</v>
      </c>
      <c r="AQ122" s="247">
        <f t="shared" si="10"/>
        <v>0</v>
      </c>
      <c r="AR122" s="247">
        <f t="shared" si="10"/>
        <v>0</v>
      </c>
      <c r="AS122" s="194"/>
      <c r="AT122" s="194"/>
      <c r="AU122" s="326"/>
    </row>
    <row r="123" spans="1:47">
      <c r="A123" s="2"/>
      <c r="B123" s="2"/>
      <c r="C123" s="2"/>
      <c r="D123" s="2"/>
      <c r="E123" s="2"/>
      <c r="F123" s="2"/>
      <c r="G123" s="2"/>
      <c r="H123" s="2"/>
      <c r="I123" s="2"/>
      <c r="J12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0"/>
      <c r="AM123" s="509" t="s">
        <v>942</v>
      </c>
      <c r="AN123" s="544" t="s">
        <v>943</v>
      </c>
      <c r="AO123" s="420" t="s">
        <v>195</v>
      </c>
      <c r="AP123" s="247">
        <f t="shared" si="10"/>
        <v>0</v>
      </c>
      <c r="AQ123" s="247">
        <f t="shared" si="10"/>
        <v>0</v>
      </c>
      <c r="AR123" s="247">
        <f t="shared" si="10"/>
        <v>0</v>
      </c>
      <c r="AS123" s="194"/>
      <c r="AT123" s="194"/>
      <c r="AU123" s="326"/>
    </row>
    <row r="124" spans="1:47">
      <c r="A124" s="2"/>
      <c r="B124" s="2"/>
      <c r="C124" s="2"/>
      <c r="D124" s="2"/>
      <c r="E124" s="2"/>
      <c r="F124" s="2"/>
      <c r="G124" s="2"/>
      <c r="H124" s="2"/>
      <c r="I124" s="2"/>
      <c r="J12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0"/>
      <c r="AM124" s="510" t="str">
        <f>IF(TEMPLATE_SPHERE_CODE="COLDVSNA","1.7.2",IF(TEMPLATE_SPHERE_CODE="VOTV","1.7.2",""))</f>
        <v/>
      </c>
      <c r="AN124" s="545" t="str">
        <f>IF(TEMPLATE_SPHERE_CODE="COLDVSNA","Контроль качества воды",IF(TEMPLATE_SPHERE_CODE="VOTV","Контроль сточных вод",""))</f>
        <v/>
      </c>
      <c r="AO124" s="420" t="s">
        <v>195</v>
      </c>
      <c r="AP124" s="247">
        <f t="shared" si="10"/>
        <v>0</v>
      </c>
      <c r="AQ124" s="247">
        <f t="shared" si="10"/>
        <v>0</v>
      </c>
      <c r="AR124" s="247">
        <f t="shared" si="10"/>
        <v>0</v>
      </c>
      <c r="AS124" s="194"/>
      <c r="AT124" s="194"/>
      <c r="AU124" s="326"/>
    </row>
    <row r="125" spans="1:47">
      <c r="A125" s="2"/>
      <c r="B125" s="2"/>
      <c r="C125" s="2"/>
      <c r="D125" s="2"/>
      <c r="E125" s="2"/>
      <c r="F125" s="2"/>
      <c r="G125" s="2"/>
      <c r="H125" s="2"/>
      <c r="I125" s="2"/>
      <c r="J1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0"/>
      <c r="AM125" s="509" t="s">
        <v>944</v>
      </c>
      <c r="AN125" s="544" t="s">
        <v>945</v>
      </c>
      <c r="AO125" s="420" t="s">
        <v>195</v>
      </c>
      <c r="AP125" s="247">
        <f t="shared" si="10"/>
        <v>0</v>
      </c>
      <c r="AQ125" s="247">
        <f t="shared" si="10"/>
        <v>0</v>
      </c>
      <c r="AR125" s="247">
        <f t="shared" si="10"/>
        <v>0</v>
      </c>
      <c r="AS125" s="194"/>
      <c r="AT125" s="194"/>
      <c r="AU125" s="326"/>
    </row>
    <row r="126" spans="1:47" ht="11.25" customHeight="1">
      <c r="A126" s="2"/>
      <c r="B126" s="2"/>
      <c r="C126" s="2"/>
      <c r="D126" s="2"/>
      <c r="E126" s="2"/>
      <c r="F126" s="2"/>
      <c r="G126" s="2"/>
      <c r="H126" s="2"/>
      <c r="I126" s="2"/>
      <c r="J12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0"/>
      <c r="AM126" s="510" t="str">
        <f>IF(TEMPLATE_SPHERE_CODE="COLDVSNA","",IF(TEMPLATE_SPHERE_CODE="VOTV","1.7.4",""))</f>
        <v/>
      </c>
      <c r="AN126" s="545" t="str">
        <f>IF(TEMPLATE_SPHERE_CODE="COLDVSNA","",IF(TEMPLATE_SPHERE_CODE="VOTV","Услуги по обращению с осадком сточных вод",""))</f>
        <v/>
      </c>
      <c r="AO126" s="162" t="str">
        <f>IF(TEMPLATE_SPHERE_CODE="COLDVSNA","",IF(TEMPLATE_SPHERE_CODE="VOTV","тыс.руб.",""))</f>
        <v/>
      </c>
      <c r="AP126" s="247">
        <f>IF(TEMPLATE_SPHERE_CODE="COLDVSNA","",SUMIF($AS$9:$AT$9,AP$9,$AS126:$AT126))</f>
        <v>0</v>
      </c>
      <c r="AQ126" s="247">
        <f>IF(TEMPLATE_SPHERE_CODE="COLDVSNA","",SUMIF($AS$9:$AT$9,AQ$9,$AS126:$AT126))</f>
        <v>0</v>
      </c>
      <c r="AR126" s="247">
        <f>IF(TEMPLATE_SPHERE_CODE="COLDVSNA","",SUMIF($AS$9:$AT$9,AR$9,$AS126:$AT126))</f>
        <v>0</v>
      </c>
      <c r="AS126" s="194"/>
      <c r="AT126" s="194"/>
      <c r="AU126" s="326"/>
    </row>
    <row r="127" spans="1:47">
      <c r="A127" s="2"/>
      <c r="B127" s="2"/>
      <c r="C127" s="2"/>
      <c r="D127" s="2"/>
      <c r="E127" s="2"/>
      <c r="F127" s="2"/>
      <c r="G127" s="2"/>
      <c r="H127" s="2"/>
      <c r="I127" s="2"/>
      <c r="J12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0"/>
      <c r="AM127" s="509" t="s">
        <v>946</v>
      </c>
      <c r="AN127" s="546" t="s">
        <v>947</v>
      </c>
      <c r="AO127" s="420" t="s">
        <v>195</v>
      </c>
      <c r="AP127" s="247">
        <f t="shared" ref="AP127:AR139" si="11">SUMIF($AS$9:$AT$9,AP$9,$AS127:$AT127)</f>
        <v>0</v>
      </c>
      <c r="AQ127" s="247">
        <f t="shared" si="11"/>
        <v>0</v>
      </c>
      <c r="AR127" s="247">
        <f t="shared" si="11"/>
        <v>0</v>
      </c>
      <c r="AS127" s="194"/>
      <c r="AT127" s="194"/>
      <c r="AU127" s="326"/>
    </row>
    <row r="128" spans="1:47">
      <c r="A128" s="2"/>
      <c r="B128" s="2"/>
      <c r="C128" s="2"/>
      <c r="D128" s="2"/>
      <c r="E128" s="2"/>
      <c r="F128" s="2"/>
      <c r="G128" s="2"/>
      <c r="H128" s="2"/>
      <c r="I128" s="2"/>
      <c r="J128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0"/>
      <c r="AM128" s="509" t="s">
        <v>948</v>
      </c>
      <c r="AN128" s="526" t="s">
        <v>949</v>
      </c>
      <c r="AO128" s="420" t="s">
        <v>195</v>
      </c>
      <c r="AP128" s="247">
        <f t="shared" si="11"/>
        <v>0</v>
      </c>
      <c r="AQ128" s="247">
        <f t="shared" si="11"/>
        <v>0</v>
      </c>
      <c r="AR128" s="247">
        <f t="shared" si="11"/>
        <v>0</v>
      </c>
      <c r="AS128" s="194"/>
      <c r="AT128" s="194"/>
      <c r="AU128" s="326"/>
    </row>
    <row r="129" spans="1:47" ht="20.399999999999999">
      <c r="A129" s="2"/>
      <c r="B129" s="2"/>
      <c r="C129" s="2"/>
      <c r="D129" s="2"/>
      <c r="E129" s="2"/>
      <c r="F129" s="2"/>
      <c r="G129" s="2"/>
      <c r="H129" s="2"/>
      <c r="I129" s="2"/>
      <c r="J12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0"/>
      <c r="AM129" s="509" t="s">
        <v>950</v>
      </c>
      <c r="AN129" s="542" t="s">
        <v>951</v>
      </c>
      <c r="AO129" s="420" t="s">
        <v>195</v>
      </c>
      <c r="AP129" s="247">
        <f t="shared" si="11"/>
        <v>0</v>
      </c>
      <c r="AQ129" s="247">
        <f t="shared" si="11"/>
        <v>0</v>
      </c>
      <c r="AR129" s="247">
        <f t="shared" si="11"/>
        <v>0</v>
      </c>
      <c r="AS129" s="194"/>
      <c r="AT129" s="194"/>
      <c r="AU129" s="326"/>
    </row>
    <row r="130" spans="1:47">
      <c r="A130" s="2"/>
      <c r="B130" s="2"/>
      <c r="C130" s="2"/>
      <c r="D130" s="2"/>
      <c r="E130" s="2"/>
      <c r="F130" s="2"/>
      <c r="G130" s="2"/>
      <c r="H130" s="2"/>
      <c r="I130" s="2"/>
      <c r="J130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0"/>
      <c r="AM130" s="509" t="s">
        <v>952</v>
      </c>
      <c r="AN130" s="544" t="s">
        <v>953</v>
      </c>
      <c r="AO130" s="420" t="s">
        <v>195</v>
      </c>
      <c r="AP130" s="247">
        <f t="shared" si="11"/>
        <v>0</v>
      </c>
      <c r="AQ130" s="247">
        <f t="shared" si="11"/>
        <v>0</v>
      </c>
      <c r="AR130" s="247">
        <f t="shared" si="11"/>
        <v>0</v>
      </c>
      <c r="AS130" s="194"/>
      <c r="AT130" s="194"/>
      <c r="AU130" s="326"/>
    </row>
    <row r="131" spans="1:47">
      <c r="A131" s="2"/>
      <c r="B131" s="2"/>
      <c r="C131" s="2"/>
      <c r="D131" s="2"/>
      <c r="E131" s="2"/>
      <c r="F131" s="2"/>
      <c r="G131" s="2"/>
      <c r="H131" s="2"/>
      <c r="I131" s="2"/>
      <c r="J13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0"/>
      <c r="AM131" s="509" t="s">
        <v>954</v>
      </c>
      <c r="AN131" s="544" t="s">
        <v>169</v>
      </c>
      <c r="AO131" s="420" t="s">
        <v>195</v>
      </c>
      <c r="AP131" s="247">
        <f t="shared" si="11"/>
        <v>0</v>
      </c>
      <c r="AQ131" s="247">
        <f t="shared" si="11"/>
        <v>0</v>
      </c>
      <c r="AR131" s="247">
        <f t="shared" si="11"/>
        <v>0</v>
      </c>
      <c r="AS131" s="194"/>
      <c r="AT131" s="194"/>
      <c r="AU131" s="326"/>
    </row>
    <row r="132" spans="1:47">
      <c r="A132" s="2"/>
      <c r="B132" s="2"/>
      <c r="C132" s="2"/>
      <c r="D132" s="2"/>
      <c r="E132" s="2"/>
      <c r="F132" s="2"/>
      <c r="G132" s="2"/>
      <c r="H132" s="2"/>
      <c r="I132" s="2"/>
      <c r="J13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0"/>
      <c r="AM132" s="490" t="s">
        <v>164</v>
      </c>
      <c r="AN132" s="490" t="s">
        <v>955</v>
      </c>
      <c r="AO132" s="420" t="s">
        <v>195</v>
      </c>
      <c r="AP132" s="247">
        <f t="shared" si="11"/>
        <v>0</v>
      </c>
      <c r="AQ132" s="247">
        <f t="shared" si="11"/>
        <v>0</v>
      </c>
      <c r="AR132" s="247">
        <f t="shared" si="11"/>
        <v>0</v>
      </c>
      <c r="AS132" s="194"/>
      <c r="AT132" s="194"/>
      <c r="AU132" s="326"/>
    </row>
    <row r="133" spans="1:47" ht="30.6">
      <c r="A133" s="2"/>
      <c r="B133" s="2"/>
      <c r="C133" s="2"/>
      <c r="D133" s="2"/>
      <c r="E133" s="2"/>
      <c r="F133" s="2"/>
      <c r="G133" s="2"/>
      <c r="H133" s="2"/>
      <c r="I133" s="2"/>
      <c r="J13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0"/>
      <c r="AM133" s="509" t="s">
        <v>706</v>
      </c>
      <c r="AN133" s="546" t="s">
        <v>956</v>
      </c>
      <c r="AO133" s="420" t="s">
        <v>195</v>
      </c>
      <c r="AP133" s="247">
        <f t="shared" si="11"/>
        <v>0</v>
      </c>
      <c r="AQ133" s="247">
        <f t="shared" si="11"/>
        <v>0</v>
      </c>
      <c r="AR133" s="247">
        <f t="shared" si="11"/>
        <v>0</v>
      </c>
      <c r="AS133" s="194"/>
      <c r="AT133" s="194"/>
      <c r="AU133" s="326"/>
    </row>
    <row r="134" spans="1:47" ht="30.6">
      <c r="A134" s="2"/>
      <c r="B134" s="2"/>
      <c r="C134" s="2"/>
      <c r="D134" s="2"/>
      <c r="E134" s="2"/>
      <c r="F134" s="2"/>
      <c r="G134" s="2"/>
      <c r="H134" s="2"/>
      <c r="I134" s="2"/>
      <c r="J13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0"/>
      <c r="AM134" s="509" t="s">
        <v>102</v>
      </c>
      <c r="AN134" s="547" t="s">
        <v>1904</v>
      </c>
      <c r="AO134" s="420" t="s">
        <v>195</v>
      </c>
      <c r="AP134" s="247">
        <f t="shared" si="11"/>
        <v>0</v>
      </c>
      <c r="AQ134" s="247">
        <f t="shared" si="11"/>
        <v>0</v>
      </c>
      <c r="AR134" s="247">
        <f t="shared" si="11"/>
        <v>0</v>
      </c>
      <c r="AS134" s="194"/>
      <c r="AT134" s="194"/>
      <c r="AU134" s="326"/>
    </row>
    <row r="135" spans="1:47" ht="30.6">
      <c r="A135" s="2"/>
      <c r="B135" s="2"/>
      <c r="C135" s="2"/>
      <c r="D135" s="2"/>
      <c r="E135" s="2"/>
      <c r="F135" s="2"/>
      <c r="G135" s="2"/>
      <c r="H135" s="2"/>
      <c r="I135" s="2"/>
      <c r="J13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0"/>
      <c r="AM135" s="509" t="s">
        <v>708</v>
      </c>
      <c r="AN135" s="546" t="s">
        <v>957</v>
      </c>
      <c r="AO135" s="420" t="s">
        <v>195</v>
      </c>
      <c r="AP135" s="247">
        <f t="shared" si="11"/>
        <v>0</v>
      </c>
      <c r="AQ135" s="247">
        <f t="shared" si="11"/>
        <v>0</v>
      </c>
      <c r="AR135" s="247">
        <f t="shared" si="11"/>
        <v>0</v>
      </c>
      <c r="AS135" s="194"/>
      <c r="AT135" s="194"/>
      <c r="AU135" s="326"/>
    </row>
    <row r="136" spans="1:47" ht="30.6">
      <c r="A136" s="2"/>
      <c r="B136" s="2"/>
      <c r="C136" s="2"/>
      <c r="D136" s="2"/>
      <c r="E136" s="2"/>
      <c r="F136" s="2"/>
      <c r="G136" s="2"/>
      <c r="H136" s="2"/>
      <c r="I136" s="2"/>
      <c r="J136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0"/>
      <c r="AM136" s="509" t="s">
        <v>103</v>
      </c>
      <c r="AN136" s="547" t="s">
        <v>1905</v>
      </c>
      <c r="AO136" s="420" t="s">
        <v>195</v>
      </c>
      <c r="AP136" s="247">
        <f t="shared" si="11"/>
        <v>0</v>
      </c>
      <c r="AQ136" s="247">
        <f t="shared" si="11"/>
        <v>0</v>
      </c>
      <c r="AR136" s="247">
        <f t="shared" si="11"/>
        <v>0</v>
      </c>
      <c r="AS136" s="194"/>
      <c r="AT136" s="194"/>
      <c r="AU136" s="326"/>
    </row>
    <row r="137" spans="1:47" ht="21" customHeight="1">
      <c r="A137" s="2"/>
      <c r="B137" s="2"/>
      <c r="C137" s="2"/>
      <c r="D137" s="2"/>
      <c r="E137" s="2"/>
      <c r="F137" s="2"/>
      <c r="G137" s="2"/>
      <c r="H137" s="2"/>
      <c r="I137" s="2"/>
      <c r="J13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0"/>
      <c r="AM137" s="509" t="s">
        <v>710</v>
      </c>
      <c r="AN137" s="546" t="s">
        <v>958</v>
      </c>
      <c r="AO137" s="420" t="s">
        <v>195</v>
      </c>
      <c r="AP137" s="247">
        <f t="shared" si="11"/>
        <v>0</v>
      </c>
      <c r="AQ137" s="247">
        <f t="shared" si="11"/>
        <v>0</v>
      </c>
      <c r="AR137" s="247">
        <f t="shared" si="11"/>
        <v>0</v>
      </c>
      <c r="AS137" s="194"/>
      <c r="AT137" s="194"/>
      <c r="AU137" s="326"/>
    </row>
    <row r="138" spans="1:47">
      <c r="A138" s="2"/>
      <c r="B138" s="2"/>
      <c r="C138" s="2"/>
      <c r="D138" s="2"/>
      <c r="E138" s="2"/>
      <c r="F138" s="2"/>
      <c r="G138" s="2"/>
      <c r="H138" s="2"/>
      <c r="I138" s="2"/>
      <c r="J13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0"/>
      <c r="AM138" s="509" t="s">
        <v>554</v>
      </c>
      <c r="AN138" s="544" t="s">
        <v>959</v>
      </c>
      <c r="AO138" s="420" t="s">
        <v>195</v>
      </c>
      <c r="AP138" s="247">
        <f t="shared" si="11"/>
        <v>0</v>
      </c>
      <c r="AQ138" s="247">
        <f t="shared" si="11"/>
        <v>0</v>
      </c>
      <c r="AR138" s="247">
        <f t="shared" si="11"/>
        <v>0</v>
      </c>
      <c r="AS138" s="194"/>
      <c r="AT138" s="194"/>
      <c r="AU138" s="326"/>
    </row>
    <row r="139" spans="1:47" ht="20.399999999999999">
      <c r="A139" s="2"/>
      <c r="B139" s="2"/>
      <c r="C139" s="2"/>
      <c r="D139" s="2"/>
      <c r="E139" s="2"/>
      <c r="F139" s="2"/>
      <c r="G139" s="2"/>
      <c r="H139" s="2"/>
      <c r="I139" s="2"/>
      <c r="J13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0"/>
      <c r="AM139" s="510" t="s">
        <v>960</v>
      </c>
      <c r="AN139" s="534" t="s">
        <v>921</v>
      </c>
      <c r="AO139" s="420" t="s">
        <v>289</v>
      </c>
      <c r="AP139" s="247">
        <f t="shared" si="11"/>
        <v>0</v>
      </c>
      <c r="AQ139" s="247">
        <f t="shared" si="11"/>
        <v>0</v>
      </c>
      <c r="AR139" s="247">
        <f t="shared" si="11"/>
        <v>0</v>
      </c>
      <c r="AS139" s="142"/>
      <c r="AT139" s="194"/>
    </row>
    <row r="140" spans="1:47" ht="11.25" customHeight="1">
      <c r="A140" s="2"/>
      <c r="B140" s="2"/>
      <c r="C140" s="2"/>
      <c r="D140" s="2"/>
      <c r="E140" s="2"/>
      <c r="F140" s="2"/>
      <c r="G140" s="2"/>
      <c r="H140" s="2"/>
      <c r="I140" s="2"/>
      <c r="J14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0"/>
      <c r="AM140" s="510" t="s">
        <v>961</v>
      </c>
      <c r="AN140" s="548" t="s">
        <v>1035</v>
      </c>
      <c r="AO140" s="420" t="s">
        <v>29</v>
      </c>
      <c r="AP140" s="244">
        <f>IF(AP139=0,0,AP138/AP139*1000/AP$6)</f>
        <v>0</v>
      </c>
      <c r="AQ140" s="244">
        <f>IF(AQ139=0,0,AQ138/AQ139*1000/AQ$6)</f>
        <v>0</v>
      </c>
      <c r="AR140" s="244">
        <f>IF(AR139=0,0,AR138/AR139*1000/AR$6)</f>
        <v>0</v>
      </c>
      <c r="AS140" s="142"/>
      <c r="AT140" s="194"/>
    </row>
    <row r="141" spans="1:47" ht="20.399999999999999">
      <c r="A141" s="2"/>
      <c r="B141" s="2"/>
      <c r="C141" s="2"/>
      <c r="D141" s="2"/>
      <c r="E141" s="2"/>
      <c r="F141" s="2"/>
      <c r="G141" s="2"/>
      <c r="H141" s="2"/>
      <c r="I141" s="2"/>
      <c r="J14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0"/>
      <c r="AM141" s="510" t="s">
        <v>962</v>
      </c>
      <c r="AN141" s="549" t="s">
        <v>1034</v>
      </c>
      <c r="AO141" s="420" t="s">
        <v>289</v>
      </c>
      <c r="AP141" s="247">
        <f t="shared" ref="AP141:AR142" si="12">SUMIF($AS$9:$AT$9,AP$9,$AS141:$AT141)</f>
        <v>0</v>
      </c>
      <c r="AQ141" s="247">
        <f t="shared" si="12"/>
        <v>0</v>
      </c>
      <c r="AR141" s="247">
        <f t="shared" si="12"/>
        <v>0</v>
      </c>
      <c r="AS141" s="142"/>
      <c r="AT141" s="194"/>
    </row>
    <row r="142" spans="1:47" ht="30.6">
      <c r="A142" s="2"/>
      <c r="B142" s="2"/>
      <c r="C142" s="2"/>
      <c r="D142" s="2"/>
      <c r="E142" s="2"/>
      <c r="F142" s="2"/>
      <c r="G142" s="2"/>
      <c r="H142" s="2"/>
      <c r="I142" s="2"/>
      <c r="J14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0"/>
      <c r="AM142" s="510" t="s">
        <v>963</v>
      </c>
      <c r="AN142" s="537" t="s">
        <v>1036</v>
      </c>
      <c r="AO142" s="420" t="s">
        <v>289</v>
      </c>
      <c r="AP142" s="247">
        <f t="shared" si="12"/>
        <v>0</v>
      </c>
      <c r="AQ142" s="247">
        <f t="shared" si="12"/>
        <v>0</v>
      </c>
      <c r="AR142" s="247">
        <f t="shared" si="12"/>
        <v>0</v>
      </c>
      <c r="AS142" s="142"/>
      <c r="AT142" s="194"/>
    </row>
    <row r="143" spans="1:47">
      <c r="A143" s="2"/>
      <c r="B143" s="2"/>
      <c r="C143" s="2"/>
      <c r="D143" s="2"/>
      <c r="E143" s="2"/>
      <c r="F143" s="2"/>
      <c r="G143" s="2"/>
      <c r="H143" s="2"/>
      <c r="I143" s="2"/>
      <c r="J14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0"/>
      <c r="AM143" s="510" t="s">
        <v>964</v>
      </c>
      <c r="AN143" s="527" t="s">
        <v>33</v>
      </c>
      <c r="AO143" s="420" t="s">
        <v>29</v>
      </c>
      <c r="AP143" s="142"/>
      <c r="AQ143" s="142"/>
      <c r="AR143" s="142"/>
      <c r="AS143" s="142"/>
      <c r="AT143" s="194"/>
    </row>
    <row r="144" spans="1:47">
      <c r="A144" s="2"/>
      <c r="B144" s="2"/>
      <c r="C144" s="2"/>
      <c r="D144" s="2"/>
      <c r="E144" s="2"/>
      <c r="F144" s="2"/>
      <c r="G144" s="2"/>
      <c r="H144" s="2"/>
      <c r="I144" s="2"/>
      <c r="J14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0"/>
      <c r="AM144" s="510" t="s">
        <v>965</v>
      </c>
      <c r="AN144" s="550" t="s">
        <v>927</v>
      </c>
      <c r="AO144" s="420"/>
      <c r="AP144" s="142"/>
      <c r="AQ144" s="142"/>
      <c r="AR144" s="142"/>
      <c r="AS144" s="142"/>
      <c r="AT144" s="194"/>
    </row>
    <row r="145" spans="1:47" ht="20.399999999999999">
      <c r="A145" s="2"/>
      <c r="B145" s="2"/>
      <c r="C145" s="2"/>
      <c r="D145" s="2"/>
      <c r="E145" s="2"/>
      <c r="F145" s="2"/>
      <c r="G145" s="2"/>
      <c r="H145" s="2"/>
      <c r="I145" s="2"/>
      <c r="J14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0"/>
      <c r="AM145" s="510" t="s">
        <v>966</v>
      </c>
      <c r="AN145" s="527" t="s">
        <v>929</v>
      </c>
      <c r="AO145" s="420" t="s">
        <v>29</v>
      </c>
      <c r="AP145" s="142"/>
      <c r="AQ145" s="142"/>
      <c r="AR145" s="142"/>
      <c r="AS145" s="142"/>
      <c r="AT145" s="194"/>
    </row>
    <row r="146" spans="1:47">
      <c r="A146" s="2"/>
      <c r="B146" s="2"/>
      <c r="C146" s="2"/>
      <c r="D146" s="2"/>
      <c r="E146" s="2"/>
      <c r="F146" s="2"/>
      <c r="G146" s="2"/>
      <c r="H146" s="2"/>
      <c r="I146" s="2"/>
      <c r="J146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0"/>
      <c r="AM146" s="510" t="s">
        <v>967</v>
      </c>
      <c r="AN146" s="551" t="s">
        <v>931</v>
      </c>
      <c r="AO146" s="420"/>
      <c r="AP146" s="142"/>
      <c r="AQ146" s="142"/>
      <c r="AR146" s="142"/>
      <c r="AS146" s="142"/>
      <c r="AT146" s="194"/>
    </row>
    <row r="147" spans="1:47">
      <c r="A147" s="2"/>
      <c r="B147" s="2"/>
      <c r="C147" s="2"/>
      <c r="D147" s="2"/>
      <c r="E147" s="2"/>
      <c r="F147" s="2"/>
      <c r="G147" s="2"/>
      <c r="H147" s="2"/>
      <c r="I147" s="2"/>
      <c r="J14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0"/>
      <c r="AM147" s="510" t="s">
        <v>968</v>
      </c>
      <c r="AN147" s="552" t="s">
        <v>933</v>
      </c>
      <c r="AO147" s="420" t="s">
        <v>29</v>
      </c>
      <c r="AP147" s="142"/>
      <c r="AQ147" s="142"/>
      <c r="AR147" s="142"/>
      <c r="AS147" s="142"/>
      <c r="AT147" s="194"/>
    </row>
    <row r="148" spans="1:47" ht="20.399999999999999">
      <c r="A148" s="2"/>
      <c r="B148" s="2"/>
      <c r="C148" s="2"/>
      <c r="D148" s="2"/>
      <c r="E148" s="2"/>
      <c r="F148" s="2"/>
      <c r="G148" s="2"/>
      <c r="H148" s="2"/>
      <c r="I148" s="2"/>
      <c r="J148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0"/>
      <c r="AM148" s="510" t="s">
        <v>969</v>
      </c>
      <c r="AN148" s="553" t="s">
        <v>935</v>
      </c>
      <c r="AO148" s="420" t="s">
        <v>29</v>
      </c>
      <c r="AP148" s="142"/>
      <c r="AQ148" s="142"/>
      <c r="AR148" s="142"/>
      <c r="AS148" s="142"/>
      <c r="AT148" s="194"/>
    </row>
    <row r="149" spans="1:47" ht="20.399999999999999">
      <c r="A149" s="2"/>
      <c r="B149" s="2"/>
      <c r="C149" s="2"/>
      <c r="D149" s="2"/>
      <c r="E149" s="2"/>
      <c r="F149" s="2"/>
      <c r="G149" s="2"/>
      <c r="H149" s="2"/>
      <c r="I149" s="2"/>
      <c r="J1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0"/>
      <c r="AM149" s="509" t="s">
        <v>555</v>
      </c>
      <c r="AN149" s="542" t="s">
        <v>970</v>
      </c>
      <c r="AO149" s="420" t="s">
        <v>195</v>
      </c>
      <c r="AP149" s="247">
        <f t="shared" ref="AP149:AR160" si="13">SUMIF($AS$9:$AT$9,AP$9,$AS149:$AT149)</f>
        <v>0</v>
      </c>
      <c r="AQ149" s="247">
        <f t="shared" si="13"/>
        <v>0</v>
      </c>
      <c r="AR149" s="247">
        <f t="shared" si="13"/>
        <v>0</v>
      </c>
      <c r="AS149" s="194"/>
      <c r="AT149" s="194"/>
      <c r="AU149" s="326"/>
    </row>
    <row r="150" spans="1:47">
      <c r="A150" s="2"/>
      <c r="B150" s="2"/>
      <c r="C150" s="2"/>
      <c r="D150" s="2"/>
      <c r="E150" s="2"/>
      <c r="F150" s="2"/>
      <c r="G150" s="2"/>
      <c r="H150" s="2"/>
      <c r="I150" s="2"/>
      <c r="J150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0"/>
      <c r="AM150" s="490">
        <v>3</v>
      </c>
      <c r="AN150" s="490" t="s">
        <v>971</v>
      </c>
      <c r="AO150" s="420" t="s">
        <v>195</v>
      </c>
      <c r="AP150" s="247">
        <f t="shared" si="13"/>
        <v>0</v>
      </c>
      <c r="AQ150" s="247">
        <f t="shared" si="13"/>
        <v>0</v>
      </c>
      <c r="AR150" s="247">
        <f t="shared" si="13"/>
        <v>0</v>
      </c>
      <c r="AS150" s="194"/>
      <c r="AT150" s="194"/>
      <c r="AU150" s="326"/>
    </row>
    <row r="151" spans="1:47" ht="20.399999999999999">
      <c r="A151" s="2"/>
      <c r="B151" s="2"/>
      <c r="C151" s="2"/>
      <c r="D151" s="2"/>
      <c r="E151" s="2"/>
      <c r="F151" s="2"/>
      <c r="G151" s="2"/>
      <c r="H151" s="2"/>
      <c r="I151" s="2"/>
      <c r="J15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0"/>
      <c r="AM151" s="509" t="s">
        <v>171</v>
      </c>
      <c r="AN151" s="546" t="s">
        <v>972</v>
      </c>
      <c r="AO151" s="420" t="s">
        <v>195</v>
      </c>
      <c r="AP151" s="247">
        <f t="shared" si="13"/>
        <v>0</v>
      </c>
      <c r="AQ151" s="247">
        <f t="shared" si="13"/>
        <v>0</v>
      </c>
      <c r="AR151" s="247">
        <f t="shared" si="13"/>
        <v>0</v>
      </c>
      <c r="AS151" s="194"/>
      <c r="AT151" s="194"/>
      <c r="AU151" s="326"/>
    </row>
    <row r="152" spans="1:47">
      <c r="A152" s="2"/>
      <c r="B152" s="2"/>
      <c r="C152" s="2"/>
      <c r="D152" s="2"/>
      <c r="E152" s="2"/>
      <c r="F152" s="2"/>
      <c r="G152" s="2"/>
      <c r="H152" s="2"/>
      <c r="I152" s="2"/>
      <c r="J15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0"/>
      <c r="AM152" s="509" t="s">
        <v>556</v>
      </c>
      <c r="AN152" s="544" t="s">
        <v>973</v>
      </c>
      <c r="AO152" s="420" t="s">
        <v>195</v>
      </c>
      <c r="AP152" s="247">
        <f t="shared" si="13"/>
        <v>0</v>
      </c>
      <c r="AQ152" s="247">
        <f t="shared" si="13"/>
        <v>0</v>
      </c>
      <c r="AR152" s="247">
        <f t="shared" si="13"/>
        <v>0</v>
      </c>
      <c r="AS152" s="194"/>
      <c r="AT152" s="194"/>
      <c r="AU152" s="326"/>
    </row>
    <row r="153" spans="1:47">
      <c r="A153" s="2"/>
      <c r="B153" s="2"/>
      <c r="C153" s="2"/>
      <c r="D153" s="2"/>
      <c r="E153" s="2"/>
      <c r="F153" s="2"/>
      <c r="G153" s="2"/>
      <c r="H153" s="2"/>
      <c r="I153" s="2"/>
      <c r="J15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0"/>
      <c r="AM153" s="509" t="s">
        <v>566</v>
      </c>
      <c r="AN153" s="544" t="s">
        <v>974</v>
      </c>
      <c r="AO153" s="420" t="s">
        <v>195</v>
      </c>
      <c r="AP153" s="247">
        <f t="shared" si="13"/>
        <v>0</v>
      </c>
      <c r="AQ153" s="247">
        <f t="shared" si="13"/>
        <v>0</v>
      </c>
      <c r="AR153" s="247">
        <f t="shared" si="13"/>
        <v>0</v>
      </c>
      <c r="AS153" s="194"/>
      <c r="AT153" s="194"/>
      <c r="AU153" s="326"/>
    </row>
    <row r="154" spans="1:47">
      <c r="A154" s="2"/>
      <c r="B154" s="2"/>
      <c r="C154" s="2"/>
      <c r="D154" s="2"/>
      <c r="E154" s="2"/>
      <c r="F154" s="2"/>
      <c r="G154" s="2"/>
      <c r="H154" s="2"/>
      <c r="I154" s="2"/>
      <c r="J15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0"/>
      <c r="AM154" s="509" t="s">
        <v>975</v>
      </c>
      <c r="AN154" s="544" t="s">
        <v>976</v>
      </c>
      <c r="AO154" s="420" t="s">
        <v>195</v>
      </c>
      <c r="AP154" s="247">
        <f t="shared" si="13"/>
        <v>0</v>
      </c>
      <c r="AQ154" s="247">
        <f t="shared" si="13"/>
        <v>0</v>
      </c>
      <c r="AR154" s="247">
        <f t="shared" si="13"/>
        <v>0</v>
      </c>
      <c r="AS154" s="194"/>
      <c r="AT154" s="194"/>
      <c r="AU154" s="326"/>
    </row>
    <row r="155" spans="1:47">
      <c r="A155" s="2"/>
      <c r="B155" s="2"/>
      <c r="C155" s="2"/>
      <c r="D155" s="2"/>
      <c r="E155" s="2"/>
      <c r="F155" s="2"/>
      <c r="G155" s="2"/>
      <c r="H155" s="2"/>
      <c r="I155" s="2"/>
      <c r="J15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0"/>
      <c r="AM155" s="509" t="s">
        <v>977</v>
      </c>
      <c r="AN155" s="544" t="s">
        <v>978</v>
      </c>
      <c r="AO155" s="420" t="s">
        <v>195</v>
      </c>
      <c r="AP155" s="247">
        <f t="shared" si="13"/>
        <v>0</v>
      </c>
      <c r="AQ155" s="247">
        <f t="shared" si="13"/>
        <v>0</v>
      </c>
      <c r="AR155" s="247">
        <f t="shared" si="13"/>
        <v>0</v>
      </c>
      <c r="AS155" s="194"/>
      <c r="AT155" s="194"/>
      <c r="AU155" s="326"/>
    </row>
    <row r="156" spans="1:47" ht="20.399999999999999">
      <c r="A156" s="2"/>
      <c r="B156" s="2"/>
      <c r="C156" s="2"/>
      <c r="D156" s="2"/>
      <c r="E156" s="2"/>
      <c r="F156" s="2"/>
      <c r="G156" s="2"/>
      <c r="H156" s="2"/>
      <c r="I156" s="2"/>
      <c r="J156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0"/>
      <c r="AM156" s="509" t="s">
        <v>979</v>
      </c>
      <c r="AN156" s="544" t="s">
        <v>980</v>
      </c>
      <c r="AO156" s="420" t="s">
        <v>195</v>
      </c>
      <c r="AP156" s="247">
        <f t="shared" si="13"/>
        <v>0</v>
      </c>
      <c r="AQ156" s="247">
        <f t="shared" si="13"/>
        <v>0</v>
      </c>
      <c r="AR156" s="247">
        <f t="shared" si="13"/>
        <v>0</v>
      </c>
      <c r="AS156" s="194"/>
      <c r="AT156" s="194"/>
      <c r="AU156" s="326"/>
    </row>
    <row r="157" spans="1:47">
      <c r="A157" s="2"/>
      <c r="B157" s="2"/>
      <c r="C157" s="2"/>
      <c r="D157" s="2"/>
      <c r="E157" s="2"/>
      <c r="F157" s="2"/>
      <c r="G157" s="2"/>
      <c r="H157" s="2"/>
      <c r="I157" s="2"/>
      <c r="J15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0"/>
      <c r="AM157" s="509" t="s">
        <v>981</v>
      </c>
      <c r="AN157" s="544" t="s">
        <v>982</v>
      </c>
      <c r="AO157" s="420" t="s">
        <v>195</v>
      </c>
      <c r="AP157" s="247">
        <f t="shared" si="13"/>
        <v>0</v>
      </c>
      <c r="AQ157" s="247">
        <f t="shared" si="13"/>
        <v>0</v>
      </c>
      <c r="AR157" s="247">
        <f t="shared" si="13"/>
        <v>0</v>
      </c>
      <c r="AS157" s="194"/>
      <c r="AT157" s="194"/>
      <c r="AU157" s="326"/>
    </row>
    <row r="158" spans="1:47" ht="30.6">
      <c r="A158" s="2"/>
      <c r="B158" s="2"/>
      <c r="C158" s="2"/>
      <c r="D158" s="2"/>
      <c r="E158" s="2"/>
      <c r="F158" s="2"/>
      <c r="G158" s="2"/>
      <c r="H158" s="2"/>
      <c r="I158" s="2"/>
      <c r="J158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0"/>
      <c r="AM158" s="509" t="s">
        <v>172</v>
      </c>
      <c r="AN158" s="546" t="s">
        <v>983</v>
      </c>
      <c r="AO158" s="420" t="s">
        <v>195</v>
      </c>
      <c r="AP158" s="247">
        <f t="shared" si="13"/>
        <v>0</v>
      </c>
      <c r="AQ158" s="247">
        <f t="shared" si="13"/>
        <v>0</v>
      </c>
      <c r="AR158" s="247">
        <f t="shared" si="13"/>
        <v>0</v>
      </c>
      <c r="AS158" s="194"/>
      <c r="AT158" s="194"/>
      <c r="AU158" s="326"/>
    </row>
    <row r="159" spans="1:47" ht="20.399999999999999">
      <c r="A159" s="2"/>
      <c r="B159" s="2"/>
      <c r="C159" s="2"/>
      <c r="D159" s="2"/>
      <c r="E159" s="2"/>
      <c r="F159" s="2"/>
      <c r="G159" s="2"/>
      <c r="H159" s="2"/>
      <c r="I159" s="2"/>
      <c r="J15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0"/>
      <c r="AM159" s="509" t="s">
        <v>514</v>
      </c>
      <c r="AN159" s="544" t="s">
        <v>984</v>
      </c>
      <c r="AO159" s="420" t="s">
        <v>195</v>
      </c>
      <c r="AP159" s="247">
        <f t="shared" si="13"/>
        <v>0</v>
      </c>
      <c r="AQ159" s="247">
        <f t="shared" si="13"/>
        <v>0</v>
      </c>
      <c r="AR159" s="247">
        <f t="shared" si="13"/>
        <v>0</v>
      </c>
      <c r="AS159" s="194"/>
      <c r="AT159" s="194"/>
      <c r="AU159" s="326"/>
    </row>
    <row r="160" spans="1:47" ht="20.399999999999999">
      <c r="A160" s="2"/>
      <c r="B160" s="2"/>
      <c r="C160" s="2"/>
      <c r="D160" s="2"/>
      <c r="E160" s="2"/>
      <c r="F160" s="2"/>
      <c r="G160" s="2"/>
      <c r="H160" s="2"/>
      <c r="I160" s="2"/>
      <c r="J160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0"/>
      <c r="AM160" s="510" t="s">
        <v>985</v>
      </c>
      <c r="AN160" s="534" t="s">
        <v>921</v>
      </c>
      <c r="AO160" s="420" t="s">
        <v>289</v>
      </c>
      <c r="AP160" s="247">
        <f t="shared" si="13"/>
        <v>0</v>
      </c>
      <c r="AQ160" s="247">
        <f t="shared" si="13"/>
        <v>0</v>
      </c>
      <c r="AR160" s="247">
        <f t="shared" si="13"/>
        <v>0</v>
      </c>
      <c r="AS160" s="194"/>
      <c r="AT160" s="194"/>
    </row>
    <row r="161" spans="1:47" ht="20.399999999999999">
      <c r="A161" s="2"/>
      <c r="B161" s="2"/>
      <c r="C161" s="2"/>
      <c r="D161" s="2"/>
      <c r="E161" s="2"/>
      <c r="F161" s="2"/>
      <c r="G161" s="2"/>
      <c r="H161" s="2"/>
      <c r="I161" s="2"/>
      <c r="J16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0"/>
      <c r="AM161" s="510" t="s">
        <v>986</v>
      </c>
      <c r="AN161" s="548" t="s">
        <v>1037</v>
      </c>
      <c r="AO161" s="420" t="s">
        <v>29</v>
      </c>
      <c r="AP161" s="244">
        <f>IF(AP160=0,0,AP159/AP160*1000/AP$6)</f>
        <v>0</v>
      </c>
      <c r="AQ161" s="244">
        <f>IF(AQ160=0,0,AQ159/AQ160*1000/AQ$6)</f>
        <v>0</v>
      </c>
      <c r="AR161" s="244">
        <f>IF(AR160=0,0,AR159/AR160*1000/AR$6)</f>
        <v>0</v>
      </c>
      <c r="AS161" s="142"/>
      <c r="AT161" s="194"/>
    </row>
    <row r="162" spans="1:47" ht="30.6">
      <c r="A162" s="2"/>
      <c r="B162" s="2"/>
      <c r="C162" s="2"/>
      <c r="D162" s="2"/>
      <c r="E162" s="2"/>
      <c r="F162" s="2"/>
      <c r="G162" s="2"/>
      <c r="H162" s="2"/>
      <c r="I162" s="2"/>
      <c r="J16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0"/>
      <c r="AM162" s="510" t="s">
        <v>987</v>
      </c>
      <c r="AN162" s="549" t="s">
        <v>1198</v>
      </c>
      <c r="AO162" s="420" t="s">
        <v>289</v>
      </c>
      <c r="AP162" s="247">
        <f t="shared" ref="AP162:AR163" si="14">SUMIF($AS$9:$AT$9,AP$9,$AS162:$AT162)</f>
        <v>0</v>
      </c>
      <c r="AQ162" s="247">
        <f t="shared" si="14"/>
        <v>0</v>
      </c>
      <c r="AR162" s="247">
        <f t="shared" si="14"/>
        <v>0</v>
      </c>
      <c r="AS162" s="194"/>
      <c r="AT162" s="194"/>
    </row>
    <row r="163" spans="1:47" ht="30.6">
      <c r="A163" s="2"/>
      <c r="B163" s="2"/>
      <c r="C163" s="2"/>
      <c r="D163" s="2"/>
      <c r="E163" s="2"/>
      <c r="F163" s="2"/>
      <c r="G163" s="2"/>
      <c r="H163" s="2"/>
      <c r="I163" s="2"/>
      <c r="J16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0"/>
      <c r="AM163" s="510" t="s">
        <v>988</v>
      </c>
      <c r="AN163" s="537" t="s">
        <v>1199</v>
      </c>
      <c r="AO163" s="420" t="s">
        <v>289</v>
      </c>
      <c r="AP163" s="247">
        <f t="shared" si="14"/>
        <v>0</v>
      </c>
      <c r="AQ163" s="247">
        <f t="shared" si="14"/>
        <v>0</v>
      </c>
      <c r="AR163" s="247">
        <f t="shared" si="14"/>
        <v>0</v>
      </c>
      <c r="AS163" s="194"/>
      <c r="AT163" s="194"/>
    </row>
    <row r="164" spans="1:47">
      <c r="A164" s="2"/>
      <c r="B164" s="2"/>
      <c r="C164" s="2"/>
      <c r="D164" s="2"/>
      <c r="E164" s="2"/>
      <c r="F164" s="2"/>
      <c r="G164" s="2"/>
      <c r="H164" s="2"/>
      <c r="I164" s="2"/>
      <c r="J16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0"/>
      <c r="AM164" s="510" t="s">
        <v>989</v>
      </c>
      <c r="AN164" s="527" t="s">
        <v>33</v>
      </c>
      <c r="AO164" s="420" t="s">
        <v>29</v>
      </c>
      <c r="AP164" s="142"/>
      <c r="AQ164" s="142"/>
      <c r="AR164" s="142"/>
      <c r="AS164" s="142"/>
      <c r="AT164" s="194"/>
    </row>
    <row r="165" spans="1:47">
      <c r="A165" s="2"/>
      <c r="B165" s="2"/>
      <c r="C165" s="2"/>
      <c r="D165" s="2"/>
      <c r="E165" s="2"/>
      <c r="F165" s="2"/>
      <c r="G165" s="2"/>
      <c r="H165" s="2"/>
      <c r="I165" s="2"/>
      <c r="J16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0"/>
      <c r="AM165" s="510" t="s">
        <v>990</v>
      </c>
      <c r="AN165" s="550" t="s">
        <v>927</v>
      </c>
      <c r="AO165" s="420"/>
      <c r="AP165" s="142"/>
      <c r="AQ165" s="142"/>
      <c r="AR165" s="142"/>
      <c r="AS165" s="142"/>
      <c r="AT165" s="194"/>
    </row>
    <row r="166" spans="1:47" ht="20.399999999999999">
      <c r="A166" s="2"/>
      <c r="B166" s="2"/>
      <c r="C166" s="2"/>
      <c r="D166" s="2"/>
      <c r="E166" s="2"/>
      <c r="F166" s="2"/>
      <c r="G166" s="2"/>
      <c r="H166" s="2"/>
      <c r="I166" s="2"/>
      <c r="J16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0"/>
      <c r="AM166" s="510" t="s">
        <v>991</v>
      </c>
      <c r="AN166" s="527" t="s">
        <v>929</v>
      </c>
      <c r="AO166" s="420" t="s">
        <v>29</v>
      </c>
      <c r="AP166" s="142"/>
      <c r="AQ166" s="142"/>
      <c r="AR166" s="142"/>
      <c r="AS166" s="142"/>
      <c r="AT166" s="194"/>
    </row>
    <row r="167" spans="1:47">
      <c r="A167" s="2"/>
      <c r="B167" s="2"/>
      <c r="C167" s="2"/>
      <c r="D167" s="2"/>
      <c r="E167" s="2"/>
      <c r="F167" s="2"/>
      <c r="G167" s="2"/>
      <c r="H167" s="2"/>
      <c r="I167" s="2"/>
      <c r="J16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0"/>
      <c r="AM167" s="510" t="s">
        <v>992</v>
      </c>
      <c r="AN167" s="551" t="s">
        <v>931</v>
      </c>
      <c r="AO167" s="420"/>
      <c r="AP167" s="142"/>
      <c r="AQ167" s="142"/>
      <c r="AR167" s="142"/>
      <c r="AS167" s="142"/>
      <c r="AT167" s="194"/>
    </row>
    <row r="168" spans="1:47">
      <c r="A168" s="2"/>
      <c r="B168" s="2"/>
      <c r="C168" s="2"/>
      <c r="D168" s="2"/>
      <c r="E168" s="2"/>
      <c r="F168" s="2"/>
      <c r="G168" s="2"/>
      <c r="H168" s="2"/>
      <c r="I168" s="2"/>
      <c r="J168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0"/>
      <c r="AM168" s="510" t="s">
        <v>993</v>
      </c>
      <c r="AN168" s="552" t="s">
        <v>933</v>
      </c>
      <c r="AO168" s="420" t="s">
        <v>29</v>
      </c>
      <c r="AP168" s="142"/>
      <c r="AQ168" s="142"/>
      <c r="AR168" s="142"/>
      <c r="AS168" s="142"/>
      <c r="AT168" s="194"/>
    </row>
    <row r="169" spans="1:47" ht="20.399999999999999">
      <c r="A169" s="2"/>
      <c r="B169" s="2"/>
      <c r="C169" s="2"/>
      <c r="D169" s="2"/>
      <c r="E169" s="2"/>
      <c r="F169" s="2"/>
      <c r="G169" s="2"/>
      <c r="H169" s="2"/>
      <c r="I169" s="2"/>
      <c r="J16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0"/>
      <c r="AM169" s="510" t="s">
        <v>994</v>
      </c>
      <c r="AN169" s="553" t="s">
        <v>935</v>
      </c>
      <c r="AO169" s="420" t="s">
        <v>29</v>
      </c>
      <c r="AP169" s="142"/>
      <c r="AQ169" s="142"/>
      <c r="AR169" s="142"/>
      <c r="AS169" s="142"/>
      <c r="AT169" s="194"/>
    </row>
    <row r="170" spans="1:47" ht="30.6">
      <c r="A170" s="2"/>
      <c r="B170" s="2"/>
      <c r="C170" s="2"/>
      <c r="D170" s="2"/>
      <c r="E170" s="2"/>
      <c r="F170" s="2"/>
      <c r="G170" s="2"/>
      <c r="H170" s="2"/>
      <c r="I170" s="2"/>
      <c r="J170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0"/>
      <c r="AM170" s="509" t="s">
        <v>995</v>
      </c>
      <c r="AN170" s="542" t="s">
        <v>996</v>
      </c>
      <c r="AO170" s="420" t="s">
        <v>195</v>
      </c>
      <c r="AP170" s="247">
        <f t="shared" ref="AP170:AR201" si="15">SUMIF($AS$9:$AT$9,AP$9,$AS170:$AT170)</f>
        <v>0</v>
      </c>
      <c r="AQ170" s="247">
        <f t="shared" si="15"/>
        <v>0</v>
      </c>
      <c r="AR170" s="247">
        <f t="shared" si="15"/>
        <v>0</v>
      </c>
      <c r="AS170" s="194"/>
      <c r="AT170" s="194"/>
      <c r="AU170" s="326"/>
    </row>
    <row r="171" spans="1:47" ht="40.799999999999997">
      <c r="A171" s="2"/>
      <c r="B171" s="2"/>
      <c r="C171" s="2"/>
      <c r="D171" s="2"/>
      <c r="E171" s="2"/>
      <c r="F171" s="2"/>
      <c r="G171" s="2"/>
      <c r="H171" s="2"/>
      <c r="I171" s="2"/>
      <c r="J17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0"/>
      <c r="AM171" s="509" t="s">
        <v>173</v>
      </c>
      <c r="AN171" s="546" t="s">
        <v>997</v>
      </c>
      <c r="AO171" s="420" t="s">
        <v>195</v>
      </c>
      <c r="AP171" s="247">
        <f t="shared" si="15"/>
        <v>0</v>
      </c>
      <c r="AQ171" s="247">
        <f t="shared" si="15"/>
        <v>0</v>
      </c>
      <c r="AR171" s="247">
        <f t="shared" si="15"/>
        <v>0</v>
      </c>
      <c r="AS171" s="194"/>
      <c r="AT171" s="194"/>
      <c r="AU171" s="326"/>
    </row>
    <row r="172" spans="1:47">
      <c r="A172" s="2"/>
      <c r="B172" s="2"/>
      <c r="C172" s="2"/>
      <c r="D172" s="2"/>
      <c r="E172" s="2"/>
      <c r="F172" s="2"/>
      <c r="G172" s="2"/>
      <c r="H172" s="2"/>
      <c r="I172" s="2"/>
      <c r="J17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0"/>
      <c r="AM172" s="509" t="s">
        <v>174</v>
      </c>
      <c r="AN172" s="546" t="s">
        <v>998</v>
      </c>
      <c r="AO172" s="420" t="s">
        <v>195</v>
      </c>
      <c r="AP172" s="247">
        <f t="shared" si="15"/>
        <v>0</v>
      </c>
      <c r="AQ172" s="247">
        <f t="shared" si="15"/>
        <v>0</v>
      </c>
      <c r="AR172" s="247">
        <f t="shared" si="15"/>
        <v>0</v>
      </c>
      <c r="AS172" s="194"/>
      <c r="AT172" s="194"/>
      <c r="AU172" s="326"/>
    </row>
    <row r="173" spans="1:47">
      <c r="A173" s="2"/>
      <c r="B173" s="2"/>
      <c r="C173" s="2"/>
      <c r="D173" s="2"/>
      <c r="E173" s="2"/>
      <c r="F173" s="2"/>
      <c r="G173" s="2"/>
      <c r="H173" s="2"/>
      <c r="I173" s="2"/>
      <c r="J17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0"/>
      <c r="AM173" s="509" t="s">
        <v>175</v>
      </c>
      <c r="AN173" s="546" t="s">
        <v>999</v>
      </c>
      <c r="AO173" s="420" t="s">
        <v>195</v>
      </c>
      <c r="AP173" s="247">
        <f t="shared" si="15"/>
        <v>0</v>
      </c>
      <c r="AQ173" s="247">
        <f t="shared" si="15"/>
        <v>0</v>
      </c>
      <c r="AR173" s="247">
        <f t="shared" si="15"/>
        <v>0</v>
      </c>
      <c r="AS173" s="194"/>
      <c r="AT173" s="194"/>
      <c r="AU173" s="326"/>
    </row>
    <row r="174" spans="1:47">
      <c r="A174" s="2"/>
      <c r="B174" s="2"/>
      <c r="C174" s="2"/>
      <c r="D174" s="2"/>
      <c r="E174" s="2"/>
      <c r="F174" s="2"/>
      <c r="G174" s="2"/>
      <c r="H174" s="2"/>
      <c r="I174" s="2"/>
      <c r="J17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0"/>
      <c r="AM174" s="509" t="s">
        <v>176</v>
      </c>
      <c r="AN174" s="546" t="s">
        <v>1000</v>
      </c>
      <c r="AO174" s="420" t="s">
        <v>195</v>
      </c>
      <c r="AP174" s="247">
        <f t="shared" si="15"/>
        <v>0</v>
      </c>
      <c r="AQ174" s="247">
        <f t="shared" si="15"/>
        <v>0</v>
      </c>
      <c r="AR174" s="247">
        <f t="shared" si="15"/>
        <v>0</v>
      </c>
      <c r="AS174" s="194"/>
      <c r="AT174" s="194"/>
      <c r="AU174" s="326"/>
    </row>
    <row r="175" spans="1:47">
      <c r="A175" s="2"/>
      <c r="B175" s="2"/>
      <c r="C175" s="2"/>
      <c r="D175" s="2"/>
      <c r="E175" s="2"/>
      <c r="F175" s="2"/>
      <c r="G175" s="2"/>
      <c r="H175" s="2"/>
      <c r="I175" s="2"/>
      <c r="J17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0"/>
      <c r="AM175" s="509" t="s">
        <v>1001</v>
      </c>
      <c r="AN175" s="546" t="s">
        <v>1002</v>
      </c>
      <c r="AO175" s="420" t="s">
        <v>195</v>
      </c>
      <c r="AP175" s="247">
        <f t="shared" si="15"/>
        <v>0</v>
      </c>
      <c r="AQ175" s="247">
        <f t="shared" si="15"/>
        <v>0</v>
      </c>
      <c r="AR175" s="247">
        <f t="shared" si="15"/>
        <v>0</v>
      </c>
      <c r="AS175" s="194"/>
      <c r="AT175" s="194"/>
      <c r="AU175" s="326"/>
    </row>
    <row r="176" spans="1:47" ht="11.25" customHeight="1">
      <c r="A176" s="2"/>
      <c r="B176" s="2"/>
      <c r="C176" s="2"/>
      <c r="D176" s="2"/>
      <c r="E176" s="2"/>
      <c r="F176" s="2"/>
      <c r="G176" s="2"/>
      <c r="H176" s="2"/>
      <c r="I176" s="2"/>
      <c r="J176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0"/>
      <c r="AM176" s="509" t="s">
        <v>1003</v>
      </c>
      <c r="AN176" s="544" t="s">
        <v>1004</v>
      </c>
      <c r="AO176" s="420" t="s">
        <v>195</v>
      </c>
      <c r="AP176" s="247">
        <f t="shared" si="15"/>
        <v>0</v>
      </c>
      <c r="AQ176" s="247">
        <f t="shared" si="15"/>
        <v>0</v>
      </c>
      <c r="AR176" s="247">
        <f t="shared" si="15"/>
        <v>0</v>
      </c>
      <c r="AS176" s="194"/>
      <c r="AT176" s="194"/>
      <c r="AU176" s="326"/>
    </row>
    <row r="177" spans="1:47">
      <c r="A177" s="2"/>
      <c r="B177" s="2"/>
      <c r="C177" s="2"/>
      <c r="D177" s="2"/>
      <c r="E177" s="2"/>
      <c r="F177" s="2"/>
      <c r="G177" s="2"/>
      <c r="H177" s="2"/>
      <c r="I177" s="2"/>
      <c r="J17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0"/>
      <c r="AM177" s="509" t="s">
        <v>1005</v>
      </c>
      <c r="AN177" s="544" t="s">
        <v>1006</v>
      </c>
      <c r="AO177" s="420" t="s">
        <v>195</v>
      </c>
      <c r="AP177" s="247">
        <f t="shared" si="15"/>
        <v>0</v>
      </c>
      <c r="AQ177" s="247">
        <f t="shared" si="15"/>
        <v>0</v>
      </c>
      <c r="AR177" s="247">
        <f t="shared" si="15"/>
        <v>0</v>
      </c>
      <c r="AS177" s="194"/>
      <c r="AT177" s="194"/>
      <c r="AU177" s="326"/>
    </row>
    <row r="178" spans="1:47">
      <c r="A178" s="2"/>
      <c r="B178" s="2"/>
      <c r="C178" s="2"/>
      <c r="D178" s="2"/>
      <c r="E178" s="2"/>
      <c r="F178" s="2"/>
      <c r="G178" s="2"/>
      <c r="H178" s="2"/>
      <c r="I178" s="2"/>
      <c r="J178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0"/>
      <c r="AM178" s="490">
        <v>4</v>
      </c>
      <c r="AN178" s="490" t="s">
        <v>1007</v>
      </c>
      <c r="AO178" s="420" t="s">
        <v>195</v>
      </c>
      <c r="AP178" s="247">
        <f t="shared" si="15"/>
        <v>0</v>
      </c>
      <c r="AQ178" s="247">
        <f t="shared" si="15"/>
        <v>0</v>
      </c>
      <c r="AR178" s="247">
        <f t="shared" si="15"/>
        <v>0</v>
      </c>
      <c r="AS178" s="194"/>
      <c r="AT178" s="194"/>
      <c r="AU178" s="326"/>
    </row>
    <row r="179" spans="1:47" ht="20.399999999999999">
      <c r="A179" s="2"/>
      <c r="B179" s="2"/>
      <c r="C179" s="2"/>
      <c r="D179" s="2"/>
      <c r="E179" s="2"/>
      <c r="F179" s="2"/>
      <c r="G179" s="2"/>
      <c r="H179" s="2"/>
      <c r="I179" s="2"/>
      <c r="J17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0"/>
      <c r="AM179" s="509" t="s">
        <v>177</v>
      </c>
      <c r="AN179" s="546" t="s">
        <v>1008</v>
      </c>
      <c r="AO179" s="420" t="s">
        <v>195</v>
      </c>
      <c r="AP179" s="247">
        <f t="shared" si="15"/>
        <v>0</v>
      </c>
      <c r="AQ179" s="247">
        <f t="shared" si="15"/>
        <v>0</v>
      </c>
      <c r="AR179" s="247">
        <f t="shared" si="15"/>
        <v>0</v>
      </c>
      <c r="AS179" s="194"/>
      <c r="AT179" s="194"/>
      <c r="AU179" s="326"/>
    </row>
    <row r="180" spans="1:47">
      <c r="A180" s="2"/>
      <c r="B180" s="2"/>
      <c r="C180" s="2"/>
      <c r="D180" s="2"/>
      <c r="E180" s="2"/>
      <c r="F180" s="2"/>
      <c r="G180" s="2"/>
      <c r="H180" s="2"/>
      <c r="I180" s="2"/>
      <c r="J180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0"/>
      <c r="AM180" s="490">
        <v>5</v>
      </c>
      <c r="AN180" s="490" t="s">
        <v>604</v>
      </c>
      <c r="AO180" s="420" t="s">
        <v>195</v>
      </c>
      <c r="AP180" s="247">
        <f t="shared" si="15"/>
        <v>0</v>
      </c>
      <c r="AQ180" s="247">
        <f t="shared" si="15"/>
        <v>0</v>
      </c>
      <c r="AR180" s="247">
        <f t="shared" si="15"/>
        <v>0</v>
      </c>
      <c r="AS180" s="194"/>
      <c r="AT180" s="194"/>
      <c r="AU180" s="326"/>
    </row>
    <row r="181" spans="1:47" ht="30.6">
      <c r="A181" s="2"/>
      <c r="B181" s="2"/>
      <c r="C181" s="2"/>
      <c r="D181" s="2"/>
      <c r="E181" s="2"/>
      <c r="F181" s="2"/>
      <c r="G181" s="2"/>
      <c r="H181" s="2"/>
      <c r="I181" s="2"/>
      <c r="J18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0"/>
      <c r="AM181" s="509" t="s">
        <v>181</v>
      </c>
      <c r="AN181" s="546" t="s">
        <v>1009</v>
      </c>
      <c r="AO181" s="420" t="s">
        <v>195</v>
      </c>
      <c r="AP181" s="247">
        <f t="shared" si="15"/>
        <v>0</v>
      </c>
      <c r="AQ181" s="247">
        <f t="shared" si="15"/>
        <v>0</v>
      </c>
      <c r="AR181" s="247">
        <f t="shared" si="15"/>
        <v>0</v>
      </c>
      <c r="AS181" s="194"/>
      <c r="AT181" s="194"/>
      <c r="AU181" s="326"/>
    </row>
    <row r="182" spans="1:47" ht="51">
      <c r="A182" s="2"/>
      <c r="B182" s="2"/>
      <c r="C182" s="2"/>
      <c r="D182" s="2"/>
      <c r="E182" s="2"/>
      <c r="F182" s="2"/>
      <c r="G182" s="2"/>
      <c r="H182" s="2"/>
      <c r="I182" s="2"/>
      <c r="J18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0"/>
      <c r="AM182" s="490">
        <v>6</v>
      </c>
      <c r="AN182" s="490" t="s">
        <v>1902</v>
      </c>
      <c r="AO182" s="420" t="s">
        <v>195</v>
      </c>
      <c r="AP182" s="247">
        <f t="shared" si="15"/>
        <v>0</v>
      </c>
      <c r="AQ182" s="247">
        <f t="shared" si="15"/>
        <v>0</v>
      </c>
      <c r="AR182" s="247">
        <f t="shared" si="15"/>
        <v>0</v>
      </c>
      <c r="AS182" s="194"/>
      <c r="AT182" s="194"/>
      <c r="AU182" s="326"/>
    </row>
    <row r="183" spans="1:47">
      <c r="A183" s="2"/>
      <c r="B183" s="2"/>
      <c r="C183" s="2"/>
      <c r="D183" s="2"/>
      <c r="E183" s="2"/>
      <c r="F183" s="2"/>
      <c r="G183" s="2"/>
      <c r="H183" s="2"/>
      <c r="I183" s="2"/>
      <c r="J18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0"/>
      <c r="AM183" s="509" t="s">
        <v>711</v>
      </c>
      <c r="AN183" s="546" t="s">
        <v>1010</v>
      </c>
      <c r="AO183" s="420" t="s">
        <v>195</v>
      </c>
      <c r="AP183" s="247">
        <f t="shared" si="15"/>
        <v>0</v>
      </c>
      <c r="AQ183" s="247">
        <f t="shared" si="15"/>
        <v>0</v>
      </c>
      <c r="AR183" s="247">
        <f t="shared" si="15"/>
        <v>0</v>
      </c>
      <c r="AS183" s="194"/>
      <c r="AT183" s="194"/>
      <c r="AU183" s="326"/>
    </row>
    <row r="184" spans="1:47">
      <c r="A184" s="2"/>
      <c r="B184" s="2"/>
      <c r="C184" s="2"/>
      <c r="D184" s="2"/>
      <c r="E184" s="2"/>
      <c r="F184" s="2"/>
      <c r="G184" s="2"/>
      <c r="H184" s="2"/>
      <c r="I184" s="2"/>
      <c r="J18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0"/>
      <c r="AM184" s="509" t="s">
        <v>574</v>
      </c>
      <c r="AN184" s="544" t="s">
        <v>2100</v>
      </c>
      <c r="AO184" s="420" t="s">
        <v>195</v>
      </c>
      <c r="AP184" s="247">
        <f t="shared" si="15"/>
        <v>0</v>
      </c>
      <c r="AQ184" s="247">
        <f t="shared" si="15"/>
        <v>0</v>
      </c>
      <c r="AR184" s="247">
        <f t="shared" si="15"/>
        <v>0</v>
      </c>
      <c r="AS184" s="194"/>
      <c r="AT184" s="194"/>
      <c r="AU184" s="326"/>
    </row>
    <row r="185" spans="1:47">
      <c r="A185" s="2"/>
      <c r="B185" s="2"/>
      <c r="C185" s="2"/>
      <c r="D185" s="2"/>
      <c r="E185" s="2"/>
      <c r="F185" s="2"/>
      <c r="G185" s="2"/>
      <c r="H185" s="2"/>
      <c r="I185" s="2"/>
      <c r="J18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0"/>
      <c r="AM185" s="509" t="s">
        <v>575</v>
      </c>
      <c r="AN185" s="544" t="s">
        <v>2101</v>
      </c>
      <c r="AO185" s="420" t="s">
        <v>195</v>
      </c>
      <c r="AP185" s="247">
        <f t="shared" si="15"/>
        <v>0</v>
      </c>
      <c r="AQ185" s="247">
        <f t="shared" si="15"/>
        <v>0</v>
      </c>
      <c r="AR185" s="247">
        <f t="shared" si="15"/>
        <v>0</v>
      </c>
      <c r="AS185" s="194"/>
      <c r="AT185" s="194"/>
      <c r="AU185" s="326"/>
    </row>
    <row r="186" spans="1:47">
      <c r="A186" s="2"/>
      <c r="B186" s="2"/>
      <c r="C186" s="2"/>
      <c r="D186" s="2"/>
      <c r="E186" s="2"/>
      <c r="F186" s="2"/>
      <c r="G186" s="2"/>
      <c r="H186" s="2"/>
      <c r="I186" s="2"/>
      <c r="J186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0"/>
      <c r="AM186" s="509" t="s">
        <v>745</v>
      </c>
      <c r="AN186" s="544" t="s">
        <v>1025</v>
      </c>
      <c r="AO186" s="420" t="s">
        <v>195</v>
      </c>
      <c r="AP186" s="247">
        <f t="shared" si="15"/>
        <v>0</v>
      </c>
      <c r="AQ186" s="247">
        <f t="shared" si="15"/>
        <v>0</v>
      </c>
      <c r="AR186" s="247">
        <f t="shared" si="15"/>
        <v>0</v>
      </c>
      <c r="AS186" s="194"/>
      <c r="AT186" s="194"/>
      <c r="AU186" s="326"/>
    </row>
    <row r="187" spans="1:47">
      <c r="A187" s="2"/>
      <c r="B187" s="2"/>
      <c r="C187" s="2"/>
      <c r="D187" s="2"/>
      <c r="E187" s="2"/>
      <c r="F187" s="2"/>
      <c r="G187" s="2"/>
      <c r="H187" s="2"/>
      <c r="I187" s="2"/>
      <c r="J18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0"/>
      <c r="AM187" s="509" t="s">
        <v>704</v>
      </c>
      <c r="AN187" s="546" t="s">
        <v>1011</v>
      </c>
      <c r="AO187" s="420" t="s">
        <v>195</v>
      </c>
      <c r="AP187" s="247">
        <f t="shared" si="15"/>
        <v>0</v>
      </c>
      <c r="AQ187" s="247">
        <f t="shared" si="15"/>
        <v>0</v>
      </c>
      <c r="AR187" s="247">
        <f t="shared" si="15"/>
        <v>0</v>
      </c>
      <c r="AS187" s="194"/>
      <c r="AT187" s="194"/>
      <c r="AU187" s="326"/>
    </row>
    <row r="188" spans="1:47">
      <c r="A188" s="2"/>
      <c r="B188" s="2"/>
      <c r="C188" s="2"/>
      <c r="D188" s="2"/>
      <c r="E188" s="2"/>
      <c r="F188" s="2"/>
      <c r="G188" s="2"/>
      <c r="H188" s="2"/>
      <c r="I188" s="2"/>
      <c r="J188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0"/>
      <c r="AM188" s="509" t="s">
        <v>707</v>
      </c>
      <c r="AN188" s="546" t="s">
        <v>1012</v>
      </c>
      <c r="AO188" s="420" t="s">
        <v>195</v>
      </c>
      <c r="AP188" s="247">
        <f t="shared" si="15"/>
        <v>0</v>
      </c>
      <c r="AQ188" s="247">
        <f t="shared" si="15"/>
        <v>0</v>
      </c>
      <c r="AR188" s="247">
        <f t="shared" si="15"/>
        <v>0</v>
      </c>
      <c r="AS188" s="194"/>
      <c r="AT188" s="194"/>
      <c r="AU188" s="326"/>
    </row>
    <row r="189" spans="1:47">
      <c r="A189" s="2"/>
      <c r="B189" s="2"/>
      <c r="C189" s="2"/>
      <c r="D189" s="2"/>
      <c r="E189" s="2"/>
      <c r="F189" s="2"/>
      <c r="G189" s="2"/>
      <c r="H189" s="2"/>
      <c r="I189" s="2"/>
      <c r="J18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0"/>
      <c r="AM189" s="509" t="s">
        <v>582</v>
      </c>
      <c r="AN189" s="546" t="s">
        <v>1013</v>
      </c>
      <c r="AO189" s="420" t="s">
        <v>195</v>
      </c>
      <c r="AP189" s="247">
        <f t="shared" si="15"/>
        <v>0</v>
      </c>
      <c r="AQ189" s="247">
        <f t="shared" si="15"/>
        <v>0</v>
      </c>
      <c r="AR189" s="247">
        <f t="shared" si="15"/>
        <v>0</v>
      </c>
      <c r="AS189" s="194"/>
      <c r="AT189" s="194"/>
      <c r="AU189" s="326"/>
    </row>
    <row r="190" spans="1:47">
      <c r="A190" s="2"/>
      <c r="B190" s="2"/>
      <c r="C190" s="2"/>
      <c r="D190" s="2"/>
      <c r="E190" s="2"/>
      <c r="F190" s="2"/>
      <c r="G190" s="2"/>
      <c r="H190" s="2"/>
      <c r="I190" s="2"/>
      <c r="J190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0"/>
      <c r="AM190" s="509" t="s">
        <v>586</v>
      </c>
      <c r="AN190" s="546" t="s">
        <v>1014</v>
      </c>
      <c r="AO190" s="420" t="s">
        <v>195</v>
      </c>
      <c r="AP190" s="247">
        <f t="shared" si="15"/>
        <v>0</v>
      </c>
      <c r="AQ190" s="247">
        <f t="shared" si="15"/>
        <v>0</v>
      </c>
      <c r="AR190" s="247">
        <f t="shared" si="15"/>
        <v>0</v>
      </c>
      <c r="AS190" s="194"/>
      <c r="AT190" s="194"/>
      <c r="AU190" s="326"/>
    </row>
    <row r="191" spans="1:47" ht="40.799999999999997">
      <c r="A191" s="2"/>
      <c r="B191" s="2"/>
      <c r="C191" s="2"/>
      <c r="D191" s="2"/>
      <c r="E191" s="2"/>
      <c r="F191" s="2"/>
      <c r="G191" s="2"/>
      <c r="H191" s="2"/>
      <c r="I191" s="2"/>
      <c r="J19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0"/>
      <c r="AM191" s="490">
        <v>7</v>
      </c>
      <c r="AN191" s="490" t="s">
        <v>1903</v>
      </c>
      <c r="AO191" s="420" t="s">
        <v>195</v>
      </c>
      <c r="AP191" s="247">
        <f t="shared" si="15"/>
        <v>0</v>
      </c>
      <c r="AQ191" s="247">
        <f t="shared" si="15"/>
        <v>0</v>
      </c>
      <c r="AR191" s="247">
        <f t="shared" si="15"/>
        <v>0</v>
      </c>
      <c r="AS191" s="194"/>
      <c r="AT191" s="194"/>
      <c r="AU191" s="326"/>
    </row>
    <row r="192" spans="1:47">
      <c r="A192" s="2"/>
      <c r="B192" s="2"/>
      <c r="C192" s="2"/>
      <c r="D192" s="2"/>
      <c r="E192" s="2"/>
      <c r="F192" s="2"/>
      <c r="G192" s="2"/>
      <c r="H192" s="2"/>
      <c r="I192" s="2"/>
      <c r="J19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0"/>
      <c r="AM192" s="509" t="s">
        <v>525</v>
      </c>
      <c r="AN192" s="546" t="s">
        <v>1015</v>
      </c>
      <c r="AO192" s="420" t="s">
        <v>195</v>
      </c>
      <c r="AP192" s="247">
        <f t="shared" si="15"/>
        <v>0</v>
      </c>
      <c r="AQ192" s="247">
        <f t="shared" si="15"/>
        <v>0</v>
      </c>
      <c r="AR192" s="247">
        <f t="shared" si="15"/>
        <v>0</v>
      </c>
      <c r="AS192" s="194"/>
      <c r="AT192" s="194"/>
      <c r="AU192" s="326"/>
    </row>
    <row r="193" spans="1:47">
      <c r="A193" s="2"/>
      <c r="B193" s="2"/>
      <c r="C193" s="2"/>
      <c r="D193" s="2"/>
      <c r="E193" s="2"/>
      <c r="F193" s="2"/>
      <c r="G193" s="2"/>
      <c r="H193" s="2"/>
      <c r="I193" s="2"/>
      <c r="J19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0"/>
      <c r="AM193" s="509" t="s">
        <v>527</v>
      </c>
      <c r="AN193" s="546" t="s">
        <v>1016</v>
      </c>
      <c r="AO193" s="420" t="s">
        <v>195</v>
      </c>
      <c r="AP193" s="247">
        <f t="shared" si="15"/>
        <v>0</v>
      </c>
      <c r="AQ193" s="247">
        <f t="shared" si="15"/>
        <v>0</v>
      </c>
      <c r="AR193" s="247">
        <f t="shared" si="15"/>
        <v>0</v>
      </c>
      <c r="AS193" s="194"/>
      <c r="AT193" s="194"/>
      <c r="AU193" s="326"/>
    </row>
    <row r="194" spans="1:47" ht="11.25" customHeight="1">
      <c r="A194" s="2"/>
      <c r="B194" s="2"/>
      <c r="C194" s="2"/>
      <c r="D194" s="2"/>
      <c r="E194" s="2"/>
      <c r="F194" s="2"/>
      <c r="G194" s="2"/>
      <c r="H194" s="2"/>
      <c r="I194" s="2"/>
      <c r="J19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0"/>
      <c r="AM194" s="509" t="s">
        <v>530</v>
      </c>
      <c r="AN194" s="546" t="s">
        <v>1017</v>
      </c>
      <c r="AO194" s="420" t="s">
        <v>195</v>
      </c>
      <c r="AP194" s="247">
        <f t="shared" si="15"/>
        <v>0</v>
      </c>
      <c r="AQ194" s="247">
        <f t="shared" si="15"/>
        <v>0</v>
      </c>
      <c r="AR194" s="247">
        <f t="shared" si="15"/>
        <v>0</v>
      </c>
      <c r="AS194" s="194"/>
      <c r="AT194" s="194"/>
      <c r="AU194" s="326"/>
    </row>
    <row r="195" spans="1:47">
      <c r="A195" s="2"/>
      <c r="B195" s="2"/>
      <c r="C195" s="2"/>
      <c r="D195" s="2"/>
      <c r="E195" s="2"/>
      <c r="F195" s="2"/>
      <c r="G195" s="2"/>
      <c r="H195" s="2"/>
      <c r="I195" s="2"/>
      <c r="J19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0"/>
      <c r="AM195" s="509" t="s">
        <v>532</v>
      </c>
      <c r="AN195" s="546" t="s">
        <v>1018</v>
      </c>
      <c r="AO195" s="420" t="s">
        <v>195</v>
      </c>
      <c r="AP195" s="247">
        <f t="shared" si="15"/>
        <v>0</v>
      </c>
      <c r="AQ195" s="247">
        <f t="shared" si="15"/>
        <v>0</v>
      </c>
      <c r="AR195" s="247">
        <f t="shared" si="15"/>
        <v>0</v>
      </c>
      <c r="AS195" s="194"/>
      <c r="AT195" s="194"/>
      <c r="AU195" s="326"/>
    </row>
    <row r="196" spans="1:47">
      <c r="A196" s="2"/>
      <c r="B196" s="2"/>
      <c r="C196" s="2"/>
      <c r="D196" s="2"/>
      <c r="E196" s="2"/>
      <c r="F196" s="2"/>
      <c r="G196" s="2"/>
      <c r="H196" s="2"/>
      <c r="I196" s="2"/>
      <c r="J196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0"/>
      <c r="AM196" s="509" t="s">
        <v>534</v>
      </c>
      <c r="AN196" s="546" t="s">
        <v>1019</v>
      </c>
      <c r="AO196" s="420" t="s">
        <v>195</v>
      </c>
      <c r="AP196" s="247">
        <f t="shared" si="15"/>
        <v>0</v>
      </c>
      <c r="AQ196" s="247">
        <f t="shared" si="15"/>
        <v>0</v>
      </c>
      <c r="AR196" s="247">
        <f t="shared" si="15"/>
        <v>0</v>
      </c>
      <c r="AS196" s="194"/>
      <c r="AT196" s="194"/>
      <c r="AU196" s="326"/>
    </row>
    <row r="197" spans="1:47">
      <c r="A197" s="2"/>
      <c r="B197" s="2"/>
      <c r="C197" s="2"/>
      <c r="D197" s="2"/>
      <c r="E197" s="2"/>
      <c r="F197" s="2"/>
      <c r="G197" s="2"/>
      <c r="H197" s="2"/>
      <c r="I197" s="2"/>
      <c r="J19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0"/>
      <c r="AM197" s="509" t="s">
        <v>1020</v>
      </c>
      <c r="AN197" s="546" t="s">
        <v>1021</v>
      </c>
      <c r="AO197" s="420" t="s">
        <v>195</v>
      </c>
      <c r="AP197" s="247">
        <f t="shared" si="15"/>
        <v>0</v>
      </c>
      <c r="AQ197" s="247">
        <f t="shared" si="15"/>
        <v>0</v>
      </c>
      <c r="AR197" s="247">
        <f t="shared" si="15"/>
        <v>0</v>
      </c>
      <c r="AS197" s="194"/>
      <c r="AT197" s="194"/>
      <c r="AU197" s="326"/>
    </row>
    <row r="198" spans="1:47" ht="40.799999999999997">
      <c r="A198" s="2"/>
      <c r="B198" s="2"/>
      <c r="C198" s="2"/>
      <c r="D198" s="2"/>
      <c r="E198" s="2"/>
      <c r="F198" s="2"/>
      <c r="G198" s="2"/>
      <c r="H198" s="2"/>
      <c r="I198" s="2"/>
      <c r="J198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0"/>
      <c r="AM198" s="509" t="s">
        <v>1022</v>
      </c>
      <c r="AN198" s="546" t="s">
        <v>1023</v>
      </c>
      <c r="AO198" s="420" t="s">
        <v>195</v>
      </c>
      <c r="AP198" s="247">
        <f t="shared" si="15"/>
        <v>0</v>
      </c>
      <c r="AQ198" s="247">
        <f t="shared" si="15"/>
        <v>0</v>
      </c>
      <c r="AR198" s="247">
        <f t="shared" si="15"/>
        <v>0</v>
      </c>
      <c r="AS198" s="194"/>
      <c r="AT198" s="194"/>
      <c r="AU198" s="326"/>
    </row>
    <row r="199" spans="1:47" ht="30.6">
      <c r="A199" s="2"/>
      <c r="B199" s="2"/>
      <c r="C199" s="2"/>
      <c r="D199" s="2"/>
      <c r="E199" s="2"/>
      <c r="F199" s="2"/>
      <c r="G199" s="2"/>
      <c r="H199" s="2"/>
      <c r="I199" s="2"/>
      <c r="J19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0"/>
      <c r="AM199" s="490" t="s">
        <v>536</v>
      </c>
      <c r="AN199" s="490" t="s">
        <v>1024</v>
      </c>
      <c r="AO199" s="420" t="s">
        <v>195</v>
      </c>
      <c r="AP199" s="247">
        <f t="shared" si="15"/>
        <v>0</v>
      </c>
      <c r="AQ199" s="247">
        <f t="shared" si="15"/>
        <v>0</v>
      </c>
      <c r="AR199" s="247">
        <f t="shared" si="15"/>
        <v>0</v>
      </c>
      <c r="AS199" s="194"/>
      <c r="AT199" s="194"/>
      <c r="AU199" s="326"/>
    </row>
    <row r="200" spans="1:47">
      <c r="A200" s="2"/>
      <c r="B200" s="2"/>
      <c r="C200" s="2"/>
      <c r="D200" s="2"/>
      <c r="E200" s="2"/>
      <c r="F200" s="2"/>
      <c r="G200" s="2"/>
      <c r="H200" s="2"/>
      <c r="I200" s="2"/>
      <c r="J200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0"/>
      <c r="AM200" s="490" t="s">
        <v>538</v>
      </c>
      <c r="AN200" s="490" t="s">
        <v>1133</v>
      </c>
      <c r="AO200" s="420" t="s">
        <v>195</v>
      </c>
      <c r="AP200" s="247">
        <f t="shared" si="15"/>
        <v>0</v>
      </c>
      <c r="AQ200" s="247">
        <f t="shared" si="15"/>
        <v>0</v>
      </c>
      <c r="AR200" s="247">
        <f t="shared" si="15"/>
        <v>0</v>
      </c>
      <c r="AS200" s="194"/>
      <c r="AT200" s="194"/>
      <c r="AU200" s="326"/>
    </row>
    <row r="201" spans="1:47">
      <c r="A201" s="2"/>
      <c r="B201" s="2"/>
      <c r="C201" s="2"/>
      <c r="D201" s="2"/>
      <c r="E201" s="2"/>
      <c r="F201" s="2"/>
      <c r="G201" s="2"/>
      <c r="H201" s="2"/>
      <c r="I201" s="2"/>
      <c r="J20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0"/>
      <c r="AM201" s="490" t="s">
        <v>542</v>
      </c>
      <c r="AN201" s="490" t="s">
        <v>1134</v>
      </c>
      <c r="AO201" s="420" t="s">
        <v>195</v>
      </c>
      <c r="AP201" s="247">
        <f t="shared" si="15"/>
        <v>0</v>
      </c>
      <c r="AQ201" s="247">
        <f t="shared" si="15"/>
        <v>0</v>
      </c>
      <c r="AR201" s="247">
        <f t="shared" si="15"/>
        <v>0</v>
      </c>
      <c r="AS201" s="194"/>
      <c r="AT201" s="194"/>
      <c r="AU201" s="326"/>
    </row>
    <row r="202" spans="1:47" ht="0.75" hidden="1" customHeight="1">
      <c r="A202" s="2"/>
      <c r="B202" s="2"/>
      <c r="C202" s="2"/>
      <c r="D202" s="2"/>
      <c r="E202" s="2"/>
      <c r="F202" s="2"/>
      <c r="G202" s="2"/>
      <c r="H202" s="2"/>
      <c r="I202" s="2"/>
      <c r="J20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0"/>
      <c r="AM202" s="532"/>
      <c r="AN202" s="533"/>
      <c r="AO202" s="422"/>
      <c r="AP202" s="142"/>
      <c r="AQ202" s="142"/>
      <c r="AR202" s="142"/>
      <c r="AS202" s="194"/>
      <c r="AT202" s="194"/>
    </row>
    <row r="203" spans="1:47" ht="23.25" customHeight="1">
      <c r="A203" s="2"/>
      <c r="B203" s="2"/>
      <c r="C203" s="2"/>
      <c r="D203" s="2"/>
      <c r="E203" s="2"/>
      <c r="F203" s="2"/>
      <c r="G203" s="2"/>
      <c r="H203" s="2"/>
      <c r="I203" s="2"/>
      <c r="J20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0"/>
      <c r="AM203" s="570" t="s">
        <v>2124</v>
      </c>
      <c r="AN203" s="490" t="s">
        <v>545</v>
      </c>
      <c r="AO203" s="420" t="s">
        <v>195</v>
      </c>
      <c r="AP203" s="247">
        <f>SUMIF($AS$9:$AT$9,AP$9,$AS203:$AT203)</f>
        <v>0</v>
      </c>
      <c r="AQ203" s="247">
        <f>SUMIF($AS$9:$AT$9,AQ$9,$AS203:$AT203)</f>
        <v>0</v>
      </c>
      <c r="AR203" s="247">
        <f>SUMIF($AS$9:$AT$9,AR$9,$AS203:$AT203)</f>
        <v>0</v>
      </c>
      <c r="AS203" s="194"/>
      <c r="AT203" s="194"/>
      <c r="AU203" s="326"/>
    </row>
    <row r="204" spans="1:47" ht="0.75" hidden="1" customHeight="1">
      <c r="A204" s="2"/>
      <c r="B204" s="2"/>
      <c r="C204" s="2"/>
      <c r="D204" s="2"/>
      <c r="E204" s="2"/>
      <c r="F204" s="2"/>
      <c r="G204" s="2"/>
      <c r="H204" s="2"/>
      <c r="I204" s="2"/>
      <c r="J20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0"/>
      <c r="AM204" s="532"/>
      <c r="AN204" s="533"/>
      <c r="AO204" s="422"/>
      <c r="AP204" s="142"/>
      <c r="AQ204" s="142"/>
      <c r="AR204" s="142"/>
      <c r="AS204" s="194"/>
      <c r="AT204" s="194"/>
    </row>
    <row r="205" spans="1:47" ht="24" customHeight="1">
      <c r="A205" s="2"/>
      <c r="B205" s="2"/>
      <c r="C205" s="2"/>
      <c r="D205" s="2"/>
      <c r="E205" s="2"/>
      <c r="F205" s="2"/>
      <c r="G205" s="2"/>
      <c r="H205" s="2"/>
      <c r="I205" s="2"/>
      <c r="J20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150"/>
      <c r="AM205" s="570" t="s">
        <v>2123</v>
      </c>
      <c r="AN205" s="494" t="s">
        <v>2122</v>
      </c>
      <c r="AO205" s="163" t="s">
        <v>195</v>
      </c>
      <c r="AP205" s="247">
        <f>SUMIF($AS$9:$AT$9,AP$9,$AS205:$AT205)</f>
        <v>0</v>
      </c>
      <c r="AQ205" s="247">
        <f>SUMIF($AS$9:$AT$9,AQ$9,$AS205:$AT205)</f>
        <v>0</v>
      </c>
      <c r="AR205" s="247">
        <f>SUMIF($AS$9:$AT$9,AR$9,$AS205:$AT205)</f>
        <v>0</v>
      </c>
      <c r="AS205" s="194"/>
      <c r="AT205" s="194"/>
      <c r="AU205" s="326"/>
    </row>
    <row r="206" spans="1:47" ht="0.75" hidden="1" customHeight="1">
      <c r="A206" s="2"/>
      <c r="B206" s="2"/>
      <c r="C206" s="2"/>
      <c r="D206" s="2"/>
      <c r="E206" s="2"/>
      <c r="F206" s="2"/>
      <c r="G206" s="2"/>
      <c r="H206" s="2"/>
      <c r="I206" s="2"/>
      <c r="J206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150"/>
      <c r="AM206" s="508"/>
      <c r="AN206" s="472"/>
      <c r="AO206" s="166"/>
      <c r="AP206" s="261"/>
      <c r="AQ206" s="261"/>
      <c r="AR206" s="261"/>
      <c r="AS206" s="194"/>
      <c r="AT206" s="194"/>
      <c r="AU206" s="114"/>
    </row>
    <row r="207" spans="1:47" ht="24" customHeight="1">
      <c r="A207" s="2"/>
      <c r="B207" s="2"/>
      <c r="C207" s="2"/>
      <c r="D207" s="2"/>
      <c r="E207" s="2"/>
      <c r="F207" s="2"/>
      <c r="G207" s="2"/>
      <c r="H207" s="2"/>
      <c r="I207" s="2"/>
      <c r="J20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150"/>
      <c r="AM207" s="513" t="s">
        <v>2119</v>
      </c>
      <c r="AN207" s="513" t="s">
        <v>2131</v>
      </c>
      <c r="AO207" s="443" t="s">
        <v>195</v>
      </c>
      <c r="AP207" s="247">
        <f t="shared" ref="AP207:AR208" si="16">SUMIF($AS$9:$AT$9,AP$9,$AS207:$AT207)</f>
        <v>0</v>
      </c>
      <c r="AQ207" s="247">
        <f t="shared" si="16"/>
        <v>0</v>
      </c>
      <c r="AR207" s="247">
        <f t="shared" si="16"/>
        <v>0</v>
      </c>
      <c r="AS207" s="194"/>
      <c r="AT207" s="194"/>
      <c r="AU207" s="326"/>
    </row>
    <row r="208" spans="1:47" ht="24" customHeight="1">
      <c r="A208" s="2"/>
      <c r="B208" s="2"/>
      <c r="C208" s="2"/>
      <c r="D208" s="2"/>
      <c r="E208" s="2"/>
      <c r="F208" s="2"/>
      <c r="G208" s="2"/>
      <c r="H208" s="2"/>
      <c r="I208" s="2"/>
      <c r="J20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150"/>
      <c r="AM208" s="514" t="s">
        <v>641</v>
      </c>
      <c r="AN208" s="515" t="s">
        <v>598</v>
      </c>
      <c r="AO208" s="443" t="s">
        <v>195</v>
      </c>
      <c r="AP208" s="247">
        <f t="shared" si="16"/>
        <v>0</v>
      </c>
      <c r="AQ208" s="247">
        <f t="shared" si="16"/>
        <v>0</v>
      </c>
      <c r="AR208" s="247">
        <f t="shared" si="16"/>
        <v>0</v>
      </c>
      <c r="AS208" s="194"/>
      <c r="AT208" s="194"/>
      <c r="AU208" s="326"/>
    </row>
    <row r="209" spans="1:47" ht="0.75" hidden="1" customHeight="1">
      <c r="A209" s="2"/>
      <c r="B209" s="2"/>
      <c r="C209" s="2"/>
      <c r="D209" s="2"/>
      <c r="E209" s="2"/>
      <c r="F209" s="2"/>
      <c r="G209" s="2"/>
      <c r="H209" s="2"/>
      <c r="I209" s="2"/>
      <c r="J20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150"/>
      <c r="AM209" s="508"/>
      <c r="AN209" s="472"/>
      <c r="AO209" s="166"/>
      <c r="AP209" s="261"/>
      <c r="AQ209" s="261"/>
      <c r="AR209" s="261"/>
      <c r="AS209" s="194"/>
      <c r="AT209" s="194"/>
      <c r="AU209" s="114"/>
    </row>
    <row r="210" spans="1:47" ht="20.399999999999999">
      <c r="A210" s="2"/>
      <c r="B210" s="2"/>
      <c r="C210" s="2"/>
      <c r="D210" s="2"/>
      <c r="E210" s="2"/>
      <c r="F210" s="2"/>
      <c r="G210" s="2"/>
      <c r="H210" s="2"/>
      <c r="I210" s="2"/>
      <c r="J210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150"/>
      <c r="AM210" s="558" t="s">
        <v>2127</v>
      </c>
      <c r="AN210" s="467" t="s">
        <v>547</v>
      </c>
      <c r="AO210" s="445" t="s">
        <v>195</v>
      </c>
      <c r="AP210" s="247">
        <f t="shared" ref="AP210:AR213" si="17">SUMIF($AS$9:$AT$9,AP$9,$AS210:$AT210)</f>
        <v>0</v>
      </c>
      <c r="AQ210" s="247">
        <f t="shared" si="17"/>
        <v>0</v>
      </c>
      <c r="AR210" s="247">
        <f t="shared" si="17"/>
        <v>0</v>
      </c>
      <c r="AS210" s="194"/>
      <c r="AT210" s="194"/>
      <c r="AU210" s="326"/>
    </row>
    <row r="211" spans="1:47">
      <c r="A211" s="2"/>
      <c r="B211" s="2"/>
      <c r="C211" s="2"/>
      <c r="D211" s="2"/>
      <c r="E211" s="2"/>
      <c r="F211" s="2"/>
      <c r="G211" s="2"/>
      <c r="H211" s="2"/>
      <c r="I211" s="2"/>
      <c r="J2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150"/>
      <c r="AM211" s="558" t="s">
        <v>2128</v>
      </c>
      <c r="AN211" s="467" t="s">
        <v>548</v>
      </c>
      <c r="AO211" s="445" t="s">
        <v>195</v>
      </c>
      <c r="AP211" s="247">
        <f t="shared" si="17"/>
        <v>0</v>
      </c>
      <c r="AQ211" s="247">
        <f t="shared" si="17"/>
        <v>0</v>
      </c>
      <c r="AR211" s="247">
        <f t="shared" si="17"/>
        <v>0</v>
      </c>
      <c r="AS211" s="194"/>
      <c r="AT211" s="194"/>
      <c r="AU211" s="326"/>
    </row>
    <row r="212" spans="1:47">
      <c r="A212" s="2"/>
      <c r="B212" s="2"/>
      <c r="C212" s="2"/>
      <c r="D212" s="2"/>
      <c r="E212" s="2"/>
      <c r="F212" s="2"/>
      <c r="G212" s="2"/>
      <c r="H212" s="2"/>
      <c r="I212" s="2"/>
      <c r="J21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150"/>
      <c r="AM212" s="558" t="s">
        <v>2129</v>
      </c>
      <c r="AN212" s="467" t="s">
        <v>549</v>
      </c>
      <c r="AO212" s="445" t="s">
        <v>195</v>
      </c>
      <c r="AP212" s="247">
        <f t="shared" si="17"/>
        <v>0</v>
      </c>
      <c r="AQ212" s="247">
        <f t="shared" si="17"/>
        <v>0</v>
      </c>
      <c r="AR212" s="247">
        <f t="shared" si="17"/>
        <v>0</v>
      </c>
      <c r="AS212" s="194"/>
      <c r="AT212" s="194"/>
      <c r="AU212" s="326"/>
    </row>
    <row r="213" spans="1:47">
      <c r="A213" s="2"/>
      <c r="B213" s="2"/>
      <c r="C213" s="2"/>
      <c r="D213" s="2"/>
      <c r="E213" s="2"/>
      <c r="F213" s="2"/>
      <c r="G213" s="2"/>
      <c r="H213" s="2"/>
      <c r="I213" s="2"/>
      <c r="J2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150"/>
      <c r="AM213" s="558" t="s">
        <v>2130</v>
      </c>
      <c r="AN213" s="467" t="s">
        <v>550</v>
      </c>
      <c r="AO213" s="445" t="s">
        <v>195</v>
      </c>
      <c r="AP213" s="247">
        <f t="shared" si="17"/>
        <v>0</v>
      </c>
      <c r="AQ213" s="247">
        <f t="shared" si="17"/>
        <v>0</v>
      </c>
      <c r="AR213" s="247">
        <f t="shared" si="17"/>
        <v>0</v>
      </c>
      <c r="AS213" s="194"/>
      <c r="AT213" s="194"/>
      <c r="AU213" s="326"/>
    </row>
    <row r="214" spans="1:47" ht="0.75" hidden="1" customHeight="1">
      <c r="A214" s="2"/>
      <c r="B214" s="2"/>
      <c r="C214" s="2"/>
      <c r="D214" s="2"/>
      <c r="E214" s="2"/>
      <c r="F214" s="2"/>
      <c r="G214" s="2"/>
      <c r="H214" s="2"/>
      <c r="I214" s="2"/>
      <c r="J21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150"/>
      <c r="AM214" s="511"/>
      <c r="AN214" s="512"/>
      <c r="AO214" s="446"/>
      <c r="AP214" s="261"/>
      <c r="AQ214" s="261"/>
      <c r="AR214" s="261"/>
      <c r="AS214" s="194"/>
      <c r="AT214" s="194"/>
      <c r="AU214" s="114"/>
    </row>
    <row r="215" spans="1:47" ht="0.75" hidden="1" customHeight="1">
      <c r="A215" s="2"/>
      <c r="B215" s="2"/>
      <c r="C215" s="2"/>
      <c r="D215" s="2"/>
      <c r="E215" s="2"/>
      <c r="F215" s="2"/>
      <c r="G215" s="2"/>
      <c r="H215" s="2"/>
      <c r="I215" s="2"/>
      <c r="J21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150"/>
      <c r="AM215" s="511"/>
      <c r="AN215" s="512"/>
      <c r="AO215" s="446"/>
      <c r="AP215" s="261"/>
      <c r="AQ215" s="261"/>
      <c r="AR215" s="261"/>
      <c r="AS215" s="194"/>
      <c r="AT215" s="194"/>
      <c r="AU215" s="114"/>
    </row>
    <row r="216" spans="1:47" ht="0.75" hidden="1" customHeight="1">
      <c r="A216" s="2"/>
      <c r="B216" s="2"/>
      <c r="C216" s="2"/>
      <c r="D216" s="2"/>
      <c r="E216" s="2"/>
      <c r="F216" s="2"/>
      <c r="G216" s="2"/>
      <c r="H216" s="2"/>
      <c r="I216" s="2"/>
      <c r="J21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150"/>
      <c r="AM216" s="511"/>
      <c r="AN216" s="512"/>
      <c r="AO216" s="446"/>
      <c r="AP216" s="261"/>
      <c r="AQ216" s="261"/>
      <c r="AR216" s="261"/>
      <c r="AS216" s="194"/>
      <c r="AT216" s="194"/>
      <c r="AU216" s="114"/>
    </row>
    <row r="217" spans="1:47" ht="0.75" hidden="1" customHeight="1">
      <c r="A217" s="2"/>
      <c r="B217" s="2"/>
      <c r="C217" s="2"/>
      <c r="D217" s="2"/>
      <c r="E217" s="2"/>
      <c r="F217" s="2"/>
      <c r="G217" s="2"/>
      <c r="H217" s="2"/>
      <c r="I217" s="2"/>
      <c r="J21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150"/>
      <c r="AM217" s="511"/>
      <c r="AN217" s="512"/>
      <c r="AO217" s="446"/>
      <c r="AP217" s="261"/>
      <c r="AQ217" s="261"/>
      <c r="AR217" s="261"/>
      <c r="AS217" s="194"/>
      <c r="AT217" s="194"/>
      <c r="AU217" s="114"/>
    </row>
    <row r="218" spans="1:47" ht="0.75" hidden="1" customHeight="1">
      <c r="A218" s="2"/>
      <c r="B218" s="2"/>
      <c r="C218" s="2"/>
      <c r="D218" s="2"/>
      <c r="E218" s="2"/>
      <c r="F218" s="2"/>
      <c r="G218" s="2"/>
      <c r="H218" s="2"/>
      <c r="I218" s="2"/>
      <c r="J218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150"/>
      <c r="AM218" s="511"/>
      <c r="AN218" s="512"/>
      <c r="AO218" s="446"/>
      <c r="AP218" s="261"/>
      <c r="AQ218" s="261"/>
      <c r="AR218" s="261"/>
      <c r="AS218" s="194"/>
      <c r="AT218" s="194"/>
      <c r="AU218" s="114"/>
    </row>
    <row r="219" spans="1:47" ht="0.75" hidden="1" customHeight="1">
      <c r="A219" s="2"/>
      <c r="B219" s="2"/>
      <c r="C219" s="2"/>
      <c r="D219" s="2"/>
      <c r="E219" s="2"/>
      <c r="F219" s="2"/>
      <c r="G219" s="2"/>
      <c r="H219" s="2"/>
      <c r="I219" s="2"/>
      <c r="J21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150"/>
      <c r="AM219" s="511"/>
      <c r="AN219" s="512"/>
      <c r="AO219" s="446"/>
      <c r="AP219" s="261"/>
      <c r="AQ219" s="261"/>
      <c r="AR219" s="261"/>
      <c r="AS219" s="194"/>
      <c r="AT219" s="194"/>
      <c r="AU219" s="114"/>
    </row>
    <row r="220" spans="1:47" ht="0.75" hidden="1" customHeight="1">
      <c r="A220" s="2"/>
      <c r="B220" s="2"/>
      <c r="C220" s="2"/>
      <c r="D220" s="2"/>
      <c r="E220" s="2"/>
      <c r="F220" s="2"/>
      <c r="G220" s="2"/>
      <c r="H220" s="2"/>
      <c r="I220" s="2"/>
      <c r="J220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150"/>
      <c r="AM220" s="511"/>
      <c r="AN220" s="512"/>
      <c r="AO220" s="446"/>
      <c r="AP220" s="261"/>
      <c r="AQ220" s="261"/>
      <c r="AR220" s="261"/>
      <c r="AS220" s="194"/>
      <c r="AT220" s="194"/>
      <c r="AU220" s="114"/>
    </row>
    <row r="221" spans="1:47" ht="0.75" hidden="1" customHeight="1">
      <c r="A221" s="2"/>
      <c r="B221" s="2"/>
      <c r="C221" s="2"/>
      <c r="D221" s="2"/>
      <c r="E221" s="2"/>
      <c r="F221" s="2"/>
      <c r="G221" s="2"/>
      <c r="H221" s="2"/>
      <c r="I221" s="2"/>
      <c r="J22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150"/>
      <c r="AM221" s="511"/>
      <c r="AN221" s="512"/>
      <c r="AO221" s="446"/>
      <c r="AP221" s="261"/>
      <c r="AQ221" s="261"/>
      <c r="AR221" s="261"/>
      <c r="AS221" s="194"/>
      <c r="AT221" s="194"/>
      <c r="AU221" s="114"/>
    </row>
    <row r="222" spans="1:47" ht="24" customHeight="1">
      <c r="A222" s="2"/>
      <c r="B222" s="2"/>
      <c r="C222" s="2"/>
      <c r="D222" s="2"/>
      <c r="E222" s="2"/>
      <c r="F222" s="2"/>
      <c r="G222" s="2"/>
      <c r="H222" s="2"/>
      <c r="I222" s="2"/>
      <c r="J2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150"/>
      <c r="AM222" s="570" t="s">
        <v>2132</v>
      </c>
      <c r="AN222" s="494" t="s">
        <v>2133</v>
      </c>
      <c r="AO222" s="163" t="s">
        <v>195</v>
      </c>
      <c r="AP222" s="247">
        <f>SUMIF($AS$9:$AT$9,AP$9,$AS222:$AT222)</f>
        <v>0</v>
      </c>
      <c r="AQ222" s="247">
        <f>SUMIF($AS$9:$AT$9,AQ$9,$AS222:$AT222)</f>
        <v>0</v>
      </c>
      <c r="AR222" s="247">
        <f>SUMIF($AS$9:$AT$9,AR$9,$AS222:$AT222)</f>
        <v>0</v>
      </c>
      <c r="AS222" s="194"/>
      <c r="AT222" s="194"/>
      <c r="AU222" s="326"/>
    </row>
    <row r="223" spans="1:47" ht="0.75" hidden="1" customHeight="1">
      <c r="A223" s="2"/>
      <c r="B223" s="2"/>
      <c r="C223" s="2"/>
      <c r="D223" s="2"/>
      <c r="E223" s="2"/>
      <c r="F223" s="2"/>
      <c r="G223" s="2"/>
      <c r="H223" s="2"/>
      <c r="I223" s="2"/>
      <c r="J22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0"/>
      <c r="AM223" s="532"/>
      <c r="AN223" s="533"/>
      <c r="AO223" s="422"/>
      <c r="AP223" s="142"/>
      <c r="AQ223" s="142"/>
      <c r="AR223" s="142"/>
      <c r="AS223" s="194"/>
      <c r="AT223" s="194"/>
    </row>
    <row r="224" spans="1:47" ht="0.75" hidden="1" customHeight="1">
      <c r="A224" s="2"/>
      <c r="B224" s="2"/>
      <c r="C224" s="2"/>
      <c r="D224" s="2"/>
      <c r="E224" s="2"/>
      <c r="F224" s="2"/>
      <c r="G224" s="2"/>
      <c r="H224" s="2"/>
      <c r="I224" s="2"/>
      <c r="J22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0"/>
      <c r="AM224" s="532"/>
      <c r="AN224" s="533"/>
      <c r="AO224" s="422"/>
      <c r="AP224" s="142"/>
      <c r="AQ224" s="142"/>
      <c r="AR224" s="142"/>
      <c r="AS224" s="194"/>
      <c r="AT224" s="194"/>
    </row>
    <row r="225" spans="1:46" ht="0.75" hidden="1" customHeight="1">
      <c r="A225" s="2"/>
      <c r="B225" s="2"/>
      <c r="C225" s="2"/>
      <c r="D225" s="2"/>
      <c r="E225" s="2"/>
      <c r="F225" s="2"/>
      <c r="G225" s="2"/>
      <c r="H225" s="2"/>
      <c r="I225" s="2"/>
      <c r="J2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0"/>
      <c r="AM225" s="532"/>
      <c r="AN225" s="533"/>
      <c r="AO225" s="422"/>
      <c r="AP225" s="142"/>
      <c r="AQ225" s="142"/>
      <c r="AR225" s="142"/>
      <c r="AS225" s="194"/>
      <c r="AT225" s="194"/>
    </row>
    <row r="226" spans="1:46" ht="0.75" hidden="1" customHeight="1">
      <c r="A226" s="2"/>
      <c r="B226" s="2"/>
      <c r="C226" s="2"/>
      <c r="D226" s="2"/>
      <c r="E226" s="2"/>
      <c r="F226" s="2"/>
      <c r="G226" s="2"/>
      <c r="H226" s="2"/>
      <c r="I226" s="2"/>
      <c r="J226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0"/>
      <c r="AM226" s="532"/>
      <c r="AN226" s="533"/>
      <c r="AO226" s="422"/>
      <c r="AP226" s="142"/>
      <c r="AQ226" s="142"/>
      <c r="AR226" s="142"/>
      <c r="AS226" s="194"/>
      <c r="AT226" s="194"/>
    </row>
    <row r="227" spans="1:46" ht="0.75" hidden="1" customHeight="1">
      <c r="A227" s="2"/>
      <c r="B227" s="2"/>
      <c r="C227" s="2"/>
      <c r="D227" s="2"/>
      <c r="E227" s="2"/>
      <c r="F227" s="2"/>
      <c r="G227" s="2"/>
      <c r="H227" s="2"/>
      <c r="I227" s="2"/>
      <c r="J22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0"/>
      <c r="AM227" s="532"/>
      <c r="AN227" s="533"/>
      <c r="AO227" s="422"/>
      <c r="AP227" s="142"/>
      <c r="AQ227" s="142"/>
      <c r="AR227" s="142"/>
      <c r="AS227" s="194"/>
      <c r="AT227" s="194"/>
    </row>
    <row r="228" spans="1:46" ht="0.75" hidden="1" customHeight="1">
      <c r="A228" s="2"/>
      <c r="B228" s="2"/>
      <c r="C228" s="2"/>
      <c r="D228" s="2"/>
      <c r="E228" s="2"/>
      <c r="F228" s="2"/>
      <c r="G228" s="2"/>
      <c r="H228" s="2"/>
      <c r="I228" s="2"/>
      <c r="J228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0"/>
      <c r="AM228" s="532"/>
      <c r="AN228" s="533"/>
      <c r="AO228" s="422"/>
      <c r="AP228" s="142"/>
      <c r="AQ228" s="142"/>
      <c r="AR228" s="142"/>
      <c r="AS228" s="194"/>
      <c r="AT228" s="194"/>
    </row>
    <row r="229" spans="1:46" ht="0.75" hidden="1" customHeight="1">
      <c r="A229" s="2"/>
      <c r="B229" s="2"/>
      <c r="C229" s="2"/>
      <c r="D229" s="2"/>
      <c r="E229" s="2"/>
      <c r="F229" s="2"/>
      <c r="G229" s="2"/>
      <c r="H229" s="2"/>
      <c r="I229" s="2"/>
      <c r="J22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0"/>
      <c r="AM229" s="532"/>
      <c r="AN229" s="533"/>
      <c r="AO229" s="422"/>
      <c r="AP229" s="142"/>
      <c r="AQ229" s="142"/>
      <c r="AR229" s="142"/>
      <c r="AS229" s="194"/>
      <c r="AT229" s="194"/>
    </row>
    <row r="230" spans="1:46" ht="0.75" hidden="1" customHeight="1">
      <c r="A230" s="2"/>
      <c r="B230" s="2"/>
      <c r="C230" s="2"/>
      <c r="D230" s="2"/>
      <c r="E230" s="2"/>
      <c r="F230" s="2"/>
      <c r="G230" s="2"/>
      <c r="H230" s="2"/>
      <c r="I230" s="2"/>
      <c r="J230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0"/>
      <c r="AM230" s="532"/>
      <c r="AN230" s="533"/>
      <c r="AO230" s="422"/>
      <c r="AP230" s="142"/>
      <c r="AQ230" s="142"/>
      <c r="AR230" s="142"/>
      <c r="AS230" s="194"/>
      <c r="AT230" s="194"/>
    </row>
    <row r="231" spans="1:46" ht="0.75" hidden="1" customHeight="1">
      <c r="A231" s="2"/>
      <c r="B231" s="2"/>
      <c r="C231" s="2"/>
      <c r="D231" s="2"/>
      <c r="E231" s="2"/>
      <c r="F231" s="2"/>
      <c r="G231" s="2"/>
      <c r="H231" s="2"/>
      <c r="I231" s="2"/>
      <c r="J23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0"/>
      <c r="AM231" s="532"/>
      <c r="AN231" s="533"/>
      <c r="AO231" s="422"/>
      <c r="AP231" s="142"/>
      <c r="AQ231" s="142"/>
      <c r="AR231" s="142"/>
      <c r="AS231" s="194"/>
      <c r="AT231" s="194"/>
    </row>
    <row r="232" spans="1:46" ht="0.75" hidden="1" customHeight="1">
      <c r="A232" s="2"/>
      <c r="B232" s="2"/>
      <c r="C232" s="2"/>
      <c r="D232" s="2"/>
      <c r="E232" s="2"/>
      <c r="F232" s="2"/>
      <c r="G232" s="2"/>
      <c r="H232" s="2"/>
      <c r="I232" s="2"/>
      <c r="J23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0"/>
      <c r="AM232" s="532"/>
      <c r="AN232" s="533"/>
      <c r="AO232" s="422"/>
      <c r="AP232" s="142"/>
      <c r="AQ232" s="142"/>
      <c r="AR232" s="142"/>
      <c r="AS232" s="194"/>
      <c r="AT232" s="194"/>
    </row>
    <row r="233" spans="1:46" ht="0.75" hidden="1" customHeight="1">
      <c r="A233" s="2"/>
      <c r="B233" s="2"/>
      <c r="C233" s="2"/>
      <c r="D233" s="2"/>
      <c r="E233" s="2"/>
      <c r="F233" s="2"/>
      <c r="G233" s="2"/>
      <c r="H233" s="2"/>
      <c r="I233" s="2"/>
      <c r="J23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0"/>
      <c r="AM233" s="532"/>
      <c r="AN233" s="533"/>
      <c r="AO233" s="422"/>
      <c r="AP233" s="142"/>
      <c r="AQ233" s="142"/>
      <c r="AR233" s="142"/>
      <c r="AS233" s="194"/>
      <c r="AT233" s="194"/>
    </row>
    <row r="234" spans="1:46" ht="0.75" hidden="1" customHeight="1">
      <c r="A234" s="2"/>
      <c r="B234" s="2"/>
      <c r="C234" s="2"/>
      <c r="D234" s="2"/>
      <c r="E234" s="2"/>
      <c r="F234" s="2"/>
      <c r="G234" s="2"/>
      <c r="H234" s="2"/>
      <c r="I234" s="2"/>
      <c r="J23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0"/>
      <c r="AM234" s="532"/>
      <c r="AN234" s="533"/>
      <c r="AO234" s="422"/>
      <c r="AP234" s="142"/>
      <c r="AQ234" s="142"/>
      <c r="AR234" s="142"/>
      <c r="AS234" s="194"/>
      <c r="AT234" s="194"/>
    </row>
    <row r="235" spans="1:46" ht="0.75" hidden="1" customHeight="1">
      <c r="A235" s="2"/>
      <c r="B235" s="2"/>
      <c r="C235" s="2"/>
      <c r="D235" s="2"/>
      <c r="E235" s="2"/>
      <c r="F235" s="2"/>
      <c r="G235" s="2"/>
      <c r="H235" s="2"/>
      <c r="I235" s="2"/>
      <c r="J23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0"/>
      <c r="AM235" s="532"/>
      <c r="AN235" s="533"/>
      <c r="AO235" s="422"/>
      <c r="AP235" s="142"/>
      <c r="AQ235" s="142"/>
      <c r="AR235" s="142"/>
      <c r="AS235" s="194"/>
      <c r="AT235" s="194"/>
    </row>
    <row r="236" spans="1:46" ht="0.75" hidden="1" customHeight="1">
      <c r="A236" s="2"/>
      <c r="B236" s="2"/>
      <c r="C236" s="2"/>
      <c r="D236" s="2"/>
      <c r="E236" s="2"/>
      <c r="F236" s="2"/>
      <c r="G236" s="2"/>
      <c r="H236" s="2"/>
      <c r="I236" s="2"/>
      <c r="J236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0"/>
      <c r="AM236" s="532"/>
      <c r="AN236" s="533"/>
      <c r="AO236" s="422"/>
      <c r="AP236" s="142"/>
      <c r="AQ236" s="142"/>
      <c r="AR236" s="142"/>
      <c r="AS236" s="194"/>
      <c r="AT236" s="194"/>
    </row>
    <row r="237" spans="1:46" ht="0.75" hidden="1" customHeight="1">
      <c r="A237" s="2"/>
      <c r="B237" s="2"/>
      <c r="C237" s="2"/>
      <c r="D237" s="2"/>
      <c r="E237" s="2"/>
      <c r="F237" s="2"/>
      <c r="G237" s="2"/>
      <c r="H237" s="2"/>
      <c r="I237" s="2"/>
      <c r="J23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0"/>
      <c r="AM237" s="532"/>
      <c r="AN237" s="533"/>
      <c r="AO237" s="422"/>
      <c r="AP237" s="142"/>
      <c r="AQ237" s="142"/>
      <c r="AR237" s="142"/>
      <c r="AS237" s="194"/>
      <c r="AT237" s="194"/>
    </row>
    <row r="238" spans="1:46" ht="0.75" hidden="1" customHeight="1">
      <c r="A238" s="2"/>
      <c r="B238" s="2"/>
      <c r="C238" s="2"/>
      <c r="D238" s="2"/>
      <c r="E238" s="2"/>
      <c r="F238" s="2"/>
      <c r="G238" s="2"/>
      <c r="H238" s="2"/>
      <c r="I238" s="2"/>
      <c r="J238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0"/>
      <c r="AM238" s="532"/>
      <c r="AN238" s="533"/>
      <c r="AO238" s="422"/>
      <c r="AP238" s="142"/>
      <c r="AQ238" s="142"/>
      <c r="AR238" s="142"/>
      <c r="AS238" s="194"/>
      <c r="AT238" s="194"/>
    </row>
    <row r="239" spans="1:46" ht="0.75" hidden="1" customHeight="1">
      <c r="A239" s="2"/>
      <c r="B239" s="2"/>
      <c r="C239" s="2"/>
      <c r="D239" s="2"/>
      <c r="E239" s="2"/>
      <c r="F239" s="2"/>
      <c r="G239" s="2"/>
      <c r="H239" s="2"/>
      <c r="I239" s="2"/>
      <c r="J23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0"/>
      <c r="AM239" s="532"/>
      <c r="AN239" s="533"/>
      <c r="AO239" s="422"/>
      <c r="AP239" s="142"/>
      <c r="AQ239" s="142"/>
      <c r="AR239" s="142"/>
      <c r="AS239" s="194"/>
      <c r="AT239" s="194"/>
    </row>
    <row r="240" spans="1:46" ht="42" customHeight="1">
      <c r="A240" s="2"/>
      <c r="B240" s="2"/>
      <c r="C240" s="2"/>
      <c r="D240" s="2"/>
      <c r="E240" s="2"/>
      <c r="F240" s="2"/>
      <c r="G240" s="2"/>
      <c r="H240" s="2"/>
      <c r="I240" s="2"/>
      <c r="J240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0"/>
      <c r="AM240" s="516" t="s">
        <v>1056</v>
      </c>
      <c r="AN240" s="489" t="s">
        <v>2140</v>
      </c>
      <c r="AO240" s="163" t="s">
        <v>1026</v>
      </c>
      <c r="AP240" s="247">
        <f t="shared" ref="AP240:AR241" si="18">SUMIF($AS$9:$AT$9,AP$9,$AS240:$AT240)</f>
        <v>0</v>
      </c>
      <c r="AQ240" s="247">
        <f t="shared" si="18"/>
        <v>0</v>
      </c>
      <c r="AR240" s="247">
        <f t="shared" si="18"/>
        <v>0</v>
      </c>
      <c r="AS240" s="194"/>
      <c r="AT240" s="194"/>
    </row>
    <row r="241" spans="1:48" ht="42" customHeight="1">
      <c r="A241" s="2"/>
      <c r="B241" s="2"/>
      <c r="C241" s="2"/>
      <c r="D241" s="2"/>
      <c r="E241" s="2"/>
      <c r="F241" s="2"/>
      <c r="G241" s="2"/>
      <c r="H241" s="2"/>
      <c r="I241" s="2"/>
      <c r="J24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0"/>
      <c r="AM241" s="516" t="s">
        <v>1057</v>
      </c>
      <c r="AN241" s="554" t="s">
        <v>2141</v>
      </c>
      <c r="AO241" s="163" t="s">
        <v>1026</v>
      </c>
      <c r="AP241" s="247">
        <f t="shared" si="18"/>
        <v>0</v>
      </c>
      <c r="AQ241" s="247">
        <f t="shared" si="18"/>
        <v>0</v>
      </c>
      <c r="AR241" s="247">
        <f t="shared" si="18"/>
        <v>0</v>
      </c>
      <c r="AS241" s="194"/>
      <c r="AT241" s="194"/>
    </row>
    <row r="242" spans="1:48">
      <c r="A242" s="2"/>
      <c r="B242" s="2"/>
      <c r="C242" s="2"/>
      <c r="D242" s="2"/>
      <c r="E242" s="2"/>
      <c r="F242" s="2"/>
      <c r="G242" s="2"/>
      <c r="H242" s="2"/>
      <c r="I242" s="2"/>
      <c r="J24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0"/>
      <c r="AM242" s="516" t="s">
        <v>1058</v>
      </c>
      <c r="AN242" s="554" t="s">
        <v>312</v>
      </c>
      <c r="AO242" s="163"/>
      <c r="AP242" s="244">
        <f>IF(AP240=0,0,AP243/AP240)</f>
        <v>0</v>
      </c>
      <c r="AQ242" s="244">
        <f>IF(AQ240=0,0,AQ243/AQ240)</f>
        <v>0</v>
      </c>
      <c r="AR242" s="244">
        <f>IF(AR240=0,0,AR243/AR240)</f>
        <v>0</v>
      </c>
      <c r="AS242" s="194"/>
      <c r="AT242" s="194"/>
    </row>
    <row r="243" spans="1:48" ht="42" customHeight="1">
      <c r="A243" s="2"/>
      <c r="B243" s="2"/>
      <c r="C243" s="2"/>
      <c r="D243" s="2"/>
      <c r="E243" s="2"/>
      <c r="F243" s="2"/>
      <c r="G243" s="2"/>
      <c r="H243" s="2"/>
      <c r="I243" s="2"/>
      <c r="J24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0"/>
      <c r="AM243" s="516" t="s">
        <v>1059</v>
      </c>
      <c r="AN243" s="554" t="s">
        <v>2142</v>
      </c>
      <c r="AO243" s="163" t="s">
        <v>1026</v>
      </c>
      <c r="AP243" s="247">
        <f>SUMIF($AS$9:$AT$9,AP$9,$AS243:$AT243)</f>
        <v>0</v>
      </c>
      <c r="AQ243" s="247">
        <f>SUMIF($AS$9:$AT$9,AQ$9,$AS243:$AT243)</f>
        <v>0</v>
      </c>
      <c r="AR243" s="247">
        <f>SUMIF($AS$9:$AT$9,AR$9,$AS243:$AT243)</f>
        <v>0</v>
      </c>
      <c r="AS243" s="194"/>
      <c r="AT243" s="194"/>
    </row>
    <row r="244" spans="1:48" ht="0.75" hidden="1" customHeight="1">
      <c r="A244" s="2"/>
      <c r="B244" s="2"/>
      <c r="C244" s="2"/>
      <c r="D244" s="2"/>
      <c r="E244" s="2"/>
      <c r="F244" s="2"/>
      <c r="G244" s="2"/>
      <c r="H244" s="2"/>
      <c r="I244" s="2"/>
      <c r="J24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0"/>
      <c r="AM244" s="532"/>
      <c r="AN244" s="533"/>
      <c r="AO244" s="422"/>
      <c r="AP244" s="142"/>
      <c r="AQ244" s="142"/>
      <c r="AR244" s="142"/>
      <c r="AS244" s="194"/>
      <c r="AT244" s="194"/>
    </row>
    <row r="245" spans="1:48" ht="0.75" customHeight="1">
      <c r="A245" s="2"/>
      <c r="B245" s="2"/>
      <c r="C245" s="2"/>
      <c r="D245" s="2"/>
      <c r="E245" s="2"/>
      <c r="F245" s="2"/>
      <c r="G245" s="2"/>
      <c r="H245" s="2"/>
      <c r="I245" s="2"/>
      <c r="J24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0"/>
      <c r="AM245" s="516" t="s">
        <v>1142</v>
      </c>
      <c r="AN245" s="503" t="str">
        <f>IF(TEMPLATE_SPHERE_CODE="COLDVSNA","Объём отпуска воды",IF(TEMPLATE_SPHERE_CODE="VOTV","Объём сточных вод",""))</f>
        <v/>
      </c>
      <c r="AO245" s="163" t="s">
        <v>1026</v>
      </c>
      <c r="AP245" s="247">
        <f>SUMIF($AS$9:$AT$9,AP$9,$AS245:$AT245)</f>
        <v>0</v>
      </c>
      <c r="AQ245" s="247">
        <f>SUMIF($AS$9:$AT$9,AQ$9,$AS245:$AT245)</f>
        <v>0</v>
      </c>
      <c r="AR245" s="247">
        <f>SUMIF($AS$9:$AT$9,AR$9,$AS245:$AT245)</f>
        <v>0</v>
      </c>
      <c r="AS245" s="194"/>
      <c r="AT245" s="194"/>
    </row>
    <row r="246" spans="1:48" ht="0.75" hidden="1" customHeight="1">
      <c r="A246" s="2"/>
      <c r="B246" s="2"/>
      <c r="C246" s="2"/>
      <c r="D246" s="2"/>
      <c r="E246" s="2"/>
      <c r="F246" s="2"/>
      <c r="G246" s="2"/>
      <c r="H246" s="2"/>
      <c r="I246" s="2"/>
      <c r="J246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0"/>
      <c r="AM246" s="532"/>
      <c r="AN246" s="533"/>
      <c r="AO246" s="422"/>
      <c r="AP246" s="142"/>
      <c r="AQ246" s="142"/>
      <c r="AR246" s="142"/>
      <c r="AS246" s="194"/>
      <c r="AT246" s="194"/>
    </row>
    <row r="247" spans="1:48">
      <c r="A247" s="2"/>
      <c r="B247" s="2"/>
      <c r="C247" s="2"/>
      <c r="D247" s="2"/>
      <c r="E247" s="2"/>
      <c r="F247" s="2"/>
      <c r="G247" s="2"/>
      <c r="H247" s="2"/>
      <c r="I247" s="2"/>
      <c r="J24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0"/>
      <c r="AM247" s="516" t="s">
        <v>1143</v>
      </c>
      <c r="AN247" s="490" t="s">
        <v>629</v>
      </c>
      <c r="AO247" s="163" t="s">
        <v>755</v>
      </c>
      <c r="AP247" s="414">
        <f>IF(AP203=0,0,(AP208-AP207)/AP203*100)</f>
        <v>0</v>
      </c>
      <c r="AQ247" s="414">
        <f>IF(AQ203=0,0,(AQ208-AQ207)/AQ203*100)</f>
        <v>0</v>
      </c>
      <c r="AR247" s="414">
        <f>IF(AR203=0,0,(AR208-AR207)/AR203*100)</f>
        <v>0</v>
      </c>
      <c r="AS247" s="194"/>
      <c r="AT247" s="194"/>
    </row>
    <row r="248" spans="1:48" customFormat="1" ht="0.75" hidden="1" customHeight="1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150"/>
      <c r="AM248" s="511"/>
      <c r="AN248" s="512"/>
      <c r="AO248" s="446"/>
      <c r="AP248" s="261"/>
      <c r="AQ248" s="261"/>
      <c r="AR248" s="261"/>
      <c r="AS248" s="194"/>
      <c r="AT248" s="194"/>
      <c r="AU248" s="114"/>
      <c r="AV248" s="2"/>
    </row>
    <row r="249" spans="1:48" customFormat="1" ht="35.25" customHeight="1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150"/>
      <c r="AM249" s="516" t="s">
        <v>2491</v>
      </c>
      <c r="AN249" s="494" t="s">
        <v>2481</v>
      </c>
      <c r="AO249" s="163" t="s">
        <v>195</v>
      </c>
      <c r="AP249" s="247">
        <f t="shared" ref="AP249:AP264" si="19">AQ249+AR249</f>
        <v>0</v>
      </c>
      <c r="AQ249" s="247">
        <f>SUM(AQ250,AQ251,AQ254,AQ258,AQ263,AQ264)</f>
        <v>0</v>
      </c>
      <c r="AR249" s="247">
        <f>SUM(AR250,AR251,AR254,AR258,AR263,AR264)</f>
        <v>0</v>
      </c>
      <c r="AS249" s="194"/>
      <c r="AT249" s="194"/>
      <c r="AU249" s="114"/>
      <c r="AV249" s="2"/>
    </row>
    <row r="250" spans="1:48" customFormat="1" ht="24" customHeight="1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150"/>
      <c r="AM250" s="516" t="s">
        <v>2496</v>
      </c>
      <c r="AN250" s="657" t="s">
        <v>2482</v>
      </c>
      <c r="AO250" s="163" t="s">
        <v>195</v>
      </c>
      <c r="AP250" s="247">
        <f t="shared" si="19"/>
        <v>0</v>
      </c>
      <c r="AQ250" s="245"/>
      <c r="AR250" s="245"/>
      <c r="AS250" s="194"/>
      <c r="AT250" s="194"/>
      <c r="AU250" s="114"/>
      <c r="AV250" s="2"/>
    </row>
    <row r="251" spans="1:48" customFormat="1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150"/>
      <c r="AM251" s="516" t="s">
        <v>2497</v>
      </c>
      <c r="AN251" s="657" t="s">
        <v>2483</v>
      </c>
      <c r="AO251" s="163" t="s">
        <v>195</v>
      </c>
      <c r="AP251" s="247">
        <f t="shared" si="19"/>
        <v>0</v>
      </c>
      <c r="AQ251" s="247">
        <f>SUM(AQ252:AQ253)</f>
        <v>0</v>
      </c>
      <c r="AR251" s="247">
        <f>SUM(AR252:AR253)</f>
        <v>0</v>
      </c>
      <c r="AS251" s="194"/>
      <c r="AT251" s="194"/>
      <c r="AU251" s="114"/>
      <c r="AV251" s="2"/>
    </row>
    <row r="252" spans="1:48" customFormat="1" ht="24" customHeight="1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150"/>
      <c r="AM252" s="516" t="s">
        <v>2499</v>
      </c>
      <c r="AN252" s="655" t="s">
        <v>2484</v>
      </c>
      <c r="AO252" s="163" t="s">
        <v>195</v>
      </c>
      <c r="AP252" s="247">
        <f t="shared" si="19"/>
        <v>0</v>
      </c>
      <c r="AQ252" s="245"/>
      <c r="AR252" s="245"/>
      <c r="AS252" s="194"/>
      <c r="AT252" s="194"/>
      <c r="AU252" s="114"/>
      <c r="AV252" s="2"/>
    </row>
    <row r="253" spans="1:48" customFormat="1" ht="45" customHeight="1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150"/>
      <c r="AM253" s="516" t="s">
        <v>2500</v>
      </c>
      <c r="AN253" s="655" t="s">
        <v>2485</v>
      </c>
      <c r="AO253" s="163" t="s">
        <v>195</v>
      </c>
      <c r="AP253" s="247">
        <f t="shared" si="19"/>
        <v>0</v>
      </c>
      <c r="AQ253" s="245"/>
      <c r="AR253" s="245"/>
      <c r="AS253" s="194"/>
      <c r="AT253" s="194"/>
      <c r="AU253" s="114"/>
      <c r="AV253" s="2"/>
    </row>
    <row r="254" spans="1:48" customFormat="1" ht="24" customHeight="1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150"/>
      <c r="AM254" s="516" t="s">
        <v>2498</v>
      </c>
      <c r="AN254" s="657" t="s">
        <v>2486</v>
      </c>
      <c r="AO254" s="163" t="s">
        <v>195</v>
      </c>
      <c r="AP254" s="247">
        <f t="shared" si="19"/>
        <v>0</v>
      </c>
      <c r="AQ254" s="247">
        <f>SUM(AQ255:AQ257)</f>
        <v>0</v>
      </c>
      <c r="AR254" s="247">
        <f>SUM(AR255:AR257)</f>
        <v>0</v>
      </c>
      <c r="AS254" s="194"/>
      <c r="AT254" s="194"/>
      <c r="AU254" s="114"/>
      <c r="AV254" s="2"/>
    </row>
    <row r="255" spans="1:48" customFormat="1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150"/>
      <c r="AM255" s="516" t="s">
        <v>2501</v>
      </c>
      <c r="AN255" s="655" t="s">
        <v>2337</v>
      </c>
      <c r="AO255" s="163" t="s">
        <v>195</v>
      </c>
      <c r="AP255" s="247">
        <f t="shared" si="19"/>
        <v>0</v>
      </c>
      <c r="AQ255" s="245"/>
      <c r="AR255" s="245"/>
      <c r="AS255" s="194"/>
      <c r="AT255" s="194"/>
      <c r="AU255" s="114"/>
      <c r="AV255" s="2"/>
    </row>
    <row r="256" spans="1:48" customFormat="1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150"/>
      <c r="AM256" s="516" t="s">
        <v>2502</v>
      </c>
      <c r="AN256" s="655" t="s">
        <v>2487</v>
      </c>
      <c r="AO256" s="163" t="s">
        <v>195</v>
      </c>
      <c r="AP256" s="247">
        <f t="shared" si="19"/>
        <v>0</v>
      </c>
      <c r="AQ256" s="245"/>
      <c r="AR256" s="245"/>
      <c r="AS256" s="194"/>
      <c r="AT256" s="194"/>
      <c r="AU256" s="114"/>
      <c r="AV256" s="2"/>
    </row>
    <row r="257" spans="1:48" customFormat="1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150"/>
      <c r="AM257" s="516" t="s">
        <v>2503</v>
      </c>
      <c r="AN257" s="655" t="s">
        <v>2488</v>
      </c>
      <c r="AO257" s="163" t="s">
        <v>195</v>
      </c>
      <c r="AP257" s="247">
        <f t="shared" si="19"/>
        <v>0</v>
      </c>
      <c r="AQ257" s="245"/>
      <c r="AR257" s="245"/>
      <c r="AS257" s="194"/>
      <c r="AT257" s="194"/>
      <c r="AU257" s="114"/>
      <c r="AV257" s="2"/>
    </row>
    <row r="258" spans="1:48" customFormat="1" ht="24" customHeight="1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150"/>
      <c r="AM258" s="516" t="s">
        <v>2504</v>
      </c>
      <c r="AN258" s="657" t="s">
        <v>2494</v>
      </c>
      <c r="AO258" s="163" t="s">
        <v>195</v>
      </c>
      <c r="AP258" s="247">
        <f t="shared" si="19"/>
        <v>0</v>
      </c>
      <c r="AQ258" s="247">
        <f>SUM(AQ259:AQ262)</f>
        <v>0</v>
      </c>
      <c r="AR258" s="247">
        <f>SUM(AR259:AR262)</f>
        <v>0</v>
      </c>
      <c r="AS258" s="194"/>
      <c r="AT258" s="194"/>
      <c r="AU258" s="114"/>
      <c r="AV258" s="2"/>
    </row>
    <row r="259" spans="1:48" customFormat="1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150"/>
      <c r="AM259" s="516" t="s">
        <v>2505</v>
      </c>
      <c r="AN259" s="655" t="s">
        <v>2340</v>
      </c>
      <c r="AO259" s="163" t="s">
        <v>195</v>
      </c>
      <c r="AP259" s="247">
        <f t="shared" si="19"/>
        <v>0</v>
      </c>
      <c r="AQ259" s="245"/>
      <c r="AR259" s="245"/>
      <c r="AS259" s="194"/>
      <c r="AT259" s="194"/>
      <c r="AU259" s="114"/>
      <c r="AV259" s="2"/>
    </row>
    <row r="260" spans="1:48" customFormat="1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150"/>
      <c r="AM260" s="516" t="s">
        <v>2506</v>
      </c>
      <c r="AN260" s="655" t="s">
        <v>2339</v>
      </c>
      <c r="AO260" s="163" t="s">
        <v>195</v>
      </c>
      <c r="AP260" s="247">
        <f t="shared" si="19"/>
        <v>0</v>
      </c>
      <c r="AQ260" s="245"/>
      <c r="AR260" s="245"/>
      <c r="AS260" s="194"/>
      <c r="AT260" s="194"/>
      <c r="AU260" s="114"/>
      <c r="AV260" s="2"/>
    </row>
    <row r="261" spans="1:48" customFormat="1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150"/>
      <c r="AM261" s="516" t="s">
        <v>2507</v>
      </c>
      <c r="AN261" s="655" t="s">
        <v>2495</v>
      </c>
      <c r="AO261" s="163" t="s">
        <v>195</v>
      </c>
      <c r="AP261" s="247">
        <f t="shared" si="19"/>
        <v>0</v>
      </c>
      <c r="AQ261" s="245"/>
      <c r="AR261" s="245"/>
      <c r="AS261" s="194"/>
      <c r="AT261" s="194"/>
      <c r="AU261" s="114"/>
      <c r="AV261" s="2"/>
    </row>
    <row r="262" spans="1:48" customFormat="1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150"/>
      <c r="AM262" s="516" t="s">
        <v>2508</v>
      </c>
      <c r="AN262" s="656" t="s">
        <v>2489</v>
      </c>
      <c r="AO262" s="163" t="s">
        <v>195</v>
      </c>
      <c r="AP262" s="247">
        <f t="shared" si="19"/>
        <v>0</v>
      </c>
      <c r="AQ262" s="245"/>
      <c r="AR262" s="245"/>
      <c r="AS262" s="194"/>
      <c r="AT262" s="194"/>
      <c r="AU262" s="114"/>
      <c r="AV262" s="2"/>
    </row>
    <row r="263" spans="1:48" customFormat="1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150"/>
      <c r="AM263" s="516" t="s">
        <v>2509</v>
      </c>
      <c r="AN263" s="654" t="s">
        <v>2490</v>
      </c>
      <c r="AO263" s="163" t="s">
        <v>195</v>
      </c>
      <c r="AP263" s="247">
        <f t="shared" si="19"/>
        <v>0</v>
      </c>
      <c r="AQ263" s="245"/>
      <c r="AR263" s="245"/>
      <c r="AS263" s="194"/>
      <c r="AT263" s="194"/>
      <c r="AU263" s="114"/>
      <c r="AV263" s="2"/>
    </row>
    <row r="264" spans="1:48" customFormat="1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150"/>
      <c r="AM264" s="516" t="s">
        <v>2510</v>
      </c>
      <c r="AN264" s="658" t="s">
        <v>1025</v>
      </c>
      <c r="AO264" s="163" t="s">
        <v>195</v>
      </c>
      <c r="AP264" s="247">
        <f t="shared" si="19"/>
        <v>0</v>
      </c>
      <c r="AQ264" s="245"/>
      <c r="AR264" s="245"/>
      <c r="AS264" s="194"/>
      <c r="AT264" s="194"/>
      <c r="AU264" s="114"/>
      <c r="AV264" s="2"/>
    </row>
    <row r="265" spans="1:48" customFormat="1" ht="0.75" hidden="1" customHeight="1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150"/>
      <c r="AM265" s="511"/>
      <c r="AN265" s="512"/>
      <c r="AO265" s="446"/>
      <c r="AP265" s="261"/>
      <c r="AQ265" s="261"/>
      <c r="AR265" s="261"/>
      <c r="AS265" s="194"/>
      <c r="AT265" s="194"/>
      <c r="AU265" s="114"/>
      <c r="AV265" s="2"/>
    </row>
    <row r="266" spans="1:48" customFormat="1" ht="48.75" customHeight="1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150"/>
      <c r="AM266" s="516" t="s">
        <v>2526</v>
      </c>
      <c r="AN266" s="659" t="str">
        <f>AN249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(за исключением ИП, которые утверждены в соответствии с КС): по данным мониторинга SUMMARY.INV.WARM.12.2024</v>
      </c>
      <c r="AO266" s="163" t="s">
        <v>195</v>
      </c>
      <c r="AP266" s="590"/>
      <c r="AQ266" s="241"/>
      <c r="AR266" s="241"/>
      <c r="AS266" s="194"/>
      <c r="AT266" s="194"/>
      <c r="AU266" s="114"/>
      <c r="AV266" s="2"/>
    </row>
    <row r="267" spans="1:48" customFormat="1" ht="0.75" hidden="1" customHeight="1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150"/>
      <c r="AM267" s="511"/>
      <c r="AN267" s="512"/>
      <c r="AO267" s="446"/>
      <c r="AP267" s="261"/>
      <c r="AQ267" s="261"/>
      <c r="AR267" s="261"/>
      <c r="AS267" s="194"/>
      <c r="AT267" s="194"/>
      <c r="AU267" s="114"/>
      <c r="AV267" s="2"/>
    </row>
    <row r="268" spans="1:48" customFormat="1" ht="0.75" hidden="1" customHeight="1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150"/>
      <c r="AM268" s="511"/>
      <c r="AN268" s="512"/>
      <c r="AO268" s="446"/>
      <c r="AP268" s="261"/>
      <c r="AQ268" s="261"/>
      <c r="AR268" s="261"/>
      <c r="AS268" s="194"/>
      <c r="AT268" s="194"/>
      <c r="AU268" s="114"/>
      <c r="AV268" s="2"/>
    </row>
    <row r="269" spans="1:48" customFormat="1" ht="35.25" customHeight="1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150"/>
      <c r="AM269" s="516" t="s">
        <v>2492</v>
      </c>
      <c r="AN269" s="494" t="s">
        <v>2493</v>
      </c>
      <c r="AO269" s="163" t="s">
        <v>195</v>
      </c>
      <c r="AP269" s="247">
        <f t="shared" ref="AP269:AP284" si="20">AQ269+AR269</f>
        <v>0</v>
      </c>
      <c r="AQ269" s="247">
        <f>SUM(AQ270,AQ271,AQ274,AQ278,AQ283,AQ284)</f>
        <v>0</v>
      </c>
      <c r="AR269" s="247">
        <f>SUM(AR270,AR271,AR274,AR278,AR283,AR284)</f>
        <v>0</v>
      </c>
      <c r="AS269" s="194"/>
      <c r="AT269" s="194"/>
      <c r="AU269" s="114"/>
      <c r="AV269" s="2"/>
    </row>
    <row r="270" spans="1:48" customFormat="1" ht="24" customHeight="1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150"/>
      <c r="AM270" s="516" t="s">
        <v>2511</v>
      </c>
      <c r="AN270" s="657" t="s">
        <v>2482</v>
      </c>
      <c r="AO270" s="163" t="s">
        <v>195</v>
      </c>
      <c r="AP270" s="247">
        <f t="shared" si="20"/>
        <v>0</v>
      </c>
      <c r="AQ270" s="245"/>
      <c r="AR270" s="245"/>
      <c r="AS270" s="194"/>
      <c r="AT270" s="194"/>
      <c r="AU270" s="114"/>
      <c r="AV270" s="2"/>
    </row>
    <row r="271" spans="1:48" customFormat="1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150"/>
      <c r="AM271" s="516" t="s">
        <v>2512</v>
      </c>
      <c r="AN271" s="657" t="s">
        <v>2483</v>
      </c>
      <c r="AO271" s="163" t="s">
        <v>195</v>
      </c>
      <c r="AP271" s="247">
        <f t="shared" si="20"/>
        <v>0</v>
      </c>
      <c r="AQ271" s="247">
        <f>SUM(AQ272:AQ273)</f>
        <v>0</v>
      </c>
      <c r="AR271" s="247">
        <f>SUM(AR272:AR273)</f>
        <v>0</v>
      </c>
      <c r="AS271" s="194"/>
      <c r="AT271" s="194"/>
      <c r="AU271" s="114"/>
      <c r="AV271" s="2"/>
    </row>
    <row r="272" spans="1:48" customFormat="1" ht="24" customHeight="1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150"/>
      <c r="AM272" s="516" t="s">
        <v>2513</v>
      </c>
      <c r="AN272" s="655" t="s">
        <v>2484</v>
      </c>
      <c r="AO272" s="163" t="s">
        <v>195</v>
      </c>
      <c r="AP272" s="247">
        <f t="shared" si="20"/>
        <v>0</v>
      </c>
      <c r="AQ272" s="245"/>
      <c r="AR272" s="245"/>
      <c r="AS272" s="194"/>
      <c r="AT272" s="194"/>
      <c r="AU272" s="114"/>
      <c r="AV272" s="2"/>
    </row>
    <row r="273" spans="1:48" customFormat="1" ht="45" customHeight="1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150"/>
      <c r="AM273" s="516" t="s">
        <v>2514</v>
      </c>
      <c r="AN273" s="655" t="s">
        <v>2485</v>
      </c>
      <c r="AO273" s="163" t="s">
        <v>195</v>
      </c>
      <c r="AP273" s="247">
        <f t="shared" si="20"/>
        <v>0</v>
      </c>
      <c r="AQ273" s="245"/>
      <c r="AR273" s="245"/>
      <c r="AS273" s="194"/>
      <c r="AT273" s="194"/>
      <c r="AU273" s="114"/>
      <c r="AV273" s="2"/>
    </row>
    <row r="274" spans="1:48" customFormat="1" ht="24" customHeight="1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150"/>
      <c r="AM274" s="516" t="s">
        <v>2515</v>
      </c>
      <c r="AN274" s="657" t="s">
        <v>2486</v>
      </c>
      <c r="AO274" s="163" t="s">
        <v>195</v>
      </c>
      <c r="AP274" s="247">
        <f t="shared" si="20"/>
        <v>0</v>
      </c>
      <c r="AQ274" s="247">
        <f>SUM(AQ275:AQ277)</f>
        <v>0</v>
      </c>
      <c r="AR274" s="247">
        <f>SUM(AR275:AR277)</f>
        <v>0</v>
      </c>
      <c r="AS274" s="194"/>
      <c r="AT274" s="194"/>
      <c r="AU274" s="114"/>
      <c r="AV274" s="2"/>
    </row>
    <row r="275" spans="1:48" customFormat="1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150"/>
      <c r="AM275" s="516" t="s">
        <v>2516</v>
      </c>
      <c r="AN275" s="655" t="s">
        <v>2337</v>
      </c>
      <c r="AO275" s="163" t="s">
        <v>195</v>
      </c>
      <c r="AP275" s="247">
        <f t="shared" si="20"/>
        <v>0</v>
      </c>
      <c r="AQ275" s="245"/>
      <c r="AR275" s="245"/>
      <c r="AS275" s="194"/>
      <c r="AT275" s="194"/>
      <c r="AU275" s="114"/>
      <c r="AV275" s="2"/>
    </row>
    <row r="276" spans="1:48" customFormat="1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150"/>
      <c r="AM276" s="516" t="s">
        <v>2517</v>
      </c>
      <c r="AN276" s="655" t="s">
        <v>2487</v>
      </c>
      <c r="AO276" s="163" t="s">
        <v>195</v>
      </c>
      <c r="AP276" s="247">
        <f t="shared" si="20"/>
        <v>0</v>
      </c>
      <c r="AQ276" s="245"/>
      <c r="AR276" s="245"/>
      <c r="AS276" s="194"/>
      <c r="AT276" s="194"/>
      <c r="AU276" s="114"/>
      <c r="AV276" s="2"/>
    </row>
    <row r="277" spans="1:48" customFormat="1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150"/>
      <c r="AM277" s="516" t="s">
        <v>2518</v>
      </c>
      <c r="AN277" s="655" t="s">
        <v>2488</v>
      </c>
      <c r="AO277" s="163" t="s">
        <v>195</v>
      </c>
      <c r="AP277" s="247">
        <f t="shared" si="20"/>
        <v>0</v>
      </c>
      <c r="AQ277" s="245"/>
      <c r="AR277" s="245"/>
      <c r="AS277" s="194"/>
      <c r="AT277" s="194"/>
      <c r="AU277" s="114"/>
      <c r="AV277" s="2"/>
    </row>
    <row r="278" spans="1:48" customFormat="1" ht="24" customHeight="1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150"/>
      <c r="AM278" s="516" t="s">
        <v>2519</v>
      </c>
      <c r="AN278" s="657" t="s">
        <v>2494</v>
      </c>
      <c r="AO278" s="163" t="s">
        <v>195</v>
      </c>
      <c r="AP278" s="247">
        <f t="shared" si="20"/>
        <v>0</v>
      </c>
      <c r="AQ278" s="247">
        <f>SUM(AQ279:AQ282)</f>
        <v>0</v>
      </c>
      <c r="AR278" s="247">
        <f>SUM(AR279:AR282)</f>
        <v>0</v>
      </c>
      <c r="AS278" s="194"/>
      <c r="AT278" s="194"/>
      <c r="AU278" s="114"/>
      <c r="AV278" s="2"/>
    </row>
    <row r="279" spans="1:48" customFormat="1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150"/>
      <c r="AM279" s="516" t="s">
        <v>2520</v>
      </c>
      <c r="AN279" s="655" t="s">
        <v>2340</v>
      </c>
      <c r="AO279" s="163" t="s">
        <v>195</v>
      </c>
      <c r="AP279" s="247">
        <f t="shared" si="20"/>
        <v>0</v>
      </c>
      <c r="AQ279" s="245"/>
      <c r="AR279" s="245"/>
      <c r="AS279" s="194"/>
      <c r="AT279" s="194"/>
      <c r="AU279" s="114"/>
      <c r="AV279" s="2"/>
    </row>
    <row r="280" spans="1:48" customFormat="1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150"/>
      <c r="AM280" s="516" t="s">
        <v>2521</v>
      </c>
      <c r="AN280" s="655" t="s">
        <v>2339</v>
      </c>
      <c r="AO280" s="163" t="s">
        <v>195</v>
      </c>
      <c r="AP280" s="247">
        <f t="shared" si="20"/>
        <v>0</v>
      </c>
      <c r="AQ280" s="245"/>
      <c r="AR280" s="245"/>
      <c r="AS280" s="194"/>
      <c r="AT280" s="194"/>
      <c r="AU280" s="114"/>
      <c r="AV280" s="2"/>
    </row>
    <row r="281" spans="1:48" customFormat="1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150"/>
      <c r="AM281" s="516" t="s">
        <v>2522</v>
      </c>
      <c r="AN281" s="655" t="s">
        <v>2495</v>
      </c>
      <c r="AO281" s="163" t="s">
        <v>195</v>
      </c>
      <c r="AP281" s="247">
        <f t="shared" si="20"/>
        <v>0</v>
      </c>
      <c r="AQ281" s="245"/>
      <c r="AR281" s="245"/>
      <c r="AS281" s="194"/>
      <c r="AT281" s="194"/>
      <c r="AU281" s="114"/>
      <c r="AV281" s="2"/>
    </row>
    <row r="282" spans="1:48" customFormat="1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150"/>
      <c r="AM282" s="516" t="s">
        <v>2523</v>
      </c>
      <c r="AN282" s="656" t="s">
        <v>2489</v>
      </c>
      <c r="AO282" s="163" t="s">
        <v>195</v>
      </c>
      <c r="AP282" s="247">
        <f t="shared" si="20"/>
        <v>0</v>
      </c>
      <c r="AQ282" s="245"/>
      <c r="AR282" s="245"/>
      <c r="AS282" s="194"/>
      <c r="AT282" s="194"/>
      <c r="AU282" s="114"/>
      <c r="AV282" s="2"/>
    </row>
    <row r="283" spans="1:48" customFormat="1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150"/>
      <c r="AM283" s="516" t="s">
        <v>2524</v>
      </c>
      <c r="AN283" s="654" t="s">
        <v>2490</v>
      </c>
      <c r="AO283" s="163" t="s">
        <v>195</v>
      </c>
      <c r="AP283" s="247">
        <f t="shared" si="20"/>
        <v>0</v>
      </c>
      <c r="AQ283" s="245"/>
      <c r="AR283" s="245"/>
      <c r="AS283" s="194"/>
      <c r="AT283" s="194"/>
      <c r="AU283" s="114"/>
      <c r="AV283" s="2"/>
    </row>
    <row r="284" spans="1:48" customFormat="1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150"/>
      <c r="AM284" s="516" t="s">
        <v>2525</v>
      </c>
      <c r="AN284" s="658" t="s">
        <v>1025</v>
      </c>
      <c r="AO284" s="163" t="s">
        <v>195</v>
      </c>
      <c r="AP284" s="247">
        <f t="shared" si="20"/>
        <v>0</v>
      </c>
      <c r="AQ284" s="245"/>
      <c r="AR284" s="245"/>
      <c r="AS284" s="194"/>
      <c r="AT284" s="194"/>
      <c r="AU284" s="114"/>
      <c r="AV284" s="2"/>
    </row>
    <row r="285" spans="1:48" customFormat="1" ht="0.75" hidden="1" customHeight="1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150"/>
      <c r="AM285" s="511"/>
      <c r="AN285" s="512"/>
      <c r="AO285" s="446"/>
      <c r="AP285" s="261"/>
      <c r="AQ285" s="261"/>
      <c r="AR285" s="261"/>
      <c r="AS285" s="194"/>
      <c r="AT285" s="194"/>
      <c r="AU285" s="114"/>
      <c r="AV285" s="2"/>
    </row>
    <row r="286" spans="1:48" customFormat="1" ht="48.75" customHeight="1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150"/>
      <c r="AM286" s="516" t="s">
        <v>2527</v>
      </c>
      <c r="AN286" s="659" t="str">
        <f>AN269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(ИП, которые утверждены в соответствии с КС): по данным мониторинга SUMMARY.INV.WARM.12.2024</v>
      </c>
      <c r="AO286" s="163" t="s">
        <v>195</v>
      </c>
      <c r="AP286" s="590"/>
      <c r="AQ286" s="241"/>
      <c r="AR286" s="241"/>
      <c r="AS286" s="194"/>
      <c r="AT286" s="194"/>
      <c r="AU286" s="114"/>
      <c r="AV286" s="2"/>
    </row>
    <row r="287" spans="1:48" customFormat="1" ht="0.75" hidden="1" customHeight="1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150"/>
      <c r="AM287" s="511"/>
      <c r="AN287" s="512"/>
      <c r="AO287" s="446"/>
      <c r="AP287" s="261"/>
      <c r="AQ287" s="261"/>
      <c r="AR287" s="261"/>
      <c r="AS287" s="194"/>
      <c r="AT287" s="194"/>
      <c r="AU287" s="114"/>
      <c r="AV287" s="2"/>
    </row>
    <row r="288" spans="1:48" customFormat="1" ht="0.75" hidden="1" customHeight="1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150"/>
      <c r="AM288" s="511"/>
      <c r="AN288" s="512"/>
      <c r="AO288" s="446"/>
      <c r="AP288" s="261"/>
      <c r="AQ288" s="261"/>
      <c r="AR288" s="261"/>
      <c r="AS288" s="194"/>
      <c r="AT288" s="194"/>
      <c r="AU288" s="114"/>
      <c r="AV288" s="2"/>
    </row>
    <row r="289" spans="1:47" ht="18" customHeight="1">
      <c r="A289" s="2"/>
      <c r="B289" s="2"/>
      <c r="C289" s="2"/>
      <c r="D289" s="2"/>
      <c r="E289" s="2"/>
      <c r="F289" s="2"/>
      <c r="G289" s="2"/>
      <c r="H289" s="2"/>
      <c r="I289" s="2"/>
      <c r="J28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150"/>
      <c r="AM289" s="501"/>
      <c r="AN289" s="633" t="s">
        <v>2295</v>
      </c>
      <c r="AO289" s="632" t="s">
        <v>1300</v>
      </c>
      <c r="AP289" s="261"/>
      <c r="AQ289" s="261"/>
      <c r="AR289" s="261"/>
      <c r="AS289" s="194"/>
      <c r="AT289" s="194"/>
      <c r="AU289" s="114"/>
    </row>
    <row r="290" spans="1:47" ht="20.399999999999999">
      <c r="A290" s="2"/>
      <c r="B290" s="2"/>
      <c r="C290" s="2"/>
      <c r="D290" s="2"/>
      <c r="E290" s="2"/>
      <c r="F290" s="2"/>
      <c r="G290" s="2"/>
      <c r="H290" s="2"/>
      <c r="I290" s="2"/>
      <c r="J290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0"/>
      <c r="AM290" s="466" t="s">
        <v>1144</v>
      </c>
      <c r="AN290" s="490" t="s">
        <v>2125</v>
      </c>
      <c r="AO290" s="592" t="s">
        <v>195</v>
      </c>
      <c r="AP290" s="247">
        <f t="shared" ref="AP290:AR293" si="21">SUMIF($AS$9:$AT$9,AP$9,$AS290:$AT290)</f>
        <v>0</v>
      </c>
      <c r="AQ290" s="247">
        <f t="shared" si="21"/>
        <v>0</v>
      </c>
      <c r="AR290" s="247">
        <f t="shared" si="21"/>
        <v>0</v>
      </c>
      <c r="AS290" s="194"/>
      <c r="AT290" s="194"/>
      <c r="AU290" s="326"/>
    </row>
    <row r="291" spans="1:47" ht="20.399999999999999">
      <c r="A291" s="2"/>
      <c r="B291" s="2"/>
      <c r="C291" s="2"/>
      <c r="D291" s="2"/>
      <c r="E291" s="2"/>
      <c r="F291" s="2"/>
      <c r="G291" s="2"/>
      <c r="H291" s="2"/>
      <c r="I291" s="2"/>
      <c r="J29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0"/>
      <c r="AM291" s="555" t="str">
        <f>AM290 &amp; ".0.1"</f>
        <v>D.0.1</v>
      </c>
      <c r="AN291" s="490" t="s">
        <v>2120</v>
      </c>
      <c r="AO291" s="592" t="s">
        <v>195</v>
      </c>
      <c r="AP291" s="247">
        <f t="shared" si="21"/>
        <v>0</v>
      </c>
      <c r="AQ291" s="247">
        <f t="shared" si="21"/>
        <v>0</v>
      </c>
      <c r="AR291" s="247">
        <f t="shared" si="21"/>
        <v>0</v>
      </c>
      <c r="AS291" s="194"/>
      <c r="AT291" s="194"/>
      <c r="AU291" s="326"/>
    </row>
    <row r="292" spans="1:47" ht="11.25" customHeight="1">
      <c r="A292" s="2"/>
      <c r="B292" s="2"/>
      <c r="C292" s="2"/>
      <c r="D292" s="2"/>
      <c r="E292" s="2"/>
      <c r="F292" s="2"/>
      <c r="G292" s="2"/>
      <c r="H292" s="2"/>
      <c r="I292" s="2"/>
      <c r="J29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0"/>
      <c r="AM292" s="555" t="str">
        <f>AM290 &amp; ".0.2"</f>
        <v>D.0.2</v>
      </c>
      <c r="AN292" s="593" t="s">
        <v>44</v>
      </c>
      <c r="AO292" s="162" t="s">
        <v>1026</v>
      </c>
      <c r="AP292" s="247">
        <f t="shared" si="21"/>
        <v>0</v>
      </c>
      <c r="AQ292" s="247">
        <f t="shared" si="21"/>
        <v>0</v>
      </c>
      <c r="AR292" s="247">
        <f t="shared" si="21"/>
        <v>0</v>
      </c>
      <c r="AS292" s="194"/>
      <c r="AT292" s="194"/>
    </row>
    <row r="293" spans="1:47">
      <c r="A293" s="2"/>
      <c r="B293" s="2"/>
      <c r="C293" s="2"/>
      <c r="D293" s="2"/>
      <c r="E293" s="2"/>
      <c r="F293" s="2"/>
      <c r="G293" s="2"/>
      <c r="H293" s="2"/>
      <c r="I293" s="2"/>
      <c r="J29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0"/>
      <c r="AM293" s="555" t="str">
        <f>AM290 &amp; ".1"</f>
        <v>D.1</v>
      </c>
      <c r="AN293" s="556" t="s">
        <v>602</v>
      </c>
      <c r="AO293" s="163" t="s">
        <v>195</v>
      </c>
      <c r="AP293" s="247">
        <f t="shared" si="21"/>
        <v>0</v>
      </c>
      <c r="AQ293" s="247">
        <f t="shared" si="21"/>
        <v>0</v>
      </c>
      <c r="AR293" s="247">
        <f t="shared" si="21"/>
        <v>0</v>
      </c>
      <c r="AS293" s="194"/>
      <c r="AT293" s="194"/>
    </row>
    <row r="294" spans="1:47">
      <c r="A294" s="2"/>
      <c r="B294" s="2"/>
      <c r="C294" s="2"/>
      <c r="D294" s="2"/>
      <c r="E294" s="2"/>
      <c r="F294" s="2"/>
      <c r="G294" s="2"/>
      <c r="H294" s="2"/>
      <c r="I294" s="2"/>
      <c r="J29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0"/>
      <c r="AM294" s="466" t="str">
        <f>AM293 &amp; ".1"</f>
        <v>D.1.1</v>
      </c>
      <c r="AN294" s="557" t="s">
        <v>398</v>
      </c>
      <c r="AO294" s="162" t="s">
        <v>397</v>
      </c>
      <c r="AP294" s="244">
        <f>IF(AP295=0,0,AP293/AP295)</f>
        <v>0</v>
      </c>
      <c r="AQ294" s="244">
        <f>IF(AQ295=0,0,AQ293/AQ295)</f>
        <v>0</v>
      </c>
      <c r="AR294" s="244">
        <f>IF(AR295=0,0,AR293/AR295)</f>
        <v>0</v>
      </c>
      <c r="AS294" s="194"/>
      <c r="AT294" s="194"/>
    </row>
    <row r="295" spans="1:47">
      <c r="A295" s="2"/>
      <c r="B295" s="2"/>
      <c r="C295" s="2"/>
      <c r="D295" s="2"/>
      <c r="E295" s="2"/>
      <c r="F295" s="2"/>
      <c r="G295" s="2"/>
      <c r="H295" s="2"/>
      <c r="I295" s="2"/>
      <c r="J29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0"/>
      <c r="AM295" s="466" t="str">
        <f>AM293 &amp; ".2"</f>
        <v>D.1.2</v>
      </c>
      <c r="AN295" s="557" t="s">
        <v>283</v>
      </c>
      <c r="AO295" s="162" t="s">
        <v>1026</v>
      </c>
      <c r="AP295" s="247">
        <f t="shared" ref="AP295:AR296" si="22">SUMIF($AS$9:$AT$9,AP$9,$AS295:$AT295)</f>
        <v>0</v>
      </c>
      <c r="AQ295" s="247">
        <f t="shared" si="22"/>
        <v>0</v>
      </c>
      <c r="AR295" s="247">
        <f t="shared" si="22"/>
        <v>0</v>
      </c>
      <c r="AS295" s="194"/>
      <c r="AT295" s="194"/>
    </row>
    <row r="296" spans="1:47">
      <c r="A296" s="2"/>
      <c r="B296" s="2"/>
      <c r="C296" s="2"/>
      <c r="D296" s="2"/>
      <c r="E296" s="2"/>
      <c r="F296" s="2"/>
      <c r="G296" s="2"/>
      <c r="H296" s="2"/>
      <c r="I296" s="2"/>
      <c r="J296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0"/>
      <c r="AM296" s="555" t="str">
        <f>AM290 &amp; ".2"</f>
        <v>D.2</v>
      </c>
      <c r="AN296" s="556" t="s">
        <v>161</v>
      </c>
      <c r="AO296" s="163" t="s">
        <v>195</v>
      </c>
      <c r="AP296" s="247">
        <f t="shared" si="22"/>
        <v>0</v>
      </c>
      <c r="AQ296" s="247">
        <f t="shared" si="22"/>
        <v>0</v>
      </c>
      <c r="AR296" s="247">
        <f t="shared" si="22"/>
        <v>0</v>
      </c>
      <c r="AS296" s="194"/>
      <c r="AT296" s="194"/>
    </row>
    <row r="297" spans="1:47">
      <c r="A297" s="2"/>
      <c r="B297" s="2"/>
      <c r="C297" s="2"/>
      <c r="D297" s="2"/>
      <c r="E297" s="2"/>
      <c r="F297" s="2"/>
      <c r="G297" s="2"/>
      <c r="H297" s="2"/>
      <c r="I297" s="2"/>
      <c r="J297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0"/>
      <c r="AM297" s="466" t="str">
        <f>AM296 &amp; ".1"</f>
        <v>D.2.1</v>
      </c>
      <c r="AN297" s="557" t="s">
        <v>398</v>
      </c>
      <c r="AO297" s="162" t="s">
        <v>397</v>
      </c>
      <c r="AP297" s="244">
        <f>IF(AP298=0,0,AP296/AP298)</f>
        <v>0</v>
      </c>
      <c r="AQ297" s="244">
        <f>IF(AQ298=0,0,AQ296/AQ298)</f>
        <v>0</v>
      </c>
      <c r="AR297" s="244">
        <f>IF(AR298=0,0,AR296/AR298)</f>
        <v>0</v>
      </c>
      <c r="AS297" s="194"/>
      <c r="AT297" s="194"/>
    </row>
    <row r="298" spans="1:47">
      <c r="A298" s="2"/>
      <c r="B298" s="2"/>
      <c r="C298" s="2"/>
      <c r="D298" s="2"/>
      <c r="E298" s="2"/>
      <c r="F298" s="2"/>
      <c r="G298" s="2"/>
      <c r="H298" s="2"/>
      <c r="I298" s="2"/>
      <c r="J298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0"/>
      <c r="AM298" s="466" t="str">
        <f>AM296 &amp; ".2"</f>
        <v>D.2.2</v>
      </c>
      <c r="AN298" s="557" t="s">
        <v>283</v>
      </c>
      <c r="AO298" s="162" t="s">
        <v>1026</v>
      </c>
      <c r="AP298" s="247">
        <f t="shared" ref="AP298:AR299" si="23">SUMIF($AS$9:$AT$9,AP$9,$AS298:$AT298)</f>
        <v>0</v>
      </c>
      <c r="AQ298" s="247">
        <f t="shared" si="23"/>
        <v>0</v>
      </c>
      <c r="AR298" s="247">
        <f t="shared" si="23"/>
        <v>0</v>
      </c>
      <c r="AS298" s="194"/>
      <c r="AT298" s="194"/>
    </row>
    <row r="299" spans="1:47">
      <c r="A299" s="2"/>
      <c r="B299" s="2"/>
      <c r="C299" s="2"/>
      <c r="D299" s="2"/>
      <c r="E299" s="2"/>
      <c r="F299" s="2"/>
      <c r="G299" s="2"/>
      <c r="H299" s="2"/>
      <c r="I299" s="2"/>
      <c r="J29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0"/>
      <c r="AM299" s="555" t="str">
        <f>AM290 &amp; ".3"</f>
        <v>D.3</v>
      </c>
      <c r="AN299" s="556" t="s">
        <v>162</v>
      </c>
      <c r="AO299" s="163" t="s">
        <v>195</v>
      </c>
      <c r="AP299" s="247">
        <f t="shared" si="23"/>
        <v>0</v>
      </c>
      <c r="AQ299" s="247">
        <f t="shared" si="23"/>
        <v>0</v>
      </c>
      <c r="AR299" s="247">
        <f t="shared" si="23"/>
        <v>0</v>
      </c>
      <c r="AS299" s="194"/>
      <c r="AT299" s="194"/>
    </row>
    <row r="300" spans="1:47">
      <c r="A300" s="2"/>
      <c r="B300" s="2"/>
      <c r="C300" s="2"/>
      <c r="D300" s="2"/>
      <c r="E300" s="2"/>
      <c r="F300" s="2"/>
      <c r="G300" s="2"/>
      <c r="H300" s="2"/>
      <c r="I300" s="2"/>
      <c r="J300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0"/>
      <c r="AM300" s="466" t="str">
        <f>AM299 &amp; ".1"</f>
        <v>D.3.1</v>
      </c>
      <c r="AN300" s="557" t="s">
        <v>398</v>
      </c>
      <c r="AO300" s="162" t="s">
        <v>397</v>
      </c>
      <c r="AP300" s="244">
        <f>IF(AP301=0,0,AP299/AP301)</f>
        <v>0</v>
      </c>
      <c r="AQ300" s="244">
        <f>IF(AQ301=0,0,AQ299/AQ301)</f>
        <v>0</v>
      </c>
      <c r="AR300" s="244">
        <f>IF(AR301=0,0,AR299/AR301)</f>
        <v>0</v>
      </c>
      <c r="AS300" s="194"/>
      <c r="AT300" s="194"/>
    </row>
    <row r="301" spans="1:47">
      <c r="A301" s="2"/>
      <c r="B301" s="2"/>
      <c r="C301" s="2"/>
      <c r="D301" s="2"/>
      <c r="E301" s="2"/>
      <c r="F301" s="2"/>
      <c r="G301" s="2"/>
      <c r="H301" s="2"/>
      <c r="I301" s="2"/>
      <c r="J30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0"/>
      <c r="AM301" s="466" t="str">
        <f>AM299 &amp; ".2"</f>
        <v>D.3.2</v>
      </c>
      <c r="AN301" s="557" t="s">
        <v>283</v>
      </c>
      <c r="AO301" s="162" t="s">
        <v>1026</v>
      </c>
      <c r="AP301" s="247">
        <f t="shared" ref="AP301:AR302" si="24">SUMIF($AS$9:$AT$9,AP$9,$AS301:$AT301)</f>
        <v>0</v>
      </c>
      <c r="AQ301" s="247">
        <f t="shared" si="24"/>
        <v>0</v>
      </c>
      <c r="AR301" s="247">
        <f t="shared" si="24"/>
        <v>0</v>
      </c>
      <c r="AS301" s="194"/>
      <c r="AT301" s="194"/>
    </row>
    <row r="302" spans="1:47">
      <c r="A302" s="2"/>
      <c r="B302" s="2"/>
      <c r="C302" s="2"/>
      <c r="D302" s="2"/>
      <c r="E302" s="2"/>
      <c r="F302" s="2"/>
      <c r="G302" s="2"/>
      <c r="H302" s="2"/>
      <c r="I302" s="2"/>
      <c r="J30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0"/>
      <c r="AM302" s="555" t="str">
        <f>AM290 &amp; ".4"</f>
        <v>D.4</v>
      </c>
      <c r="AN302" s="556" t="s">
        <v>169</v>
      </c>
      <c r="AO302" s="163" t="s">
        <v>195</v>
      </c>
      <c r="AP302" s="247">
        <f t="shared" si="24"/>
        <v>0</v>
      </c>
      <c r="AQ302" s="247">
        <f t="shared" si="24"/>
        <v>0</v>
      </c>
      <c r="AR302" s="247">
        <f t="shared" si="24"/>
        <v>0</v>
      </c>
      <c r="AS302" s="194"/>
      <c r="AT302" s="194"/>
    </row>
    <row r="303" spans="1:47">
      <c r="A303" s="2"/>
      <c r="B303" s="2"/>
      <c r="C303" s="2"/>
      <c r="D303" s="2"/>
      <c r="E303" s="2"/>
      <c r="F303" s="2"/>
      <c r="G303" s="2"/>
      <c r="H303" s="2"/>
      <c r="I303" s="2"/>
      <c r="J30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0"/>
      <c r="AM303" s="466" t="str">
        <f>AM302 &amp; ".1"</f>
        <v>D.4.1</v>
      </c>
      <c r="AN303" s="557" t="s">
        <v>398</v>
      </c>
      <c r="AO303" s="162" t="s">
        <v>397</v>
      </c>
      <c r="AP303" s="244">
        <f>IF(AP304=0,0,AP302/AP304)</f>
        <v>0</v>
      </c>
      <c r="AQ303" s="244">
        <f>IF(AQ304=0,0,AQ302/AQ304)</f>
        <v>0</v>
      </c>
      <c r="AR303" s="244">
        <f>IF(AR304=0,0,AR302/AR304)</f>
        <v>0</v>
      </c>
      <c r="AS303" s="194"/>
      <c r="AT303" s="194"/>
    </row>
    <row r="304" spans="1:47">
      <c r="A304" s="2"/>
      <c r="B304" s="2"/>
      <c r="C304" s="2"/>
      <c r="D304" s="2"/>
      <c r="E304" s="2"/>
      <c r="F304" s="2"/>
      <c r="G304" s="2"/>
      <c r="H304" s="2"/>
      <c r="I304" s="2"/>
      <c r="J30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0"/>
      <c r="AM304" s="466" t="str">
        <f>AM302 &amp; ".2"</f>
        <v>D.4.2</v>
      </c>
      <c r="AN304" s="557" t="s">
        <v>283</v>
      </c>
      <c r="AO304" s="162" t="s">
        <v>1026</v>
      </c>
      <c r="AP304" s="247">
        <f t="shared" ref="AP304:AR306" si="25">SUMIF($AS$9:$AT$9,AP$9,$AS304:$AT304)</f>
        <v>0</v>
      </c>
      <c r="AQ304" s="247">
        <f t="shared" si="25"/>
        <v>0</v>
      </c>
      <c r="AR304" s="247">
        <f t="shared" si="25"/>
        <v>0</v>
      </c>
      <c r="AS304" s="194"/>
      <c r="AT304" s="194"/>
    </row>
    <row r="305" spans="1:46">
      <c r="A305" s="2"/>
      <c r="B305" s="2"/>
      <c r="C305" s="2"/>
      <c r="D305" s="2"/>
      <c r="E305" s="2"/>
      <c r="F305" s="2"/>
      <c r="G305" s="2"/>
      <c r="H305" s="2"/>
      <c r="I305" s="2"/>
      <c r="J30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150"/>
      <c r="AM305" s="503" t="str">
        <f>AM290 &amp; ".5"</f>
        <v>D.5</v>
      </c>
      <c r="AN305" s="497" t="s">
        <v>2121</v>
      </c>
      <c r="AO305" s="163" t="s">
        <v>195</v>
      </c>
      <c r="AP305" s="247">
        <f t="shared" si="25"/>
        <v>0</v>
      </c>
      <c r="AQ305" s="247">
        <f t="shared" si="25"/>
        <v>0</v>
      </c>
      <c r="AR305" s="247">
        <f t="shared" si="25"/>
        <v>0</v>
      </c>
      <c r="AS305" s="194"/>
      <c r="AT305" s="194"/>
    </row>
    <row r="306" spans="1:46" ht="20.399999999999999">
      <c r="A306" s="2"/>
      <c r="B306" s="2"/>
      <c r="C306" s="2"/>
      <c r="D306" s="2"/>
      <c r="E306" s="2"/>
      <c r="F306" s="2"/>
      <c r="G306" s="2"/>
      <c r="H306" s="2"/>
      <c r="I306" s="2"/>
      <c r="J306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150"/>
      <c r="AM306" s="620" t="str">
        <f>AM290 &amp; ".6"</f>
        <v>D.6</v>
      </c>
      <c r="AN306" s="621" t="s">
        <v>2175</v>
      </c>
      <c r="AO306" s="616" t="s">
        <v>195</v>
      </c>
      <c r="AP306" s="253">
        <f t="shared" si="25"/>
        <v>0</v>
      </c>
      <c r="AQ306" s="253">
        <f t="shared" si="25"/>
        <v>0</v>
      </c>
      <c r="AR306" s="253">
        <f t="shared" si="25"/>
        <v>0</v>
      </c>
      <c r="AS306" s="194"/>
      <c r="AT306" s="194"/>
    </row>
    <row r="307" spans="1:46" ht="0.75" hidden="1" customHeight="1">
      <c r="A307" s="2"/>
      <c r="B307" s="2"/>
      <c r="C307" s="2"/>
      <c r="D307" s="2"/>
      <c r="E307" s="2"/>
      <c r="F307" s="2"/>
      <c r="G307" s="2"/>
      <c r="H307" s="2"/>
      <c r="I307" s="2"/>
      <c r="J30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150"/>
      <c r="AM307" s="500"/>
      <c r="AN307" s="622"/>
      <c r="AO307" s="166"/>
      <c r="AP307" s="242"/>
      <c r="AQ307" s="242"/>
      <c r="AR307" s="242"/>
      <c r="AS307" s="223"/>
      <c r="AT307" s="194"/>
    </row>
    <row r="308" spans="1:46" ht="0.75" hidden="1" customHeight="1">
      <c r="A308" s="2"/>
      <c r="B308" s="2"/>
      <c r="C308" s="2"/>
      <c r="D308" s="2"/>
      <c r="E308" s="2"/>
      <c r="F308" s="2"/>
      <c r="G308" s="2"/>
      <c r="H308" s="2"/>
      <c r="I308" s="2"/>
      <c r="J308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150"/>
      <c r="AM308" s="500"/>
      <c r="AN308" s="622"/>
      <c r="AO308" s="166"/>
      <c r="AP308" s="242"/>
      <c r="AQ308" s="242"/>
      <c r="AR308" s="242"/>
      <c r="AS308" s="223"/>
      <c r="AT308" s="194"/>
    </row>
    <row r="309" spans="1:46" ht="0.75" hidden="1" customHeight="1">
      <c r="A309" s="2"/>
      <c r="B309" s="2"/>
      <c r="C309" s="2"/>
      <c r="D309" s="2"/>
      <c r="E309" s="2"/>
      <c r="F309" s="2"/>
      <c r="G309" s="2"/>
      <c r="H309" s="2"/>
      <c r="I309" s="2"/>
      <c r="J30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150"/>
      <c r="AM309" s="500"/>
      <c r="AN309" s="622"/>
      <c r="AO309" s="166"/>
      <c r="AP309" s="242"/>
      <c r="AQ309" s="242"/>
      <c r="AR309" s="242"/>
      <c r="AS309" s="223"/>
      <c r="AT309" s="194"/>
    </row>
    <row r="310" spans="1:46" ht="0.75" hidden="1" customHeight="1">
      <c r="A310" s="2"/>
      <c r="B310" s="2"/>
      <c r="C310" s="2"/>
      <c r="D310" s="2"/>
      <c r="E310" s="2"/>
      <c r="F310" s="2"/>
      <c r="G310" s="2"/>
      <c r="H310" s="2"/>
      <c r="I310" s="2"/>
      <c r="J310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150"/>
      <c r="AM310" s="500"/>
      <c r="AN310" s="622"/>
      <c r="AO310" s="166"/>
      <c r="AP310" s="242"/>
      <c r="AQ310" s="242"/>
      <c r="AR310" s="242"/>
      <c r="AS310" s="223"/>
      <c r="AT310" s="194"/>
    </row>
    <row r="311" spans="1:46" ht="0.75" hidden="1" customHeight="1">
      <c r="A311" s="2"/>
      <c r="B311" s="2"/>
      <c r="C311" s="2"/>
      <c r="D311" s="2"/>
      <c r="E311" s="2"/>
      <c r="F311" s="2"/>
      <c r="G311" s="2"/>
      <c r="H311" s="2"/>
      <c r="I311" s="2"/>
      <c r="J3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150"/>
      <c r="AM311" s="500"/>
      <c r="AN311" s="622"/>
      <c r="AO311" s="166"/>
      <c r="AP311" s="242"/>
      <c r="AQ311" s="242"/>
      <c r="AR311" s="242"/>
      <c r="AS311" s="223"/>
      <c r="AT311" s="194"/>
    </row>
    <row r="312" spans="1:46" ht="0.75" hidden="1" customHeight="1">
      <c r="A312" s="2"/>
      <c r="B312" s="2"/>
      <c r="C312" s="2"/>
      <c r="D312" s="2"/>
      <c r="E312" s="2"/>
      <c r="F312" s="2"/>
      <c r="G312" s="2"/>
      <c r="H312" s="2"/>
      <c r="I312" s="2"/>
      <c r="J31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150"/>
      <c r="AM312" s="500"/>
      <c r="AN312" s="622"/>
      <c r="AO312" s="166"/>
      <c r="AP312" s="242"/>
      <c r="AQ312" s="242"/>
      <c r="AR312" s="242"/>
      <c r="AS312" s="223"/>
      <c r="AT312" s="194"/>
    </row>
    <row r="313" spans="1:46">
      <c r="A313" s="2"/>
      <c r="B313" s="2"/>
      <c r="C313" s="2"/>
      <c r="D313" s="2"/>
      <c r="E313" s="2"/>
      <c r="F313" s="2"/>
      <c r="G313" s="2"/>
      <c r="H313" s="2"/>
      <c r="I313" s="2"/>
      <c r="J3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150"/>
      <c r="AM313" s="623"/>
      <c r="AN313" s="627" t="s">
        <v>2261</v>
      </c>
      <c r="AO313" s="166"/>
      <c r="AP313" s="261"/>
      <c r="AQ313" s="261"/>
      <c r="AR313" s="261"/>
      <c r="AS313" s="223"/>
      <c r="AT313" s="194"/>
    </row>
    <row r="314" spans="1:46">
      <c r="A314" s="2"/>
      <c r="B314" s="2"/>
      <c r="C314" s="2"/>
      <c r="D314" s="2"/>
      <c r="E314" s="2"/>
      <c r="F314" s="2"/>
      <c r="G314" s="2"/>
      <c r="H314" s="2"/>
      <c r="I314" s="2"/>
      <c r="J31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150"/>
      <c r="AM314" s="623"/>
      <c r="AN314" s="627" t="s">
        <v>787</v>
      </c>
      <c r="AO314" s="166"/>
      <c r="AP314" s="261"/>
      <c r="AQ314" s="261"/>
      <c r="AR314" s="261"/>
      <c r="AS314" s="223"/>
      <c r="AT314" s="194"/>
    </row>
    <row r="315" spans="1:46" ht="20.399999999999999">
      <c r="A315" s="2"/>
      <c r="B315" s="2"/>
      <c r="C315" s="2"/>
      <c r="D315" s="2"/>
      <c r="E315" s="2"/>
      <c r="F315" s="2"/>
      <c r="G315" s="2"/>
      <c r="H315" s="2"/>
      <c r="I315" s="2"/>
      <c r="J31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150"/>
      <c r="AM315" s="624"/>
      <c r="AN315" s="503" t="str">
        <f>"Стоимость основных средств, относимых на источники производства (подъём / добыча) " &amp; RESOURCE_IDENTIFIER</f>
        <v>Стоимость основных средств, относимых на источники производства (подъём / добыча) ТЭ</v>
      </c>
      <c r="AO315" s="163" t="s">
        <v>195</v>
      </c>
      <c r="AP315" s="245"/>
      <c r="AQ315" s="261"/>
      <c r="AR315" s="261"/>
      <c r="AS315" s="223"/>
      <c r="AT315" s="194"/>
    </row>
    <row r="316" spans="1:46">
      <c r="A316" s="2"/>
      <c r="B316" s="2"/>
      <c r="C316" s="2"/>
      <c r="D316" s="2"/>
      <c r="E316" s="2"/>
      <c r="F316" s="2"/>
      <c r="G316" s="2"/>
      <c r="H316" s="2"/>
      <c r="I316" s="2"/>
      <c r="J316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150"/>
      <c r="AM316" s="624"/>
      <c r="AN316" s="503" t="str">
        <f>"Количество " &amp; TEMPLATE_SPHERE_OKK_SOURCE</f>
        <v>Количество ТИ</v>
      </c>
      <c r="AO316" s="163" t="s">
        <v>289</v>
      </c>
      <c r="AP316" s="625"/>
      <c r="AQ316" s="261"/>
      <c r="AR316" s="261"/>
      <c r="AS316" s="223"/>
      <c r="AT316" s="194"/>
    </row>
    <row r="317" spans="1:46">
      <c r="A317" s="2"/>
      <c r="B317" s="2"/>
      <c r="C317" s="2"/>
      <c r="D317" s="2"/>
      <c r="E317" s="2"/>
      <c r="F317" s="2"/>
      <c r="G317" s="2"/>
      <c r="H317" s="2"/>
      <c r="I317" s="2"/>
      <c r="J31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150"/>
      <c r="AM317" s="624"/>
      <c r="AN317" s="503" t="s">
        <v>2262</v>
      </c>
      <c r="AO317" s="163" t="s">
        <v>755</v>
      </c>
      <c r="AP317" s="245"/>
      <c r="AQ317" s="261"/>
      <c r="AR317" s="261"/>
      <c r="AS317" s="223"/>
      <c r="AT317" s="194"/>
    </row>
    <row r="318" spans="1:46">
      <c r="A318" s="2"/>
      <c r="B318" s="2"/>
      <c r="C318" s="2"/>
      <c r="D318" s="2"/>
      <c r="E318" s="2"/>
      <c r="F318" s="2"/>
      <c r="G318" s="2"/>
      <c r="H318" s="2"/>
      <c r="I318" s="2"/>
      <c r="J318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150"/>
      <c r="AM318" s="623"/>
      <c r="AN318" s="627" t="s">
        <v>2263</v>
      </c>
      <c r="AO318" s="166"/>
      <c r="AP318" s="261"/>
      <c r="AQ318" s="261"/>
      <c r="AR318" s="261"/>
      <c r="AS318" s="223"/>
      <c r="AT318" s="194"/>
    </row>
    <row r="319" spans="1:46" ht="20.399999999999999">
      <c r="A319" s="2"/>
      <c r="B319" s="2"/>
      <c r="C319" s="2"/>
      <c r="D319" s="2"/>
      <c r="E319" s="2"/>
      <c r="F319" s="2"/>
      <c r="G319" s="2"/>
      <c r="H319" s="2"/>
      <c r="I319" s="2"/>
      <c r="J31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150"/>
      <c r="AM319" s="624"/>
      <c r="AN319" s="503" t="str">
        <f>"Стоимость основных средств, относимых на системы / сооружения для очистки " &amp; RESOURCE_IDENTIFIER</f>
        <v>Стоимость основных средств, относимых на системы / сооружения для очистки ТЭ</v>
      </c>
      <c r="AO319" s="163" t="s">
        <v>195</v>
      </c>
      <c r="AP319" s="245"/>
      <c r="AQ319" s="261"/>
      <c r="AR319" s="261"/>
      <c r="AS319" s="223"/>
      <c r="AT319" s="194"/>
    </row>
    <row r="320" spans="1:46" ht="0.75" hidden="1" customHeight="1">
      <c r="A320" s="2"/>
      <c r="B320" s="2"/>
      <c r="C320" s="2"/>
      <c r="D320" s="2"/>
      <c r="E320" s="2"/>
      <c r="F320" s="2"/>
      <c r="G320" s="2"/>
      <c r="H320" s="2"/>
      <c r="I320" s="2"/>
      <c r="J320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150"/>
      <c r="AM320" s="626"/>
      <c r="AN320" s="495"/>
      <c r="AO320" s="166"/>
      <c r="AP320" s="261"/>
      <c r="AQ320" s="261"/>
      <c r="AR320" s="261"/>
      <c r="AS320" s="223"/>
      <c r="AT320" s="194"/>
    </row>
    <row r="321" spans="1:46" ht="0.75" hidden="1" customHeight="1">
      <c r="A321" s="2"/>
      <c r="B321" s="2"/>
      <c r="C321" s="2"/>
      <c r="D321" s="2"/>
      <c r="E321" s="2"/>
      <c r="F321" s="2"/>
      <c r="G321" s="2"/>
      <c r="H321" s="2"/>
      <c r="I321" s="2"/>
      <c r="J32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150"/>
      <c r="AM321" s="626"/>
      <c r="AN321" s="495"/>
      <c r="AO321" s="166"/>
      <c r="AP321" s="261"/>
      <c r="AQ321" s="261"/>
      <c r="AR321" s="261"/>
      <c r="AS321" s="223"/>
      <c r="AT321" s="194"/>
    </row>
    <row r="322" spans="1:46">
      <c r="A322" s="2"/>
      <c r="B322" s="2"/>
      <c r="C322" s="2"/>
      <c r="D322" s="2"/>
      <c r="E322" s="2"/>
      <c r="F322" s="2"/>
      <c r="G322" s="2"/>
      <c r="H322" s="2"/>
      <c r="I322" s="2"/>
      <c r="J3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150"/>
      <c r="AM322" s="624"/>
      <c r="AN322" s="503" t="s">
        <v>2262</v>
      </c>
      <c r="AO322" s="163" t="s">
        <v>755</v>
      </c>
      <c r="AP322" s="245"/>
      <c r="AQ322" s="261"/>
      <c r="AR322" s="261"/>
      <c r="AS322" s="223"/>
      <c r="AT322" s="194"/>
    </row>
    <row r="323" spans="1:46">
      <c r="A323" s="2"/>
      <c r="B323" s="2"/>
      <c r="C323" s="2"/>
      <c r="D323" s="2"/>
      <c r="E323" s="2"/>
      <c r="F323" s="2"/>
      <c r="G323" s="2"/>
      <c r="H323" s="2"/>
      <c r="I323" s="2"/>
      <c r="J32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150"/>
      <c r="AM323" s="623"/>
      <c r="AN323" s="627" t="s">
        <v>2264</v>
      </c>
      <c r="AO323" s="166"/>
      <c r="AP323" s="261"/>
      <c r="AQ323" s="261"/>
      <c r="AR323" s="261"/>
      <c r="AS323" s="223"/>
      <c r="AT323" s="194"/>
    </row>
    <row r="324" spans="1:46" ht="20.399999999999999">
      <c r="A324" s="2"/>
      <c r="B324" s="2"/>
      <c r="C324" s="2"/>
      <c r="D324" s="2"/>
      <c r="E324" s="2"/>
      <c r="F324" s="2"/>
      <c r="G324" s="2"/>
      <c r="H324" s="2"/>
      <c r="I324" s="2"/>
      <c r="J32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150"/>
      <c r="AM324" s="624"/>
      <c r="AN324" s="503" t="str">
        <f>"Стоимость основных средств, относимых на транспортировку " &amp; RESOURCE_IDENTIFIER</f>
        <v>Стоимость основных средств, относимых на транспортировку ТЭ</v>
      </c>
      <c r="AO324" s="163" t="s">
        <v>195</v>
      </c>
      <c r="AP324" s="245"/>
      <c r="AQ324" s="261"/>
      <c r="AR324" s="261"/>
      <c r="AS324" s="223"/>
      <c r="AT324" s="194"/>
    </row>
    <row r="325" spans="1:46">
      <c r="A325" s="2"/>
      <c r="B325" s="2"/>
      <c r="C325" s="2"/>
      <c r="D325" s="2"/>
      <c r="E325" s="2"/>
      <c r="F325" s="2"/>
      <c r="G325" s="2"/>
      <c r="H325" s="2"/>
      <c r="I325" s="2"/>
      <c r="J3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150"/>
      <c r="AM325" s="624"/>
      <c r="AN325" s="503" t="s">
        <v>2266</v>
      </c>
      <c r="AO325" s="163" t="s">
        <v>2267</v>
      </c>
      <c r="AP325" s="245"/>
      <c r="AQ325" s="261"/>
      <c r="AR325" s="261"/>
      <c r="AS325" s="223"/>
      <c r="AT325" s="194"/>
    </row>
    <row r="326" spans="1:46">
      <c r="A326" s="2"/>
      <c r="B326" s="2"/>
      <c r="C326" s="2"/>
      <c r="D326" s="2"/>
      <c r="E326" s="2"/>
      <c r="F326" s="2"/>
      <c r="G326" s="2"/>
      <c r="H326" s="2"/>
      <c r="I326" s="2"/>
      <c r="J326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150"/>
      <c r="AM326" s="624"/>
      <c r="AN326" s="503" t="s">
        <v>2268</v>
      </c>
      <c r="AO326" s="163" t="s">
        <v>2267</v>
      </c>
      <c r="AP326" s="245"/>
      <c r="AQ326" s="261"/>
      <c r="AR326" s="261"/>
      <c r="AS326" s="223"/>
      <c r="AT326" s="194"/>
    </row>
    <row r="327" spans="1:46">
      <c r="A327" s="2"/>
      <c r="B327" s="2"/>
      <c r="C327" s="2"/>
      <c r="D327" s="2"/>
      <c r="E327" s="2"/>
      <c r="F327" s="2"/>
      <c r="G327" s="2"/>
      <c r="H327" s="2"/>
      <c r="I327" s="2"/>
      <c r="J32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150"/>
      <c r="AM327" s="623"/>
      <c r="AN327" s="627" t="s">
        <v>788</v>
      </c>
      <c r="AO327" s="166"/>
      <c r="AP327" s="261"/>
      <c r="AQ327" s="261"/>
      <c r="AR327" s="261"/>
      <c r="AS327" s="223"/>
      <c r="AT327" s="194"/>
    </row>
    <row r="328" spans="1:46" ht="20.399999999999999">
      <c r="A328" s="2"/>
      <c r="B328" s="2"/>
      <c r="C328" s="2"/>
      <c r="D328" s="2"/>
      <c r="E328" s="2"/>
      <c r="F328" s="2"/>
      <c r="G328" s="2"/>
      <c r="H328" s="2"/>
      <c r="I328" s="2"/>
      <c r="J328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150"/>
      <c r="AM328" s="624"/>
      <c r="AN328" s="503" t="s">
        <v>2274</v>
      </c>
      <c r="AO328" s="162" t="s">
        <v>1026</v>
      </c>
      <c r="AP328" s="245"/>
      <c r="AQ328" s="261"/>
      <c r="AR328" s="261"/>
      <c r="AS328" s="223"/>
      <c r="AT328" s="194"/>
    </row>
    <row r="329" spans="1:46">
      <c r="A329" s="2"/>
      <c r="B329" s="2"/>
      <c r="C329" s="2"/>
      <c r="D329" s="2"/>
      <c r="E329" s="2"/>
      <c r="F329" s="2"/>
      <c r="G329" s="2"/>
      <c r="H329" s="2"/>
      <c r="I329" s="2"/>
      <c r="J32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150"/>
      <c r="AM329" s="624"/>
      <c r="AN329" s="503" t="s">
        <v>2270</v>
      </c>
      <c r="AO329" s="163" t="s">
        <v>2271</v>
      </c>
      <c r="AP329" s="625"/>
      <c r="AQ329" s="261"/>
      <c r="AR329" s="261"/>
      <c r="AS329" s="223"/>
      <c r="AT329" s="194"/>
    </row>
    <row r="330" spans="1:46">
      <c r="A330" s="2"/>
      <c r="B330" s="2"/>
      <c r="C330" s="2"/>
      <c r="D330" s="2"/>
      <c r="E330" s="2"/>
      <c r="F330" s="2"/>
      <c r="G330" s="2"/>
      <c r="H330" s="2"/>
      <c r="I330" s="2"/>
      <c r="J330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150"/>
      <c r="AM330" s="624"/>
      <c r="AN330" s="503" t="s">
        <v>2272</v>
      </c>
      <c r="AO330" s="163" t="s">
        <v>2273</v>
      </c>
      <c r="AP330" s="625"/>
      <c r="AQ330" s="261"/>
      <c r="AR330" s="261"/>
      <c r="AS330" s="223"/>
      <c r="AT330" s="194"/>
    </row>
    <row r="331" spans="1:46">
      <c r="A331" s="2"/>
      <c r="B331" s="2"/>
      <c r="C331" s="2"/>
      <c r="D331" s="2"/>
      <c r="E331" s="2"/>
      <c r="F331" s="2"/>
      <c r="G331" s="2"/>
      <c r="H331" s="2"/>
      <c r="I331" s="2"/>
      <c r="J33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150"/>
      <c r="AM331" s="624"/>
      <c r="AN331" s="503" t="s">
        <v>2275</v>
      </c>
      <c r="AO331" s="163" t="s">
        <v>2276</v>
      </c>
      <c r="AP331" s="245"/>
      <c r="AQ331" s="261"/>
      <c r="AR331" s="261"/>
      <c r="AS331" s="223"/>
      <c r="AT331" s="194"/>
    </row>
    <row r="332" spans="1:46" ht="0.75" hidden="1" customHeight="1">
      <c r="A332" s="2"/>
      <c r="B332" s="2"/>
      <c r="C332" s="2"/>
      <c r="D332" s="2"/>
      <c r="E332" s="2"/>
      <c r="F332" s="2"/>
      <c r="G332" s="2"/>
      <c r="H332" s="2"/>
      <c r="I332" s="2"/>
      <c r="J33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150"/>
      <c r="AM332" s="500"/>
      <c r="AN332" s="622"/>
      <c r="AO332" s="166"/>
      <c r="AP332" s="242"/>
      <c r="AQ332" s="242"/>
      <c r="AR332" s="242"/>
      <c r="AS332" s="223"/>
      <c r="AT332" s="194"/>
    </row>
    <row r="333" spans="1:46" ht="11.25" customHeight="1">
      <c r="A333" s="2"/>
      <c r="B333" s="2"/>
      <c r="C333" s="2"/>
      <c r="D333" s="2"/>
      <c r="E333" s="2"/>
      <c r="F333" s="2"/>
      <c r="G333" s="2"/>
      <c r="H333" s="2"/>
      <c r="I333" s="2"/>
      <c r="J33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150"/>
      <c r="AM333" s="509" t="s">
        <v>3002</v>
      </c>
      <c r="AN333" s="740" t="s">
        <v>3003</v>
      </c>
      <c r="AO333" s="443" t="s">
        <v>195</v>
      </c>
      <c r="AP333" s="253">
        <f t="shared" ref="AP333:AR335" si="26">SUMIF($AS$9:$AT$9,AP$9,$AS333:$AT333)</f>
        <v>0</v>
      </c>
      <c r="AQ333" s="253">
        <f t="shared" si="26"/>
        <v>0</v>
      </c>
      <c r="AR333" s="253">
        <f t="shared" si="26"/>
        <v>0</v>
      </c>
      <c r="AS333" s="223"/>
      <c r="AT333" s="194"/>
    </row>
    <row r="334" spans="1:46" ht="11.25" customHeight="1">
      <c r="A334" s="2"/>
      <c r="B334" s="2"/>
      <c r="C334" s="2"/>
      <c r="D334" s="2"/>
      <c r="E334" s="2"/>
      <c r="F334" s="2"/>
      <c r="G334" s="2"/>
      <c r="H334" s="2"/>
      <c r="I334" s="2"/>
      <c r="J33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150"/>
      <c r="AM334" s="510" t="str">
        <f>AM333 &amp; ".1"</f>
        <v>Э.1.1.1</v>
      </c>
      <c r="AN334" s="742" t="s">
        <v>3004</v>
      </c>
      <c r="AO334" s="443" t="s">
        <v>195</v>
      </c>
      <c r="AP334" s="253">
        <f t="shared" si="26"/>
        <v>0</v>
      </c>
      <c r="AQ334" s="253">
        <f t="shared" si="26"/>
        <v>0</v>
      </c>
      <c r="AR334" s="253">
        <f t="shared" si="26"/>
        <v>0</v>
      </c>
      <c r="AS334" s="223"/>
      <c r="AT334" s="194"/>
    </row>
    <row r="335" spans="1:46" ht="11.25" customHeight="1">
      <c r="A335" s="2"/>
      <c r="B335" s="2"/>
      <c r="C335" s="2"/>
      <c r="D335" s="2"/>
      <c r="E335" s="2"/>
      <c r="F335" s="2"/>
      <c r="G335" s="2"/>
      <c r="H335" s="2"/>
      <c r="I335" s="2"/>
      <c r="J33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150"/>
      <c r="AM335" s="509" t="s">
        <v>3005</v>
      </c>
      <c r="AN335" s="740" t="s">
        <v>3006</v>
      </c>
      <c r="AO335" s="443" t="s">
        <v>195</v>
      </c>
      <c r="AP335" s="253">
        <f t="shared" si="26"/>
        <v>0</v>
      </c>
      <c r="AQ335" s="253">
        <f t="shared" si="26"/>
        <v>0</v>
      </c>
      <c r="AR335" s="253">
        <f t="shared" si="26"/>
        <v>0</v>
      </c>
      <c r="AS335" s="223"/>
      <c r="AT335" s="194"/>
    </row>
    <row r="336" spans="1:46" ht="0.75" hidden="1" customHeight="1">
      <c r="A336" s="2"/>
      <c r="B336" s="2"/>
      <c r="C336" s="2"/>
      <c r="D336" s="2"/>
      <c r="E336" s="2"/>
      <c r="F336" s="2"/>
      <c r="G336" s="2"/>
      <c r="H336" s="2"/>
      <c r="I336" s="2"/>
      <c r="J336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150"/>
      <c r="AM336" s="743"/>
      <c r="AN336" s="744"/>
      <c r="AO336" s="442"/>
      <c r="AP336" s="242"/>
      <c r="AQ336" s="242"/>
      <c r="AR336" s="242"/>
      <c r="AS336" s="223"/>
      <c r="AT336" s="194"/>
    </row>
    <row r="337" spans="1:46" ht="11.25" customHeight="1">
      <c r="A337" s="2"/>
      <c r="B337" s="2"/>
      <c r="C337" s="2"/>
      <c r="D337" s="2"/>
      <c r="E337" s="2"/>
      <c r="F337" s="2"/>
      <c r="G337" s="2"/>
      <c r="H337" s="2"/>
      <c r="I337" s="2"/>
      <c r="J33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150"/>
      <c r="AM337" s="509" t="s">
        <v>3007</v>
      </c>
      <c r="AN337" s="740" t="s">
        <v>3008</v>
      </c>
      <c r="AO337" s="687" t="s">
        <v>195</v>
      </c>
      <c r="AP337" s="253">
        <f t="shared" ref="AP337:AR352" si="27">SUMIF($AS$9:$AT$9,AP$9,$AS337:$AT337)</f>
        <v>0</v>
      </c>
      <c r="AQ337" s="253">
        <f t="shared" si="27"/>
        <v>0</v>
      </c>
      <c r="AR337" s="253">
        <f t="shared" si="27"/>
        <v>0</v>
      </c>
      <c r="AS337" s="223"/>
      <c r="AT337" s="194"/>
    </row>
    <row r="338" spans="1:46" ht="11.25" customHeight="1">
      <c r="A338" s="2"/>
      <c r="B338" s="2"/>
      <c r="C338" s="2"/>
      <c r="D338" s="2"/>
      <c r="E338" s="2"/>
      <c r="F338" s="2"/>
      <c r="G338" s="2"/>
      <c r="H338" s="2"/>
      <c r="I338" s="2"/>
      <c r="J338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150"/>
      <c r="AM338" s="510" t="str">
        <f>AM337 &amp; ".1"</f>
        <v>Э.1.3.1</v>
      </c>
      <c r="AN338" s="742" t="s">
        <v>3004</v>
      </c>
      <c r="AO338" s="687" t="s">
        <v>195</v>
      </c>
      <c r="AP338" s="253">
        <f t="shared" si="27"/>
        <v>0</v>
      </c>
      <c r="AQ338" s="253">
        <f t="shared" si="27"/>
        <v>0</v>
      </c>
      <c r="AR338" s="253">
        <f t="shared" si="27"/>
        <v>0</v>
      </c>
      <c r="AS338" s="223"/>
      <c r="AT338" s="194"/>
    </row>
    <row r="339" spans="1:46" ht="11.25" customHeight="1">
      <c r="A339" s="2"/>
      <c r="B339" s="2"/>
      <c r="C339" s="2"/>
      <c r="D339" s="2"/>
      <c r="E339" s="2"/>
      <c r="F339" s="2"/>
      <c r="G339" s="2"/>
      <c r="H339" s="2"/>
      <c r="I339" s="2"/>
      <c r="J33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150"/>
      <c r="AM339" s="509" t="s">
        <v>3009</v>
      </c>
      <c r="AN339" s="740" t="s">
        <v>3010</v>
      </c>
      <c r="AO339" s="687" t="s">
        <v>195</v>
      </c>
      <c r="AP339" s="253">
        <f t="shared" si="27"/>
        <v>0</v>
      </c>
      <c r="AQ339" s="253">
        <f t="shared" si="27"/>
        <v>0</v>
      </c>
      <c r="AR339" s="253">
        <f t="shared" si="27"/>
        <v>0</v>
      </c>
      <c r="AS339" s="223"/>
      <c r="AT339" s="194"/>
    </row>
    <row r="340" spans="1:46" ht="11.25" customHeight="1">
      <c r="A340" s="2"/>
      <c r="B340" s="2"/>
      <c r="C340" s="2"/>
      <c r="D340" s="2"/>
      <c r="E340" s="2"/>
      <c r="F340" s="2"/>
      <c r="G340" s="2"/>
      <c r="H340" s="2"/>
      <c r="I340" s="2"/>
      <c r="J340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150"/>
      <c r="AM340" s="510" t="str">
        <f>AM339 &amp; ".1"</f>
        <v>Э.1.4.1</v>
      </c>
      <c r="AN340" s="742" t="s">
        <v>3004</v>
      </c>
      <c r="AO340" s="687" t="s">
        <v>195</v>
      </c>
      <c r="AP340" s="253">
        <f t="shared" si="27"/>
        <v>0</v>
      </c>
      <c r="AQ340" s="253">
        <f t="shared" si="27"/>
        <v>0</v>
      </c>
      <c r="AR340" s="253">
        <f t="shared" si="27"/>
        <v>0</v>
      </c>
      <c r="AS340" s="223"/>
      <c r="AT340" s="194"/>
    </row>
    <row r="341" spans="1:46" ht="11.25" customHeight="1">
      <c r="A341" s="2"/>
      <c r="B341" s="2"/>
      <c r="C341" s="2"/>
      <c r="D341" s="2"/>
      <c r="E341" s="2"/>
      <c r="F341" s="2"/>
      <c r="G341" s="2"/>
      <c r="H341" s="2"/>
      <c r="I341" s="2"/>
      <c r="J34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150"/>
      <c r="AM341" s="509" t="s">
        <v>3011</v>
      </c>
      <c r="AN341" s="740" t="s">
        <v>3012</v>
      </c>
      <c r="AO341" s="687" t="s">
        <v>195</v>
      </c>
      <c r="AP341" s="253">
        <f t="shared" si="27"/>
        <v>0</v>
      </c>
      <c r="AQ341" s="253">
        <f t="shared" si="27"/>
        <v>0</v>
      </c>
      <c r="AR341" s="253">
        <f t="shared" si="27"/>
        <v>0</v>
      </c>
      <c r="AS341" s="223"/>
      <c r="AT341" s="194"/>
    </row>
    <row r="342" spans="1:46" ht="11.25" customHeight="1">
      <c r="A342" s="2"/>
      <c r="B342" s="2"/>
      <c r="C342" s="2"/>
      <c r="D342" s="2"/>
      <c r="E342" s="2"/>
      <c r="F342" s="2"/>
      <c r="G342" s="2"/>
      <c r="H342" s="2"/>
      <c r="I342" s="2"/>
      <c r="J34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150"/>
      <c r="AM342" s="510" t="str">
        <f>AM341 &amp; ".1"</f>
        <v>Э.1.5.1</v>
      </c>
      <c r="AN342" s="742" t="s">
        <v>3004</v>
      </c>
      <c r="AO342" s="687" t="s">
        <v>195</v>
      </c>
      <c r="AP342" s="253">
        <f t="shared" si="27"/>
        <v>0</v>
      </c>
      <c r="AQ342" s="253">
        <f t="shared" si="27"/>
        <v>0</v>
      </c>
      <c r="AR342" s="253">
        <f t="shared" si="27"/>
        <v>0</v>
      </c>
      <c r="AS342" s="223"/>
      <c r="AT342" s="194"/>
    </row>
    <row r="343" spans="1:46" ht="11.25" customHeight="1">
      <c r="A343" s="2"/>
      <c r="B343" s="2"/>
      <c r="C343" s="2"/>
      <c r="D343" s="2"/>
      <c r="E343" s="2"/>
      <c r="F343" s="2"/>
      <c r="G343" s="2"/>
      <c r="H343" s="2"/>
      <c r="I343" s="2"/>
      <c r="J34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150"/>
      <c r="AM343" s="509" t="s">
        <v>3013</v>
      </c>
      <c r="AN343" s="740" t="s">
        <v>3014</v>
      </c>
      <c r="AO343" s="687" t="s">
        <v>195</v>
      </c>
      <c r="AP343" s="253">
        <f t="shared" si="27"/>
        <v>0</v>
      </c>
      <c r="AQ343" s="253">
        <f t="shared" si="27"/>
        <v>0</v>
      </c>
      <c r="AR343" s="253">
        <f t="shared" si="27"/>
        <v>0</v>
      </c>
      <c r="AS343" s="223"/>
      <c r="AT343" s="194"/>
    </row>
    <row r="344" spans="1:46" ht="11.25" customHeight="1">
      <c r="A344" s="2"/>
      <c r="B344" s="2"/>
      <c r="C344" s="2"/>
      <c r="D344" s="2"/>
      <c r="E344" s="2"/>
      <c r="F344" s="2"/>
      <c r="G344" s="2"/>
      <c r="H344" s="2"/>
      <c r="I344" s="2"/>
      <c r="J34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150"/>
      <c r="AM344" s="510" t="str">
        <f>AM343 &amp; ".1"</f>
        <v>Э.1.6.1</v>
      </c>
      <c r="AN344" s="742" t="s">
        <v>3004</v>
      </c>
      <c r="AO344" s="687" t="s">
        <v>195</v>
      </c>
      <c r="AP344" s="253">
        <f t="shared" si="27"/>
        <v>0</v>
      </c>
      <c r="AQ344" s="253">
        <f t="shared" si="27"/>
        <v>0</v>
      </c>
      <c r="AR344" s="253">
        <f t="shared" si="27"/>
        <v>0</v>
      </c>
      <c r="AS344" s="223"/>
      <c r="AT344" s="194"/>
    </row>
    <row r="345" spans="1:46" ht="11.25" customHeight="1">
      <c r="A345" s="2"/>
      <c r="B345" s="2"/>
      <c r="C345" s="2"/>
      <c r="D345" s="2"/>
      <c r="E345" s="2"/>
      <c r="F345" s="2"/>
      <c r="G345" s="2"/>
      <c r="H345" s="2"/>
      <c r="I345" s="2"/>
      <c r="J34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150"/>
      <c r="AM345" s="509" t="s">
        <v>3015</v>
      </c>
      <c r="AN345" s="740" t="s">
        <v>3016</v>
      </c>
      <c r="AO345" s="687" t="s">
        <v>195</v>
      </c>
      <c r="AP345" s="253">
        <f t="shared" si="27"/>
        <v>0</v>
      </c>
      <c r="AQ345" s="253">
        <f t="shared" si="27"/>
        <v>0</v>
      </c>
      <c r="AR345" s="253">
        <f t="shared" si="27"/>
        <v>0</v>
      </c>
      <c r="AS345" s="223"/>
      <c r="AT345" s="194"/>
    </row>
    <row r="346" spans="1:46" ht="11.25" customHeight="1">
      <c r="A346" s="2"/>
      <c r="B346" s="2"/>
      <c r="C346" s="2"/>
      <c r="D346" s="2"/>
      <c r="E346" s="2"/>
      <c r="F346" s="2"/>
      <c r="G346" s="2"/>
      <c r="H346" s="2"/>
      <c r="I346" s="2"/>
      <c r="J346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150"/>
      <c r="AM346" s="510" t="str">
        <f>AM345 &amp; ".1"</f>
        <v>Э.1.7.1</v>
      </c>
      <c r="AN346" s="742" t="s">
        <v>3004</v>
      </c>
      <c r="AO346" s="687" t="s">
        <v>195</v>
      </c>
      <c r="AP346" s="253">
        <f t="shared" si="27"/>
        <v>0</v>
      </c>
      <c r="AQ346" s="253">
        <f t="shared" si="27"/>
        <v>0</v>
      </c>
      <c r="AR346" s="253">
        <f t="shared" si="27"/>
        <v>0</v>
      </c>
      <c r="AS346" s="223"/>
      <c r="AT346" s="194"/>
    </row>
    <row r="347" spans="1:46" ht="11.25" customHeight="1">
      <c r="A347" s="2"/>
      <c r="B347" s="2"/>
      <c r="C347" s="2"/>
      <c r="D347" s="2"/>
      <c r="E347" s="2"/>
      <c r="F347" s="2"/>
      <c r="G347" s="2"/>
      <c r="H347" s="2"/>
      <c r="I347" s="2"/>
      <c r="J34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150"/>
      <c r="AM347" s="509" t="s">
        <v>3017</v>
      </c>
      <c r="AN347" s="740" t="s">
        <v>3018</v>
      </c>
      <c r="AO347" s="687" t="s">
        <v>195</v>
      </c>
      <c r="AP347" s="253">
        <f t="shared" si="27"/>
        <v>0</v>
      </c>
      <c r="AQ347" s="253">
        <f t="shared" si="27"/>
        <v>0</v>
      </c>
      <c r="AR347" s="253">
        <f t="shared" si="27"/>
        <v>0</v>
      </c>
      <c r="AS347" s="223"/>
      <c r="AT347" s="194"/>
    </row>
    <row r="348" spans="1:46" ht="11.25" customHeight="1">
      <c r="A348" s="2"/>
      <c r="B348" s="2"/>
      <c r="C348" s="2"/>
      <c r="D348" s="2"/>
      <c r="E348" s="2"/>
      <c r="F348" s="2"/>
      <c r="G348" s="2"/>
      <c r="H348" s="2"/>
      <c r="I348" s="2"/>
      <c r="J348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150"/>
      <c r="AM348" s="510" t="str">
        <f>AM347 &amp; ".1"</f>
        <v>Э.1.8.1</v>
      </c>
      <c r="AN348" s="742" t="s">
        <v>3004</v>
      </c>
      <c r="AO348" s="687" t="s">
        <v>195</v>
      </c>
      <c r="AP348" s="253">
        <f t="shared" si="27"/>
        <v>0</v>
      </c>
      <c r="AQ348" s="253">
        <f t="shared" si="27"/>
        <v>0</v>
      </c>
      <c r="AR348" s="253">
        <f t="shared" si="27"/>
        <v>0</v>
      </c>
      <c r="AS348" s="223"/>
      <c r="AT348" s="194"/>
    </row>
    <row r="349" spans="1:46" ht="11.25" customHeight="1">
      <c r="A349" s="2"/>
      <c r="B349" s="2"/>
      <c r="C349" s="2"/>
      <c r="D349" s="2"/>
      <c r="E349" s="2"/>
      <c r="F349" s="2"/>
      <c r="G349" s="2"/>
      <c r="H349" s="2"/>
      <c r="I349" s="2"/>
      <c r="J3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150"/>
      <c r="AM349" s="509" t="s">
        <v>3019</v>
      </c>
      <c r="AN349" s="740" t="s">
        <v>3020</v>
      </c>
      <c r="AO349" s="687" t="s">
        <v>195</v>
      </c>
      <c r="AP349" s="253">
        <f t="shared" si="27"/>
        <v>0</v>
      </c>
      <c r="AQ349" s="253">
        <f t="shared" si="27"/>
        <v>0</v>
      </c>
      <c r="AR349" s="253">
        <f t="shared" si="27"/>
        <v>0</v>
      </c>
      <c r="AS349" s="223"/>
      <c r="AT349" s="194"/>
    </row>
    <row r="350" spans="1:46" ht="11.25" customHeight="1">
      <c r="A350" s="2"/>
      <c r="B350" s="2"/>
      <c r="C350" s="2"/>
      <c r="D350" s="2"/>
      <c r="E350" s="2"/>
      <c r="F350" s="2"/>
      <c r="G350" s="2"/>
      <c r="H350" s="2"/>
      <c r="I350" s="2"/>
      <c r="J350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150"/>
      <c r="AM350" s="510" t="str">
        <f>AM349 &amp; ".1"</f>
        <v>Э.1.9.1</v>
      </c>
      <c r="AN350" s="742" t="s">
        <v>3004</v>
      </c>
      <c r="AO350" s="687" t="s">
        <v>195</v>
      </c>
      <c r="AP350" s="253">
        <f t="shared" si="27"/>
        <v>0</v>
      </c>
      <c r="AQ350" s="253">
        <f t="shared" si="27"/>
        <v>0</v>
      </c>
      <c r="AR350" s="253">
        <f t="shared" si="27"/>
        <v>0</v>
      </c>
      <c r="AS350" s="223"/>
      <c r="AT350" s="194"/>
    </row>
    <row r="351" spans="1:46" ht="35.25" customHeight="1">
      <c r="A351" s="2"/>
      <c r="B351" s="2"/>
      <c r="C351" s="2"/>
      <c r="D351" s="2"/>
      <c r="E351" s="2"/>
      <c r="F351" s="2"/>
      <c r="G351" s="2"/>
      <c r="H351" s="2"/>
      <c r="I351" s="2"/>
      <c r="J35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150"/>
      <c r="AM351" s="509" t="s">
        <v>3021</v>
      </c>
      <c r="AN351" s="738" t="str">
        <f>"Экономия инвестиционных расходов, сложившаяся в " &amp; PERIOD &amp; " году, предусмотренная в абзаце 3 пункта 67 Основ ценообразования"</f>
        <v>Экономия инвестиционных расходов, сложившаяся в 2024 году, предусмотренная в абзаце 3 пункта 67 Основ ценообразования</v>
      </c>
      <c r="AO351" s="687" t="s">
        <v>195</v>
      </c>
      <c r="AP351" s="253">
        <f t="shared" si="27"/>
        <v>0</v>
      </c>
      <c r="AQ351" s="253">
        <f t="shared" si="27"/>
        <v>0</v>
      </c>
      <c r="AR351" s="253">
        <f t="shared" si="27"/>
        <v>0</v>
      </c>
      <c r="AS351" s="223"/>
      <c r="AT351" s="194"/>
    </row>
    <row r="352" spans="1:4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150"/>
      <c r="AM352" s="509" t="s">
        <v>3022</v>
      </c>
      <c r="AN352" s="739" t="s">
        <v>3023</v>
      </c>
      <c r="AO352" s="687" t="s">
        <v>195</v>
      </c>
      <c r="AP352" s="253">
        <f t="shared" si="27"/>
        <v>0</v>
      </c>
      <c r="AQ352" s="253">
        <f t="shared" si="27"/>
        <v>0</v>
      </c>
      <c r="AR352" s="253">
        <f t="shared" si="27"/>
        <v>0</v>
      </c>
      <c r="AS352" s="223"/>
      <c r="AT352" s="194"/>
    </row>
    <row r="353" spans="1:4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150"/>
      <c r="AM353" s="509" t="s">
        <v>3024</v>
      </c>
      <c r="AN353" s="739" t="s">
        <v>3023</v>
      </c>
      <c r="AO353" s="687" t="s">
        <v>755</v>
      </c>
      <c r="AP353" s="242"/>
      <c r="AQ353" s="242"/>
      <c r="AR353" s="242"/>
      <c r="AS353" s="223"/>
      <c r="AT353" s="194"/>
    </row>
    <row r="354" spans="1:46" ht="11.25" customHeight="1">
      <c r="A354" s="2"/>
      <c r="B354" s="2"/>
      <c r="C354" s="2"/>
      <c r="D354" s="2"/>
      <c r="E354" s="2"/>
      <c r="F354" s="2"/>
      <c r="G354" s="2"/>
      <c r="H354" s="2"/>
      <c r="I354" s="2"/>
      <c r="J35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150"/>
      <c r="AM354" s="509" t="s">
        <v>3025</v>
      </c>
      <c r="AN354" s="739" t="s">
        <v>3026</v>
      </c>
      <c r="AO354" s="687" t="s">
        <v>195</v>
      </c>
      <c r="AP354" s="253">
        <f>SUMIF($AS$9:$AT$9,AP$9,$AS354:$AT354)</f>
        <v>0</v>
      </c>
      <c r="AQ354" s="253">
        <f>SUMIF($AS$9:$AT$9,AQ$9,$AS354:$AT354)</f>
        <v>0</v>
      </c>
      <c r="AR354" s="253">
        <f>SUMIF($AS$9:$AT$9,AR$9,$AS354:$AT354)</f>
        <v>0</v>
      </c>
      <c r="AS354" s="223"/>
      <c r="AT354" s="194"/>
    </row>
    <row r="355" spans="1:46" ht="11.25" customHeight="1">
      <c r="A355" s="2"/>
      <c r="B355" s="2"/>
      <c r="C355" s="2"/>
      <c r="D355" s="2"/>
      <c r="E355" s="2"/>
      <c r="F355" s="2"/>
      <c r="G355" s="2"/>
      <c r="H355" s="2"/>
      <c r="I355" s="2"/>
      <c r="J35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150"/>
      <c r="AM355" s="509" t="s">
        <v>3027</v>
      </c>
      <c r="AN355" s="739" t="s">
        <v>3026</v>
      </c>
      <c r="AO355" s="687" t="s">
        <v>755</v>
      </c>
      <c r="AP355" s="242"/>
      <c r="AQ355" s="242"/>
      <c r="AR355" s="242"/>
      <c r="AS355" s="223"/>
      <c r="AT355" s="194"/>
    </row>
    <row r="356" spans="1:46" ht="11.25" customHeight="1">
      <c r="A356" s="2"/>
      <c r="B356" s="2"/>
      <c r="C356" s="2"/>
      <c r="D356" s="2"/>
      <c r="E356" s="2"/>
      <c r="F356" s="2"/>
      <c r="G356" s="2"/>
      <c r="H356" s="2"/>
      <c r="I356" s="2"/>
      <c r="J356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150"/>
      <c r="AM356" s="510" t="str">
        <f>AM351 &amp; ".1"</f>
        <v>Э.1.10.1</v>
      </c>
      <c r="AN356" s="737" t="s">
        <v>3004</v>
      </c>
      <c r="AO356" s="687" t="s">
        <v>195</v>
      </c>
      <c r="AP356" s="253">
        <f t="shared" ref="AP356:AR358" si="28">SUMIF($AS$9:$AT$9,AP$9,$AS356:$AT356)</f>
        <v>0</v>
      </c>
      <c r="AQ356" s="253">
        <f t="shared" si="28"/>
        <v>0</v>
      </c>
      <c r="AR356" s="253">
        <f t="shared" si="28"/>
        <v>0</v>
      </c>
      <c r="AS356" s="223"/>
      <c r="AT356" s="194"/>
    </row>
    <row r="357" spans="1:46" ht="35.25" customHeight="1">
      <c r="A357" s="2"/>
      <c r="B357" s="2"/>
      <c r="C357" s="2"/>
      <c r="D357" s="2"/>
      <c r="E357" s="2"/>
      <c r="F357" s="2"/>
      <c r="G357" s="2"/>
      <c r="H357" s="2"/>
      <c r="I357" s="2"/>
      <c r="J357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150"/>
      <c r="AM357" s="509" t="s">
        <v>3028</v>
      </c>
      <c r="AN357" s="738" t="str">
        <f>"Экономия инвестиционных расходов, сложившаяся в " &amp; PERIOD &amp; " году, предусмотренная в абзаце 4 пункта 67 Основ ценообразования"</f>
        <v>Экономия инвестиционных расходов, сложившаяся в 2024 году, предусмотренная в абзаце 4 пункта 67 Основ ценообразования</v>
      </c>
      <c r="AO357" s="687" t="s">
        <v>195</v>
      </c>
      <c r="AP357" s="253">
        <f t="shared" si="28"/>
        <v>0</v>
      </c>
      <c r="AQ357" s="253">
        <f t="shared" si="28"/>
        <v>0</v>
      </c>
      <c r="AR357" s="253">
        <f t="shared" si="28"/>
        <v>0</v>
      </c>
      <c r="AS357" s="223"/>
      <c r="AT357" s="194"/>
    </row>
    <row r="358" spans="1:46" ht="11.25" customHeight="1">
      <c r="A358" s="2"/>
      <c r="B358" s="2"/>
      <c r="C358" s="2"/>
      <c r="D358" s="2"/>
      <c r="E358" s="2"/>
      <c r="F358" s="2"/>
      <c r="G358" s="2"/>
      <c r="H358" s="2"/>
      <c r="I358" s="2"/>
      <c r="J358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150"/>
      <c r="AM358" s="510" t="str">
        <f>AM357 &amp; ".1"</f>
        <v>Э.1.11.1</v>
      </c>
      <c r="AN358" s="737" t="s">
        <v>3004</v>
      </c>
      <c r="AO358" s="687" t="s">
        <v>195</v>
      </c>
      <c r="AP358" s="253">
        <f t="shared" si="28"/>
        <v>0</v>
      </c>
      <c r="AQ358" s="253">
        <f t="shared" si="28"/>
        <v>0</v>
      </c>
      <c r="AR358" s="253">
        <f t="shared" si="28"/>
        <v>0</v>
      </c>
      <c r="AS358" s="223"/>
      <c r="AT358" s="194"/>
    </row>
    <row r="359" spans="1:46" ht="0.75" hidden="1" customHeight="1">
      <c r="A359" s="2"/>
      <c r="B359" s="2"/>
      <c r="C359" s="2"/>
      <c r="D359" s="2"/>
      <c r="E359" s="2"/>
      <c r="F359" s="2"/>
      <c r="G359" s="2"/>
      <c r="H359" s="2"/>
      <c r="I359" s="2"/>
      <c r="J359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150"/>
      <c r="AM359" s="500"/>
      <c r="AN359" s="622"/>
      <c r="AO359" s="166"/>
      <c r="AP359" s="242"/>
      <c r="AQ359" s="242"/>
      <c r="AR359" s="242"/>
      <c r="AS359" s="223"/>
      <c r="AT359" s="194"/>
    </row>
    <row r="360" spans="1:46" ht="0.75" hidden="1" customHeight="1">
      <c r="A360" s="2"/>
      <c r="B360" s="2"/>
      <c r="C360" s="2"/>
      <c r="D360" s="2"/>
      <c r="E360" s="2"/>
      <c r="F360" s="2"/>
      <c r="G360" s="2"/>
      <c r="H360" s="2"/>
      <c r="I360" s="2"/>
      <c r="J360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150"/>
      <c r="AM360" s="500"/>
      <c r="AN360" s="622"/>
      <c r="AO360" s="166"/>
      <c r="AP360" s="242"/>
      <c r="AQ360" s="242"/>
      <c r="AR360" s="242"/>
      <c r="AS360" s="223"/>
      <c r="AT360" s="194"/>
    </row>
    <row r="361" spans="1:46" ht="0.75" hidden="1" customHeight="1">
      <c r="A361" s="2"/>
      <c r="B361" s="2"/>
      <c r="C361" s="2"/>
      <c r="D361" s="2"/>
      <c r="E361" s="2"/>
      <c r="F361" s="2"/>
      <c r="G361" s="2"/>
      <c r="H361" s="2"/>
      <c r="I361" s="2"/>
      <c r="J36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150"/>
      <c r="AM361" s="500"/>
      <c r="AN361" s="622"/>
      <c r="AO361" s="166"/>
      <c r="AP361" s="242"/>
      <c r="AQ361" s="242"/>
      <c r="AR361" s="242"/>
      <c r="AS361" s="223"/>
      <c r="AT361" s="194"/>
    </row>
    <row r="362" spans="1:46" ht="0.75" hidden="1" customHeight="1">
      <c r="A362" s="2"/>
      <c r="B362" s="2"/>
      <c r="C362" s="2"/>
      <c r="D362" s="2"/>
      <c r="E362" s="2"/>
      <c r="F362" s="2"/>
      <c r="G362" s="2"/>
      <c r="H362" s="2"/>
      <c r="I362" s="2"/>
      <c r="J36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150"/>
      <c r="AM362" s="500"/>
      <c r="AN362" s="622"/>
      <c r="AO362" s="166"/>
      <c r="AP362" s="242"/>
      <c r="AQ362" s="242"/>
      <c r="AR362" s="242"/>
      <c r="AS362" s="223"/>
      <c r="AT362" s="194"/>
    </row>
    <row r="363" spans="1:46" ht="0.75" hidden="1" customHeight="1">
      <c r="A363" s="2"/>
      <c r="B363" s="2"/>
      <c r="C363" s="2"/>
      <c r="D363" s="2"/>
      <c r="E363" s="2"/>
      <c r="F363" s="2"/>
      <c r="G363" s="2"/>
      <c r="H363" s="2"/>
      <c r="I363" s="2"/>
      <c r="J36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150"/>
      <c r="AM363" s="500"/>
      <c r="AN363" s="622"/>
      <c r="AO363" s="166"/>
      <c r="AP363" s="242"/>
      <c r="AQ363" s="242"/>
      <c r="AR363" s="242"/>
      <c r="AS363" s="223"/>
      <c r="AT363" s="194"/>
    </row>
  </sheetData>
  <sheetProtection password="D0EA" sheet="1" objects="1" scenarios="1" formatColumns="0" formatRows="0"/>
  <mergeCells count="6">
    <mergeCell ref="AO19:AO20"/>
    <mergeCell ref="AP19:AR20"/>
    <mergeCell ref="AM19:AM20"/>
    <mergeCell ref="AN19:AN20"/>
    <mergeCell ref="AM13:AN14"/>
    <mergeCell ref="AP14:AR14"/>
  </mergeCells>
  <phoneticPr fontId="0" type="noConversion"/>
  <dataValidations disablePrompts="1" count="1">
    <dataValidation type="whole" allowBlank="1" showInputMessage="1" showErrorMessage="1" errorTitle="Внимание" error="Значение должно быть целым неотрицательным числом!" sqref="AP316">
      <formula1>0</formula1>
      <formula2>10000</formula2>
    </dataValidation>
  </dataValidation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COLDVSNA_REAGENT">
    <tabColor rgb="FFFFFF00"/>
    <outlinePr summaryBelow="0"/>
  </sheetPr>
  <dimension ref="A1:AV351"/>
  <sheetViews>
    <sheetView showGridLines="0" topLeftCell="AK9" zoomScale="90" zoomScaleNormal="90" workbookViewId="0">
      <pane xSplit="8" ySplit="14" topLeftCell="AS23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/>
    </sheetView>
  </sheetViews>
  <sheetFormatPr defaultColWidth="8.75" defaultRowHeight="11.4"/>
  <cols>
    <col min="1" max="31" width="2.75" style="45" hidden="1" customWidth="1"/>
    <col min="32" max="32" width="12.75" style="45" hidden="1" customWidth="1"/>
    <col min="33" max="36" width="2.75" style="45" hidden="1" customWidth="1"/>
    <col min="37" max="37" width="2.75" style="45" customWidth="1"/>
    <col min="38" max="38" width="2.75" style="2" hidden="1" customWidth="1"/>
    <col min="39" max="39" width="13.75" style="26" customWidth="1"/>
    <col min="40" max="40" width="48.75" style="2" customWidth="1"/>
    <col min="41" max="44" width="12.75" style="2" customWidth="1"/>
    <col min="45" max="46" width="0.125" style="2" customWidth="1"/>
    <col min="47" max="47" width="2.75" style="2" customWidth="1"/>
    <col min="48" max="48" width="2.625" style="2" customWidth="1"/>
    <col min="49" max="16384" width="8.75" style="2"/>
  </cols>
  <sheetData>
    <row r="1" spans="1:47" ht="12" hidden="1" customHeight="1">
      <c r="A1" s="2"/>
      <c r="B1" s="2"/>
      <c r="C1" s="2"/>
      <c r="D1" s="2"/>
      <c r="E1" s="2"/>
      <c r="F1" s="2"/>
      <c r="G1" s="2"/>
      <c r="H1" s="2"/>
      <c r="I1" s="2"/>
      <c r="J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0"/>
    </row>
    <row r="2" spans="1:47" ht="12" hidden="1" customHeight="1">
      <c r="A2" s="2"/>
      <c r="B2" s="2"/>
      <c r="C2" s="2"/>
      <c r="D2" s="2"/>
      <c r="E2" s="2"/>
      <c r="F2" s="2"/>
      <c r="G2" s="2"/>
      <c r="H2" s="2"/>
      <c r="I2" s="2"/>
      <c r="J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0"/>
    </row>
    <row r="3" spans="1:47" ht="12" hidden="1" customHeight="1">
      <c r="A3" s="2"/>
      <c r="B3" s="2"/>
      <c r="C3" s="2"/>
      <c r="D3" s="2"/>
      <c r="E3" s="2"/>
      <c r="F3" s="2"/>
      <c r="G3" s="2"/>
      <c r="H3" s="2"/>
      <c r="I3" s="2"/>
      <c r="J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0"/>
    </row>
    <row r="4" spans="1:47" ht="12" hidden="1" customHeight="1">
      <c r="A4" s="2"/>
      <c r="B4" s="2"/>
      <c r="C4" s="2"/>
      <c r="D4" s="2"/>
      <c r="E4" s="2"/>
      <c r="F4" s="2"/>
      <c r="G4" s="2"/>
      <c r="H4" s="2"/>
      <c r="I4" s="2"/>
      <c r="J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0"/>
    </row>
    <row r="5" spans="1:47" ht="12" hidden="1" customHeight="1">
      <c r="A5" s="2"/>
      <c r="B5" s="2"/>
      <c r="C5" s="2"/>
      <c r="D5" s="2"/>
      <c r="E5" s="2"/>
      <c r="F5" s="2"/>
      <c r="G5" s="2"/>
      <c r="H5" s="2"/>
      <c r="I5" s="2"/>
      <c r="J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0"/>
    </row>
    <row r="6" spans="1:47" ht="12" hidden="1" customHeight="1">
      <c r="A6" s="2"/>
      <c r="B6" s="2"/>
      <c r="C6" s="2"/>
      <c r="D6" s="2"/>
      <c r="E6" s="2"/>
      <c r="F6" s="2"/>
      <c r="G6" s="2"/>
      <c r="H6" s="2"/>
      <c r="I6" s="2"/>
      <c r="J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0"/>
      <c r="AP6" s="157">
        <v>12</v>
      </c>
      <c r="AQ6" s="157">
        <v>6</v>
      </c>
      <c r="AR6" s="157">
        <v>6</v>
      </c>
    </row>
    <row r="7" spans="1:47" ht="12" hidden="1" customHeight="1">
      <c r="A7" s="2"/>
      <c r="B7" s="2"/>
      <c r="C7" s="2"/>
      <c r="D7" s="2"/>
      <c r="E7" s="2"/>
      <c r="F7" s="2"/>
      <c r="G7" s="2"/>
      <c r="H7" s="2"/>
      <c r="I7" s="2"/>
      <c r="J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0"/>
      <c r="AP7" s="157"/>
      <c r="AQ7" s="157"/>
      <c r="AR7" s="157"/>
    </row>
    <row r="8" spans="1:47" s="114" customFormat="1" ht="12" hidden="1" customHeight="1">
      <c r="J8" s="169"/>
      <c r="AL8" s="170"/>
      <c r="AM8" s="171"/>
      <c r="AP8" s="172"/>
      <c r="AQ8" s="172"/>
      <c r="AR8" s="172"/>
    </row>
    <row r="9" spans="1:47" s="144" customFormat="1" ht="12" customHeight="1">
      <c r="A9" s="148"/>
      <c r="J9" s="155"/>
      <c r="AL9" s="148"/>
      <c r="AM9" s="156"/>
      <c r="AP9" s="143" t="s">
        <v>275</v>
      </c>
      <c r="AQ9" s="143" t="s">
        <v>194</v>
      </c>
      <c r="AR9" s="143" t="s">
        <v>609</v>
      </c>
    </row>
    <row r="10" spans="1:47" s="144" customFormat="1" ht="12" customHeight="1">
      <c r="J10" s="155"/>
      <c r="AL10" s="148"/>
      <c r="AM10" s="156"/>
      <c r="AP10" s="143"/>
      <c r="AQ10" s="143"/>
      <c r="AR10" s="143"/>
      <c r="AS10" s="144" t="s">
        <v>276</v>
      </c>
      <c r="AT10" s="144" t="s">
        <v>277</v>
      </c>
    </row>
    <row r="11" spans="1:47" s="144" customFormat="1" ht="12" customHeight="1">
      <c r="J11" s="155"/>
      <c r="AL11" s="148"/>
      <c r="AM11" s="156"/>
      <c r="AP11" s="143"/>
      <c r="AQ11" s="143"/>
      <c r="AR11" s="143"/>
    </row>
    <row r="12" spans="1:47" s="144" customFormat="1" ht="12" customHeight="1">
      <c r="J12" s="155"/>
      <c r="AL12" s="148"/>
      <c r="AM12" s="157"/>
      <c r="AN12" s="71" t="s">
        <v>2117</v>
      </c>
      <c r="AO12" s="71"/>
      <c r="AP12" s="143"/>
      <c r="AQ12" s="143"/>
      <c r="AR12" s="143"/>
    </row>
    <row r="13" spans="1:47" ht="27" customHeight="1">
      <c r="A13" s="2" t="s">
        <v>589</v>
      </c>
      <c r="B13" s="2"/>
      <c r="C13" s="2"/>
      <c r="D13" s="2"/>
      <c r="E13" s="2"/>
      <c r="F13" s="2"/>
      <c r="G13" s="2"/>
      <c r="H13" s="2"/>
      <c r="I13" s="2"/>
      <c r="J1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7"/>
      <c r="AL13" s="27"/>
      <c r="AM13" s="998" t="s">
        <v>1906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168"/>
    </row>
    <row r="14" spans="1:47" ht="27" hidden="1" customHeight="1">
      <c r="A14" s="2"/>
      <c r="B14" s="2"/>
      <c r="C14" s="2"/>
      <c r="D14" s="2"/>
      <c r="E14" s="2"/>
      <c r="F14" s="2"/>
      <c r="G14" s="2"/>
      <c r="H14" s="2"/>
      <c r="I14" s="2"/>
      <c r="J1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/>
      <c r="AL14" s="27"/>
      <c r="AM14" s="998"/>
      <c r="AN14" s="999"/>
      <c r="AO14" s="164"/>
      <c r="AP14" s="1000"/>
      <c r="AQ14" s="984"/>
      <c r="AR14" s="984"/>
      <c r="AS14" s="168"/>
      <c r="AT14" s="168"/>
      <c r="AU14" s="9"/>
    </row>
    <row r="15" spans="1:47" ht="12" hidden="1" customHeight="1">
      <c r="A15" s="2"/>
      <c r="B15" s="2"/>
      <c r="C15" s="2"/>
      <c r="D15" s="2"/>
      <c r="E15" s="2"/>
      <c r="F15" s="2"/>
      <c r="G15" s="2"/>
      <c r="H15" s="2"/>
      <c r="I15" s="2"/>
      <c r="J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0"/>
      <c r="AP15" s="167"/>
      <c r="AQ15" s="167"/>
      <c r="AR15" s="167"/>
    </row>
    <row r="16" spans="1:47" s="67" customFormat="1" ht="12" hidden="1" customHeight="1">
      <c r="J16" s="66"/>
      <c r="AL16" s="76"/>
      <c r="AS16" s="65"/>
      <c r="AT16" s="65"/>
      <c r="AU16" s="65"/>
    </row>
    <row r="17" spans="1:47" s="148" customFormat="1" ht="12" hidden="1" customHeight="1"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154"/>
      <c r="AU17" s="151"/>
    </row>
    <row r="18" spans="1:47" ht="12" hidden="1" customHeight="1">
      <c r="A18" s="2"/>
      <c r="B18" s="2"/>
      <c r="C18" s="2"/>
      <c r="D18" s="2"/>
      <c r="E18" s="2"/>
      <c r="F18" s="2"/>
      <c r="G18" s="2"/>
      <c r="H18" s="2"/>
      <c r="I18" s="2"/>
      <c r="J1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146"/>
      <c r="AN18" s="68"/>
      <c r="AO18" s="68"/>
      <c r="AT18" s="2" t="s">
        <v>135</v>
      </c>
    </row>
    <row r="19" spans="1:47" ht="12" customHeight="1">
      <c r="A19" s="2"/>
      <c r="B19" s="2"/>
      <c r="C19" s="2"/>
      <c r="D19" s="2"/>
      <c r="E19" s="2"/>
      <c r="F19" s="2"/>
      <c r="G19" s="2"/>
      <c r="H19" s="2"/>
      <c r="I19" s="2"/>
      <c r="J1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7"/>
      <c r="AL19" s="125"/>
      <c r="AM19" s="925" t="s">
        <v>104</v>
      </c>
      <c r="AN19" s="912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161"/>
      <c r="AU19" s="61"/>
    </row>
    <row r="20" spans="1:47" ht="24" customHeight="1">
      <c r="A20" s="2"/>
      <c r="B20" s="2"/>
      <c r="C20" s="2"/>
      <c r="D20" s="2"/>
      <c r="E20" s="2"/>
      <c r="F20" s="2"/>
      <c r="G20" s="2"/>
      <c r="H20" s="2"/>
      <c r="I20" s="2"/>
      <c r="J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7"/>
      <c r="AL20" s="125"/>
      <c r="AM20" s="925"/>
      <c r="AN20" s="912"/>
      <c r="AO20" s="912"/>
      <c r="AP20" s="1005"/>
      <c r="AQ20" s="1006"/>
      <c r="AR20" s="1006"/>
      <c r="AS20" s="174"/>
      <c r="AT20" s="161"/>
      <c r="AU20" s="61"/>
    </row>
    <row r="21" spans="1:47" ht="11.25" customHeight="1">
      <c r="A21" s="2"/>
      <c r="B21" s="2"/>
      <c r="C21" s="2"/>
      <c r="D21" s="2"/>
      <c r="E21" s="2"/>
      <c r="F21" s="2"/>
      <c r="G21" s="2"/>
      <c r="H21" s="2"/>
      <c r="I21" s="2"/>
      <c r="J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7"/>
      <c r="AL21" s="47"/>
      <c r="AM21" s="218"/>
      <c r="AN21" s="219" t="s">
        <v>197</v>
      </c>
      <c r="AO21" s="219"/>
      <c r="AP21" s="181"/>
      <c r="AQ21" s="182"/>
      <c r="AR21" s="182"/>
      <c r="AS21" s="194"/>
      <c r="AT21" s="161"/>
      <c r="AU21" s="61"/>
    </row>
    <row r="22" spans="1:47" ht="24" customHeight="1">
      <c r="A22" s="2"/>
      <c r="B22" s="2"/>
      <c r="C22" s="2"/>
      <c r="D22" s="2"/>
      <c r="E22" s="2"/>
      <c r="F22" s="2"/>
      <c r="G22" s="2"/>
      <c r="H22" s="2"/>
      <c r="I22" s="2"/>
      <c r="J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7"/>
      <c r="AL22" s="47"/>
      <c r="AM22" s="220"/>
      <c r="AN22" s="176" t="s">
        <v>2085</v>
      </c>
      <c r="AO22" s="192"/>
      <c r="AP22" s="181"/>
      <c r="AQ22" s="182"/>
      <c r="AR22" s="182"/>
      <c r="AS22" s="194"/>
      <c r="AT22" s="161"/>
      <c r="AU22" s="61"/>
    </row>
    <row r="23" spans="1:47" ht="0.75" hidden="1" customHeight="1">
      <c r="A23" s="2"/>
      <c r="B23" s="2"/>
      <c r="C23" s="2"/>
      <c r="D23" s="2"/>
      <c r="E23" s="2"/>
      <c r="F23" s="2"/>
      <c r="G23" s="2"/>
      <c r="H23" s="2"/>
      <c r="I23" s="2"/>
      <c r="J2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413"/>
      <c r="AG23" s="2"/>
      <c r="AH23" s="2"/>
      <c r="AI23" s="2"/>
      <c r="AJ23" s="2"/>
      <c r="AK23" s="2"/>
      <c r="AL23" s="124"/>
      <c r="AM23" s="560"/>
      <c r="AN23" s="533"/>
      <c r="AO23" s="422"/>
      <c r="AP23" s="142"/>
      <c r="AQ23" s="142"/>
      <c r="AR23" s="142"/>
      <c r="AS23" s="194"/>
      <c r="AT23" s="194"/>
    </row>
    <row r="24" spans="1:47" ht="0.75" hidden="1" customHeight="1">
      <c r="A24" s="2"/>
      <c r="B24" s="2"/>
      <c r="C24" s="2"/>
      <c r="D24" s="2"/>
      <c r="E24" s="2"/>
      <c r="F24" s="2"/>
      <c r="G24" s="2"/>
      <c r="H24" s="2"/>
      <c r="I24" s="2"/>
      <c r="J2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413"/>
      <c r="AG24" s="2"/>
      <c r="AH24" s="2"/>
      <c r="AI24" s="2"/>
      <c r="AJ24" s="2"/>
      <c r="AK24" s="2"/>
      <c r="AL24" s="124"/>
      <c r="AM24" s="560"/>
      <c r="AN24" s="533"/>
      <c r="AO24" s="422"/>
      <c r="AP24" s="142"/>
      <c r="AQ24" s="142"/>
      <c r="AR24" s="142"/>
      <c r="AS24" s="194"/>
      <c r="AT24" s="194"/>
    </row>
    <row r="25" spans="1:47" ht="12" customHeight="1">
      <c r="A25" s="2"/>
      <c r="B25" s="2"/>
      <c r="C25" s="2"/>
      <c r="D25" s="2"/>
      <c r="E25" s="2"/>
      <c r="F25" s="2"/>
      <c r="G25" s="2"/>
      <c r="H25" s="2"/>
      <c r="I25" s="2"/>
      <c r="J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413"/>
      <c r="AG25" s="2"/>
      <c r="AH25" s="2"/>
      <c r="AI25" s="2"/>
      <c r="AJ25" s="2"/>
      <c r="AK25" s="2"/>
      <c r="AL25" s="124"/>
      <c r="AM25" s="516" t="s">
        <v>610</v>
      </c>
      <c r="AN25" s="463" t="s">
        <v>1916</v>
      </c>
      <c r="AO25" s="420" t="s">
        <v>195</v>
      </c>
      <c r="AP25" s="247">
        <f>SUMIF($AS$9:$AT$9,AP$9,$AS25:$AT25)</f>
        <v>0</v>
      </c>
      <c r="AQ25" s="247">
        <f>SUMIF($AS$9:$AT$9,AQ$9,$AS25:$AT25)</f>
        <v>0</v>
      </c>
      <c r="AR25" s="247">
        <f>SUMIF($AS$9:$AT$9,AR$9,$AS25:$AT25)</f>
        <v>0</v>
      </c>
      <c r="AS25" s="194"/>
      <c r="AT25" s="194"/>
      <c r="AU25" s="326"/>
    </row>
    <row r="26" spans="1:47" ht="0.75" hidden="1" customHeight="1">
      <c r="A26" s="2"/>
      <c r="B26" s="2"/>
      <c r="C26" s="2"/>
      <c r="D26" s="2"/>
      <c r="E26" s="2"/>
      <c r="F26" s="2"/>
      <c r="G26" s="2"/>
      <c r="H26" s="2"/>
      <c r="I26" s="2"/>
      <c r="J2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413"/>
      <c r="AG26" s="2"/>
      <c r="AH26" s="2"/>
      <c r="AI26" s="2"/>
      <c r="AJ26" s="2"/>
      <c r="AK26" s="2"/>
      <c r="AL26" s="124"/>
      <c r="AM26" s="560"/>
      <c r="AN26" s="533"/>
      <c r="AO26" s="422"/>
      <c r="AP26" s="142"/>
      <c r="AQ26" s="142"/>
      <c r="AR26" s="142"/>
      <c r="AS26" s="194"/>
      <c r="AT26" s="194"/>
    </row>
    <row r="27" spans="1:47" ht="12" customHeight="1">
      <c r="A27" s="2"/>
      <c r="B27" s="2"/>
      <c r="C27" s="2"/>
      <c r="D27" s="2"/>
      <c r="E27" s="2"/>
      <c r="F27" s="2"/>
      <c r="G27" s="2"/>
      <c r="H27" s="2"/>
      <c r="I27" s="2"/>
      <c r="J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413"/>
      <c r="AG27" s="2"/>
      <c r="AH27" s="2"/>
      <c r="AI27" s="2"/>
      <c r="AJ27" s="2"/>
      <c r="AK27" s="2"/>
      <c r="AL27" s="124"/>
      <c r="AM27" s="561" t="s">
        <v>1349</v>
      </c>
      <c r="AN27" s="567" t="s">
        <v>1907</v>
      </c>
      <c r="AO27" s="420" t="s">
        <v>195</v>
      </c>
      <c r="AP27" s="247">
        <f>SUMIF($AS$9:$AT$9,AP$9,$AS27:$AT27)</f>
        <v>0</v>
      </c>
      <c r="AQ27" s="247">
        <f>SUMIF($AS$9:$AT$9,AQ$9,$AS27:$AT27)</f>
        <v>0</v>
      </c>
      <c r="AR27" s="247">
        <f>SUMIF($AS$9:$AT$9,AR$9,$AS27:$AT27)</f>
        <v>0</v>
      </c>
      <c r="AS27" s="194"/>
      <c r="AT27" s="194"/>
      <c r="AU27" s="326"/>
    </row>
    <row r="28" spans="1:47" ht="0.75" hidden="1" customHeight="1">
      <c r="A28" s="2"/>
      <c r="B28" s="2"/>
      <c r="C28" s="2"/>
      <c r="D28" s="2"/>
      <c r="E28" s="2"/>
      <c r="F28" s="2"/>
      <c r="G28" s="2"/>
      <c r="H28" s="2"/>
      <c r="I28" s="2"/>
      <c r="J28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413"/>
      <c r="AG28" s="2"/>
      <c r="AH28" s="2"/>
      <c r="AI28" s="2"/>
      <c r="AJ28" s="2"/>
      <c r="AK28" s="2"/>
      <c r="AL28" s="124"/>
      <c r="AM28" s="560"/>
      <c r="AN28" s="533"/>
      <c r="AO28" s="422"/>
      <c r="AP28" s="142"/>
      <c r="AQ28" s="142"/>
      <c r="AR28" s="142"/>
      <c r="AS28" s="194"/>
      <c r="AT28" s="194"/>
    </row>
    <row r="29" spans="1:47" ht="12" customHeight="1">
      <c r="A29" s="2"/>
      <c r="B29" s="2"/>
      <c r="C29" s="2"/>
      <c r="D29" s="2"/>
      <c r="E29" s="2"/>
      <c r="F29" s="2"/>
      <c r="G29" s="2"/>
      <c r="H29" s="2"/>
      <c r="I29" s="2"/>
      <c r="J2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413" t="s">
        <v>2092</v>
      </c>
      <c r="AG29" s="2"/>
      <c r="AH29" s="2"/>
      <c r="AI29" s="2"/>
      <c r="AJ29" s="2"/>
      <c r="AK29" s="2"/>
      <c r="AL29" s="124"/>
      <c r="AM29" s="561" t="s">
        <v>2081</v>
      </c>
      <c r="AN29" s="559" t="s">
        <v>1908</v>
      </c>
      <c r="AO29" s="420" t="s">
        <v>195</v>
      </c>
      <c r="AP29" s="247">
        <f>SUMIF($AS$9:$AT$9,AP$9,$AS29:$AT29)</f>
        <v>0</v>
      </c>
      <c r="AQ29" s="247">
        <f>SUMIF($AS$9:$AT$9,AQ$9,$AS29:$AT29)</f>
        <v>0</v>
      </c>
      <c r="AR29" s="247">
        <f>SUMIF($AS$9:$AT$9,AR$9,$AS29:$AT29)</f>
        <v>0</v>
      </c>
      <c r="AS29" s="194"/>
      <c r="AT29" s="194"/>
      <c r="AU29" s="326"/>
    </row>
    <row r="30" spans="1:47" ht="12" customHeight="1">
      <c r="A30" s="2"/>
      <c r="B30" s="2"/>
      <c r="C30" s="2"/>
      <c r="D30" s="2"/>
      <c r="E30" s="2"/>
      <c r="F30" s="2"/>
      <c r="G30" s="2"/>
      <c r="H30" s="2"/>
      <c r="I30" s="2"/>
      <c r="J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413" t="s">
        <v>2093</v>
      </c>
      <c r="AG30" s="2"/>
      <c r="AH30" s="2"/>
      <c r="AI30" s="2"/>
      <c r="AJ30" s="2"/>
      <c r="AK30" s="2"/>
      <c r="AL30" s="124"/>
      <c r="AM30" s="562" t="str">
        <f>AM29 &amp; ".P"</f>
        <v>HDSFAL.P</v>
      </c>
      <c r="AN30" s="531" t="s">
        <v>842</v>
      </c>
      <c r="AO30" s="420" t="s">
        <v>23</v>
      </c>
      <c r="AP30" s="247">
        <f>IF(AP31=0,0,AP29*1000/AP31)</f>
        <v>0</v>
      </c>
      <c r="AQ30" s="247">
        <f>IF(AQ31=0,0,AQ29*1000/AQ31)</f>
        <v>0</v>
      </c>
      <c r="AR30" s="247">
        <f>IF(AR31=0,0,AR29*1000/AR31)</f>
        <v>0</v>
      </c>
      <c r="AS30" s="194"/>
      <c r="AT30" s="194"/>
      <c r="AU30" s="326"/>
    </row>
    <row r="31" spans="1:47" ht="12" customHeight="1">
      <c r="A31" s="2"/>
      <c r="B31" s="2"/>
      <c r="C31" s="2"/>
      <c r="D31" s="2"/>
      <c r="E31" s="2"/>
      <c r="F31" s="2"/>
      <c r="G31" s="2"/>
      <c r="H31" s="2"/>
      <c r="I31" s="2"/>
      <c r="J3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413" t="s">
        <v>2094</v>
      </c>
      <c r="AG31" s="2"/>
      <c r="AH31" s="2"/>
      <c r="AI31" s="2"/>
      <c r="AJ31" s="2"/>
      <c r="AK31" s="2"/>
      <c r="AL31" s="124"/>
      <c r="AM31" s="562" t="str">
        <f>AM29 &amp; ".V"</f>
        <v>HDSFAL.V</v>
      </c>
      <c r="AN31" s="531" t="s">
        <v>245</v>
      </c>
      <c r="AO31" s="420" t="s">
        <v>289</v>
      </c>
      <c r="AP31" s="247">
        <f t="shared" ref="AP31:AR32" si="0">SUMIF($AS$9:$AT$9,AP$9,$AS31:$AT31)</f>
        <v>0</v>
      </c>
      <c r="AQ31" s="247">
        <f t="shared" si="0"/>
        <v>0</v>
      </c>
      <c r="AR31" s="247">
        <f t="shared" si="0"/>
        <v>0</v>
      </c>
      <c r="AS31" s="194"/>
      <c r="AT31" s="194"/>
      <c r="AU31" s="326"/>
    </row>
    <row r="32" spans="1:47" ht="12" customHeight="1">
      <c r="A32" s="2"/>
      <c r="B32" s="2"/>
      <c r="C32" s="2"/>
      <c r="D32" s="2"/>
      <c r="E32" s="2"/>
      <c r="F32" s="2"/>
      <c r="G32" s="2"/>
      <c r="H32" s="2"/>
      <c r="I32" s="2"/>
      <c r="J3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413" t="s">
        <v>2092</v>
      </c>
      <c r="AG32" s="2"/>
      <c r="AH32" s="2"/>
      <c r="AI32" s="2"/>
      <c r="AJ32" s="2"/>
      <c r="AK32" s="2"/>
      <c r="AL32" s="124"/>
      <c r="AM32" s="561" t="s">
        <v>1998</v>
      </c>
      <c r="AN32" s="559" t="s">
        <v>1909</v>
      </c>
      <c r="AO32" s="420" t="s">
        <v>195</v>
      </c>
      <c r="AP32" s="247">
        <f t="shared" si="0"/>
        <v>0</v>
      </c>
      <c r="AQ32" s="247">
        <f t="shared" si="0"/>
        <v>0</v>
      </c>
      <c r="AR32" s="247">
        <f t="shared" si="0"/>
        <v>0</v>
      </c>
      <c r="AS32" s="194"/>
      <c r="AT32" s="194"/>
      <c r="AU32" s="326"/>
    </row>
    <row r="33" spans="1:47" ht="12" customHeight="1">
      <c r="A33" s="2"/>
      <c r="B33" s="2"/>
      <c r="C33" s="2"/>
      <c r="D33" s="2"/>
      <c r="E33" s="2"/>
      <c r="F33" s="2"/>
      <c r="G33" s="2"/>
      <c r="H33" s="2"/>
      <c r="I33" s="2"/>
      <c r="J3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413" t="s">
        <v>2093</v>
      </c>
      <c r="AG33" s="2"/>
      <c r="AH33" s="2"/>
      <c r="AI33" s="2"/>
      <c r="AJ33" s="2"/>
      <c r="AK33" s="2"/>
      <c r="AL33" s="124"/>
      <c r="AM33" s="562" t="str">
        <f>AM32 &amp; ".P"</f>
        <v>FES.P</v>
      </c>
      <c r="AN33" s="531" t="s">
        <v>842</v>
      </c>
      <c r="AO33" s="420" t="s">
        <v>23</v>
      </c>
      <c r="AP33" s="247">
        <f>IF(AP34=0,0,AP32*1000/AP34)</f>
        <v>0</v>
      </c>
      <c r="AQ33" s="247">
        <f>IF(AQ34=0,0,AQ32*1000/AQ34)</f>
        <v>0</v>
      </c>
      <c r="AR33" s="247">
        <f>IF(AR34=0,0,AR32*1000/AR34)</f>
        <v>0</v>
      </c>
      <c r="AS33" s="194"/>
      <c r="AT33" s="194"/>
      <c r="AU33" s="326"/>
    </row>
    <row r="34" spans="1:47" ht="12" customHeight="1">
      <c r="A34" s="2"/>
      <c r="B34" s="2"/>
      <c r="C34" s="2"/>
      <c r="D34" s="2"/>
      <c r="E34" s="2"/>
      <c r="F34" s="2"/>
      <c r="G34" s="2"/>
      <c r="H34" s="2"/>
      <c r="I34" s="2"/>
      <c r="J3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413" t="s">
        <v>2094</v>
      </c>
      <c r="AG34" s="2"/>
      <c r="AH34" s="2"/>
      <c r="AI34" s="2"/>
      <c r="AJ34" s="2"/>
      <c r="AK34" s="2"/>
      <c r="AL34" s="124"/>
      <c r="AM34" s="562" t="str">
        <f>AM32 &amp; ".V"</f>
        <v>FES.V</v>
      </c>
      <c r="AN34" s="531" t="s">
        <v>245</v>
      </c>
      <c r="AO34" s="420" t="s">
        <v>289</v>
      </c>
      <c r="AP34" s="247">
        <f t="shared" ref="AP34:AR35" si="1">SUMIF($AS$9:$AT$9,AP$9,$AS34:$AT34)</f>
        <v>0</v>
      </c>
      <c r="AQ34" s="247">
        <f t="shared" si="1"/>
        <v>0</v>
      </c>
      <c r="AR34" s="247">
        <f t="shared" si="1"/>
        <v>0</v>
      </c>
      <c r="AS34" s="194"/>
      <c r="AT34" s="194"/>
      <c r="AU34" s="326"/>
    </row>
    <row r="35" spans="1:47" ht="12" customHeight="1">
      <c r="A35" s="2"/>
      <c r="B35" s="2"/>
      <c r="C35" s="2"/>
      <c r="D35" s="2"/>
      <c r="E35" s="2"/>
      <c r="F35" s="2"/>
      <c r="G35" s="2"/>
      <c r="H35" s="2"/>
      <c r="I35" s="2"/>
      <c r="J3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413" t="s">
        <v>2092</v>
      </c>
      <c r="AG35" s="2"/>
      <c r="AH35" s="2"/>
      <c r="AI35" s="2"/>
      <c r="AJ35" s="2"/>
      <c r="AK35" s="2"/>
      <c r="AL35" s="124"/>
      <c r="AM35" s="561" t="s">
        <v>2082</v>
      </c>
      <c r="AN35" s="559" t="s">
        <v>1910</v>
      </c>
      <c r="AO35" s="420" t="s">
        <v>195</v>
      </c>
      <c r="AP35" s="247">
        <f t="shared" si="1"/>
        <v>0</v>
      </c>
      <c r="AQ35" s="247">
        <f t="shared" si="1"/>
        <v>0</v>
      </c>
      <c r="AR35" s="247">
        <f t="shared" si="1"/>
        <v>0</v>
      </c>
      <c r="AS35" s="194"/>
      <c r="AT35" s="194"/>
      <c r="AU35" s="326"/>
    </row>
    <row r="36" spans="1:47" ht="12" customHeight="1">
      <c r="A36" s="2"/>
      <c r="B36" s="2"/>
      <c r="C36" s="2"/>
      <c r="D36" s="2"/>
      <c r="E36" s="2"/>
      <c r="F36" s="2"/>
      <c r="G36" s="2"/>
      <c r="H36" s="2"/>
      <c r="I36" s="2"/>
      <c r="J3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413" t="s">
        <v>2093</v>
      </c>
      <c r="AG36" s="2"/>
      <c r="AH36" s="2"/>
      <c r="AI36" s="2"/>
      <c r="AJ36" s="2"/>
      <c r="AK36" s="2"/>
      <c r="AL36" s="124"/>
      <c r="AM36" s="562" t="str">
        <f>AM35 &amp; ".P"</f>
        <v>OXCLAL.P</v>
      </c>
      <c r="AN36" s="531" t="s">
        <v>842</v>
      </c>
      <c r="AO36" s="420" t="s">
        <v>23</v>
      </c>
      <c r="AP36" s="247">
        <f>IF(AP37=0,0,AP35*1000/AP37)</f>
        <v>0</v>
      </c>
      <c r="AQ36" s="247">
        <f>IF(AQ37=0,0,AQ35*1000/AQ37)</f>
        <v>0</v>
      </c>
      <c r="AR36" s="247">
        <f>IF(AR37=0,0,AR35*1000/AR37)</f>
        <v>0</v>
      </c>
      <c r="AS36" s="194"/>
      <c r="AT36" s="194"/>
      <c r="AU36" s="326"/>
    </row>
    <row r="37" spans="1:47" ht="12" customHeight="1">
      <c r="A37" s="2"/>
      <c r="B37" s="2"/>
      <c r="C37" s="2"/>
      <c r="D37" s="2"/>
      <c r="E37" s="2"/>
      <c r="F37" s="2"/>
      <c r="G37" s="2"/>
      <c r="H37" s="2"/>
      <c r="I37" s="2"/>
      <c r="J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413" t="s">
        <v>2094</v>
      </c>
      <c r="AG37" s="2"/>
      <c r="AH37" s="2"/>
      <c r="AI37" s="2"/>
      <c r="AJ37" s="2"/>
      <c r="AK37" s="2"/>
      <c r="AL37" s="124"/>
      <c r="AM37" s="562" t="str">
        <f>AM35 &amp; ".V"</f>
        <v>OXCLAL.V</v>
      </c>
      <c r="AN37" s="531" t="s">
        <v>245</v>
      </c>
      <c r="AO37" s="420" t="s">
        <v>289</v>
      </c>
      <c r="AP37" s="247">
        <f t="shared" ref="AP37:AR47" si="2">SUMIF($AS$9:$AT$9,AP$9,$AS37:$AT37)</f>
        <v>0</v>
      </c>
      <c r="AQ37" s="247">
        <f t="shared" si="2"/>
        <v>0</v>
      </c>
      <c r="AR37" s="247">
        <f t="shared" si="2"/>
        <v>0</v>
      </c>
      <c r="AS37" s="194"/>
      <c r="AT37" s="194"/>
      <c r="AU37" s="326"/>
    </row>
    <row r="38" spans="1:47" ht="12" customHeight="1">
      <c r="A38" s="2"/>
      <c r="B38" s="2"/>
      <c r="C38" s="2"/>
      <c r="D38" s="2"/>
      <c r="E38" s="2"/>
      <c r="F38" s="2"/>
      <c r="G38" s="2"/>
      <c r="H38" s="2"/>
      <c r="I38" s="2"/>
      <c r="J3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413" t="s">
        <v>2092</v>
      </c>
      <c r="AG38" s="2"/>
      <c r="AH38" s="2"/>
      <c r="AI38" s="2"/>
      <c r="AJ38" s="2"/>
      <c r="AK38" s="2"/>
      <c r="AL38" s="124"/>
      <c r="AM38" s="638" t="s">
        <v>2303</v>
      </c>
      <c r="AN38" s="559" t="s">
        <v>2304</v>
      </c>
      <c r="AO38" s="420" t="s">
        <v>195</v>
      </c>
      <c r="AP38" s="247">
        <f t="shared" si="2"/>
        <v>0</v>
      </c>
      <c r="AQ38" s="247">
        <f t="shared" si="2"/>
        <v>0</v>
      </c>
      <c r="AR38" s="247">
        <f t="shared" si="2"/>
        <v>0</v>
      </c>
      <c r="AS38" s="194"/>
      <c r="AT38" s="194"/>
      <c r="AU38" s="326"/>
    </row>
    <row r="39" spans="1:47" ht="12" customHeight="1">
      <c r="A39" s="2"/>
      <c r="B39" s="2"/>
      <c r="C39" s="2"/>
      <c r="D39" s="2"/>
      <c r="E39" s="2"/>
      <c r="F39" s="2"/>
      <c r="G39" s="2"/>
      <c r="H39" s="2"/>
      <c r="I39" s="2"/>
      <c r="J3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413" t="s">
        <v>2093</v>
      </c>
      <c r="AG39" s="2"/>
      <c r="AH39" s="2"/>
      <c r="AI39" s="2"/>
      <c r="AJ39" s="2"/>
      <c r="AK39" s="2"/>
      <c r="AL39" s="124"/>
      <c r="AM39" s="639" t="str">
        <f>AM38 &amp; ".P"</f>
        <v>OXCLAL10.P</v>
      </c>
      <c r="AN39" s="531" t="s">
        <v>842</v>
      </c>
      <c r="AO39" s="420" t="s">
        <v>23</v>
      </c>
      <c r="AP39" s="247">
        <f>IF(AP40=0,0,AP38*1000/AP40)</f>
        <v>0</v>
      </c>
      <c r="AQ39" s="247">
        <f>IF(AQ40=0,0,AQ38*1000/AQ40)</f>
        <v>0</v>
      </c>
      <c r="AR39" s="247">
        <f>IF(AR40=0,0,AR38*1000/AR40)</f>
        <v>0</v>
      </c>
      <c r="AS39" s="194"/>
      <c r="AT39" s="194"/>
      <c r="AU39" s="326"/>
    </row>
    <row r="40" spans="1:47" ht="12" customHeight="1">
      <c r="A40" s="2"/>
      <c r="B40" s="2"/>
      <c r="C40" s="2"/>
      <c r="D40" s="2"/>
      <c r="E40" s="2"/>
      <c r="F40" s="2"/>
      <c r="G40" s="2"/>
      <c r="H40" s="2"/>
      <c r="I40" s="2"/>
      <c r="J4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413" t="s">
        <v>2094</v>
      </c>
      <c r="AG40" s="2"/>
      <c r="AH40" s="2"/>
      <c r="AI40" s="2"/>
      <c r="AJ40" s="2"/>
      <c r="AK40" s="2"/>
      <c r="AL40" s="124"/>
      <c r="AM40" s="639" t="str">
        <f>AM38 &amp; ".V"</f>
        <v>OXCLAL10.V</v>
      </c>
      <c r="AN40" s="531" t="s">
        <v>245</v>
      </c>
      <c r="AO40" s="420" t="s">
        <v>289</v>
      </c>
      <c r="AP40" s="247">
        <f t="shared" si="2"/>
        <v>0</v>
      </c>
      <c r="AQ40" s="247">
        <f t="shared" si="2"/>
        <v>0</v>
      </c>
      <c r="AR40" s="247">
        <f t="shared" si="2"/>
        <v>0</v>
      </c>
      <c r="AS40" s="194"/>
      <c r="AT40" s="194"/>
      <c r="AU40" s="326"/>
    </row>
    <row r="41" spans="1:47" ht="12" customHeight="1">
      <c r="A41" s="2"/>
      <c r="B41" s="2"/>
      <c r="C41" s="2"/>
      <c r="D41" s="2"/>
      <c r="E41" s="2"/>
      <c r="F41" s="2"/>
      <c r="G41" s="2"/>
      <c r="H41" s="2"/>
      <c r="I41" s="2"/>
      <c r="J4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413" t="s">
        <v>2092</v>
      </c>
      <c r="AG41" s="2"/>
      <c r="AH41" s="2"/>
      <c r="AI41" s="2"/>
      <c r="AJ41" s="2"/>
      <c r="AK41" s="2"/>
      <c r="AL41" s="124"/>
      <c r="AM41" s="638" t="s">
        <v>2305</v>
      </c>
      <c r="AN41" s="559" t="s">
        <v>2306</v>
      </c>
      <c r="AO41" s="420" t="s">
        <v>195</v>
      </c>
      <c r="AP41" s="247">
        <f t="shared" si="2"/>
        <v>0</v>
      </c>
      <c r="AQ41" s="247">
        <f t="shared" si="2"/>
        <v>0</v>
      </c>
      <c r="AR41" s="247">
        <f t="shared" si="2"/>
        <v>0</v>
      </c>
      <c r="AS41" s="194"/>
      <c r="AT41" s="194"/>
      <c r="AU41" s="326"/>
    </row>
    <row r="42" spans="1:47" ht="12" customHeight="1">
      <c r="A42" s="2"/>
      <c r="B42" s="2"/>
      <c r="C42" s="2"/>
      <c r="D42" s="2"/>
      <c r="E42" s="2"/>
      <c r="F42" s="2"/>
      <c r="G42" s="2"/>
      <c r="H42" s="2"/>
      <c r="I42" s="2"/>
      <c r="J4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413" t="s">
        <v>2093</v>
      </c>
      <c r="AG42" s="2"/>
      <c r="AH42" s="2"/>
      <c r="AI42" s="2"/>
      <c r="AJ42" s="2"/>
      <c r="AK42" s="2"/>
      <c r="AL42" s="124"/>
      <c r="AM42" s="639" t="str">
        <f>AM41 &amp; ".P"</f>
        <v>OXCLAL18.P</v>
      </c>
      <c r="AN42" s="531" t="s">
        <v>842</v>
      </c>
      <c r="AO42" s="420" t="s">
        <v>23</v>
      </c>
      <c r="AP42" s="247">
        <f>IF(AP43=0,0,AP41*1000/AP43)</f>
        <v>0</v>
      </c>
      <c r="AQ42" s="247">
        <f>IF(AQ43=0,0,AQ41*1000/AQ43)</f>
        <v>0</v>
      </c>
      <c r="AR42" s="247">
        <f>IF(AR43=0,0,AR41*1000/AR43)</f>
        <v>0</v>
      </c>
      <c r="AS42" s="194"/>
      <c r="AT42" s="194"/>
      <c r="AU42" s="326"/>
    </row>
    <row r="43" spans="1:47" ht="12" customHeight="1">
      <c r="A43" s="2"/>
      <c r="B43" s="2"/>
      <c r="C43" s="2"/>
      <c r="D43" s="2"/>
      <c r="E43" s="2"/>
      <c r="F43" s="2"/>
      <c r="G43" s="2"/>
      <c r="H43" s="2"/>
      <c r="I43" s="2"/>
      <c r="J4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413" t="s">
        <v>2094</v>
      </c>
      <c r="AG43" s="2"/>
      <c r="AH43" s="2"/>
      <c r="AI43" s="2"/>
      <c r="AJ43" s="2"/>
      <c r="AK43" s="2"/>
      <c r="AL43" s="124"/>
      <c r="AM43" s="639" t="str">
        <f>AM41 &amp; ".V"</f>
        <v>OXCLAL18.V</v>
      </c>
      <c r="AN43" s="531" t="s">
        <v>245</v>
      </c>
      <c r="AO43" s="420" t="s">
        <v>289</v>
      </c>
      <c r="AP43" s="247">
        <f t="shared" si="2"/>
        <v>0</v>
      </c>
      <c r="AQ43" s="247">
        <f t="shared" si="2"/>
        <v>0</v>
      </c>
      <c r="AR43" s="247">
        <f t="shared" si="2"/>
        <v>0</v>
      </c>
      <c r="AS43" s="194"/>
      <c r="AT43" s="194"/>
      <c r="AU43" s="326"/>
    </row>
    <row r="44" spans="1:47" ht="12" customHeight="1">
      <c r="A44" s="2"/>
      <c r="B44" s="2"/>
      <c r="C44" s="2"/>
      <c r="D44" s="2"/>
      <c r="E44" s="2"/>
      <c r="F44" s="2"/>
      <c r="G44" s="2"/>
      <c r="H44" s="2"/>
      <c r="I44" s="2"/>
      <c r="J4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413" t="s">
        <v>2092</v>
      </c>
      <c r="AG44" s="2"/>
      <c r="AH44" s="2"/>
      <c r="AI44" s="2"/>
      <c r="AJ44" s="2"/>
      <c r="AK44" s="2"/>
      <c r="AL44" s="124"/>
      <c r="AM44" s="638" t="s">
        <v>2307</v>
      </c>
      <c r="AN44" s="559" t="s">
        <v>2308</v>
      </c>
      <c r="AO44" s="420" t="s">
        <v>195</v>
      </c>
      <c r="AP44" s="247">
        <f t="shared" si="2"/>
        <v>0</v>
      </c>
      <c r="AQ44" s="247">
        <f t="shared" si="2"/>
        <v>0</v>
      </c>
      <c r="AR44" s="247">
        <f t="shared" si="2"/>
        <v>0</v>
      </c>
      <c r="AS44" s="194"/>
      <c r="AT44" s="194"/>
      <c r="AU44" s="326"/>
    </row>
    <row r="45" spans="1:47" ht="12" customHeight="1">
      <c r="A45" s="2"/>
      <c r="B45" s="2"/>
      <c r="C45" s="2"/>
      <c r="D45" s="2"/>
      <c r="E45" s="2"/>
      <c r="F45" s="2"/>
      <c r="G45" s="2"/>
      <c r="H45" s="2"/>
      <c r="I45" s="2"/>
      <c r="J4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413" t="s">
        <v>2093</v>
      </c>
      <c r="AG45" s="2"/>
      <c r="AH45" s="2"/>
      <c r="AI45" s="2"/>
      <c r="AJ45" s="2"/>
      <c r="AK45" s="2"/>
      <c r="AL45" s="124"/>
      <c r="AM45" s="639" t="str">
        <f>AM44 &amp; ".P"</f>
        <v>OXCLAL30.P</v>
      </c>
      <c r="AN45" s="531" t="s">
        <v>842</v>
      </c>
      <c r="AO45" s="420" t="s">
        <v>23</v>
      </c>
      <c r="AP45" s="247">
        <f>IF(AP46=0,0,AP44*1000/AP46)</f>
        <v>0</v>
      </c>
      <c r="AQ45" s="247">
        <f>IF(AQ46=0,0,AQ44*1000/AQ46)</f>
        <v>0</v>
      </c>
      <c r="AR45" s="247">
        <f>IF(AR46=0,0,AR44*1000/AR46)</f>
        <v>0</v>
      </c>
      <c r="AS45" s="194"/>
      <c r="AT45" s="194"/>
      <c r="AU45" s="326"/>
    </row>
    <row r="46" spans="1:47" ht="12" customHeight="1">
      <c r="A46" s="2"/>
      <c r="B46" s="2"/>
      <c r="C46" s="2"/>
      <c r="D46" s="2"/>
      <c r="E46" s="2"/>
      <c r="F46" s="2"/>
      <c r="G46" s="2"/>
      <c r="H46" s="2"/>
      <c r="I46" s="2"/>
      <c r="J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413" t="s">
        <v>2094</v>
      </c>
      <c r="AG46" s="2"/>
      <c r="AH46" s="2"/>
      <c r="AI46" s="2"/>
      <c r="AJ46" s="2"/>
      <c r="AK46" s="2"/>
      <c r="AL46" s="124"/>
      <c r="AM46" s="639" t="str">
        <f>AM44 &amp; ".V"</f>
        <v>OXCLAL30.V</v>
      </c>
      <c r="AN46" s="531" t="s">
        <v>245</v>
      </c>
      <c r="AO46" s="420" t="s">
        <v>289</v>
      </c>
      <c r="AP46" s="247">
        <f t="shared" si="2"/>
        <v>0</v>
      </c>
      <c r="AQ46" s="247">
        <f t="shared" si="2"/>
        <v>0</v>
      </c>
      <c r="AR46" s="247">
        <f t="shared" si="2"/>
        <v>0</v>
      </c>
      <c r="AS46" s="194"/>
      <c r="AT46" s="194"/>
      <c r="AU46" s="326"/>
    </row>
    <row r="47" spans="1:47" ht="12" customHeight="1">
      <c r="A47" s="2"/>
      <c r="B47" s="2"/>
      <c r="C47" s="2"/>
      <c r="D47" s="2"/>
      <c r="E47" s="2"/>
      <c r="F47" s="2"/>
      <c r="G47" s="2"/>
      <c r="H47" s="2"/>
      <c r="I47" s="2"/>
      <c r="J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413" t="s">
        <v>2092</v>
      </c>
      <c r="AG47" s="2"/>
      <c r="AH47" s="2"/>
      <c r="AI47" s="2"/>
      <c r="AJ47" s="2"/>
      <c r="AK47" s="2"/>
      <c r="AL47" s="124"/>
      <c r="AM47" s="561" t="s">
        <v>2083</v>
      </c>
      <c r="AN47" s="559" t="s">
        <v>1911</v>
      </c>
      <c r="AO47" s="420" t="s">
        <v>195</v>
      </c>
      <c r="AP47" s="247">
        <f t="shared" si="2"/>
        <v>0</v>
      </c>
      <c r="AQ47" s="247">
        <f t="shared" si="2"/>
        <v>0</v>
      </c>
      <c r="AR47" s="247">
        <f t="shared" si="2"/>
        <v>0</v>
      </c>
      <c r="AS47" s="194"/>
      <c r="AT47" s="194"/>
      <c r="AU47" s="326"/>
    </row>
    <row r="48" spans="1:47" ht="12" customHeight="1">
      <c r="A48" s="2"/>
      <c r="B48" s="2"/>
      <c r="C48" s="2"/>
      <c r="D48" s="2"/>
      <c r="E48" s="2"/>
      <c r="F48" s="2"/>
      <c r="G48" s="2"/>
      <c r="H48" s="2"/>
      <c r="I48" s="2"/>
      <c r="J4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413" t="s">
        <v>2093</v>
      </c>
      <c r="AG48" s="2"/>
      <c r="AH48" s="2"/>
      <c r="AI48" s="2"/>
      <c r="AJ48" s="2"/>
      <c r="AK48" s="2"/>
      <c r="AL48" s="124"/>
      <c r="AM48" s="562" t="str">
        <f>AM47 &amp; ".P"</f>
        <v>PLOXCLAL.P</v>
      </c>
      <c r="AN48" s="531" t="s">
        <v>842</v>
      </c>
      <c r="AO48" s="420" t="s">
        <v>23</v>
      </c>
      <c r="AP48" s="247">
        <f>IF(AP49=0,0,AP47*1000/AP49)</f>
        <v>0</v>
      </c>
      <c r="AQ48" s="247">
        <f>IF(AQ49=0,0,AQ47*1000/AQ49)</f>
        <v>0</v>
      </c>
      <c r="AR48" s="247">
        <f>IF(AR49=0,0,AR47*1000/AR49)</f>
        <v>0</v>
      </c>
      <c r="AS48" s="194"/>
      <c r="AT48" s="194"/>
      <c r="AU48" s="326"/>
    </row>
    <row r="49" spans="1:47" ht="12" customHeight="1">
      <c r="A49" s="2"/>
      <c r="B49" s="2"/>
      <c r="C49" s="2"/>
      <c r="D49" s="2"/>
      <c r="E49" s="2"/>
      <c r="F49" s="2"/>
      <c r="G49" s="2"/>
      <c r="H49" s="2"/>
      <c r="I49" s="2"/>
      <c r="J49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413" t="s">
        <v>2094</v>
      </c>
      <c r="AG49" s="2"/>
      <c r="AH49" s="2"/>
      <c r="AI49" s="2"/>
      <c r="AJ49" s="2"/>
      <c r="AK49" s="2"/>
      <c r="AL49" s="124"/>
      <c r="AM49" s="562" t="str">
        <f>AM47 &amp; ".V"</f>
        <v>PLOXCLAL.V</v>
      </c>
      <c r="AN49" s="531" t="s">
        <v>245</v>
      </c>
      <c r="AO49" s="420" t="s">
        <v>289</v>
      </c>
      <c r="AP49" s="247">
        <f t="shared" ref="AP49:AR50" si="3">SUMIF($AS$9:$AT$9,AP$9,$AS49:$AT49)</f>
        <v>0</v>
      </c>
      <c r="AQ49" s="247">
        <f t="shared" si="3"/>
        <v>0</v>
      </c>
      <c r="AR49" s="247">
        <f t="shared" si="3"/>
        <v>0</v>
      </c>
      <c r="AS49" s="194"/>
      <c r="AT49" s="194"/>
      <c r="AU49" s="326"/>
    </row>
    <row r="50" spans="1:47" ht="12" customHeight="1">
      <c r="A50" s="2"/>
      <c r="B50" s="2"/>
      <c r="C50" s="2"/>
      <c r="D50" s="2"/>
      <c r="E50" s="2"/>
      <c r="F50" s="2"/>
      <c r="G50" s="2"/>
      <c r="H50" s="2"/>
      <c r="I50" s="2"/>
      <c r="J5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413" t="s">
        <v>2092</v>
      </c>
      <c r="AG50" s="2"/>
      <c r="AH50" s="2"/>
      <c r="AI50" s="2"/>
      <c r="AJ50" s="2"/>
      <c r="AK50" s="2"/>
      <c r="AL50" s="124"/>
      <c r="AM50" s="638" t="s">
        <v>2309</v>
      </c>
      <c r="AN50" s="559" t="s">
        <v>2310</v>
      </c>
      <c r="AO50" s="420" t="s">
        <v>195</v>
      </c>
      <c r="AP50" s="247">
        <f t="shared" si="3"/>
        <v>0</v>
      </c>
      <c r="AQ50" s="247">
        <f t="shared" si="3"/>
        <v>0</v>
      </c>
      <c r="AR50" s="247">
        <f t="shared" si="3"/>
        <v>0</v>
      </c>
      <c r="AS50" s="194"/>
      <c r="AT50" s="194"/>
      <c r="AU50" s="326"/>
    </row>
    <row r="51" spans="1:47" ht="12" customHeight="1">
      <c r="A51" s="2"/>
      <c r="B51" s="2"/>
      <c r="C51" s="2"/>
      <c r="D51" s="2"/>
      <c r="E51" s="2"/>
      <c r="F51" s="2"/>
      <c r="G51" s="2"/>
      <c r="H51" s="2"/>
      <c r="I51" s="2"/>
      <c r="J5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413" t="s">
        <v>2093</v>
      </c>
      <c r="AG51" s="2"/>
      <c r="AH51" s="2"/>
      <c r="AI51" s="2"/>
      <c r="AJ51" s="2"/>
      <c r="AK51" s="2"/>
      <c r="AL51" s="124"/>
      <c r="AM51" s="639" t="str">
        <f>AM50 &amp; ".P"</f>
        <v>PLOXCLAL10.P</v>
      </c>
      <c r="AN51" s="531" t="s">
        <v>842</v>
      </c>
      <c r="AO51" s="420" t="s">
        <v>23</v>
      </c>
      <c r="AP51" s="247">
        <f>IF(AP52=0,0,AP50*1000/AP52)</f>
        <v>0</v>
      </c>
      <c r="AQ51" s="247">
        <f>IF(AQ52=0,0,AQ50*1000/AQ52)</f>
        <v>0</v>
      </c>
      <c r="AR51" s="247">
        <f>IF(AR52=0,0,AR50*1000/AR52)</f>
        <v>0</v>
      </c>
      <c r="AS51" s="194"/>
      <c r="AT51" s="194"/>
      <c r="AU51" s="326"/>
    </row>
    <row r="52" spans="1:47" ht="12" customHeight="1">
      <c r="A52" s="2"/>
      <c r="B52" s="2"/>
      <c r="C52" s="2"/>
      <c r="D52" s="2"/>
      <c r="E52" s="2"/>
      <c r="F52" s="2"/>
      <c r="G52" s="2"/>
      <c r="H52" s="2"/>
      <c r="I52" s="2"/>
      <c r="J5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413" t="s">
        <v>2094</v>
      </c>
      <c r="AG52" s="2"/>
      <c r="AH52" s="2"/>
      <c r="AI52" s="2"/>
      <c r="AJ52" s="2"/>
      <c r="AK52" s="2"/>
      <c r="AL52" s="124"/>
      <c r="AM52" s="639" t="str">
        <f>AM50 &amp; ".V"</f>
        <v>PLOXCLAL10.V</v>
      </c>
      <c r="AN52" s="531" t="s">
        <v>245</v>
      </c>
      <c r="AO52" s="420" t="s">
        <v>289</v>
      </c>
      <c r="AP52" s="247">
        <f t="shared" ref="AP52:AR53" si="4">SUMIF($AS$9:$AT$9,AP$9,$AS52:$AT52)</f>
        <v>0</v>
      </c>
      <c r="AQ52" s="247">
        <f t="shared" si="4"/>
        <v>0</v>
      </c>
      <c r="AR52" s="247">
        <f t="shared" si="4"/>
        <v>0</v>
      </c>
      <c r="AS52" s="194"/>
      <c r="AT52" s="194"/>
      <c r="AU52" s="326"/>
    </row>
    <row r="53" spans="1:47" ht="12" customHeight="1">
      <c r="A53" s="2"/>
      <c r="B53" s="2"/>
      <c r="C53" s="2"/>
      <c r="D53" s="2"/>
      <c r="E53" s="2"/>
      <c r="F53" s="2"/>
      <c r="G53" s="2"/>
      <c r="H53" s="2"/>
      <c r="I53" s="2"/>
      <c r="J5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13" t="s">
        <v>2092</v>
      </c>
      <c r="AG53" s="2"/>
      <c r="AH53" s="2"/>
      <c r="AI53" s="2"/>
      <c r="AJ53" s="2"/>
      <c r="AK53" s="2"/>
      <c r="AL53" s="124"/>
      <c r="AM53" s="638" t="s">
        <v>2311</v>
      </c>
      <c r="AN53" s="559" t="s">
        <v>2312</v>
      </c>
      <c r="AO53" s="420" t="s">
        <v>195</v>
      </c>
      <c r="AP53" s="247">
        <f t="shared" si="4"/>
        <v>0</v>
      </c>
      <c r="AQ53" s="247">
        <f t="shared" si="4"/>
        <v>0</v>
      </c>
      <c r="AR53" s="247">
        <f t="shared" si="4"/>
        <v>0</v>
      </c>
      <c r="AS53" s="194"/>
      <c r="AT53" s="194"/>
      <c r="AU53" s="326"/>
    </row>
    <row r="54" spans="1:47" ht="12" customHeight="1">
      <c r="A54" s="2"/>
      <c r="B54" s="2"/>
      <c r="C54" s="2"/>
      <c r="D54" s="2"/>
      <c r="E54" s="2"/>
      <c r="F54" s="2"/>
      <c r="G54" s="2"/>
      <c r="H54" s="2"/>
      <c r="I54" s="2"/>
      <c r="J5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413" t="s">
        <v>2093</v>
      </c>
      <c r="AG54" s="2"/>
      <c r="AH54" s="2"/>
      <c r="AI54" s="2"/>
      <c r="AJ54" s="2"/>
      <c r="AK54" s="2"/>
      <c r="AL54" s="124"/>
      <c r="AM54" s="639" t="str">
        <f>AM53 &amp; ".P"</f>
        <v>PLOXCLAL18.P</v>
      </c>
      <c r="AN54" s="531" t="s">
        <v>842</v>
      </c>
      <c r="AO54" s="420" t="s">
        <v>23</v>
      </c>
      <c r="AP54" s="247">
        <f>IF(AP55=0,0,AP53*1000/AP55)</f>
        <v>0</v>
      </c>
      <c r="AQ54" s="247">
        <f>IF(AQ55=0,0,AQ53*1000/AQ55)</f>
        <v>0</v>
      </c>
      <c r="AR54" s="247">
        <f>IF(AR55=0,0,AR53*1000/AR55)</f>
        <v>0</v>
      </c>
      <c r="AS54" s="194"/>
      <c r="AT54" s="194"/>
      <c r="AU54" s="326"/>
    </row>
    <row r="55" spans="1:47" ht="12" customHeight="1">
      <c r="A55" s="2"/>
      <c r="B55" s="2"/>
      <c r="C55" s="2"/>
      <c r="D55" s="2"/>
      <c r="E55" s="2"/>
      <c r="F55" s="2"/>
      <c r="G55" s="2"/>
      <c r="H55" s="2"/>
      <c r="I55" s="2"/>
      <c r="J5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13" t="s">
        <v>2094</v>
      </c>
      <c r="AG55" s="2"/>
      <c r="AH55" s="2"/>
      <c r="AI55" s="2"/>
      <c r="AJ55" s="2"/>
      <c r="AK55" s="2"/>
      <c r="AL55" s="124"/>
      <c r="AM55" s="639" t="str">
        <f>AM53 &amp; ".V"</f>
        <v>PLOXCLAL18.V</v>
      </c>
      <c r="AN55" s="531" t="s">
        <v>245</v>
      </c>
      <c r="AO55" s="420" t="s">
        <v>289</v>
      </c>
      <c r="AP55" s="247">
        <f t="shared" ref="AP55:AR56" si="5">SUMIF($AS$9:$AT$9,AP$9,$AS55:$AT55)</f>
        <v>0</v>
      </c>
      <c r="AQ55" s="247">
        <f t="shared" si="5"/>
        <v>0</v>
      </c>
      <c r="AR55" s="247">
        <f t="shared" si="5"/>
        <v>0</v>
      </c>
      <c r="AS55" s="194"/>
      <c r="AT55" s="194"/>
      <c r="AU55" s="326"/>
    </row>
    <row r="56" spans="1:47" ht="12" customHeight="1">
      <c r="A56" s="2"/>
      <c r="B56" s="2"/>
      <c r="C56" s="2"/>
      <c r="D56" s="2"/>
      <c r="E56" s="2"/>
      <c r="F56" s="2"/>
      <c r="G56" s="2"/>
      <c r="H56" s="2"/>
      <c r="I56" s="2"/>
      <c r="J5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413" t="s">
        <v>2092</v>
      </c>
      <c r="AG56" s="2"/>
      <c r="AH56" s="2"/>
      <c r="AI56" s="2"/>
      <c r="AJ56" s="2"/>
      <c r="AK56" s="2"/>
      <c r="AL56" s="124"/>
      <c r="AM56" s="638" t="s">
        <v>2313</v>
      </c>
      <c r="AN56" s="559" t="s">
        <v>2314</v>
      </c>
      <c r="AO56" s="420" t="s">
        <v>195</v>
      </c>
      <c r="AP56" s="247">
        <f t="shared" si="5"/>
        <v>0</v>
      </c>
      <c r="AQ56" s="247">
        <f t="shared" si="5"/>
        <v>0</v>
      </c>
      <c r="AR56" s="247">
        <f t="shared" si="5"/>
        <v>0</v>
      </c>
      <c r="AS56" s="194"/>
      <c r="AT56" s="194"/>
      <c r="AU56" s="326"/>
    </row>
    <row r="57" spans="1:47" ht="12" customHeight="1">
      <c r="A57" s="2"/>
      <c r="B57" s="2"/>
      <c r="C57" s="2"/>
      <c r="D57" s="2"/>
      <c r="E57" s="2"/>
      <c r="F57" s="2"/>
      <c r="G57" s="2"/>
      <c r="H57" s="2"/>
      <c r="I57" s="2"/>
      <c r="J5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413" t="s">
        <v>2093</v>
      </c>
      <c r="AG57" s="2"/>
      <c r="AH57" s="2"/>
      <c r="AI57" s="2"/>
      <c r="AJ57" s="2"/>
      <c r="AK57" s="2"/>
      <c r="AL57" s="124"/>
      <c r="AM57" s="639" t="str">
        <f>AM56 &amp; ".P"</f>
        <v>PLOXCLAL30.P</v>
      </c>
      <c r="AN57" s="531" t="s">
        <v>842</v>
      </c>
      <c r="AO57" s="420" t="s">
        <v>23</v>
      </c>
      <c r="AP57" s="247">
        <f>IF(AP58=0,0,AP56*1000/AP58)</f>
        <v>0</v>
      </c>
      <c r="AQ57" s="247">
        <f>IF(AQ58=0,0,AQ56*1000/AQ58)</f>
        <v>0</v>
      </c>
      <c r="AR57" s="247">
        <f>IF(AR58=0,0,AR56*1000/AR58)</f>
        <v>0</v>
      </c>
      <c r="AS57" s="194"/>
      <c r="AT57" s="194"/>
      <c r="AU57" s="326"/>
    </row>
    <row r="58" spans="1:47" ht="12" customHeight="1">
      <c r="A58" s="2"/>
      <c r="B58" s="2"/>
      <c r="C58" s="2"/>
      <c r="D58" s="2"/>
      <c r="E58" s="2"/>
      <c r="F58" s="2"/>
      <c r="G58" s="2"/>
      <c r="H58" s="2"/>
      <c r="I58" s="2"/>
      <c r="J58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413" t="s">
        <v>2094</v>
      </c>
      <c r="AG58" s="2"/>
      <c r="AH58" s="2"/>
      <c r="AI58" s="2"/>
      <c r="AJ58" s="2"/>
      <c r="AK58" s="2"/>
      <c r="AL58" s="124"/>
      <c r="AM58" s="639" t="str">
        <f>AM56 &amp; ".V"</f>
        <v>PLOXCLAL30.V</v>
      </c>
      <c r="AN58" s="531" t="s">
        <v>245</v>
      </c>
      <c r="AO58" s="420" t="s">
        <v>289</v>
      </c>
      <c r="AP58" s="247">
        <f t="shared" ref="AP58:AR59" si="6">SUMIF($AS$9:$AT$9,AP$9,$AS58:$AT58)</f>
        <v>0</v>
      </c>
      <c r="AQ58" s="247">
        <f t="shared" si="6"/>
        <v>0</v>
      </c>
      <c r="AR58" s="247">
        <f t="shared" si="6"/>
        <v>0</v>
      </c>
      <c r="AS58" s="194"/>
      <c r="AT58" s="194"/>
      <c r="AU58" s="326"/>
    </row>
    <row r="59" spans="1:47" ht="12" customHeight="1">
      <c r="A59" s="2"/>
      <c r="B59" s="2"/>
      <c r="C59" s="2"/>
      <c r="D59" s="2"/>
      <c r="E59" s="2"/>
      <c r="F59" s="2"/>
      <c r="G59" s="2"/>
      <c r="H59" s="2"/>
      <c r="I59" s="2"/>
      <c r="J5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13" t="s">
        <v>2092</v>
      </c>
      <c r="AG59" s="2"/>
      <c r="AH59" s="2"/>
      <c r="AI59" s="2"/>
      <c r="AJ59" s="2"/>
      <c r="AK59" s="2"/>
      <c r="AL59" s="124"/>
      <c r="AM59" s="561" t="s">
        <v>2036</v>
      </c>
      <c r="AN59" s="559" t="s">
        <v>1912</v>
      </c>
      <c r="AO59" s="420" t="s">
        <v>195</v>
      </c>
      <c r="AP59" s="247">
        <f t="shared" si="6"/>
        <v>0</v>
      </c>
      <c r="AQ59" s="247">
        <f t="shared" si="6"/>
        <v>0</v>
      </c>
      <c r="AR59" s="247">
        <f t="shared" si="6"/>
        <v>0</v>
      </c>
      <c r="AS59" s="194"/>
      <c r="AT59" s="194"/>
      <c r="AU59" s="326"/>
    </row>
    <row r="60" spans="1:47" ht="12" customHeight="1">
      <c r="A60" s="2"/>
      <c r="B60" s="2"/>
      <c r="C60" s="2"/>
      <c r="D60" s="2"/>
      <c r="E60" s="2"/>
      <c r="F60" s="2"/>
      <c r="G60" s="2"/>
      <c r="H60" s="2"/>
      <c r="I60" s="2"/>
      <c r="J6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413" t="s">
        <v>2093</v>
      </c>
      <c r="AG60" s="2"/>
      <c r="AH60" s="2"/>
      <c r="AI60" s="2"/>
      <c r="AJ60" s="2"/>
      <c r="AK60" s="2"/>
      <c r="AL60" s="124"/>
      <c r="AM60" s="562" t="str">
        <f>AM59 &amp; ".P"</f>
        <v>SFAL.P</v>
      </c>
      <c r="AN60" s="531" t="s">
        <v>842</v>
      </c>
      <c r="AO60" s="420" t="s">
        <v>23</v>
      </c>
      <c r="AP60" s="247">
        <f>IF(AP61=0,0,AP59*1000/AP61)</f>
        <v>0</v>
      </c>
      <c r="AQ60" s="247">
        <f>IF(AQ61=0,0,AQ59*1000/AQ61)</f>
        <v>0</v>
      </c>
      <c r="AR60" s="247">
        <f>IF(AR61=0,0,AR59*1000/AR61)</f>
        <v>0</v>
      </c>
      <c r="AS60" s="194"/>
      <c r="AT60" s="194"/>
      <c r="AU60" s="326"/>
    </row>
    <row r="61" spans="1:47" ht="12" customHeight="1">
      <c r="A61" s="2"/>
      <c r="B61" s="2"/>
      <c r="C61" s="2"/>
      <c r="D61" s="2"/>
      <c r="E61" s="2"/>
      <c r="F61" s="2"/>
      <c r="G61" s="2"/>
      <c r="H61" s="2"/>
      <c r="I61" s="2"/>
      <c r="J6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413" t="s">
        <v>2094</v>
      </c>
      <c r="AG61" s="2"/>
      <c r="AH61" s="2"/>
      <c r="AI61" s="2"/>
      <c r="AJ61" s="2"/>
      <c r="AK61" s="2"/>
      <c r="AL61" s="124"/>
      <c r="AM61" s="562" t="str">
        <f>AM59 &amp; ".V"</f>
        <v>SFAL.V</v>
      </c>
      <c r="AN61" s="531" t="s">
        <v>245</v>
      </c>
      <c r="AO61" s="420" t="s">
        <v>289</v>
      </c>
      <c r="AP61" s="247">
        <f t="shared" ref="AP61:AR62" si="7">SUMIF($AS$9:$AT$9,AP$9,$AS61:$AT61)</f>
        <v>0</v>
      </c>
      <c r="AQ61" s="247">
        <f t="shared" si="7"/>
        <v>0</v>
      </c>
      <c r="AR61" s="247">
        <f t="shared" si="7"/>
        <v>0</v>
      </c>
      <c r="AS61" s="194"/>
      <c r="AT61" s="194"/>
      <c r="AU61" s="326"/>
    </row>
    <row r="62" spans="1:47" ht="12" customHeight="1">
      <c r="A62" s="2"/>
      <c r="B62" s="2"/>
      <c r="C62" s="2"/>
      <c r="D62" s="2"/>
      <c r="E62" s="2"/>
      <c r="F62" s="2"/>
      <c r="G62" s="2"/>
      <c r="H62" s="2"/>
      <c r="I62" s="2"/>
      <c r="J6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13" t="s">
        <v>2091</v>
      </c>
      <c r="AG62" s="2"/>
      <c r="AH62" s="2"/>
      <c r="AI62" s="2"/>
      <c r="AJ62" s="2"/>
      <c r="AK62" s="2"/>
      <c r="AL62" s="124"/>
      <c r="AM62" s="561" t="s">
        <v>1356</v>
      </c>
      <c r="AN62" s="559" t="s">
        <v>307</v>
      </c>
      <c r="AO62" s="420" t="s">
        <v>195</v>
      </c>
      <c r="AP62" s="247">
        <f t="shared" si="7"/>
        <v>0</v>
      </c>
      <c r="AQ62" s="247">
        <f t="shared" si="7"/>
        <v>0</v>
      </c>
      <c r="AR62" s="247">
        <f t="shared" si="7"/>
        <v>0</v>
      </c>
      <c r="AS62" s="194"/>
      <c r="AT62" s="194"/>
      <c r="AU62" s="326"/>
    </row>
    <row r="63" spans="1:47" ht="0.75" hidden="1" customHeight="1">
      <c r="A63" s="2"/>
      <c r="B63" s="2"/>
      <c r="C63" s="2"/>
      <c r="D63" s="2"/>
      <c r="E63" s="2"/>
      <c r="F63" s="2"/>
      <c r="G63" s="2"/>
      <c r="H63" s="2"/>
      <c r="I63" s="2"/>
      <c r="J6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13"/>
      <c r="AG63" s="2"/>
      <c r="AH63" s="2"/>
      <c r="AI63" s="2"/>
      <c r="AJ63" s="2"/>
      <c r="AK63" s="2"/>
      <c r="AL63" s="124"/>
      <c r="AM63" s="560"/>
      <c r="AN63" s="533"/>
      <c r="AO63" s="422"/>
      <c r="AP63" s="142"/>
      <c r="AQ63" s="142"/>
      <c r="AR63" s="142"/>
      <c r="AS63" s="194"/>
      <c r="AT63" s="194"/>
    </row>
    <row r="64" spans="1:47" ht="12" customHeight="1">
      <c r="A64" s="2"/>
      <c r="B64" s="2"/>
      <c r="C64" s="2"/>
      <c r="D64" s="2"/>
      <c r="E64" s="2"/>
      <c r="F64" s="2"/>
      <c r="G64" s="2"/>
      <c r="H64" s="2"/>
      <c r="I64" s="2"/>
      <c r="J6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413"/>
      <c r="AG64" s="2"/>
      <c r="AH64" s="2"/>
      <c r="AI64" s="2"/>
      <c r="AJ64" s="2"/>
      <c r="AK64" s="2"/>
      <c r="AL64" s="124"/>
      <c r="AM64" s="561" t="s">
        <v>1996</v>
      </c>
      <c r="AN64" s="567" t="s">
        <v>1913</v>
      </c>
      <c r="AO64" s="420" t="s">
        <v>195</v>
      </c>
      <c r="AP64" s="247">
        <f>SUMIF($AS$9:$AT$9,AP$9,$AS64:$AT64)</f>
        <v>0</v>
      </c>
      <c r="AQ64" s="247">
        <f>SUMIF($AS$9:$AT$9,AQ$9,$AS64:$AT64)</f>
        <v>0</v>
      </c>
      <c r="AR64" s="247">
        <f>SUMIF($AS$9:$AT$9,AR$9,$AS64:$AT64)</f>
        <v>0</v>
      </c>
      <c r="AS64" s="194"/>
      <c r="AT64" s="194"/>
      <c r="AU64" s="326"/>
    </row>
    <row r="65" spans="1:47" ht="0.75" hidden="1" customHeight="1">
      <c r="A65" s="2"/>
      <c r="B65" s="2"/>
      <c r="C65" s="2"/>
      <c r="D65" s="2"/>
      <c r="E65" s="2"/>
      <c r="F65" s="2"/>
      <c r="G65" s="2"/>
      <c r="H65" s="2"/>
      <c r="I65" s="2"/>
      <c r="J6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413"/>
      <c r="AG65" s="2"/>
      <c r="AH65" s="2"/>
      <c r="AI65" s="2"/>
      <c r="AJ65" s="2"/>
      <c r="AK65" s="2"/>
      <c r="AL65" s="124"/>
      <c r="AM65" s="560"/>
      <c r="AN65" s="533"/>
      <c r="AO65" s="422"/>
      <c r="AP65" s="142"/>
      <c r="AQ65" s="142"/>
      <c r="AR65" s="142"/>
      <c r="AS65" s="194"/>
      <c r="AT65" s="194"/>
    </row>
    <row r="66" spans="1:47" ht="12" customHeight="1">
      <c r="A66" s="2"/>
      <c r="B66" s="2"/>
      <c r="C66" s="2"/>
      <c r="D66" s="2"/>
      <c r="E66" s="2"/>
      <c r="F66" s="2"/>
      <c r="G66" s="2"/>
      <c r="H66" s="2"/>
      <c r="I66" s="2"/>
      <c r="J6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413" t="s">
        <v>2092</v>
      </c>
      <c r="AG66" s="2"/>
      <c r="AH66" s="2"/>
      <c r="AI66" s="2"/>
      <c r="AJ66" s="2"/>
      <c r="AK66" s="2"/>
      <c r="AL66" s="124"/>
      <c r="AM66" s="561" t="s">
        <v>1999</v>
      </c>
      <c r="AN66" s="559" t="s">
        <v>1914</v>
      </c>
      <c r="AO66" s="420" t="s">
        <v>195</v>
      </c>
      <c r="AP66" s="247">
        <f>SUMIF($AS$9:$AT$9,AP$9,$AS66:$AT66)</f>
        <v>0</v>
      </c>
      <c r="AQ66" s="247">
        <f>SUMIF($AS$9:$AT$9,AQ$9,$AS66:$AT66)</f>
        <v>0</v>
      </c>
      <c r="AR66" s="247">
        <f>SUMIF($AS$9:$AT$9,AR$9,$AS66:$AT66)</f>
        <v>0</v>
      </c>
      <c r="AS66" s="194"/>
      <c r="AT66" s="194"/>
      <c r="AU66" s="326"/>
    </row>
    <row r="67" spans="1:47" ht="12" customHeight="1">
      <c r="A67" s="2"/>
      <c r="B67" s="2"/>
      <c r="C67" s="2"/>
      <c r="D67" s="2"/>
      <c r="E67" s="2"/>
      <c r="F67" s="2"/>
      <c r="G67" s="2"/>
      <c r="H67" s="2"/>
      <c r="I67" s="2"/>
      <c r="J6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13" t="s">
        <v>2093</v>
      </c>
      <c r="AG67" s="2"/>
      <c r="AH67" s="2"/>
      <c r="AI67" s="2"/>
      <c r="AJ67" s="2"/>
      <c r="AK67" s="2"/>
      <c r="AL67" s="124"/>
      <c r="AM67" s="562" t="str">
        <f>AM66 &amp; ".P"</f>
        <v>MGFLK.P</v>
      </c>
      <c r="AN67" s="531" t="s">
        <v>842</v>
      </c>
      <c r="AO67" s="420" t="s">
        <v>23</v>
      </c>
      <c r="AP67" s="247">
        <f>IF(AP68=0,0,AP66*1000/AP68)</f>
        <v>0</v>
      </c>
      <c r="AQ67" s="247">
        <f>IF(AQ68=0,0,AQ66*1000/AQ68)</f>
        <v>0</v>
      </c>
      <c r="AR67" s="247">
        <f>IF(AR68=0,0,AR66*1000/AR68)</f>
        <v>0</v>
      </c>
      <c r="AS67" s="194"/>
      <c r="AT67" s="194"/>
      <c r="AU67" s="326"/>
    </row>
    <row r="68" spans="1:47" ht="12" customHeight="1">
      <c r="A68" s="2"/>
      <c r="B68" s="2"/>
      <c r="C68" s="2"/>
      <c r="D68" s="2"/>
      <c r="E68" s="2"/>
      <c r="F68" s="2"/>
      <c r="G68" s="2"/>
      <c r="H68" s="2"/>
      <c r="I68" s="2"/>
      <c r="J68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13" t="s">
        <v>2094</v>
      </c>
      <c r="AG68" s="2"/>
      <c r="AH68" s="2"/>
      <c r="AI68" s="2"/>
      <c r="AJ68" s="2"/>
      <c r="AK68" s="2"/>
      <c r="AL68" s="124"/>
      <c r="AM68" s="562" t="str">
        <f>AM66 &amp; ".V"</f>
        <v>MGFLK.V</v>
      </c>
      <c r="AN68" s="531" t="s">
        <v>245</v>
      </c>
      <c r="AO68" s="420" t="s">
        <v>289</v>
      </c>
      <c r="AP68" s="247">
        <f t="shared" ref="AP68:AR69" si="8">SUMIF($AS$9:$AT$9,AP$9,$AS68:$AT68)</f>
        <v>0</v>
      </c>
      <c r="AQ68" s="247">
        <f t="shared" si="8"/>
        <v>0</v>
      </c>
      <c r="AR68" s="247">
        <f t="shared" si="8"/>
        <v>0</v>
      </c>
      <c r="AS68" s="194"/>
      <c r="AT68" s="194"/>
      <c r="AU68" s="326"/>
    </row>
    <row r="69" spans="1:47" ht="12" customHeight="1">
      <c r="A69" s="2"/>
      <c r="B69" s="2"/>
      <c r="C69" s="2"/>
      <c r="D69" s="2"/>
      <c r="E69" s="2"/>
      <c r="F69" s="2"/>
      <c r="G69" s="2"/>
      <c r="H69" s="2"/>
      <c r="I69" s="2"/>
      <c r="J6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13" t="s">
        <v>2092</v>
      </c>
      <c r="AG69" s="2"/>
      <c r="AH69" s="2"/>
      <c r="AI69" s="2"/>
      <c r="AJ69" s="2"/>
      <c r="AK69" s="2"/>
      <c r="AL69" s="124"/>
      <c r="AM69" s="561" t="s">
        <v>2000</v>
      </c>
      <c r="AN69" s="559" t="s">
        <v>1915</v>
      </c>
      <c r="AO69" s="420" t="s">
        <v>195</v>
      </c>
      <c r="AP69" s="247">
        <f t="shared" si="8"/>
        <v>0</v>
      </c>
      <c r="AQ69" s="247">
        <f t="shared" si="8"/>
        <v>0</v>
      </c>
      <c r="AR69" s="247">
        <f t="shared" si="8"/>
        <v>0</v>
      </c>
      <c r="AS69" s="194"/>
      <c r="AT69" s="194"/>
      <c r="AU69" s="326"/>
    </row>
    <row r="70" spans="1:47" ht="12" customHeight="1">
      <c r="A70" s="2"/>
      <c r="B70" s="2"/>
      <c r="C70" s="2"/>
      <c r="D70" s="2"/>
      <c r="E70" s="2"/>
      <c r="F70" s="2"/>
      <c r="G70" s="2"/>
      <c r="H70" s="2"/>
      <c r="I70" s="2"/>
      <c r="J7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13" t="s">
        <v>2093</v>
      </c>
      <c r="AG70" s="2"/>
      <c r="AH70" s="2"/>
      <c r="AI70" s="2"/>
      <c r="AJ70" s="2"/>
      <c r="AK70" s="2"/>
      <c r="AL70" s="124"/>
      <c r="AM70" s="562" t="str">
        <f>AM69 &amp; ".P"</f>
        <v>PRSTL.P</v>
      </c>
      <c r="AN70" s="531" t="s">
        <v>842</v>
      </c>
      <c r="AO70" s="420" t="s">
        <v>23</v>
      </c>
      <c r="AP70" s="247">
        <f>IF(AP71=0,0,AP69*1000/AP71)</f>
        <v>0</v>
      </c>
      <c r="AQ70" s="247">
        <f>IF(AQ71=0,0,AQ69*1000/AQ71)</f>
        <v>0</v>
      </c>
      <c r="AR70" s="247">
        <f>IF(AR71=0,0,AR69*1000/AR71)</f>
        <v>0</v>
      </c>
      <c r="AS70" s="194"/>
      <c r="AT70" s="194"/>
      <c r="AU70" s="326"/>
    </row>
    <row r="71" spans="1:47" ht="12" customHeight="1">
      <c r="A71" s="2"/>
      <c r="B71" s="2"/>
      <c r="C71" s="2"/>
      <c r="D71" s="2"/>
      <c r="E71" s="2"/>
      <c r="F71" s="2"/>
      <c r="G71" s="2"/>
      <c r="H71" s="2"/>
      <c r="I71" s="2"/>
      <c r="J7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13" t="s">
        <v>2094</v>
      </c>
      <c r="AG71" s="2"/>
      <c r="AH71" s="2"/>
      <c r="AI71" s="2"/>
      <c r="AJ71" s="2"/>
      <c r="AK71" s="2"/>
      <c r="AL71" s="124"/>
      <c r="AM71" s="562" t="str">
        <f>AM69 &amp; ".V"</f>
        <v>PRSTL.V</v>
      </c>
      <c r="AN71" s="531" t="s">
        <v>245</v>
      </c>
      <c r="AO71" s="420" t="s">
        <v>289</v>
      </c>
      <c r="AP71" s="247">
        <f t="shared" ref="AP71:AR72" si="9">SUMIF($AS$9:$AT$9,AP$9,$AS71:$AT71)</f>
        <v>0</v>
      </c>
      <c r="AQ71" s="247">
        <f t="shared" si="9"/>
        <v>0</v>
      </c>
      <c r="AR71" s="247">
        <f t="shared" si="9"/>
        <v>0</v>
      </c>
      <c r="AS71" s="194"/>
      <c r="AT71" s="194"/>
      <c r="AU71" s="326"/>
    </row>
    <row r="72" spans="1:47" ht="12" customHeight="1">
      <c r="A72" s="2"/>
      <c r="B72" s="2"/>
      <c r="C72" s="2"/>
      <c r="D72" s="2"/>
      <c r="E72" s="2"/>
      <c r="F72" s="2"/>
      <c r="G72" s="2"/>
      <c r="H72" s="2"/>
      <c r="I72" s="2"/>
      <c r="J7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13" t="s">
        <v>2092</v>
      </c>
      <c r="AG72" s="2"/>
      <c r="AH72" s="2"/>
      <c r="AI72" s="2"/>
      <c r="AJ72" s="2"/>
      <c r="AK72" s="2"/>
      <c r="AL72" s="124"/>
      <c r="AM72" s="639" t="s">
        <v>2315</v>
      </c>
      <c r="AN72" s="559" t="s">
        <v>2316</v>
      </c>
      <c r="AO72" s="420" t="s">
        <v>195</v>
      </c>
      <c r="AP72" s="247">
        <f t="shared" si="9"/>
        <v>0</v>
      </c>
      <c r="AQ72" s="247">
        <f t="shared" si="9"/>
        <v>0</v>
      </c>
      <c r="AR72" s="247">
        <f t="shared" si="9"/>
        <v>0</v>
      </c>
      <c r="AS72" s="194"/>
      <c r="AT72" s="194"/>
      <c r="AU72" s="326"/>
    </row>
    <row r="73" spans="1:47" ht="12" customHeight="1">
      <c r="A73" s="2"/>
      <c r="B73" s="2"/>
      <c r="C73" s="2"/>
      <c r="D73" s="2"/>
      <c r="E73" s="2"/>
      <c r="F73" s="2"/>
      <c r="G73" s="2"/>
      <c r="H73" s="2"/>
      <c r="I73" s="2"/>
      <c r="J7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13" t="s">
        <v>2093</v>
      </c>
      <c r="AG73" s="2"/>
      <c r="AH73" s="2"/>
      <c r="AI73" s="2"/>
      <c r="AJ73" s="2"/>
      <c r="AK73" s="2"/>
      <c r="AL73" s="124"/>
      <c r="AM73" s="639" t="str">
        <f>AM72 &amp; ".P"</f>
        <v>PRSTL853.P</v>
      </c>
      <c r="AN73" s="531" t="s">
        <v>842</v>
      </c>
      <c r="AO73" s="420" t="s">
        <v>23</v>
      </c>
      <c r="AP73" s="247">
        <f>IF(AP74=0,0,AP72*1000/AP74)</f>
        <v>0</v>
      </c>
      <c r="AQ73" s="247">
        <f>IF(AQ74=0,0,AQ72*1000/AQ74)</f>
        <v>0</v>
      </c>
      <c r="AR73" s="247">
        <f>IF(AR74=0,0,AR72*1000/AR74)</f>
        <v>0</v>
      </c>
      <c r="AS73" s="194"/>
      <c r="AT73" s="194"/>
      <c r="AU73" s="326"/>
    </row>
    <row r="74" spans="1:47" ht="12" customHeight="1">
      <c r="A74" s="2"/>
      <c r="B74" s="2"/>
      <c r="C74" s="2"/>
      <c r="D74" s="2"/>
      <c r="E74" s="2"/>
      <c r="F74" s="2"/>
      <c r="G74" s="2"/>
      <c r="H74" s="2"/>
      <c r="I74" s="2"/>
      <c r="J7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13" t="s">
        <v>2094</v>
      </c>
      <c r="AG74" s="2"/>
      <c r="AH74" s="2"/>
      <c r="AI74" s="2"/>
      <c r="AJ74" s="2"/>
      <c r="AK74" s="2"/>
      <c r="AL74" s="124"/>
      <c r="AM74" s="639" t="str">
        <f>AM72 &amp; ".V"</f>
        <v>PRSTL853.V</v>
      </c>
      <c r="AN74" s="531" t="s">
        <v>245</v>
      </c>
      <c r="AO74" s="420" t="s">
        <v>289</v>
      </c>
      <c r="AP74" s="247">
        <f t="shared" ref="AP74:AR75" si="10">SUMIF($AS$9:$AT$9,AP$9,$AS74:$AT74)</f>
        <v>0</v>
      </c>
      <c r="AQ74" s="247">
        <f t="shared" si="10"/>
        <v>0</v>
      </c>
      <c r="AR74" s="247">
        <f t="shared" si="10"/>
        <v>0</v>
      </c>
      <c r="AS74" s="194"/>
      <c r="AT74" s="194"/>
      <c r="AU74" s="326"/>
    </row>
    <row r="75" spans="1:47" ht="12" customHeight="1">
      <c r="A75" s="2"/>
      <c r="B75" s="2"/>
      <c r="C75" s="2"/>
      <c r="D75" s="2"/>
      <c r="E75" s="2"/>
      <c r="F75" s="2"/>
      <c r="G75" s="2"/>
      <c r="H75" s="2"/>
      <c r="I75" s="2"/>
      <c r="J7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13" t="s">
        <v>2092</v>
      </c>
      <c r="AG75" s="2"/>
      <c r="AH75" s="2"/>
      <c r="AI75" s="2"/>
      <c r="AJ75" s="2"/>
      <c r="AK75" s="2"/>
      <c r="AL75" s="124"/>
      <c r="AM75" s="639" t="s">
        <v>2317</v>
      </c>
      <c r="AN75" s="559" t="s">
        <v>2318</v>
      </c>
      <c r="AO75" s="420" t="s">
        <v>195</v>
      </c>
      <c r="AP75" s="247">
        <f t="shared" si="10"/>
        <v>0</v>
      </c>
      <c r="AQ75" s="247">
        <f t="shared" si="10"/>
        <v>0</v>
      </c>
      <c r="AR75" s="247">
        <f t="shared" si="10"/>
        <v>0</v>
      </c>
      <c r="AS75" s="194"/>
      <c r="AT75" s="194"/>
      <c r="AU75" s="326"/>
    </row>
    <row r="76" spans="1:47" ht="12" customHeight="1">
      <c r="A76" s="2"/>
      <c r="B76" s="2"/>
      <c r="C76" s="2"/>
      <c r="D76" s="2"/>
      <c r="E76" s="2"/>
      <c r="F76" s="2"/>
      <c r="G76" s="2"/>
      <c r="H76" s="2"/>
      <c r="I76" s="2"/>
      <c r="J7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413" t="s">
        <v>2093</v>
      </c>
      <c r="AG76" s="2"/>
      <c r="AH76" s="2"/>
      <c r="AI76" s="2"/>
      <c r="AJ76" s="2"/>
      <c r="AK76" s="2"/>
      <c r="AL76" s="124"/>
      <c r="AM76" s="639" t="str">
        <f>AM75 &amp; ".P"</f>
        <v>PRSTL650.P</v>
      </c>
      <c r="AN76" s="531" t="s">
        <v>842</v>
      </c>
      <c r="AO76" s="420" t="s">
        <v>23</v>
      </c>
      <c r="AP76" s="247">
        <f>IF(AP77=0,0,AP75*1000/AP77)</f>
        <v>0</v>
      </c>
      <c r="AQ76" s="247">
        <f>IF(AQ77=0,0,AQ75*1000/AQ77)</f>
        <v>0</v>
      </c>
      <c r="AR76" s="247">
        <f>IF(AR77=0,0,AR75*1000/AR77)</f>
        <v>0</v>
      </c>
      <c r="AS76" s="194"/>
      <c r="AT76" s="194"/>
      <c r="AU76" s="326"/>
    </row>
    <row r="77" spans="1:47" ht="12" customHeight="1">
      <c r="A77" s="2"/>
      <c r="B77" s="2"/>
      <c r="C77" s="2"/>
      <c r="D77" s="2"/>
      <c r="E77" s="2"/>
      <c r="F77" s="2"/>
      <c r="G77" s="2"/>
      <c r="H77" s="2"/>
      <c r="I77" s="2"/>
      <c r="J7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13" t="s">
        <v>2094</v>
      </c>
      <c r="AG77" s="2"/>
      <c r="AH77" s="2"/>
      <c r="AI77" s="2"/>
      <c r="AJ77" s="2"/>
      <c r="AK77" s="2"/>
      <c r="AL77" s="124"/>
      <c r="AM77" s="639" t="str">
        <f>AM75 &amp; ".V"</f>
        <v>PRSTL650.V</v>
      </c>
      <c r="AN77" s="531" t="s">
        <v>245</v>
      </c>
      <c r="AO77" s="420" t="s">
        <v>289</v>
      </c>
      <c r="AP77" s="247">
        <f t="shared" ref="AP77:AR78" si="11">SUMIF($AS$9:$AT$9,AP$9,$AS77:$AT77)</f>
        <v>0</v>
      </c>
      <c r="AQ77" s="247">
        <f t="shared" si="11"/>
        <v>0</v>
      </c>
      <c r="AR77" s="247">
        <f t="shared" si="11"/>
        <v>0</v>
      </c>
      <c r="AS77" s="194"/>
      <c r="AT77" s="194"/>
      <c r="AU77" s="326"/>
    </row>
    <row r="78" spans="1:47" ht="12" customHeight="1">
      <c r="A78" s="2"/>
      <c r="B78" s="2"/>
      <c r="C78" s="2"/>
      <c r="D78" s="2"/>
      <c r="E78" s="2"/>
      <c r="F78" s="2"/>
      <c r="G78" s="2"/>
      <c r="H78" s="2"/>
      <c r="I78" s="2"/>
      <c r="J7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13" t="s">
        <v>2092</v>
      </c>
      <c r="AG78" s="2"/>
      <c r="AH78" s="2"/>
      <c r="AI78" s="2"/>
      <c r="AJ78" s="2"/>
      <c r="AK78" s="2"/>
      <c r="AL78" s="124"/>
      <c r="AM78" s="639" t="s">
        <v>2319</v>
      </c>
      <c r="AN78" s="559" t="s">
        <v>2320</v>
      </c>
      <c r="AO78" s="420" t="s">
        <v>195</v>
      </c>
      <c r="AP78" s="247">
        <f t="shared" si="11"/>
        <v>0</v>
      </c>
      <c r="AQ78" s="247">
        <f t="shared" si="11"/>
        <v>0</v>
      </c>
      <c r="AR78" s="247">
        <f t="shared" si="11"/>
        <v>0</v>
      </c>
      <c r="AS78" s="194"/>
      <c r="AT78" s="194"/>
      <c r="AU78" s="326"/>
    </row>
    <row r="79" spans="1:47" ht="12" customHeight="1">
      <c r="A79" s="2"/>
      <c r="B79" s="2"/>
      <c r="C79" s="2"/>
      <c r="D79" s="2"/>
      <c r="E79" s="2"/>
      <c r="F79" s="2"/>
      <c r="G79" s="2"/>
      <c r="H79" s="2"/>
      <c r="I79" s="2"/>
      <c r="J7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13" t="s">
        <v>2093</v>
      </c>
      <c r="AG79" s="2"/>
      <c r="AH79" s="2"/>
      <c r="AI79" s="2"/>
      <c r="AJ79" s="2"/>
      <c r="AK79" s="2"/>
      <c r="AL79" s="124"/>
      <c r="AM79" s="639" t="str">
        <f>AM78 &amp; ".P"</f>
        <v>PRSTL2515.P</v>
      </c>
      <c r="AN79" s="531" t="s">
        <v>842</v>
      </c>
      <c r="AO79" s="420" t="s">
        <v>23</v>
      </c>
      <c r="AP79" s="247">
        <f>IF(AP80=0,0,AP78*1000/AP80)</f>
        <v>0</v>
      </c>
      <c r="AQ79" s="247">
        <f>IF(AQ80=0,0,AQ78*1000/AQ80)</f>
        <v>0</v>
      </c>
      <c r="AR79" s="247">
        <f>IF(AR80=0,0,AR78*1000/AR80)</f>
        <v>0</v>
      </c>
      <c r="AS79" s="194"/>
      <c r="AT79" s="194"/>
      <c r="AU79" s="326"/>
    </row>
    <row r="80" spans="1:47" ht="12" customHeight="1">
      <c r="A80" s="2"/>
      <c r="B80" s="2"/>
      <c r="C80" s="2"/>
      <c r="D80" s="2"/>
      <c r="E80" s="2"/>
      <c r="F80" s="2"/>
      <c r="G80" s="2"/>
      <c r="H80" s="2"/>
      <c r="I80" s="2"/>
      <c r="J8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13" t="s">
        <v>2094</v>
      </c>
      <c r="AG80" s="2"/>
      <c r="AH80" s="2"/>
      <c r="AI80" s="2"/>
      <c r="AJ80" s="2"/>
      <c r="AK80" s="2"/>
      <c r="AL80" s="124"/>
      <c r="AM80" s="639" t="str">
        <f>AM78 &amp; ".V"</f>
        <v>PRSTL2515.V</v>
      </c>
      <c r="AN80" s="531" t="s">
        <v>245</v>
      </c>
      <c r="AO80" s="420" t="s">
        <v>289</v>
      </c>
      <c r="AP80" s="247">
        <f t="shared" ref="AP80:AR81" si="12">SUMIF($AS$9:$AT$9,AP$9,$AS80:$AT80)</f>
        <v>0</v>
      </c>
      <c r="AQ80" s="247">
        <f t="shared" si="12"/>
        <v>0</v>
      </c>
      <c r="AR80" s="247">
        <f t="shared" si="12"/>
        <v>0</v>
      </c>
      <c r="AS80" s="194"/>
      <c r="AT80" s="194"/>
      <c r="AU80" s="326"/>
    </row>
    <row r="81" spans="1:47" ht="12" customHeight="1">
      <c r="A81" s="2"/>
      <c r="B81" s="2"/>
      <c r="C81" s="2"/>
      <c r="D81" s="2"/>
      <c r="E81" s="2"/>
      <c r="F81" s="2"/>
      <c r="G81" s="2"/>
      <c r="H81" s="2"/>
      <c r="I81" s="2"/>
      <c r="J8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413" t="s">
        <v>2092</v>
      </c>
      <c r="AG81" s="2"/>
      <c r="AH81" s="2"/>
      <c r="AI81" s="2"/>
      <c r="AJ81" s="2"/>
      <c r="AK81" s="2"/>
      <c r="AL81" s="124"/>
      <c r="AM81" s="639" t="s">
        <v>2321</v>
      </c>
      <c r="AN81" s="559" t="s">
        <v>2322</v>
      </c>
      <c r="AO81" s="420" t="s">
        <v>195</v>
      </c>
      <c r="AP81" s="247">
        <f t="shared" si="12"/>
        <v>0</v>
      </c>
      <c r="AQ81" s="247">
        <f t="shared" si="12"/>
        <v>0</v>
      </c>
      <c r="AR81" s="247">
        <f t="shared" si="12"/>
        <v>0</v>
      </c>
      <c r="AS81" s="194"/>
      <c r="AT81" s="194"/>
      <c r="AU81" s="326"/>
    </row>
    <row r="82" spans="1:47" ht="12" customHeight="1">
      <c r="A82" s="2"/>
      <c r="B82" s="2"/>
      <c r="C82" s="2"/>
      <c r="D82" s="2"/>
      <c r="E82" s="2"/>
      <c r="F82" s="2"/>
      <c r="G82" s="2"/>
      <c r="H82" s="2"/>
      <c r="I82" s="2"/>
      <c r="J8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413" t="s">
        <v>2093</v>
      </c>
      <c r="AG82" s="2"/>
      <c r="AH82" s="2"/>
      <c r="AI82" s="2"/>
      <c r="AJ82" s="2"/>
      <c r="AK82" s="2"/>
      <c r="AL82" s="124"/>
      <c r="AM82" s="639" t="str">
        <f>AM81 &amp; ".P"</f>
        <v>GRLIFEK47.P</v>
      </c>
      <c r="AN82" s="531" t="s">
        <v>842</v>
      </c>
      <c r="AO82" s="420" t="s">
        <v>23</v>
      </c>
      <c r="AP82" s="247">
        <f>IF(AP83=0,0,AP81*1000/AP83)</f>
        <v>0</v>
      </c>
      <c r="AQ82" s="247">
        <f>IF(AQ83=0,0,AQ81*1000/AQ83)</f>
        <v>0</v>
      </c>
      <c r="AR82" s="247">
        <f>IF(AR83=0,0,AR81*1000/AR83)</f>
        <v>0</v>
      </c>
      <c r="AS82" s="194"/>
      <c r="AT82" s="194"/>
      <c r="AU82" s="326"/>
    </row>
    <row r="83" spans="1:47" ht="12" customHeight="1">
      <c r="A83" s="2"/>
      <c r="B83" s="2"/>
      <c r="C83" s="2"/>
      <c r="D83" s="2"/>
      <c r="E83" s="2"/>
      <c r="F83" s="2"/>
      <c r="G83" s="2"/>
      <c r="H83" s="2"/>
      <c r="I83" s="2"/>
      <c r="J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413" t="s">
        <v>2094</v>
      </c>
      <c r="AG83" s="2"/>
      <c r="AH83" s="2"/>
      <c r="AI83" s="2"/>
      <c r="AJ83" s="2"/>
      <c r="AK83" s="2"/>
      <c r="AL83" s="124"/>
      <c r="AM83" s="639" t="str">
        <f>AM81 &amp; ".V"</f>
        <v>GRLIFEK47.V</v>
      </c>
      <c r="AN83" s="531" t="s">
        <v>245</v>
      </c>
      <c r="AO83" s="420" t="s">
        <v>289</v>
      </c>
      <c r="AP83" s="247">
        <f t="shared" ref="AP83:AR84" si="13">SUMIF($AS$9:$AT$9,AP$9,$AS83:$AT83)</f>
        <v>0</v>
      </c>
      <c r="AQ83" s="247">
        <f t="shared" si="13"/>
        <v>0</v>
      </c>
      <c r="AR83" s="247">
        <f t="shared" si="13"/>
        <v>0</v>
      </c>
      <c r="AS83" s="194"/>
      <c r="AT83" s="194"/>
      <c r="AU83" s="326"/>
    </row>
    <row r="84" spans="1:47" ht="12" customHeight="1">
      <c r="A84" s="2"/>
      <c r="B84" s="2"/>
      <c r="C84" s="2"/>
      <c r="D84" s="2"/>
      <c r="E84" s="2"/>
      <c r="F84" s="2"/>
      <c r="G84" s="2"/>
      <c r="H84" s="2"/>
      <c r="I84" s="2"/>
      <c r="J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413" t="s">
        <v>2092</v>
      </c>
      <c r="AG84" s="2"/>
      <c r="AH84" s="2"/>
      <c r="AI84" s="2"/>
      <c r="AJ84" s="2"/>
      <c r="AK84" s="2"/>
      <c r="AL84" s="124"/>
      <c r="AM84" s="639" t="s">
        <v>2323</v>
      </c>
      <c r="AN84" s="559" t="s">
        <v>2324</v>
      </c>
      <c r="AO84" s="420" t="s">
        <v>195</v>
      </c>
      <c r="AP84" s="247">
        <f t="shared" si="13"/>
        <v>0</v>
      </c>
      <c r="AQ84" s="247">
        <f t="shared" si="13"/>
        <v>0</v>
      </c>
      <c r="AR84" s="247">
        <f t="shared" si="13"/>
        <v>0</v>
      </c>
      <c r="AS84" s="194"/>
      <c r="AT84" s="194"/>
      <c r="AU84" s="326"/>
    </row>
    <row r="85" spans="1:47" ht="12" customHeight="1">
      <c r="A85" s="2"/>
      <c r="B85" s="2"/>
      <c r="C85" s="2"/>
      <c r="D85" s="2"/>
      <c r="E85" s="2"/>
      <c r="F85" s="2"/>
      <c r="G85" s="2"/>
      <c r="H85" s="2"/>
      <c r="I85" s="2"/>
      <c r="J8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413" t="s">
        <v>2093</v>
      </c>
      <c r="AG85" s="2"/>
      <c r="AH85" s="2"/>
      <c r="AI85" s="2"/>
      <c r="AJ85" s="2"/>
      <c r="AK85" s="2"/>
      <c r="AL85" s="124"/>
      <c r="AM85" s="639" t="str">
        <f>AM84 &amp; ".P"</f>
        <v>GRLIFEK41.P</v>
      </c>
      <c r="AN85" s="531" t="s">
        <v>842</v>
      </c>
      <c r="AO85" s="420" t="s">
        <v>23</v>
      </c>
      <c r="AP85" s="247">
        <f>IF(AP86=0,0,AP84*1000/AP86)</f>
        <v>0</v>
      </c>
      <c r="AQ85" s="247">
        <f>IF(AQ86=0,0,AQ84*1000/AQ86)</f>
        <v>0</v>
      </c>
      <c r="AR85" s="247">
        <f>IF(AR86=0,0,AR84*1000/AR86)</f>
        <v>0</v>
      </c>
      <c r="AS85" s="194"/>
      <c r="AT85" s="194"/>
      <c r="AU85" s="326"/>
    </row>
    <row r="86" spans="1:47" ht="12" customHeight="1">
      <c r="A86" s="2"/>
      <c r="B86" s="2"/>
      <c r="C86" s="2"/>
      <c r="D86" s="2"/>
      <c r="E86" s="2"/>
      <c r="F86" s="2"/>
      <c r="G86" s="2"/>
      <c r="H86" s="2"/>
      <c r="I86" s="2"/>
      <c r="J8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413" t="s">
        <v>2094</v>
      </c>
      <c r="AG86" s="2"/>
      <c r="AH86" s="2"/>
      <c r="AI86" s="2"/>
      <c r="AJ86" s="2"/>
      <c r="AK86" s="2"/>
      <c r="AL86" s="124"/>
      <c r="AM86" s="639" t="str">
        <f>AM84 &amp; ".V"</f>
        <v>GRLIFEK41.V</v>
      </c>
      <c r="AN86" s="531" t="s">
        <v>245</v>
      </c>
      <c r="AO86" s="420" t="s">
        <v>289</v>
      </c>
      <c r="AP86" s="247">
        <f t="shared" ref="AP86:AR87" si="14">SUMIF($AS$9:$AT$9,AP$9,$AS86:$AT86)</f>
        <v>0</v>
      </c>
      <c r="AQ86" s="247">
        <f t="shared" si="14"/>
        <v>0</v>
      </c>
      <c r="AR86" s="247">
        <f t="shared" si="14"/>
        <v>0</v>
      </c>
      <c r="AS86" s="194"/>
      <c r="AT86" s="194"/>
      <c r="AU86" s="326"/>
    </row>
    <row r="87" spans="1:47" ht="12" customHeight="1">
      <c r="A87" s="2"/>
      <c r="B87" s="2"/>
      <c r="C87" s="2"/>
      <c r="D87" s="2"/>
      <c r="E87" s="2"/>
      <c r="F87" s="2"/>
      <c r="G87" s="2"/>
      <c r="H87" s="2"/>
      <c r="I87" s="2"/>
      <c r="J8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413" t="s">
        <v>2092</v>
      </c>
      <c r="AG87" s="2"/>
      <c r="AH87" s="2"/>
      <c r="AI87" s="2"/>
      <c r="AJ87" s="2"/>
      <c r="AK87" s="2"/>
      <c r="AL87" s="124"/>
      <c r="AM87" s="639" t="s">
        <v>2325</v>
      </c>
      <c r="AN87" s="559" t="s">
        <v>2326</v>
      </c>
      <c r="AO87" s="420" t="s">
        <v>195</v>
      </c>
      <c r="AP87" s="247">
        <f t="shared" si="14"/>
        <v>0</v>
      </c>
      <c r="AQ87" s="247">
        <f t="shared" si="14"/>
        <v>0</v>
      </c>
      <c r="AR87" s="247">
        <f t="shared" si="14"/>
        <v>0</v>
      </c>
      <c r="AS87" s="194"/>
      <c r="AT87" s="194"/>
      <c r="AU87" s="326"/>
    </row>
    <row r="88" spans="1:47" ht="12" customHeight="1">
      <c r="A88" s="2"/>
      <c r="B88" s="2"/>
      <c r="C88" s="2"/>
      <c r="D88" s="2"/>
      <c r="E88" s="2"/>
      <c r="F88" s="2"/>
      <c r="G88" s="2"/>
      <c r="H88" s="2"/>
      <c r="I88" s="2"/>
      <c r="J88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413" t="s">
        <v>2093</v>
      </c>
      <c r="AG88" s="2"/>
      <c r="AH88" s="2"/>
      <c r="AI88" s="2"/>
      <c r="AJ88" s="2"/>
      <c r="AK88" s="2"/>
      <c r="AL88" s="124"/>
      <c r="AM88" s="639" t="str">
        <f>AM87 &amp; ".P"</f>
        <v>GRLIFEA10PV.P</v>
      </c>
      <c r="AN88" s="531" t="s">
        <v>842</v>
      </c>
      <c r="AO88" s="420" t="s">
        <v>23</v>
      </c>
      <c r="AP88" s="247">
        <f>IF(AP89=0,0,AP87*1000/AP89)</f>
        <v>0</v>
      </c>
      <c r="AQ88" s="247">
        <f>IF(AQ89=0,0,AQ87*1000/AQ89)</f>
        <v>0</v>
      </c>
      <c r="AR88" s="247">
        <f>IF(AR89=0,0,AR87*1000/AR89)</f>
        <v>0</v>
      </c>
      <c r="AS88" s="194"/>
      <c r="AT88" s="194"/>
      <c r="AU88" s="326"/>
    </row>
    <row r="89" spans="1:47" ht="12" customHeight="1">
      <c r="A89" s="2"/>
      <c r="B89" s="2"/>
      <c r="C89" s="2"/>
      <c r="D89" s="2"/>
      <c r="E89" s="2"/>
      <c r="F89" s="2"/>
      <c r="G89" s="2"/>
      <c r="H89" s="2"/>
      <c r="I89" s="2"/>
      <c r="J8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413" t="s">
        <v>2094</v>
      </c>
      <c r="AG89" s="2"/>
      <c r="AH89" s="2"/>
      <c r="AI89" s="2"/>
      <c r="AJ89" s="2"/>
      <c r="AK89" s="2"/>
      <c r="AL89" s="124"/>
      <c r="AM89" s="639" t="str">
        <f>AM87 &amp; ".V"</f>
        <v>GRLIFEA10PV.V</v>
      </c>
      <c r="AN89" s="531" t="s">
        <v>245</v>
      </c>
      <c r="AO89" s="420" t="s">
        <v>289</v>
      </c>
      <c r="AP89" s="247">
        <f t="shared" ref="AP89:AR90" si="15">SUMIF($AS$9:$AT$9,AP$9,$AS89:$AT89)</f>
        <v>0</v>
      </c>
      <c r="AQ89" s="247">
        <f t="shared" si="15"/>
        <v>0</v>
      </c>
      <c r="AR89" s="247">
        <f t="shared" si="15"/>
        <v>0</v>
      </c>
      <c r="AS89" s="194"/>
      <c r="AT89" s="194"/>
      <c r="AU89" s="326"/>
    </row>
    <row r="90" spans="1:47" ht="12" customHeight="1">
      <c r="A90" s="2"/>
      <c r="B90" s="2"/>
      <c r="C90" s="2"/>
      <c r="D90" s="2"/>
      <c r="E90" s="2"/>
      <c r="F90" s="2"/>
      <c r="G90" s="2"/>
      <c r="H90" s="2"/>
      <c r="I90" s="2"/>
      <c r="J90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413" t="s">
        <v>2091</v>
      </c>
      <c r="AG90" s="2"/>
      <c r="AH90" s="2"/>
      <c r="AI90" s="2"/>
      <c r="AJ90" s="2"/>
      <c r="AK90" s="2"/>
      <c r="AL90" s="124"/>
      <c r="AM90" s="561" t="s">
        <v>1356</v>
      </c>
      <c r="AN90" s="559" t="s">
        <v>307</v>
      </c>
      <c r="AO90" s="420" t="s">
        <v>195</v>
      </c>
      <c r="AP90" s="247">
        <f t="shared" si="15"/>
        <v>0</v>
      </c>
      <c r="AQ90" s="247">
        <f t="shared" si="15"/>
        <v>0</v>
      </c>
      <c r="AR90" s="247">
        <f t="shared" si="15"/>
        <v>0</v>
      </c>
      <c r="AS90" s="194"/>
      <c r="AT90" s="194"/>
      <c r="AU90" s="326"/>
    </row>
    <row r="91" spans="1:47" ht="0.75" hidden="1" customHeight="1">
      <c r="A91" s="2"/>
      <c r="B91" s="2"/>
      <c r="C91" s="2"/>
      <c r="D91" s="2"/>
      <c r="E91" s="2"/>
      <c r="F91" s="2"/>
      <c r="G91" s="2"/>
      <c r="H91" s="2"/>
      <c r="I91" s="2"/>
      <c r="J9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413"/>
      <c r="AG91" s="2"/>
      <c r="AH91" s="2"/>
      <c r="AI91" s="2"/>
      <c r="AJ91" s="2"/>
      <c r="AK91" s="2"/>
      <c r="AL91" s="124"/>
      <c r="AM91" s="560"/>
      <c r="AN91" s="533"/>
      <c r="AO91" s="422"/>
      <c r="AP91" s="142"/>
      <c r="AQ91" s="142"/>
      <c r="AR91" s="142"/>
      <c r="AS91" s="194"/>
      <c r="AT91" s="194"/>
    </row>
    <row r="92" spans="1:47" ht="12" customHeight="1">
      <c r="A92" s="2"/>
      <c r="B92" s="2"/>
      <c r="C92" s="2"/>
      <c r="D92" s="2"/>
      <c r="E92" s="2"/>
      <c r="F92" s="2"/>
      <c r="G92" s="2"/>
      <c r="H92" s="2"/>
      <c r="I92" s="2"/>
      <c r="J9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413"/>
      <c r="AG92" s="2"/>
      <c r="AH92" s="2"/>
      <c r="AI92" s="2"/>
      <c r="AJ92" s="2"/>
      <c r="AK92" s="2"/>
      <c r="AL92" s="124"/>
      <c r="AM92" s="561" t="s">
        <v>1997</v>
      </c>
      <c r="AN92" s="567" t="s">
        <v>1906</v>
      </c>
      <c r="AO92" s="420" t="s">
        <v>195</v>
      </c>
      <c r="AP92" s="247">
        <f>SUMIF($AS$9:$AT$9,AP$9,$AS92:$AT92)</f>
        <v>0</v>
      </c>
      <c r="AQ92" s="247">
        <f>SUMIF($AS$9:$AT$9,AQ$9,$AS92:$AT92)</f>
        <v>0</v>
      </c>
      <c r="AR92" s="247">
        <f>SUMIF($AS$9:$AT$9,AR$9,$AS92:$AT92)</f>
        <v>0</v>
      </c>
      <c r="AS92" s="194"/>
      <c r="AT92" s="194"/>
      <c r="AU92" s="326"/>
    </row>
    <row r="93" spans="1:47" ht="0.75" hidden="1" customHeight="1">
      <c r="A93" s="2"/>
      <c r="B93" s="2"/>
      <c r="C93" s="2"/>
      <c r="D93" s="2"/>
      <c r="E93" s="2"/>
      <c r="F93" s="2"/>
      <c r="G93" s="2"/>
      <c r="H93" s="2"/>
      <c r="I93" s="2"/>
      <c r="J9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413"/>
      <c r="AG93" s="2"/>
      <c r="AH93" s="2"/>
      <c r="AI93" s="2"/>
      <c r="AJ93" s="2"/>
      <c r="AK93" s="2"/>
      <c r="AL93" s="124"/>
      <c r="AM93" s="560"/>
      <c r="AN93" s="533"/>
      <c r="AO93" s="422"/>
      <c r="AP93" s="142"/>
      <c r="AQ93" s="142"/>
      <c r="AR93" s="142"/>
      <c r="AS93" s="194"/>
      <c r="AT93" s="194"/>
    </row>
    <row r="94" spans="1:47" ht="12" customHeight="1">
      <c r="A94" s="2"/>
      <c r="B94" s="2"/>
      <c r="C94" s="2"/>
      <c r="D94" s="2"/>
      <c r="E94" s="2"/>
      <c r="F94" s="2"/>
      <c r="G94" s="2"/>
      <c r="H94" s="2"/>
      <c r="I94" s="2"/>
      <c r="J9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413" t="s">
        <v>2092</v>
      </c>
      <c r="AG94" s="2"/>
      <c r="AH94" s="2"/>
      <c r="AI94" s="2"/>
      <c r="AJ94" s="2"/>
      <c r="AK94" s="2"/>
      <c r="AL94" s="124"/>
      <c r="AM94" s="561" t="s">
        <v>2001</v>
      </c>
      <c r="AN94" s="559" t="s">
        <v>1917</v>
      </c>
      <c r="AO94" s="420" t="s">
        <v>195</v>
      </c>
      <c r="AP94" s="247">
        <f>SUMIF($AS$9:$AT$9,AP$9,$AS94:$AT94)</f>
        <v>0</v>
      </c>
      <c r="AQ94" s="247">
        <f>SUMIF($AS$9:$AT$9,AQ$9,$AS94:$AT94)</f>
        <v>0</v>
      </c>
      <c r="AR94" s="247">
        <f>SUMIF($AS$9:$AT$9,AR$9,$AS94:$AT94)</f>
        <v>0</v>
      </c>
      <c r="AS94" s="194"/>
      <c r="AT94" s="194"/>
      <c r="AU94" s="326"/>
    </row>
    <row r="95" spans="1:47" ht="12" customHeight="1">
      <c r="A95" s="2"/>
      <c r="B95" s="2"/>
      <c r="C95" s="2"/>
      <c r="D95" s="2"/>
      <c r="E95" s="2"/>
      <c r="F95" s="2"/>
      <c r="G95" s="2"/>
      <c r="H95" s="2"/>
      <c r="I95" s="2"/>
      <c r="J9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413" t="s">
        <v>2093</v>
      </c>
      <c r="AG95" s="2"/>
      <c r="AH95" s="2"/>
      <c r="AI95" s="2"/>
      <c r="AJ95" s="2"/>
      <c r="AK95" s="2"/>
      <c r="AL95" s="124"/>
      <c r="AM95" s="562" t="str">
        <f>AM94 &amp; ".P"</f>
        <v>AGRP.P</v>
      </c>
      <c r="AN95" s="531" t="s">
        <v>842</v>
      </c>
      <c r="AO95" s="420" t="s">
        <v>23</v>
      </c>
      <c r="AP95" s="247">
        <f>IF(AP96=0,0,AP94*1000/AP96)</f>
        <v>0</v>
      </c>
      <c r="AQ95" s="247">
        <f>IF(AQ96=0,0,AQ94*1000/AQ96)</f>
        <v>0</v>
      </c>
      <c r="AR95" s="247">
        <f>IF(AR96=0,0,AR94*1000/AR96)</f>
        <v>0</v>
      </c>
      <c r="AS95" s="194"/>
      <c r="AT95" s="194"/>
      <c r="AU95" s="326"/>
    </row>
    <row r="96" spans="1:47" ht="12" customHeight="1">
      <c r="A96" s="2"/>
      <c r="B96" s="2"/>
      <c r="C96" s="2"/>
      <c r="D96" s="2"/>
      <c r="E96" s="2"/>
      <c r="F96" s="2"/>
      <c r="G96" s="2"/>
      <c r="H96" s="2"/>
      <c r="I96" s="2"/>
      <c r="J9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413" t="s">
        <v>2094</v>
      </c>
      <c r="AG96" s="2"/>
      <c r="AH96" s="2"/>
      <c r="AI96" s="2"/>
      <c r="AJ96" s="2"/>
      <c r="AK96" s="2"/>
      <c r="AL96" s="124"/>
      <c r="AM96" s="562" t="str">
        <f>AM94 &amp; ".V"</f>
        <v>AGRP.V</v>
      </c>
      <c r="AN96" s="531" t="s">
        <v>245</v>
      </c>
      <c r="AO96" s="420" t="s">
        <v>289</v>
      </c>
      <c r="AP96" s="247">
        <f t="shared" ref="AP96:AR97" si="16">SUMIF($AS$9:$AT$9,AP$9,$AS96:$AT96)</f>
        <v>0</v>
      </c>
      <c r="AQ96" s="247">
        <f t="shared" si="16"/>
        <v>0</v>
      </c>
      <c r="AR96" s="247">
        <f t="shared" si="16"/>
        <v>0</v>
      </c>
      <c r="AS96" s="194"/>
      <c r="AT96" s="194"/>
      <c r="AU96" s="326"/>
    </row>
    <row r="97" spans="1:47" ht="12" customHeight="1">
      <c r="A97" s="2"/>
      <c r="B97" s="2"/>
      <c r="C97" s="2"/>
      <c r="D97" s="2"/>
      <c r="E97" s="2"/>
      <c r="F97" s="2"/>
      <c r="G97" s="2"/>
      <c r="H97" s="2"/>
      <c r="I97" s="2"/>
      <c r="J9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413" t="s">
        <v>2092</v>
      </c>
      <c r="AG97" s="2"/>
      <c r="AH97" s="2"/>
      <c r="AI97" s="2"/>
      <c r="AJ97" s="2"/>
      <c r="AK97" s="2"/>
      <c r="AL97" s="124"/>
      <c r="AM97" s="561" t="s">
        <v>2002</v>
      </c>
      <c r="AN97" s="559" t="s">
        <v>1918</v>
      </c>
      <c r="AO97" s="420" t="s">
        <v>195</v>
      </c>
      <c r="AP97" s="247">
        <f t="shared" si="16"/>
        <v>0</v>
      </c>
      <c r="AQ97" s="247">
        <f t="shared" si="16"/>
        <v>0</v>
      </c>
      <c r="AR97" s="247">
        <f t="shared" si="16"/>
        <v>0</v>
      </c>
      <c r="AS97" s="194"/>
      <c r="AT97" s="194"/>
      <c r="AU97" s="326"/>
    </row>
    <row r="98" spans="1:47" ht="12" customHeight="1">
      <c r="A98" s="2"/>
      <c r="B98" s="2"/>
      <c r="C98" s="2"/>
      <c r="D98" s="2"/>
      <c r="E98" s="2"/>
      <c r="F98" s="2"/>
      <c r="G98" s="2"/>
      <c r="H98" s="2"/>
      <c r="I98" s="2"/>
      <c r="J98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413" t="s">
        <v>2093</v>
      </c>
      <c r="AG98" s="2"/>
      <c r="AH98" s="2"/>
      <c r="AI98" s="2"/>
      <c r="AJ98" s="2"/>
      <c r="AK98" s="2"/>
      <c r="AL98" s="124"/>
      <c r="AM98" s="562" t="str">
        <f>AM97 &amp; ".P"</f>
        <v>AGRE.P</v>
      </c>
      <c r="AN98" s="531" t="s">
        <v>842</v>
      </c>
      <c r="AO98" s="420" t="s">
        <v>23</v>
      </c>
      <c r="AP98" s="247">
        <f>IF(AP99=0,0,AP97*1000/AP99)</f>
        <v>0</v>
      </c>
      <c r="AQ98" s="247">
        <f>IF(AQ99=0,0,AQ97*1000/AQ99)</f>
        <v>0</v>
      </c>
      <c r="AR98" s="247">
        <f>IF(AR99=0,0,AR97*1000/AR99)</f>
        <v>0</v>
      </c>
      <c r="AS98" s="194"/>
      <c r="AT98" s="194"/>
      <c r="AU98" s="326"/>
    </row>
    <row r="99" spans="1:47" ht="12" customHeight="1">
      <c r="A99" s="2"/>
      <c r="B99" s="2"/>
      <c r="C99" s="2"/>
      <c r="D99" s="2"/>
      <c r="E99" s="2"/>
      <c r="F99" s="2"/>
      <c r="G99" s="2"/>
      <c r="H99" s="2"/>
      <c r="I99" s="2"/>
      <c r="J9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413" t="s">
        <v>2094</v>
      </c>
      <c r="AG99" s="2"/>
      <c r="AH99" s="2"/>
      <c r="AI99" s="2"/>
      <c r="AJ99" s="2"/>
      <c r="AK99" s="2"/>
      <c r="AL99" s="124"/>
      <c r="AM99" s="562" t="str">
        <f>AM97 &amp; ".V"</f>
        <v>AGRE.V</v>
      </c>
      <c r="AN99" s="531" t="s">
        <v>245</v>
      </c>
      <c r="AO99" s="420" t="s">
        <v>289</v>
      </c>
      <c r="AP99" s="247">
        <f t="shared" ref="AP99:AR100" si="17">SUMIF($AS$9:$AT$9,AP$9,$AS99:$AT99)</f>
        <v>0</v>
      </c>
      <c r="AQ99" s="247">
        <f t="shared" si="17"/>
        <v>0</v>
      </c>
      <c r="AR99" s="247">
        <f t="shared" si="17"/>
        <v>0</v>
      </c>
      <c r="AS99" s="194"/>
      <c r="AT99" s="194"/>
      <c r="AU99" s="326"/>
    </row>
    <row r="100" spans="1:47" ht="12" customHeight="1">
      <c r="A100" s="2"/>
      <c r="B100" s="2"/>
      <c r="C100" s="2"/>
      <c r="D100" s="2"/>
      <c r="E100" s="2"/>
      <c r="F100" s="2"/>
      <c r="G100" s="2"/>
      <c r="H100" s="2"/>
      <c r="I100" s="2"/>
      <c r="J100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413" t="s">
        <v>2092</v>
      </c>
      <c r="AG100" s="2"/>
      <c r="AH100" s="2"/>
      <c r="AI100" s="2"/>
      <c r="AJ100" s="2"/>
      <c r="AK100" s="2"/>
      <c r="AL100" s="124"/>
      <c r="AM100" s="561" t="s">
        <v>2037</v>
      </c>
      <c r="AN100" s="559" t="s">
        <v>1919</v>
      </c>
      <c r="AO100" s="420" t="s">
        <v>195</v>
      </c>
      <c r="AP100" s="247">
        <f t="shared" si="17"/>
        <v>0</v>
      </c>
      <c r="AQ100" s="247">
        <f t="shared" si="17"/>
        <v>0</v>
      </c>
      <c r="AR100" s="247">
        <f t="shared" si="17"/>
        <v>0</v>
      </c>
      <c r="AS100" s="194"/>
      <c r="AT100" s="194"/>
      <c r="AU100" s="326"/>
    </row>
    <row r="101" spans="1:47" ht="12" customHeight="1">
      <c r="A101" s="2"/>
      <c r="B101" s="2"/>
      <c r="C101" s="2"/>
      <c r="D101" s="2"/>
      <c r="E101" s="2"/>
      <c r="F101" s="2"/>
      <c r="G101" s="2"/>
      <c r="H101" s="2"/>
      <c r="I101" s="2"/>
      <c r="J10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413" t="s">
        <v>2093</v>
      </c>
      <c r="AG101" s="2"/>
      <c r="AH101" s="2"/>
      <c r="AI101" s="2"/>
      <c r="AJ101" s="2"/>
      <c r="AK101" s="2"/>
      <c r="AL101" s="124"/>
      <c r="AM101" s="562" t="str">
        <f>AM100 &amp; ".P"</f>
        <v>ALOX.P</v>
      </c>
      <c r="AN101" s="531" t="s">
        <v>842</v>
      </c>
      <c r="AO101" s="420" t="s">
        <v>23</v>
      </c>
      <c r="AP101" s="247">
        <f>IF(AP102=0,0,AP100*1000/AP102)</f>
        <v>0</v>
      </c>
      <c r="AQ101" s="247">
        <f>IF(AQ102=0,0,AQ100*1000/AQ102)</f>
        <v>0</v>
      </c>
      <c r="AR101" s="247">
        <f>IF(AR102=0,0,AR100*1000/AR102)</f>
        <v>0</v>
      </c>
      <c r="AS101" s="194"/>
      <c r="AT101" s="194"/>
      <c r="AU101" s="326"/>
    </row>
    <row r="102" spans="1:47" ht="12" customHeight="1">
      <c r="A102" s="2"/>
      <c r="B102" s="2"/>
      <c r="C102" s="2"/>
      <c r="D102" s="2"/>
      <c r="E102" s="2"/>
      <c r="F102" s="2"/>
      <c r="G102" s="2"/>
      <c r="H102" s="2"/>
      <c r="I102" s="2"/>
      <c r="J10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413" t="s">
        <v>2094</v>
      </c>
      <c r="AG102" s="2"/>
      <c r="AH102" s="2"/>
      <c r="AI102" s="2"/>
      <c r="AJ102" s="2"/>
      <c r="AK102" s="2"/>
      <c r="AL102" s="124"/>
      <c r="AM102" s="562" t="str">
        <f>AM100 &amp; ".V"</f>
        <v>ALOX.V</v>
      </c>
      <c r="AN102" s="531" t="s">
        <v>245</v>
      </c>
      <c r="AO102" s="420" t="s">
        <v>289</v>
      </c>
      <c r="AP102" s="247">
        <f t="shared" ref="AP102:AR103" si="18">SUMIF($AS$9:$AT$9,AP$9,$AS102:$AT102)</f>
        <v>0</v>
      </c>
      <c r="AQ102" s="247">
        <f t="shared" si="18"/>
        <v>0</v>
      </c>
      <c r="AR102" s="247">
        <f t="shared" si="18"/>
        <v>0</v>
      </c>
      <c r="AS102" s="194"/>
      <c r="AT102" s="194"/>
      <c r="AU102" s="326"/>
    </row>
    <row r="103" spans="1:47" ht="12" customHeight="1">
      <c r="A103" s="2"/>
      <c r="B103" s="2"/>
      <c r="C103" s="2"/>
      <c r="D103" s="2"/>
      <c r="E103" s="2"/>
      <c r="F103" s="2"/>
      <c r="G103" s="2"/>
      <c r="H103" s="2"/>
      <c r="I103" s="2"/>
      <c r="J10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413" t="s">
        <v>2092</v>
      </c>
      <c r="AG103" s="2"/>
      <c r="AH103" s="2"/>
      <c r="AI103" s="2"/>
      <c r="AJ103" s="2"/>
      <c r="AK103" s="2"/>
      <c r="AL103" s="124"/>
      <c r="AM103" s="561" t="s">
        <v>2038</v>
      </c>
      <c r="AN103" s="559" t="s">
        <v>1920</v>
      </c>
      <c r="AO103" s="420" t="s">
        <v>195</v>
      </c>
      <c r="AP103" s="247">
        <f t="shared" si="18"/>
        <v>0</v>
      </c>
      <c r="AQ103" s="247">
        <f t="shared" si="18"/>
        <v>0</v>
      </c>
      <c r="AR103" s="247">
        <f t="shared" si="18"/>
        <v>0</v>
      </c>
      <c r="AS103" s="194"/>
      <c r="AT103" s="194"/>
      <c r="AU103" s="326"/>
    </row>
    <row r="104" spans="1:47" ht="12" customHeight="1">
      <c r="A104" s="2"/>
      <c r="B104" s="2"/>
      <c r="C104" s="2"/>
      <c r="D104" s="2"/>
      <c r="E104" s="2"/>
      <c r="F104" s="2"/>
      <c r="G104" s="2"/>
      <c r="H104" s="2"/>
      <c r="I104" s="2"/>
      <c r="J10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413" t="s">
        <v>2093</v>
      </c>
      <c r="AG104" s="2"/>
      <c r="AH104" s="2"/>
      <c r="AI104" s="2"/>
      <c r="AJ104" s="2"/>
      <c r="AK104" s="2"/>
      <c r="AL104" s="124"/>
      <c r="AM104" s="562" t="str">
        <f>AM103 &amp; ".P"</f>
        <v>ALS.P</v>
      </c>
      <c r="AN104" s="531" t="s">
        <v>842</v>
      </c>
      <c r="AO104" s="420" t="s">
        <v>23</v>
      </c>
      <c r="AP104" s="247">
        <f>IF(AP105=0,0,AP103*1000/AP105)</f>
        <v>0</v>
      </c>
      <c r="AQ104" s="247">
        <f>IF(AQ105=0,0,AQ103*1000/AQ105)</f>
        <v>0</v>
      </c>
      <c r="AR104" s="247">
        <f>IF(AR105=0,0,AR103*1000/AR105)</f>
        <v>0</v>
      </c>
      <c r="AS104" s="194"/>
      <c r="AT104" s="194"/>
      <c r="AU104" s="326"/>
    </row>
    <row r="105" spans="1:47" ht="12" customHeight="1">
      <c r="A105" s="2"/>
      <c r="B105" s="2"/>
      <c r="C105" s="2"/>
      <c r="D105" s="2"/>
      <c r="E105" s="2"/>
      <c r="F105" s="2"/>
      <c r="G105" s="2"/>
      <c r="H105" s="2"/>
      <c r="I105" s="2"/>
      <c r="J10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413" t="s">
        <v>2094</v>
      </c>
      <c r="AG105" s="2"/>
      <c r="AH105" s="2"/>
      <c r="AI105" s="2"/>
      <c r="AJ105" s="2"/>
      <c r="AK105" s="2"/>
      <c r="AL105" s="124"/>
      <c r="AM105" s="562" t="str">
        <f>AM103 &amp; ".V"</f>
        <v>ALS.V</v>
      </c>
      <c r="AN105" s="531" t="s">
        <v>245</v>
      </c>
      <c r="AO105" s="420" t="s">
        <v>289</v>
      </c>
      <c r="AP105" s="247">
        <f t="shared" ref="AP105:AR106" si="19">SUMIF($AS$9:$AT$9,AP$9,$AS105:$AT105)</f>
        <v>0</v>
      </c>
      <c r="AQ105" s="247">
        <f t="shared" si="19"/>
        <v>0</v>
      </c>
      <c r="AR105" s="247">
        <f t="shared" si="19"/>
        <v>0</v>
      </c>
      <c r="AS105" s="194"/>
      <c r="AT105" s="194"/>
      <c r="AU105" s="326"/>
    </row>
    <row r="106" spans="1:47" ht="12" customHeight="1">
      <c r="A106" s="2"/>
      <c r="B106" s="2"/>
      <c r="C106" s="2"/>
      <c r="D106" s="2"/>
      <c r="E106" s="2"/>
      <c r="F106" s="2"/>
      <c r="G106" s="2"/>
      <c r="H106" s="2"/>
      <c r="I106" s="2"/>
      <c r="J10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413" t="s">
        <v>2092</v>
      </c>
      <c r="AG106" s="2"/>
      <c r="AH106" s="2"/>
      <c r="AI106" s="2"/>
      <c r="AJ106" s="2"/>
      <c r="AK106" s="2"/>
      <c r="AL106" s="124"/>
      <c r="AM106" s="561" t="s">
        <v>2003</v>
      </c>
      <c r="AN106" s="559" t="s">
        <v>1921</v>
      </c>
      <c r="AO106" s="420" t="s">
        <v>195</v>
      </c>
      <c r="AP106" s="247">
        <f t="shared" si="19"/>
        <v>0</v>
      </c>
      <c r="AQ106" s="247">
        <f t="shared" si="19"/>
        <v>0</v>
      </c>
      <c r="AR106" s="247">
        <f t="shared" si="19"/>
        <v>0</v>
      </c>
      <c r="AS106" s="194"/>
      <c r="AT106" s="194"/>
      <c r="AU106" s="326"/>
    </row>
    <row r="107" spans="1:47" ht="12" customHeight="1">
      <c r="A107" s="2"/>
      <c r="B107" s="2"/>
      <c r="C107" s="2"/>
      <c r="D107" s="2"/>
      <c r="E107" s="2"/>
      <c r="F107" s="2"/>
      <c r="G107" s="2"/>
      <c r="H107" s="2"/>
      <c r="I107" s="2"/>
      <c r="J10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413" t="s">
        <v>2093</v>
      </c>
      <c r="AG107" s="2"/>
      <c r="AH107" s="2"/>
      <c r="AI107" s="2"/>
      <c r="AJ107" s="2"/>
      <c r="AK107" s="2"/>
      <c r="AL107" s="124"/>
      <c r="AM107" s="562" t="str">
        <f>AM106 &amp; ".P"</f>
        <v>AM.P</v>
      </c>
      <c r="AN107" s="531" t="s">
        <v>842</v>
      </c>
      <c r="AO107" s="420" t="s">
        <v>23</v>
      </c>
      <c r="AP107" s="247">
        <f>IF(AP108=0,0,AP106*1000/AP108)</f>
        <v>0</v>
      </c>
      <c r="AQ107" s="247">
        <f>IF(AQ108=0,0,AQ106*1000/AQ108)</f>
        <v>0</v>
      </c>
      <c r="AR107" s="247">
        <f>IF(AR108=0,0,AR106*1000/AR108)</f>
        <v>0</v>
      </c>
      <c r="AS107" s="194"/>
      <c r="AT107" s="194"/>
      <c r="AU107" s="326"/>
    </row>
    <row r="108" spans="1:47" ht="12" customHeight="1">
      <c r="A108" s="2"/>
      <c r="B108" s="2"/>
      <c r="C108" s="2"/>
      <c r="D108" s="2"/>
      <c r="E108" s="2"/>
      <c r="F108" s="2"/>
      <c r="G108" s="2"/>
      <c r="H108" s="2"/>
      <c r="I108" s="2"/>
      <c r="J108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413" t="s">
        <v>2094</v>
      </c>
      <c r="AG108" s="2"/>
      <c r="AH108" s="2"/>
      <c r="AI108" s="2"/>
      <c r="AJ108" s="2"/>
      <c r="AK108" s="2"/>
      <c r="AL108" s="124"/>
      <c r="AM108" s="562" t="str">
        <f>AM106 &amp; ".V"</f>
        <v>AM.V</v>
      </c>
      <c r="AN108" s="531" t="s">
        <v>245</v>
      </c>
      <c r="AO108" s="420" t="s">
        <v>289</v>
      </c>
      <c r="AP108" s="247">
        <f t="shared" ref="AP108:AR109" si="20">SUMIF($AS$9:$AT$9,AP$9,$AS108:$AT108)</f>
        <v>0</v>
      </c>
      <c r="AQ108" s="247">
        <f t="shared" si="20"/>
        <v>0</v>
      </c>
      <c r="AR108" s="247">
        <f t="shared" si="20"/>
        <v>0</v>
      </c>
      <c r="AS108" s="194"/>
      <c r="AT108" s="194"/>
      <c r="AU108" s="326"/>
    </row>
    <row r="109" spans="1:47" ht="12" customHeight="1">
      <c r="A109" s="2"/>
      <c r="B109" s="2"/>
      <c r="C109" s="2"/>
      <c r="D109" s="2"/>
      <c r="E109" s="2"/>
      <c r="F109" s="2"/>
      <c r="G109" s="2"/>
      <c r="H109" s="2"/>
      <c r="I109" s="2"/>
      <c r="J10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413" t="s">
        <v>2092</v>
      </c>
      <c r="AG109" s="2"/>
      <c r="AH109" s="2"/>
      <c r="AI109" s="2"/>
      <c r="AJ109" s="2"/>
      <c r="AK109" s="2"/>
      <c r="AL109" s="124"/>
      <c r="AM109" s="561" t="s">
        <v>2004</v>
      </c>
      <c r="AN109" s="559" t="s">
        <v>1922</v>
      </c>
      <c r="AO109" s="420" t="s">
        <v>195</v>
      </c>
      <c r="AP109" s="247">
        <f t="shared" si="20"/>
        <v>0</v>
      </c>
      <c r="AQ109" s="247">
        <f t="shared" si="20"/>
        <v>0</v>
      </c>
      <c r="AR109" s="247">
        <f t="shared" si="20"/>
        <v>0</v>
      </c>
      <c r="AS109" s="194"/>
      <c r="AT109" s="194"/>
      <c r="AU109" s="326"/>
    </row>
    <row r="110" spans="1:47" ht="12" customHeight="1">
      <c r="A110" s="2"/>
      <c r="B110" s="2"/>
      <c r="C110" s="2"/>
      <c r="D110" s="2"/>
      <c r="E110" s="2"/>
      <c r="F110" s="2"/>
      <c r="G110" s="2"/>
      <c r="H110" s="2"/>
      <c r="I110" s="2"/>
      <c r="J110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413" t="s">
        <v>2093</v>
      </c>
      <c r="AG110" s="2"/>
      <c r="AH110" s="2"/>
      <c r="AI110" s="2"/>
      <c r="AJ110" s="2"/>
      <c r="AK110" s="2"/>
      <c r="AL110" s="124"/>
      <c r="AM110" s="562" t="str">
        <f>AM109 &amp; ".P"</f>
        <v>AMW.P</v>
      </c>
      <c r="AN110" s="531" t="s">
        <v>842</v>
      </c>
      <c r="AO110" s="420" t="s">
        <v>23</v>
      </c>
      <c r="AP110" s="247">
        <f>IF(AP111=0,0,AP109*1000/AP111)</f>
        <v>0</v>
      </c>
      <c r="AQ110" s="247">
        <f>IF(AQ111=0,0,AQ109*1000/AQ111)</f>
        <v>0</v>
      </c>
      <c r="AR110" s="247">
        <f>IF(AR111=0,0,AR109*1000/AR111)</f>
        <v>0</v>
      </c>
      <c r="AS110" s="194"/>
      <c r="AT110" s="194"/>
      <c r="AU110" s="326"/>
    </row>
    <row r="111" spans="1:47" ht="12" customHeight="1">
      <c r="A111" s="2"/>
      <c r="B111" s="2"/>
      <c r="C111" s="2"/>
      <c r="D111" s="2"/>
      <c r="E111" s="2"/>
      <c r="F111" s="2"/>
      <c r="G111" s="2"/>
      <c r="H111" s="2"/>
      <c r="I111" s="2"/>
      <c r="J1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413" t="s">
        <v>2094</v>
      </c>
      <c r="AG111" s="2"/>
      <c r="AH111" s="2"/>
      <c r="AI111" s="2"/>
      <c r="AJ111" s="2"/>
      <c r="AK111" s="2"/>
      <c r="AL111" s="124"/>
      <c r="AM111" s="562" t="str">
        <f>AM109 &amp; ".V"</f>
        <v>AMW.V</v>
      </c>
      <c r="AN111" s="531" t="s">
        <v>245</v>
      </c>
      <c r="AO111" s="420" t="s">
        <v>289</v>
      </c>
      <c r="AP111" s="247">
        <f t="shared" ref="AP111:AR112" si="21">SUMIF($AS$9:$AT$9,AP$9,$AS111:$AT111)</f>
        <v>0</v>
      </c>
      <c r="AQ111" s="247">
        <f t="shared" si="21"/>
        <v>0</v>
      </c>
      <c r="AR111" s="247">
        <f t="shared" si="21"/>
        <v>0</v>
      </c>
      <c r="AS111" s="194"/>
      <c r="AT111" s="194"/>
      <c r="AU111" s="326"/>
    </row>
    <row r="112" spans="1:47" ht="12" customHeight="1">
      <c r="A112" s="2"/>
      <c r="B112" s="2"/>
      <c r="C112" s="2"/>
      <c r="D112" s="2"/>
      <c r="E112" s="2"/>
      <c r="F112" s="2"/>
      <c r="G112" s="2"/>
      <c r="H112" s="2"/>
      <c r="I112" s="2"/>
      <c r="J11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413" t="s">
        <v>2092</v>
      </c>
      <c r="AG112" s="2"/>
      <c r="AH112" s="2"/>
      <c r="AI112" s="2"/>
      <c r="AJ112" s="2"/>
      <c r="AK112" s="2"/>
      <c r="AL112" s="124"/>
      <c r="AM112" s="561" t="s">
        <v>2005</v>
      </c>
      <c r="AN112" s="559" t="s">
        <v>1923</v>
      </c>
      <c r="AO112" s="420" t="s">
        <v>195</v>
      </c>
      <c r="AP112" s="247">
        <f t="shared" si="21"/>
        <v>0</v>
      </c>
      <c r="AQ112" s="247">
        <f t="shared" si="21"/>
        <v>0</v>
      </c>
      <c r="AR112" s="247">
        <f t="shared" si="21"/>
        <v>0</v>
      </c>
      <c r="AS112" s="194"/>
      <c r="AT112" s="194"/>
      <c r="AU112" s="326"/>
    </row>
    <row r="113" spans="1:47" ht="12" customHeight="1">
      <c r="A113" s="2"/>
      <c r="B113" s="2"/>
      <c r="C113" s="2"/>
      <c r="D113" s="2"/>
      <c r="E113" s="2"/>
      <c r="F113" s="2"/>
      <c r="G113" s="2"/>
      <c r="H113" s="2"/>
      <c r="I113" s="2"/>
      <c r="J1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413" t="s">
        <v>2093</v>
      </c>
      <c r="AG113" s="2"/>
      <c r="AH113" s="2"/>
      <c r="AI113" s="2"/>
      <c r="AJ113" s="2"/>
      <c r="AK113" s="2"/>
      <c r="AL113" s="124"/>
      <c r="AM113" s="562" t="str">
        <f>AM112 &amp; ".P"</f>
        <v>AMN.P</v>
      </c>
      <c r="AN113" s="531" t="s">
        <v>842</v>
      </c>
      <c r="AO113" s="420" t="s">
        <v>23</v>
      </c>
      <c r="AP113" s="247">
        <f>IF(AP114=0,0,AP112*1000/AP114)</f>
        <v>0</v>
      </c>
      <c r="AQ113" s="247">
        <f>IF(AQ114=0,0,AQ112*1000/AQ114)</f>
        <v>0</v>
      </c>
      <c r="AR113" s="247">
        <f>IF(AR114=0,0,AR112*1000/AR114)</f>
        <v>0</v>
      </c>
      <c r="AS113" s="194"/>
      <c r="AT113" s="194"/>
      <c r="AU113" s="326"/>
    </row>
    <row r="114" spans="1:47" ht="12" customHeight="1">
      <c r="A114" s="2"/>
      <c r="B114" s="2"/>
      <c r="C114" s="2"/>
      <c r="D114" s="2"/>
      <c r="E114" s="2"/>
      <c r="F114" s="2"/>
      <c r="G114" s="2"/>
      <c r="H114" s="2"/>
      <c r="I114" s="2"/>
      <c r="J11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413" t="s">
        <v>2094</v>
      </c>
      <c r="AG114" s="2"/>
      <c r="AH114" s="2"/>
      <c r="AI114" s="2"/>
      <c r="AJ114" s="2"/>
      <c r="AK114" s="2"/>
      <c r="AL114" s="124"/>
      <c r="AM114" s="562" t="str">
        <f>AM112 &amp; ".V"</f>
        <v>AMN.V</v>
      </c>
      <c r="AN114" s="531" t="s">
        <v>245</v>
      </c>
      <c r="AO114" s="420" t="s">
        <v>289</v>
      </c>
      <c r="AP114" s="247">
        <f t="shared" ref="AP114:AR115" si="22">SUMIF($AS$9:$AT$9,AP$9,$AS114:$AT114)</f>
        <v>0</v>
      </c>
      <c r="AQ114" s="247">
        <f t="shared" si="22"/>
        <v>0</v>
      </c>
      <c r="AR114" s="247">
        <f t="shared" si="22"/>
        <v>0</v>
      </c>
      <c r="AS114" s="194"/>
      <c r="AT114" s="194"/>
      <c r="AU114" s="326"/>
    </row>
    <row r="115" spans="1:47" ht="12" customHeight="1">
      <c r="A115" s="2"/>
      <c r="B115" s="2"/>
      <c r="C115" s="2"/>
      <c r="D115" s="2"/>
      <c r="E115" s="2"/>
      <c r="F115" s="2"/>
      <c r="G115" s="2"/>
      <c r="H115" s="2"/>
      <c r="I115" s="2"/>
      <c r="J11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413" t="s">
        <v>2092</v>
      </c>
      <c r="AG115" s="2"/>
      <c r="AH115" s="2"/>
      <c r="AI115" s="2"/>
      <c r="AJ115" s="2"/>
      <c r="AK115" s="2"/>
      <c r="AL115" s="124"/>
      <c r="AM115" s="561" t="s">
        <v>2039</v>
      </c>
      <c r="AN115" s="559" t="s">
        <v>1924</v>
      </c>
      <c r="AO115" s="420" t="s">
        <v>195</v>
      </c>
      <c r="AP115" s="247">
        <f t="shared" si="22"/>
        <v>0</v>
      </c>
      <c r="AQ115" s="247">
        <f t="shared" si="22"/>
        <v>0</v>
      </c>
      <c r="AR115" s="247">
        <f t="shared" si="22"/>
        <v>0</v>
      </c>
      <c r="AS115" s="194"/>
      <c r="AT115" s="194"/>
      <c r="AU115" s="326"/>
    </row>
    <row r="116" spans="1:47" ht="12" customHeight="1">
      <c r="A116" s="2"/>
      <c r="B116" s="2"/>
      <c r="C116" s="2"/>
      <c r="D116" s="2"/>
      <c r="E116" s="2"/>
      <c r="F116" s="2"/>
      <c r="G116" s="2"/>
      <c r="H116" s="2"/>
      <c r="I116" s="2"/>
      <c r="J11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413" t="s">
        <v>2093</v>
      </c>
      <c r="AG116" s="2"/>
      <c r="AH116" s="2"/>
      <c r="AI116" s="2"/>
      <c r="AJ116" s="2"/>
      <c r="AK116" s="2"/>
      <c r="AL116" s="124"/>
      <c r="AM116" s="562" t="str">
        <f>AM115 &amp; ".P"</f>
        <v>AMNCL.P</v>
      </c>
      <c r="AN116" s="531" t="s">
        <v>842</v>
      </c>
      <c r="AO116" s="420" t="s">
        <v>23</v>
      </c>
      <c r="AP116" s="247">
        <f>IF(AP117=0,0,AP115*1000/AP117)</f>
        <v>0</v>
      </c>
      <c r="AQ116" s="247">
        <f>IF(AQ117=0,0,AQ115*1000/AQ117)</f>
        <v>0</v>
      </c>
      <c r="AR116" s="247">
        <f>IF(AR117=0,0,AR115*1000/AR117)</f>
        <v>0</v>
      </c>
      <c r="AS116" s="194"/>
      <c r="AT116" s="194"/>
      <c r="AU116" s="326"/>
    </row>
    <row r="117" spans="1:47" ht="12" customHeight="1">
      <c r="A117" s="2"/>
      <c r="B117" s="2"/>
      <c r="C117" s="2"/>
      <c r="D117" s="2"/>
      <c r="E117" s="2"/>
      <c r="F117" s="2"/>
      <c r="G117" s="2"/>
      <c r="H117" s="2"/>
      <c r="I117" s="2"/>
      <c r="J11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413" t="s">
        <v>2094</v>
      </c>
      <c r="AG117" s="2"/>
      <c r="AH117" s="2"/>
      <c r="AI117" s="2"/>
      <c r="AJ117" s="2"/>
      <c r="AK117" s="2"/>
      <c r="AL117" s="124"/>
      <c r="AM117" s="562" t="str">
        <f>AM115 &amp; ".V"</f>
        <v>AMNCL.V</v>
      </c>
      <c r="AN117" s="531" t="s">
        <v>245</v>
      </c>
      <c r="AO117" s="420" t="s">
        <v>289</v>
      </c>
      <c r="AP117" s="247">
        <f t="shared" ref="AP117:AR118" si="23">SUMIF($AS$9:$AT$9,AP$9,$AS117:$AT117)</f>
        <v>0</v>
      </c>
      <c r="AQ117" s="247">
        <f t="shared" si="23"/>
        <v>0</v>
      </c>
      <c r="AR117" s="247">
        <f t="shared" si="23"/>
        <v>0</v>
      </c>
      <c r="AS117" s="194"/>
      <c r="AT117" s="194"/>
      <c r="AU117" s="326"/>
    </row>
    <row r="118" spans="1:47" ht="12" customHeight="1">
      <c r="A118" s="2"/>
      <c r="B118" s="2"/>
      <c r="C118" s="2"/>
      <c r="D118" s="2"/>
      <c r="E118" s="2"/>
      <c r="F118" s="2"/>
      <c r="G118" s="2"/>
      <c r="H118" s="2"/>
      <c r="I118" s="2"/>
      <c r="J118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413" t="s">
        <v>2092</v>
      </c>
      <c r="AG118" s="2"/>
      <c r="AH118" s="2"/>
      <c r="AI118" s="2"/>
      <c r="AJ118" s="2"/>
      <c r="AK118" s="2"/>
      <c r="AL118" s="124"/>
      <c r="AM118" s="561" t="s">
        <v>2040</v>
      </c>
      <c r="AN118" s="559" t="s">
        <v>1925</v>
      </c>
      <c r="AO118" s="420" t="s">
        <v>195</v>
      </c>
      <c r="AP118" s="247">
        <f t="shared" si="23"/>
        <v>0</v>
      </c>
      <c r="AQ118" s="247">
        <f t="shared" si="23"/>
        <v>0</v>
      </c>
      <c r="AR118" s="247">
        <f t="shared" si="23"/>
        <v>0</v>
      </c>
      <c r="AS118" s="194"/>
      <c r="AT118" s="194"/>
      <c r="AU118" s="326"/>
    </row>
    <row r="119" spans="1:47" ht="12" customHeight="1">
      <c r="A119" s="2"/>
      <c r="B119" s="2"/>
      <c r="C119" s="2"/>
      <c r="D119" s="2"/>
      <c r="E119" s="2"/>
      <c r="F119" s="2"/>
      <c r="G119" s="2"/>
      <c r="H119" s="2"/>
      <c r="I119" s="2"/>
      <c r="J11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413" t="s">
        <v>2093</v>
      </c>
      <c r="AG119" s="2"/>
      <c r="AH119" s="2"/>
      <c r="AI119" s="2"/>
      <c r="AJ119" s="2"/>
      <c r="AK119" s="2"/>
      <c r="AL119" s="124"/>
      <c r="AM119" s="562" t="str">
        <f>AM118 &amp; ".P"</f>
        <v>BACL.P</v>
      </c>
      <c r="AN119" s="531" t="s">
        <v>842</v>
      </c>
      <c r="AO119" s="420" t="s">
        <v>23</v>
      </c>
      <c r="AP119" s="247">
        <f>IF(AP120=0,0,AP118*1000/AP120)</f>
        <v>0</v>
      </c>
      <c r="AQ119" s="247">
        <f>IF(AQ120=0,0,AQ118*1000/AQ120)</f>
        <v>0</v>
      </c>
      <c r="AR119" s="247">
        <f>IF(AR120=0,0,AR118*1000/AR120)</f>
        <v>0</v>
      </c>
      <c r="AS119" s="194"/>
      <c r="AT119" s="194"/>
      <c r="AU119" s="326"/>
    </row>
    <row r="120" spans="1:47" ht="12" customHeight="1">
      <c r="A120" s="2"/>
      <c r="B120" s="2"/>
      <c r="C120" s="2"/>
      <c r="D120" s="2"/>
      <c r="E120" s="2"/>
      <c r="F120" s="2"/>
      <c r="G120" s="2"/>
      <c r="H120" s="2"/>
      <c r="I120" s="2"/>
      <c r="J120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413" t="s">
        <v>2094</v>
      </c>
      <c r="AG120" s="2"/>
      <c r="AH120" s="2"/>
      <c r="AI120" s="2"/>
      <c r="AJ120" s="2"/>
      <c r="AK120" s="2"/>
      <c r="AL120" s="124"/>
      <c r="AM120" s="562" t="str">
        <f>AM118 &amp; ".V"</f>
        <v>BACL.V</v>
      </c>
      <c r="AN120" s="531" t="s">
        <v>245</v>
      </c>
      <c r="AO120" s="420" t="s">
        <v>289</v>
      </c>
      <c r="AP120" s="247">
        <f t="shared" ref="AP120:AR121" si="24">SUMIF($AS$9:$AT$9,AP$9,$AS120:$AT120)</f>
        <v>0</v>
      </c>
      <c r="AQ120" s="247">
        <f t="shared" si="24"/>
        <v>0</v>
      </c>
      <c r="AR120" s="247">
        <f t="shared" si="24"/>
        <v>0</v>
      </c>
      <c r="AS120" s="194"/>
      <c r="AT120" s="194"/>
      <c r="AU120" s="326"/>
    </row>
    <row r="121" spans="1:47" ht="12" customHeight="1">
      <c r="A121" s="2"/>
      <c r="B121" s="2"/>
      <c r="C121" s="2"/>
      <c r="D121" s="2"/>
      <c r="E121" s="2"/>
      <c r="F121" s="2"/>
      <c r="G121" s="2"/>
      <c r="H121" s="2"/>
      <c r="I121" s="2"/>
      <c r="J12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413" t="s">
        <v>2092</v>
      </c>
      <c r="AG121" s="2"/>
      <c r="AH121" s="2"/>
      <c r="AI121" s="2"/>
      <c r="AJ121" s="2"/>
      <c r="AK121" s="2"/>
      <c r="AL121" s="124"/>
      <c r="AM121" s="561" t="s">
        <v>2006</v>
      </c>
      <c r="AN121" s="559" t="s">
        <v>1926</v>
      </c>
      <c r="AO121" s="420" t="s">
        <v>195</v>
      </c>
      <c r="AP121" s="247">
        <f t="shared" si="24"/>
        <v>0</v>
      </c>
      <c r="AQ121" s="247">
        <f t="shared" si="24"/>
        <v>0</v>
      </c>
      <c r="AR121" s="247">
        <f t="shared" si="24"/>
        <v>0</v>
      </c>
      <c r="AS121" s="194"/>
      <c r="AT121" s="194"/>
      <c r="AU121" s="326"/>
    </row>
    <row r="122" spans="1:47" ht="12" customHeight="1">
      <c r="A122" s="2"/>
      <c r="B122" s="2"/>
      <c r="C122" s="2"/>
      <c r="D122" s="2"/>
      <c r="E122" s="2"/>
      <c r="F122" s="2"/>
      <c r="G122" s="2"/>
      <c r="H122" s="2"/>
      <c r="I122" s="2"/>
      <c r="J1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413" t="s">
        <v>2093</v>
      </c>
      <c r="AG122" s="2"/>
      <c r="AH122" s="2"/>
      <c r="AI122" s="2"/>
      <c r="AJ122" s="2"/>
      <c r="AK122" s="2"/>
      <c r="AL122" s="124"/>
      <c r="AM122" s="562" t="str">
        <f>AM121 &amp; ".P"</f>
        <v>BIOX.P</v>
      </c>
      <c r="AN122" s="531" t="s">
        <v>842</v>
      </c>
      <c r="AO122" s="420" t="s">
        <v>23</v>
      </c>
      <c r="AP122" s="247">
        <f>IF(AP123=0,0,AP121*1000/AP123)</f>
        <v>0</v>
      </c>
      <c r="AQ122" s="247">
        <f>IF(AQ123=0,0,AQ121*1000/AQ123)</f>
        <v>0</v>
      </c>
      <c r="AR122" s="247">
        <f>IF(AR123=0,0,AR121*1000/AR123)</f>
        <v>0</v>
      </c>
      <c r="AS122" s="194"/>
      <c r="AT122" s="194"/>
      <c r="AU122" s="326"/>
    </row>
    <row r="123" spans="1:47" ht="12" customHeight="1">
      <c r="A123" s="2"/>
      <c r="B123" s="2"/>
      <c r="C123" s="2"/>
      <c r="D123" s="2"/>
      <c r="E123" s="2"/>
      <c r="F123" s="2"/>
      <c r="G123" s="2"/>
      <c r="H123" s="2"/>
      <c r="I123" s="2"/>
      <c r="J12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413" t="s">
        <v>2094</v>
      </c>
      <c r="AG123" s="2"/>
      <c r="AH123" s="2"/>
      <c r="AI123" s="2"/>
      <c r="AJ123" s="2"/>
      <c r="AK123" s="2"/>
      <c r="AL123" s="124"/>
      <c r="AM123" s="562" t="str">
        <f>AM121 &amp; ".V"</f>
        <v>BIOX.V</v>
      </c>
      <c r="AN123" s="531" t="s">
        <v>245</v>
      </c>
      <c r="AO123" s="420" t="s">
        <v>289</v>
      </c>
      <c r="AP123" s="247">
        <f t="shared" ref="AP123:AR124" si="25">SUMIF($AS$9:$AT$9,AP$9,$AS123:$AT123)</f>
        <v>0</v>
      </c>
      <c r="AQ123" s="247">
        <f t="shared" si="25"/>
        <v>0</v>
      </c>
      <c r="AR123" s="247">
        <f t="shared" si="25"/>
        <v>0</v>
      </c>
      <c r="AS123" s="194"/>
      <c r="AT123" s="194"/>
      <c r="AU123" s="326"/>
    </row>
    <row r="124" spans="1:47" ht="12" customHeight="1">
      <c r="A124" s="2"/>
      <c r="B124" s="2"/>
      <c r="C124" s="2"/>
      <c r="D124" s="2"/>
      <c r="E124" s="2"/>
      <c r="F124" s="2"/>
      <c r="G124" s="2"/>
      <c r="H124" s="2"/>
      <c r="I124" s="2"/>
      <c r="J12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413" t="s">
        <v>2092</v>
      </c>
      <c r="AG124" s="2"/>
      <c r="AH124" s="2"/>
      <c r="AI124" s="2"/>
      <c r="AJ124" s="2"/>
      <c r="AK124" s="2"/>
      <c r="AL124" s="124"/>
      <c r="AM124" s="561" t="s">
        <v>2007</v>
      </c>
      <c r="AN124" s="559" t="s">
        <v>1927</v>
      </c>
      <c r="AO124" s="420" t="s">
        <v>195</v>
      </c>
      <c r="AP124" s="247">
        <f t="shared" si="25"/>
        <v>0</v>
      </c>
      <c r="AQ124" s="247">
        <f t="shared" si="25"/>
        <v>0</v>
      </c>
      <c r="AR124" s="247">
        <f t="shared" si="25"/>
        <v>0</v>
      </c>
      <c r="AS124" s="194"/>
      <c r="AT124" s="194"/>
      <c r="AU124" s="326"/>
    </row>
    <row r="125" spans="1:47" ht="12" customHeight="1">
      <c r="A125" s="2"/>
      <c r="B125" s="2"/>
      <c r="C125" s="2"/>
      <c r="D125" s="2"/>
      <c r="E125" s="2"/>
      <c r="F125" s="2"/>
      <c r="G125" s="2"/>
      <c r="H125" s="2"/>
      <c r="I125" s="2"/>
      <c r="J1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413" t="s">
        <v>2093</v>
      </c>
      <c r="AG125" s="2"/>
      <c r="AH125" s="2"/>
      <c r="AI125" s="2"/>
      <c r="AJ125" s="2"/>
      <c r="AK125" s="2"/>
      <c r="AL125" s="124"/>
      <c r="AM125" s="562" t="str">
        <f>AM124 &amp; ".P"</f>
        <v>BRFNL.P</v>
      </c>
      <c r="AN125" s="531" t="s">
        <v>842</v>
      </c>
      <c r="AO125" s="420" t="s">
        <v>23</v>
      </c>
      <c r="AP125" s="247">
        <f>IF(AP126=0,0,AP124*1000/AP126)</f>
        <v>0</v>
      </c>
      <c r="AQ125" s="247">
        <f>IF(AQ126=0,0,AQ124*1000/AQ126)</f>
        <v>0</v>
      </c>
      <c r="AR125" s="247">
        <f>IF(AR126=0,0,AR124*1000/AR126)</f>
        <v>0</v>
      </c>
      <c r="AS125" s="194"/>
      <c r="AT125" s="194"/>
      <c r="AU125" s="326"/>
    </row>
    <row r="126" spans="1:47" ht="12" customHeight="1">
      <c r="A126" s="2"/>
      <c r="B126" s="2"/>
      <c r="C126" s="2"/>
      <c r="D126" s="2"/>
      <c r="E126" s="2"/>
      <c r="F126" s="2"/>
      <c r="G126" s="2"/>
      <c r="H126" s="2"/>
      <c r="I126" s="2"/>
      <c r="J12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413" t="s">
        <v>2094</v>
      </c>
      <c r="AG126" s="2"/>
      <c r="AH126" s="2"/>
      <c r="AI126" s="2"/>
      <c r="AJ126" s="2"/>
      <c r="AK126" s="2"/>
      <c r="AL126" s="124"/>
      <c r="AM126" s="562" t="str">
        <f>AM124 &amp; ".V"</f>
        <v>BRFNL.V</v>
      </c>
      <c r="AN126" s="531" t="s">
        <v>245</v>
      </c>
      <c r="AO126" s="420" t="s">
        <v>289</v>
      </c>
      <c r="AP126" s="247">
        <f t="shared" ref="AP126:AR127" si="26">SUMIF($AS$9:$AT$9,AP$9,$AS126:$AT126)</f>
        <v>0</v>
      </c>
      <c r="AQ126" s="247">
        <f t="shared" si="26"/>
        <v>0</v>
      </c>
      <c r="AR126" s="247">
        <f t="shared" si="26"/>
        <v>0</v>
      </c>
      <c r="AS126" s="194"/>
      <c r="AT126" s="194"/>
      <c r="AU126" s="326"/>
    </row>
    <row r="127" spans="1:47" ht="12" customHeight="1">
      <c r="A127" s="2"/>
      <c r="B127" s="2"/>
      <c r="C127" s="2"/>
      <c r="D127" s="2"/>
      <c r="E127" s="2"/>
      <c r="F127" s="2"/>
      <c r="G127" s="2"/>
      <c r="H127" s="2"/>
      <c r="I127" s="2"/>
      <c r="J12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413" t="s">
        <v>2092</v>
      </c>
      <c r="AG127" s="2"/>
      <c r="AH127" s="2"/>
      <c r="AI127" s="2"/>
      <c r="AJ127" s="2"/>
      <c r="AK127" s="2"/>
      <c r="AL127" s="124"/>
      <c r="AM127" s="561" t="s">
        <v>2008</v>
      </c>
      <c r="AN127" s="559" t="s">
        <v>1928</v>
      </c>
      <c r="AO127" s="420" t="s">
        <v>195</v>
      </c>
      <c r="AP127" s="247">
        <f t="shared" si="26"/>
        <v>0</v>
      </c>
      <c r="AQ127" s="247">
        <f t="shared" si="26"/>
        <v>0</v>
      </c>
      <c r="AR127" s="247">
        <f t="shared" si="26"/>
        <v>0</v>
      </c>
      <c r="AS127" s="194"/>
      <c r="AT127" s="194"/>
      <c r="AU127" s="326"/>
    </row>
    <row r="128" spans="1:47" ht="12" customHeight="1">
      <c r="A128" s="2"/>
      <c r="B128" s="2"/>
      <c r="C128" s="2"/>
      <c r="D128" s="2"/>
      <c r="E128" s="2"/>
      <c r="F128" s="2"/>
      <c r="G128" s="2"/>
      <c r="H128" s="2"/>
      <c r="I128" s="2"/>
      <c r="J128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413" t="s">
        <v>2093</v>
      </c>
      <c r="AG128" s="2"/>
      <c r="AH128" s="2"/>
      <c r="AI128" s="2"/>
      <c r="AJ128" s="2"/>
      <c r="AK128" s="2"/>
      <c r="AL128" s="124"/>
      <c r="AM128" s="562" t="str">
        <f>AM127 &amp; ".P"</f>
        <v>HDOX.P</v>
      </c>
      <c r="AN128" s="531" t="s">
        <v>842</v>
      </c>
      <c r="AO128" s="420" t="s">
        <v>23</v>
      </c>
      <c r="AP128" s="247">
        <f>IF(AP129=0,0,AP127*1000/AP129)</f>
        <v>0</v>
      </c>
      <c r="AQ128" s="247">
        <f>IF(AQ129=0,0,AQ127*1000/AQ129)</f>
        <v>0</v>
      </c>
      <c r="AR128" s="247">
        <f>IF(AR129=0,0,AR127*1000/AR129)</f>
        <v>0</v>
      </c>
      <c r="AS128" s="194"/>
      <c r="AT128" s="194"/>
      <c r="AU128" s="326"/>
    </row>
    <row r="129" spans="1:47" ht="12" customHeight="1">
      <c r="A129" s="2"/>
      <c r="B129" s="2"/>
      <c r="C129" s="2"/>
      <c r="D129" s="2"/>
      <c r="E129" s="2"/>
      <c r="F129" s="2"/>
      <c r="G129" s="2"/>
      <c r="H129" s="2"/>
      <c r="I129" s="2"/>
      <c r="J12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413" t="s">
        <v>2094</v>
      </c>
      <c r="AG129" s="2"/>
      <c r="AH129" s="2"/>
      <c r="AI129" s="2"/>
      <c r="AJ129" s="2"/>
      <c r="AK129" s="2"/>
      <c r="AL129" s="124"/>
      <c r="AM129" s="562" t="str">
        <f>AM127 &amp; ".V"</f>
        <v>HDOX.V</v>
      </c>
      <c r="AN129" s="531" t="s">
        <v>245</v>
      </c>
      <c r="AO129" s="420" t="s">
        <v>289</v>
      </c>
      <c r="AP129" s="247">
        <f t="shared" ref="AP129:AR130" si="27">SUMIF($AS$9:$AT$9,AP$9,$AS129:$AT129)</f>
        <v>0</v>
      </c>
      <c r="AQ129" s="247">
        <f t="shared" si="27"/>
        <v>0</v>
      </c>
      <c r="AR129" s="247">
        <f t="shared" si="27"/>
        <v>0</v>
      </c>
      <c r="AS129" s="194"/>
      <c r="AT129" s="194"/>
      <c r="AU129" s="326"/>
    </row>
    <row r="130" spans="1:47" ht="12" customHeight="1">
      <c r="A130" s="2"/>
      <c r="B130" s="2"/>
      <c r="C130" s="2"/>
      <c r="D130" s="2"/>
      <c r="E130" s="2"/>
      <c r="F130" s="2"/>
      <c r="G130" s="2"/>
      <c r="H130" s="2"/>
      <c r="I130" s="2"/>
      <c r="J130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413" t="s">
        <v>2092</v>
      </c>
      <c r="AG130" s="2"/>
      <c r="AH130" s="2"/>
      <c r="AI130" s="2"/>
      <c r="AJ130" s="2"/>
      <c r="AK130" s="2"/>
      <c r="AL130" s="124"/>
      <c r="AM130" s="561" t="s">
        <v>2009</v>
      </c>
      <c r="AN130" s="559" t="s">
        <v>1929</v>
      </c>
      <c r="AO130" s="420" t="s">
        <v>195</v>
      </c>
      <c r="AP130" s="247">
        <f t="shared" si="27"/>
        <v>0</v>
      </c>
      <c r="AQ130" s="247">
        <f t="shared" si="27"/>
        <v>0</v>
      </c>
      <c r="AR130" s="247">
        <f t="shared" si="27"/>
        <v>0</v>
      </c>
      <c r="AS130" s="194"/>
      <c r="AT130" s="194"/>
      <c r="AU130" s="326"/>
    </row>
    <row r="131" spans="1:47" ht="12" customHeight="1">
      <c r="A131" s="2"/>
      <c r="B131" s="2"/>
      <c r="C131" s="2"/>
      <c r="D131" s="2"/>
      <c r="E131" s="2"/>
      <c r="F131" s="2"/>
      <c r="G131" s="2"/>
      <c r="H131" s="2"/>
      <c r="I131" s="2"/>
      <c r="J13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413" t="s">
        <v>2093</v>
      </c>
      <c r="AG131" s="2"/>
      <c r="AH131" s="2"/>
      <c r="AI131" s="2"/>
      <c r="AJ131" s="2"/>
      <c r="AK131" s="2"/>
      <c r="AL131" s="124"/>
      <c r="AM131" s="562" t="str">
        <f>AM130 &amp; ".P"</f>
        <v>GEXN.P</v>
      </c>
      <c r="AN131" s="531" t="s">
        <v>842</v>
      </c>
      <c r="AO131" s="420" t="s">
        <v>23</v>
      </c>
      <c r="AP131" s="247">
        <f>IF(AP132=0,0,AP130*1000/AP132)</f>
        <v>0</v>
      </c>
      <c r="AQ131" s="247">
        <f>IF(AQ132=0,0,AQ130*1000/AQ132)</f>
        <v>0</v>
      </c>
      <c r="AR131" s="247">
        <f>IF(AR132=0,0,AR130*1000/AR132)</f>
        <v>0</v>
      </c>
      <c r="AS131" s="194"/>
      <c r="AT131" s="194"/>
      <c r="AU131" s="326"/>
    </row>
    <row r="132" spans="1:47" ht="12" customHeight="1">
      <c r="A132" s="2"/>
      <c r="B132" s="2"/>
      <c r="C132" s="2"/>
      <c r="D132" s="2"/>
      <c r="E132" s="2"/>
      <c r="F132" s="2"/>
      <c r="G132" s="2"/>
      <c r="H132" s="2"/>
      <c r="I132" s="2"/>
      <c r="J13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413" t="s">
        <v>2094</v>
      </c>
      <c r="AG132" s="2"/>
      <c r="AH132" s="2"/>
      <c r="AI132" s="2"/>
      <c r="AJ132" s="2"/>
      <c r="AK132" s="2"/>
      <c r="AL132" s="124"/>
      <c r="AM132" s="562" t="str">
        <f>AM130 &amp; ".V"</f>
        <v>GEXN.V</v>
      </c>
      <c r="AN132" s="531" t="s">
        <v>245</v>
      </c>
      <c r="AO132" s="420" t="s">
        <v>289</v>
      </c>
      <c r="AP132" s="247">
        <f t="shared" ref="AP132:AR133" si="28">SUMIF($AS$9:$AT$9,AP$9,$AS132:$AT132)</f>
        <v>0</v>
      </c>
      <c r="AQ132" s="247">
        <f t="shared" si="28"/>
        <v>0</v>
      </c>
      <c r="AR132" s="247">
        <f t="shared" si="28"/>
        <v>0</v>
      </c>
      <c r="AS132" s="194"/>
      <c r="AT132" s="194"/>
      <c r="AU132" s="326"/>
    </row>
    <row r="133" spans="1:47" ht="12" customHeight="1">
      <c r="A133" s="2"/>
      <c r="B133" s="2"/>
      <c r="C133" s="2"/>
      <c r="D133" s="2"/>
      <c r="E133" s="2"/>
      <c r="F133" s="2"/>
      <c r="G133" s="2"/>
      <c r="H133" s="2"/>
      <c r="I133" s="2"/>
      <c r="J13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413" t="s">
        <v>2092</v>
      </c>
      <c r="AG133" s="2"/>
      <c r="AH133" s="2"/>
      <c r="AI133" s="2"/>
      <c r="AJ133" s="2"/>
      <c r="AK133" s="2"/>
      <c r="AL133" s="124"/>
      <c r="AM133" s="561" t="s">
        <v>2041</v>
      </c>
      <c r="AN133" s="559" t="s">
        <v>1930</v>
      </c>
      <c r="AO133" s="420" t="s">
        <v>195</v>
      </c>
      <c r="AP133" s="247">
        <f t="shared" si="28"/>
        <v>0</v>
      </c>
      <c r="AQ133" s="247">
        <f t="shared" si="28"/>
        <v>0</v>
      </c>
      <c r="AR133" s="247">
        <f t="shared" si="28"/>
        <v>0</v>
      </c>
      <c r="AS133" s="194"/>
      <c r="AT133" s="194"/>
      <c r="AU133" s="326"/>
    </row>
    <row r="134" spans="1:47" ht="12" customHeight="1">
      <c r="A134" s="2"/>
      <c r="B134" s="2"/>
      <c r="C134" s="2"/>
      <c r="D134" s="2"/>
      <c r="E134" s="2"/>
      <c r="F134" s="2"/>
      <c r="G134" s="2"/>
      <c r="H134" s="2"/>
      <c r="I134" s="2"/>
      <c r="J13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413" t="s">
        <v>2093</v>
      </c>
      <c r="AG134" s="2"/>
      <c r="AH134" s="2"/>
      <c r="AI134" s="2"/>
      <c r="AJ134" s="2"/>
      <c r="AK134" s="2"/>
      <c r="AL134" s="124"/>
      <c r="AM134" s="562" t="str">
        <f>AM133 &amp; ".P"</f>
        <v>HDOXCL.P</v>
      </c>
      <c r="AN134" s="531" t="s">
        <v>842</v>
      </c>
      <c r="AO134" s="420" t="s">
        <v>23</v>
      </c>
      <c r="AP134" s="247">
        <f>IF(AP135=0,0,AP133*1000/AP135)</f>
        <v>0</v>
      </c>
      <c r="AQ134" s="247">
        <f>IF(AQ135=0,0,AQ133*1000/AQ135)</f>
        <v>0</v>
      </c>
      <c r="AR134" s="247">
        <f>IF(AR135=0,0,AR133*1000/AR135)</f>
        <v>0</v>
      </c>
      <c r="AS134" s="194"/>
      <c r="AT134" s="194"/>
      <c r="AU134" s="326"/>
    </row>
    <row r="135" spans="1:47" ht="12" customHeight="1">
      <c r="A135" s="2"/>
      <c r="B135" s="2"/>
      <c r="C135" s="2"/>
      <c r="D135" s="2"/>
      <c r="E135" s="2"/>
      <c r="F135" s="2"/>
      <c r="G135" s="2"/>
      <c r="H135" s="2"/>
      <c r="I135" s="2"/>
      <c r="J13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413" t="s">
        <v>2094</v>
      </c>
      <c r="AG135" s="2"/>
      <c r="AH135" s="2"/>
      <c r="AI135" s="2"/>
      <c r="AJ135" s="2"/>
      <c r="AK135" s="2"/>
      <c r="AL135" s="124"/>
      <c r="AM135" s="562" t="str">
        <f>AM133 &amp; ".V"</f>
        <v>HDOXCL.V</v>
      </c>
      <c r="AN135" s="531" t="s">
        <v>245</v>
      </c>
      <c r="AO135" s="420" t="s">
        <v>289</v>
      </c>
      <c r="AP135" s="247">
        <f t="shared" ref="AP135:AR136" si="29">SUMIF($AS$9:$AT$9,AP$9,$AS135:$AT135)</f>
        <v>0</v>
      </c>
      <c r="AQ135" s="247">
        <f t="shared" si="29"/>
        <v>0</v>
      </c>
      <c r="AR135" s="247">
        <f t="shared" si="29"/>
        <v>0</v>
      </c>
      <c r="AS135" s="194"/>
      <c r="AT135" s="194"/>
      <c r="AU135" s="326"/>
    </row>
    <row r="136" spans="1:47" ht="12" customHeight="1">
      <c r="A136" s="2"/>
      <c r="B136" s="2"/>
      <c r="C136" s="2"/>
      <c r="D136" s="2"/>
      <c r="E136" s="2"/>
      <c r="F136" s="2"/>
      <c r="G136" s="2"/>
      <c r="H136" s="2"/>
      <c r="I136" s="2"/>
      <c r="J136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413" t="s">
        <v>2092</v>
      </c>
      <c r="AG136" s="2"/>
      <c r="AH136" s="2"/>
      <c r="AI136" s="2"/>
      <c r="AJ136" s="2"/>
      <c r="AK136" s="2"/>
      <c r="AL136" s="124"/>
      <c r="AM136" s="561" t="s">
        <v>2042</v>
      </c>
      <c r="AN136" s="559" t="s">
        <v>1931</v>
      </c>
      <c r="AO136" s="420" t="s">
        <v>195</v>
      </c>
      <c r="AP136" s="247">
        <f t="shared" si="29"/>
        <v>0</v>
      </c>
      <c r="AQ136" s="247">
        <f t="shared" si="29"/>
        <v>0</v>
      </c>
      <c r="AR136" s="247">
        <f t="shared" si="29"/>
        <v>0</v>
      </c>
      <c r="AS136" s="194"/>
      <c r="AT136" s="194"/>
      <c r="AU136" s="326"/>
    </row>
    <row r="137" spans="1:47" ht="12" customHeight="1">
      <c r="A137" s="2"/>
      <c r="B137" s="2"/>
      <c r="C137" s="2"/>
      <c r="D137" s="2"/>
      <c r="E137" s="2"/>
      <c r="F137" s="2"/>
      <c r="G137" s="2"/>
      <c r="H137" s="2"/>
      <c r="I137" s="2"/>
      <c r="J13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413" t="s">
        <v>2093</v>
      </c>
      <c r="AG137" s="2"/>
      <c r="AH137" s="2"/>
      <c r="AI137" s="2"/>
      <c r="AJ137" s="2"/>
      <c r="AK137" s="2"/>
      <c r="AL137" s="124"/>
      <c r="AM137" s="562" t="str">
        <f>AM136 &amp; ".P"</f>
        <v>HDCLCA.P</v>
      </c>
      <c r="AN137" s="531" t="s">
        <v>842</v>
      </c>
      <c r="AO137" s="420" t="s">
        <v>23</v>
      </c>
      <c r="AP137" s="247">
        <f>IF(AP138=0,0,AP136*1000/AP138)</f>
        <v>0</v>
      </c>
      <c r="AQ137" s="247">
        <f>IF(AQ138=0,0,AQ136*1000/AQ138)</f>
        <v>0</v>
      </c>
      <c r="AR137" s="247">
        <f>IF(AR138=0,0,AR136*1000/AR138)</f>
        <v>0</v>
      </c>
      <c r="AS137" s="194"/>
      <c r="AT137" s="194"/>
      <c r="AU137" s="326"/>
    </row>
    <row r="138" spans="1:47" ht="12" customHeight="1">
      <c r="A138" s="2"/>
      <c r="B138" s="2"/>
      <c r="C138" s="2"/>
      <c r="D138" s="2"/>
      <c r="E138" s="2"/>
      <c r="F138" s="2"/>
      <c r="G138" s="2"/>
      <c r="H138" s="2"/>
      <c r="I138" s="2"/>
      <c r="J13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413" t="s">
        <v>2094</v>
      </c>
      <c r="AG138" s="2"/>
      <c r="AH138" s="2"/>
      <c r="AI138" s="2"/>
      <c r="AJ138" s="2"/>
      <c r="AK138" s="2"/>
      <c r="AL138" s="124"/>
      <c r="AM138" s="562" t="str">
        <f>AM136 &amp; ".V"</f>
        <v>HDCLCA.V</v>
      </c>
      <c r="AN138" s="531" t="s">
        <v>245</v>
      </c>
      <c r="AO138" s="420" t="s">
        <v>289</v>
      </c>
      <c r="AP138" s="247">
        <f t="shared" ref="AP138:AR139" si="30">SUMIF($AS$9:$AT$9,AP$9,$AS138:$AT138)</f>
        <v>0</v>
      </c>
      <c r="AQ138" s="247">
        <f t="shared" si="30"/>
        <v>0</v>
      </c>
      <c r="AR138" s="247">
        <f t="shared" si="30"/>
        <v>0</v>
      </c>
      <c r="AS138" s="194"/>
      <c r="AT138" s="194"/>
      <c r="AU138" s="326"/>
    </row>
    <row r="139" spans="1:47" ht="12" customHeight="1">
      <c r="A139" s="2"/>
      <c r="B139" s="2"/>
      <c r="C139" s="2"/>
      <c r="D139" s="2"/>
      <c r="E139" s="2"/>
      <c r="F139" s="2"/>
      <c r="G139" s="2"/>
      <c r="H139" s="2"/>
      <c r="I139" s="2"/>
      <c r="J13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413" t="s">
        <v>2092</v>
      </c>
      <c r="AG139" s="2"/>
      <c r="AH139" s="2"/>
      <c r="AI139" s="2"/>
      <c r="AJ139" s="2"/>
      <c r="AK139" s="2"/>
      <c r="AL139" s="124"/>
      <c r="AM139" s="561" t="s">
        <v>2043</v>
      </c>
      <c r="AN139" s="559" t="s">
        <v>1932</v>
      </c>
      <c r="AO139" s="420" t="s">
        <v>195</v>
      </c>
      <c r="AP139" s="247">
        <f t="shared" si="30"/>
        <v>0</v>
      </c>
      <c r="AQ139" s="247">
        <f t="shared" si="30"/>
        <v>0</v>
      </c>
      <c r="AR139" s="247">
        <f t="shared" si="30"/>
        <v>0</v>
      </c>
      <c r="AS139" s="194"/>
      <c r="AT139" s="194"/>
      <c r="AU139" s="326"/>
    </row>
    <row r="140" spans="1:47" ht="12" customHeight="1">
      <c r="A140" s="2"/>
      <c r="B140" s="2"/>
      <c r="C140" s="2"/>
      <c r="D140" s="2"/>
      <c r="E140" s="2"/>
      <c r="F140" s="2"/>
      <c r="G140" s="2"/>
      <c r="H140" s="2"/>
      <c r="I140" s="2"/>
      <c r="J14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413" t="s">
        <v>2093</v>
      </c>
      <c r="AG140" s="2"/>
      <c r="AH140" s="2"/>
      <c r="AI140" s="2"/>
      <c r="AJ140" s="2"/>
      <c r="AK140" s="2"/>
      <c r="AL140" s="124"/>
      <c r="AM140" s="562" t="str">
        <f>AM139 &amp; ".P"</f>
        <v>HPCLCA.P</v>
      </c>
      <c r="AN140" s="531" t="s">
        <v>842</v>
      </c>
      <c r="AO140" s="420" t="s">
        <v>23</v>
      </c>
      <c r="AP140" s="247">
        <f>IF(AP141=0,0,AP139*1000/AP141)</f>
        <v>0</v>
      </c>
      <c r="AQ140" s="247">
        <f>IF(AQ141=0,0,AQ139*1000/AQ141)</f>
        <v>0</v>
      </c>
      <c r="AR140" s="247">
        <f>IF(AR141=0,0,AR139*1000/AR141)</f>
        <v>0</v>
      </c>
      <c r="AS140" s="194"/>
      <c r="AT140" s="194"/>
      <c r="AU140" s="326"/>
    </row>
    <row r="141" spans="1:47" ht="12" customHeight="1">
      <c r="A141" s="2"/>
      <c r="B141" s="2"/>
      <c r="C141" s="2"/>
      <c r="D141" s="2"/>
      <c r="E141" s="2"/>
      <c r="F141" s="2"/>
      <c r="G141" s="2"/>
      <c r="H141" s="2"/>
      <c r="I141" s="2"/>
      <c r="J14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413" t="s">
        <v>2094</v>
      </c>
      <c r="AG141" s="2"/>
      <c r="AH141" s="2"/>
      <c r="AI141" s="2"/>
      <c r="AJ141" s="2"/>
      <c r="AK141" s="2"/>
      <c r="AL141" s="124"/>
      <c r="AM141" s="562" t="str">
        <f>AM139 &amp; ".V"</f>
        <v>HPCLCA.V</v>
      </c>
      <c r="AN141" s="531" t="s">
        <v>245</v>
      </c>
      <c r="AO141" s="420" t="s">
        <v>289</v>
      </c>
      <c r="AP141" s="247">
        <f t="shared" ref="AP141:AR142" si="31">SUMIF($AS$9:$AT$9,AP$9,$AS141:$AT141)</f>
        <v>0</v>
      </c>
      <c r="AQ141" s="247">
        <f t="shared" si="31"/>
        <v>0</v>
      </c>
      <c r="AR141" s="247">
        <f t="shared" si="31"/>
        <v>0</v>
      </c>
      <c r="AS141" s="194"/>
      <c r="AT141" s="194"/>
      <c r="AU141" s="326"/>
    </row>
    <row r="142" spans="1:47" ht="12" customHeight="1">
      <c r="A142" s="2"/>
      <c r="B142" s="2"/>
      <c r="C142" s="2"/>
      <c r="D142" s="2"/>
      <c r="E142" s="2"/>
      <c r="F142" s="2"/>
      <c r="G142" s="2"/>
      <c r="H142" s="2"/>
      <c r="I142" s="2"/>
      <c r="J14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413" t="s">
        <v>2092</v>
      </c>
      <c r="AG142" s="2"/>
      <c r="AH142" s="2"/>
      <c r="AI142" s="2"/>
      <c r="AJ142" s="2"/>
      <c r="AK142" s="2"/>
      <c r="AL142" s="124"/>
      <c r="AM142" s="561" t="s">
        <v>2044</v>
      </c>
      <c r="AN142" s="559" t="s">
        <v>1933</v>
      </c>
      <c r="AO142" s="420" t="s">
        <v>195</v>
      </c>
      <c r="AP142" s="247">
        <f t="shared" si="31"/>
        <v>0</v>
      </c>
      <c r="AQ142" s="247">
        <f t="shared" si="31"/>
        <v>0</v>
      </c>
      <c r="AR142" s="247">
        <f t="shared" si="31"/>
        <v>0</v>
      </c>
      <c r="AS142" s="194"/>
      <c r="AT142" s="194"/>
      <c r="AU142" s="326"/>
    </row>
    <row r="143" spans="1:47" ht="12" customHeight="1">
      <c r="A143" s="2"/>
      <c r="B143" s="2"/>
      <c r="C143" s="2"/>
      <c r="D143" s="2"/>
      <c r="E143" s="2"/>
      <c r="F143" s="2"/>
      <c r="G143" s="2"/>
      <c r="H143" s="2"/>
      <c r="I143" s="2"/>
      <c r="J14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413" t="s">
        <v>2093</v>
      </c>
      <c r="AG143" s="2"/>
      <c r="AH143" s="2"/>
      <c r="AI143" s="2"/>
      <c r="AJ143" s="2"/>
      <c r="AK143" s="2"/>
      <c r="AL143" s="124"/>
      <c r="AM143" s="562" t="str">
        <f>AM142 &amp; ".P"</f>
        <v>HPCLNA.P</v>
      </c>
      <c r="AN143" s="531" t="s">
        <v>842</v>
      </c>
      <c r="AO143" s="420" t="s">
        <v>23</v>
      </c>
      <c r="AP143" s="247">
        <f>IF(AP144=0,0,AP142*1000/AP144)</f>
        <v>0</v>
      </c>
      <c r="AQ143" s="247">
        <f>IF(AQ144=0,0,AQ142*1000/AQ144)</f>
        <v>0</v>
      </c>
      <c r="AR143" s="247">
        <f>IF(AR144=0,0,AR142*1000/AR144)</f>
        <v>0</v>
      </c>
      <c r="AS143" s="194"/>
      <c r="AT143" s="194"/>
      <c r="AU143" s="326"/>
    </row>
    <row r="144" spans="1:47" ht="12" customHeight="1">
      <c r="A144" s="2"/>
      <c r="B144" s="2"/>
      <c r="C144" s="2"/>
      <c r="D144" s="2"/>
      <c r="E144" s="2"/>
      <c r="F144" s="2"/>
      <c r="G144" s="2"/>
      <c r="H144" s="2"/>
      <c r="I144" s="2"/>
      <c r="J14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413" t="s">
        <v>2094</v>
      </c>
      <c r="AG144" s="2"/>
      <c r="AH144" s="2"/>
      <c r="AI144" s="2"/>
      <c r="AJ144" s="2"/>
      <c r="AK144" s="2"/>
      <c r="AL144" s="124"/>
      <c r="AM144" s="562" t="str">
        <f>AM142 &amp; ".V"</f>
        <v>HPCLNA.V</v>
      </c>
      <c r="AN144" s="531" t="s">
        <v>245</v>
      </c>
      <c r="AO144" s="420" t="s">
        <v>289</v>
      </c>
      <c r="AP144" s="247">
        <f t="shared" ref="AP144:AR145" si="32">SUMIF($AS$9:$AT$9,AP$9,$AS144:$AT144)</f>
        <v>0</v>
      </c>
      <c r="AQ144" s="247">
        <f t="shared" si="32"/>
        <v>0</v>
      </c>
      <c r="AR144" s="247">
        <f t="shared" si="32"/>
        <v>0</v>
      </c>
      <c r="AS144" s="194"/>
      <c r="AT144" s="194"/>
      <c r="AU144" s="326"/>
    </row>
    <row r="145" spans="1:47" ht="12" customHeight="1">
      <c r="A145" s="2"/>
      <c r="B145" s="2"/>
      <c r="C145" s="2"/>
      <c r="D145" s="2"/>
      <c r="E145" s="2"/>
      <c r="F145" s="2"/>
      <c r="G145" s="2"/>
      <c r="H145" s="2"/>
      <c r="I145" s="2"/>
      <c r="J14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413" t="s">
        <v>2092</v>
      </c>
      <c r="AG145" s="2"/>
      <c r="AH145" s="2"/>
      <c r="AI145" s="2"/>
      <c r="AJ145" s="2"/>
      <c r="AK145" s="2"/>
      <c r="AL145" s="124"/>
      <c r="AM145" s="561" t="s">
        <v>2045</v>
      </c>
      <c r="AN145" s="559" t="s">
        <v>1934</v>
      </c>
      <c r="AO145" s="420" t="s">
        <v>195</v>
      </c>
      <c r="AP145" s="247">
        <f t="shared" si="32"/>
        <v>0</v>
      </c>
      <c r="AQ145" s="247">
        <f t="shared" si="32"/>
        <v>0</v>
      </c>
      <c r="AR145" s="247">
        <f t="shared" si="32"/>
        <v>0</v>
      </c>
      <c r="AS145" s="194"/>
      <c r="AT145" s="194"/>
      <c r="AU145" s="326"/>
    </row>
    <row r="146" spans="1:47" ht="12" customHeight="1">
      <c r="A146" s="2"/>
      <c r="B146" s="2"/>
      <c r="C146" s="2"/>
      <c r="D146" s="2"/>
      <c r="E146" s="2"/>
      <c r="F146" s="2"/>
      <c r="G146" s="2"/>
      <c r="H146" s="2"/>
      <c r="I146" s="2"/>
      <c r="J146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413" t="s">
        <v>2093</v>
      </c>
      <c r="AG146" s="2"/>
      <c r="AH146" s="2"/>
      <c r="AI146" s="2"/>
      <c r="AJ146" s="2"/>
      <c r="AK146" s="2"/>
      <c r="AL146" s="124"/>
      <c r="AM146" s="562" t="str">
        <f>AM145 &amp; ".P"</f>
        <v>GLC.P</v>
      </c>
      <c r="AN146" s="531" t="s">
        <v>842</v>
      </c>
      <c r="AO146" s="420" t="s">
        <v>23</v>
      </c>
      <c r="AP146" s="247">
        <f>IF(AP147=0,0,AP145*1000/AP147)</f>
        <v>0</v>
      </c>
      <c r="AQ146" s="247">
        <f>IF(AQ147=0,0,AQ145*1000/AQ147)</f>
        <v>0</v>
      </c>
      <c r="AR146" s="247">
        <f>IF(AR147=0,0,AR145*1000/AR147)</f>
        <v>0</v>
      </c>
      <c r="AS146" s="194"/>
      <c r="AT146" s="194"/>
      <c r="AU146" s="326"/>
    </row>
    <row r="147" spans="1:47" ht="12" customHeight="1">
      <c r="A147" s="2"/>
      <c r="B147" s="2"/>
      <c r="C147" s="2"/>
      <c r="D147" s="2"/>
      <c r="E147" s="2"/>
      <c r="F147" s="2"/>
      <c r="G147" s="2"/>
      <c r="H147" s="2"/>
      <c r="I147" s="2"/>
      <c r="J14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413" t="s">
        <v>2094</v>
      </c>
      <c r="AG147" s="2"/>
      <c r="AH147" s="2"/>
      <c r="AI147" s="2"/>
      <c r="AJ147" s="2"/>
      <c r="AK147" s="2"/>
      <c r="AL147" s="124"/>
      <c r="AM147" s="562" t="str">
        <f>AM145 &amp; ".V"</f>
        <v>GLC.V</v>
      </c>
      <c r="AN147" s="531" t="s">
        <v>245</v>
      </c>
      <c r="AO147" s="420" t="s">
        <v>289</v>
      </c>
      <c r="AP147" s="247">
        <f t="shared" ref="AP147:AR148" si="33">SUMIF($AS$9:$AT$9,AP$9,$AS147:$AT147)</f>
        <v>0</v>
      </c>
      <c r="AQ147" s="247">
        <f t="shared" si="33"/>
        <v>0</v>
      </c>
      <c r="AR147" s="247">
        <f t="shared" si="33"/>
        <v>0</v>
      </c>
      <c r="AS147" s="194"/>
      <c r="AT147" s="194"/>
      <c r="AU147" s="326"/>
    </row>
    <row r="148" spans="1:47" ht="12" customHeight="1">
      <c r="A148" s="2"/>
      <c r="B148" s="2"/>
      <c r="C148" s="2"/>
      <c r="D148" s="2"/>
      <c r="E148" s="2"/>
      <c r="F148" s="2"/>
      <c r="G148" s="2"/>
      <c r="H148" s="2"/>
      <c r="I148" s="2"/>
      <c r="J148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413" t="s">
        <v>2092</v>
      </c>
      <c r="AG148" s="2"/>
      <c r="AH148" s="2"/>
      <c r="AI148" s="2"/>
      <c r="AJ148" s="2"/>
      <c r="AK148" s="2"/>
      <c r="AL148" s="124"/>
      <c r="AM148" s="561" t="s">
        <v>2010</v>
      </c>
      <c r="AN148" s="559" t="s">
        <v>1935</v>
      </c>
      <c r="AO148" s="420" t="s">
        <v>195</v>
      </c>
      <c r="AP148" s="247">
        <f t="shared" si="33"/>
        <v>0</v>
      </c>
      <c r="AQ148" s="247">
        <f t="shared" si="33"/>
        <v>0</v>
      </c>
      <c r="AR148" s="247">
        <f t="shared" si="33"/>
        <v>0</v>
      </c>
      <c r="AS148" s="194"/>
      <c r="AT148" s="194"/>
      <c r="AU148" s="326"/>
    </row>
    <row r="149" spans="1:47" ht="12" customHeight="1">
      <c r="A149" s="2"/>
      <c r="B149" s="2"/>
      <c r="C149" s="2"/>
      <c r="D149" s="2"/>
      <c r="E149" s="2"/>
      <c r="F149" s="2"/>
      <c r="G149" s="2"/>
      <c r="H149" s="2"/>
      <c r="I149" s="2"/>
      <c r="J1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413" t="s">
        <v>2093</v>
      </c>
      <c r="AG149" s="2"/>
      <c r="AH149" s="2"/>
      <c r="AI149" s="2"/>
      <c r="AJ149" s="2"/>
      <c r="AK149" s="2"/>
      <c r="AL149" s="124"/>
      <c r="AM149" s="562" t="str">
        <f>AM148 &amp; ".P"</f>
        <v>DFNLCD.P</v>
      </c>
      <c r="AN149" s="531" t="s">
        <v>842</v>
      </c>
      <c r="AO149" s="420" t="s">
        <v>23</v>
      </c>
      <c r="AP149" s="247">
        <f>IF(AP150=0,0,AP148*1000/AP150)</f>
        <v>0</v>
      </c>
      <c r="AQ149" s="247">
        <f>IF(AQ150=0,0,AQ148*1000/AQ150)</f>
        <v>0</v>
      </c>
      <c r="AR149" s="247">
        <f>IF(AR150=0,0,AR148*1000/AR150)</f>
        <v>0</v>
      </c>
      <c r="AS149" s="194"/>
      <c r="AT149" s="194"/>
      <c r="AU149" s="326"/>
    </row>
    <row r="150" spans="1:47" ht="12" customHeight="1">
      <c r="A150" s="2"/>
      <c r="B150" s="2"/>
      <c r="C150" s="2"/>
      <c r="D150" s="2"/>
      <c r="E150" s="2"/>
      <c r="F150" s="2"/>
      <c r="G150" s="2"/>
      <c r="H150" s="2"/>
      <c r="I150" s="2"/>
      <c r="J150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413" t="s">
        <v>2094</v>
      </c>
      <c r="AG150" s="2"/>
      <c r="AH150" s="2"/>
      <c r="AI150" s="2"/>
      <c r="AJ150" s="2"/>
      <c r="AK150" s="2"/>
      <c r="AL150" s="124"/>
      <c r="AM150" s="562" t="str">
        <f>AM148 &amp; ".V"</f>
        <v>DFNLCD.V</v>
      </c>
      <c r="AN150" s="531" t="s">
        <v>245</v>
      </c>
      <c r="AO150" s="420" t="s">
        <v>289</v>
      </c>
      <c r="AP150" s="247">
        <f t="shared" ref="AP150:AR151" si="34">SUMIF($AS$9:$AT$9,AP$9,$AS150:$AT150)</f>
        <v>0</v>
      </c>
      <c r="AQ150" s="247">
        <f t="shared" si="34"/>
        <v>0</v>
      </c>
      <c r="AR150" s="247">
        <f t="shared" si="34"/>
        <v>0</v>
      </c>
      <c r="AS150" s="194"/>
      <c r="AT150" s="194"/>
      <c r="AU150" s="326"/>
    </row>
    <row r="151" spans="1:47" ht="12" customHeight="1">
      <c r="A151" s="2"/>
      <c r="B151" s="2"/>
      <c r="C151" s="2"/>
      <c r="D151" s="2"/>
      <c r="E151" s="2"/>
      <c r="F151" s="2"/>
      <c r="G151" s="2"/>
      <c r="H151" s="2"/>
      <c r="I151" s="2"/>
      <c r="J15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413" t="s">
        <v>2092</v>
      </c>
      <c r="AG151" s="2"/>
      <c r="AH151" s="2"/>
      <c r="AI151" s="2"/>
      <c r="AJ151" s="2"/>
      <c r="AK151" s="2"/>
      <c r="AL151" s="124"/>
      <c r="AM151" s="561" t="s">
        <v>2011</v>
      </c>
      <c r="AN151" s="559" t="s">
        <v>1936</v>
      </c>
      <c r="AO151" s="420" t="s">
        <v>195</v>
      </c>
      <c r="AP151" s="247">
        <f t="shared" si="34"/>
        <v>0</v>
      </c>
      <c r="AQ151" s="247">
        <f t="shared" si="34"/>
        <v>0</v>
      </c>
      <c r="AR151" s="247">
        <f t="shared" si="34"/>
        <v>0</v>
      </c>
      <c r="AS151" s="194"/>
      <c r="AT151" s="194"/>
      <c r="AU151" s="326"/>
    </row>
    <row r="152" spans="1:47" ht="12" customHeight="1">
      <c r="A152" s="2"/>
      <c r="B152" s="2"/>
      <c r="C152" s="2"/>
      <c r="D152" s="2"/>
      <c r="E152" s="2"/>
      <c r="F152" s="2"/>
      <c r="G152" s="2"/>
      <c r="H152" s="2"/>
      <c r="I152" s="2"/>
      <c r="J15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413" t="s">
        <v>2093</v>
      </c>
      <c r="AG152" s="2"/>
      <c r="AH152" s="2"/>
      <c r="AI152" s="2"/>
      <c r="AJ152" s="2"/>
      <c r="AK152" s="2"/>
      <c r="AL152" s="124"/>
      <c r="AM152" s="562" t="str">
        <f>AM151 &amp; ".P"</f>
        <v>DFNLCN.P</v>
      </c>
      <c r="AN152" s="531" t="s">
        <v>842</v>
      </c>
      <c r="AO152" s="420" t="s">
        <v>23</v>
      </c>
      <c r="AP152" s="247">
        <f>IF(AP153=0,0,AP151*1000/AP153)</f>
        <v>0</v>
      </c>
      <c r="AQ152" s="247">
        <f>IF(AQ153=0,0,AQ151*1000/AQ153)</f>
        <v>0</v>
      </c>
      <c r="AR152" s="247">
        <f>IF(AR153=0,0,AR151*1000/AR153)</f>
        <v>0</v>
      </c>
      <c r="AS152" s="194"/>
      <c r="AT152" s="194"/>
      <c r="AU152" s="326"/>
    </row>
    <row r="153" spans="1:47" ht="12" customHeight="1">
      <c r="A153" s="2"/>
      <c r="B153" s="2"/>
      <c r="C153" s="2"/>
      <c r="D153" s="2"/>
      <c r="E153" s="2"/>
      <c r="F153" s="2"/>
      <c r="G153" s="2"/>
      <c r="H153" s="2"/>
      <c r="I153" s="2"/>
      <c r="J15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413" t="s">
        <v>2094</v>
      </c>
      <c r="AG153" s="2"/>
      <c r="AH153" s="2"/>
      <c r="AI153" s="2"/>
      <c r="AJ153" s="2"/>
      <c r="AK153" s="2"/>
      <c r="AL153" s="124"/>
      <c r="AM153" s="562" t="str">
        <f>AM151 &amp; ".V"</f>
        <v>DFNLCN.V</v>
      </c>
      <c r="AN153" s="531" t="s">
        <v>245</v>
      </c>
      <c r="AO153" s="420" t="s">
        <v>289</v>
      </c>
      <c r="AP153" s="247">
        <f t="shared" ref="AP153:AR154" si="35">SUMIF($AS$9:$AT$9,AP$9,$AS153:$AT153)</f>
        <v>0</v>
      </c>
      <c r="AQ153" s="247">
        <f t="shared" si="35"/>
        <v>0</v>
      </c>
      <c r="AR153" s="247">
        <f t="shared" si="35"/>
        <v>0</v>
      </c>
      <c r="AS153" s="194"/>
      <c r="AT153" s="194"/>
      <c r="AU153" s="326"/>
    </row>
    <row r="154" spans="1:47" ht="12" customHeight="1">
      <c r="A154" s="2"/>
      <c r="B154" s="2"/>
      <c r="C154" s="2"/>
      <c r="D154" s="2"/>
      <c r="E154" s="2"/>
      <c r="F154" s="2"/>
      <c r="G154" s="2"/>
      <c r="H154" s="2"/>
      <c r="I154" s="2"/>
      <c r="J15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413" t="s">
        <v>2092</v>
      </c>
      <c r="AG154" s="2"/>
      <c r="AH154" s="2"/>
      <c r="AI154" s="2"/>
      <c r="AJ154" s="2"/>
      <c r="AK154" s="2"/>
      <c r="AL154" s="124"/>
      <c r="AM154" s="561" t="s">
        <v>1998</v>
      </c>
      <c r="AN154" s="559" t="s">
        <v>1937</v>
      </c>
      <c r="AO154" s="420" t="s">
        <v>195</v>
      </c>
      <c r="AP154" s="247">
        <f t="shared" si="35"/>
        <v>0</v>
      </c>
      <c r="AQ154" s="247">
        <f t="shared" si="35"/>
        <v>0</v>
      </c>
      <c r="AR154" s="247">
        <f t="shared" si="35"/>
        <v>0</v>
      </c>
      <c r="AS154" s="194"/>
      <c r="AT154" s="194"/>
      <c r="AU154" s="326"/>
    </row>
    <row r="155" spans="1:47" ht="12" customHeight="1">
      <c r="A155" s="2"/>
      <c r="B155" s="2"/>
      <c r="C155" s="2"/>
      <c r="D155" s="2"/>
      <c r="E155" s="2"/>
      <c r="F155" s="2"/>
      <c r="G155" s="2"/>
      <c r="H155" s="2"/>
      <c r="I155" s="2"/>
      <c r="J15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413" t="s">
        <v>2093</v>
      </c>
      <c r="AG155" s="2"/>
      <c r="AH155" s="2"/>
      <c r="AI155" s="2"/>
      <c r="AJ155" s="2"/>
      <c r="AK155" s="2"/>
      <c r="AL155" s="124"/>
      <c r="AM155" s="562" t="str">
        <f>AM154 &amp; ".P"</f>
        <v>FES.P</v>
      </c>
      <c r="AN155" s="531" t="s">
        <v>842</v>
      </c>
      <c r="AO155" s="420" t="s">
        <v>23</v>
      </c>
      <c r="AP155" s="247">
        <f>IF(AP156=0,0,AP154*1000/AP156)</f>
        <v>0</v>
      </c>
      <c r="AQ155" s="247">
        <f>IF(AQ156=0,0,AQ154*1000/AQ156)</f>
        <v>0</v>
      </c>
      <c r="AR155" s="247">
        <f>IF(AR156=0,0,AR154*1000/AR156)</f>
        <v>0</v>
      </c>
      <c r="AS155" s="194"/>
      <c r="AT155" s="194"/>
      <c r="AU155" s="326"/>
    </row>
    <row r="156" spans="1:47" ht="12" customHeight="1">
      <c r="A156" s="2"/>
      <c r="B156" s="2"/>
      <c r="C156" s="2"/>
      <c r="D156" s="2"/>
      <c r="E156" s="2"/>
      <c r="F156" s="2"/>
      <c r="G156" s="2"/>
      <c r="H156" s="2"/>
      <c r="I156" s="2"/>
      <c r="J156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413" t="s">
        <v>2094</v>
      </c>
      <c r="AG156" s="2"/>
      <c r="AH156" s="2"/>
      <c r="AI156" s="2"/>
      <c r="AJ156" s="2"/>
      <c r="AK156" s="2"/>
      <c r="AL156" s="124"/>
      <c r="AM156" s="562" t="str">
        <f>AM154 &amp; ".V"</f>
        <v>FES.V</v>
      </c>
      <c r="AN156" s="531" t="s">
        <v>245</v>
      </c>
      <c r="AO156" s="420" t="s">
        <v>289</v>
      </c>
      <c r="AP156" s="247">
        <f t="shared" ref="AP156:AR157" si="36">SUMIF($AS$9:$AT$9,AP$9,$AS156:$AT156)</f>
        <v>0</v>
      </c>
      <c r="AQ156" s="247">
        <f t="shared" si="36"/>
        <v>0</v>
      </c>
      <c r="AR156" s="247">
        <f t="shared" si="36"/>
        <v>0</v>
      </c>
      <c r="AS156" s="194"/>
      <c r="AT156" s="194"/>
      <c r="AU156" s="326"/>
    </row>
    <row r="157" spans="1:47" ht="12" customHeight="1">
      <c r="A157" s="2"/>
      <c r="B157" s="2"/>
      <c r="C157" s="2"/>
      <c r="D157" s="2"/>
      <c r="E157" s="2"/>
      <c r="F157" s="2"/>
      <c r="G157" s="2"/>
      <c r="H157" s="2"/>
      <c r="I157" s="2"/>
      <c r="J15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413" t="s">
        <v>2092</v>
      </c>
      <c r="AG157" s="2"/>
      <c r="AH157" s="2"/>
      <c r="AI157" s="2"/>
      <c r="AJ157" s="2"/>
      <c r="AK157" s="2"/>
      <c r="AL157" s="124"/>
      <c r="AM157" s="561" t="s">
        <v>2046</v>
      </c>
      <c r="AN157" s="559" t="s">
        <v>1938</v>
      </c>
      <c r="AO157" s="420" t="s">
        <v>195</v>
      </c>
      <c r="AP157" s="247">
        <f t="shared" si="36"/>
        <v>0</v>
      </c>
      <c r="AQ157" s="247">
        <f t="shared" si="36"/>
        <v>0</v>
      </c>
      <c r="AR157" s="247">
        <f t="shared" si="36"/>
        <v>0</v>
      </c>
      <c r="AS157" s="194"/>
      <c r="AT157" s="194"/>
      <c r="AU157" s="326"/>
    </row>
    <row r="158" spans="1:47" ht="12" customHeight="1">
      <c r="A158" s="2"/>
      <c r="B158" s="2"/>
      <c r="C158" s="2"/>
      <c r="D158" s="2"/>
      <c r="E158" s="2"/>
      <c r="F158" s="2"/>
      <c r="G158" s="2"/>
      <c r="H158" s="2"/>
      <c r="I158" s="2"/>
      <c r="J158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413" t="s">
        <v>2093</v>
      </c>
      <c r="AG158" s="2"/>
      <c r="AH158" s="2"/>
      <c r="AI158" s="2"/>
      <c r="AJ158" s="2"/>
      <c r="AK158" s="2"/>
      <c r="AL158" s="124"/>
      <c r="AM158" s="562" t="str">
        <f>AM157 &amp; ".P"</f>
        <v>FECL.P</v>
      </c>
      <c r="AN158" s="531" t="s">
        <v>842</v>
      </c>
      <c r="AO158" s="420" t="s">
        <v>23</v>
      </c>
      <c r="AP158" s="247">
        <f>IF(AP159=0,0,AP157*1000/AP159)</f>
        <v>0</v>
      </c>
      <c r="AQ158" s="247">
        <f>IF(AQ159=0,0,AQ157*1000/AQ159)</f>
        <v>0</v>
      </c>
      <c r="AR158" s="247">
        <f>IF(AR159=0,0,AR157*1000/AR159)</f>
        <v>0</v>
      </c>
      <c r="AS158" s="194"/>
      <c r="AT158" s="194"/>
      <c r="AU158" s="326"/>
    </row>
    <row r="159" spans="1:47" ht="12" customHeight="1">
      <c r="A159" s="2"/>
      <c r="B159" s="2"/>
      <c r="C159" s="2"/>
      <c r="D159" s="2"/>
      <c r="E159" s="2"/>
      <c r="F159" s="2"/>
      <c r="G159" s="2"/>
      <c r="H159" s="2"/>
      <c r="I159" s="2"/>
      <c r="J15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413" t="s">
        <v>2094</v>
      </c>
      <c r="AG159" s="2"/>
      <c r="AH159" s="2"/>
      <c r="AI159" s="2"/>
      <c r="AJ159" s="2"/>
      <c r="AK159" s="2"/>
      <c r="AL159" s="124"/>
      <c r="AM159" s="562" t="str">
        <f>AM157 &amp; ".V"</f>
        <v>FECL.V</v>
      </c>
      <c r="AN159" s="531" t="s">
        <v>245</v>
      </c>
      <c r="AO159" s="420" t="s">
        <v>289</v>
      </c>
      <c r="AP159" s="247">
        <f t="shared" ref="AP159:AR160" si="37">SUMIF($AS$9:$AT$9,AP$9,$AS159:$AT159)</f>
        <v>0</v>
      </c>
      <c r="AQ159" s="247">
        <f t="shared" si="37"/>
        <v>0</v>
      </c>
      <c r="AR159" s="247">
        <f t="shared" si="37"/>
        <v>0</v>
      </c>
      <c r="AS159" s="194"/>
      <c r="AT159" s="194"/>
      <c r="AU159" s="326"/>
    </row>
    <row r="160" spans="1:47" ht="12" customHeight="1">
      <c r="A160" s="2"/>
      <c r="B160" s="2"/>
      <c r="C160" s="2"/>
      <c r="D160" s="2"/>
      <c r="E160" s="2"/>
      <c r="F160" s="2"/>
      <c r="G160" s="2"/>
      <c r="H160" s="2"/>
      <c r="I160" s="2"/>
      <c r="J160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413" t="s">
        <v>2092</v>
      </c>
      <c r="AG160" s="2"/>
      <c r="AH160" s="2"/>
      <c r="AI160" s="2"/>
      <c r="AJ160" s="2"/>
      <c r="AK160" s="2"/>
      <c r="AL160" s="124"/>
      <c r="AM160" s="561" t="s">
        <v>2047</v>
      </c>
      <c r="AN160" s="559" t="s">
        <v>1939</v>
      </c>
      <c r="AO160" s="420" t="s">
        <v>195</v>
      </c>
      <c r="AP160" s="247">
        <f t="shared" si="37"/>
        <v>0</v>
      </c>
      <c r="AQ160" s="247">
        <f t="shared" si="37"/>
        <v>0</v>
      </c>
      <c r="AR160" s="247">
        <f t="shared" si="37"/>
        <v>0</v>
      </c>
      <c r="AS160" s="194"/>
      <c r="AT160" s="194"/>
      <c r="AU160" s="326"/>
    </row>
    <row r="161" spans="1:47" ht="12" customHeight="1">
      <c r="A161" s="2"/>
      <c r="B161" s="2"/>
      <c r="C161" s="2"/>
      <c r="D161" s="2"/>
      <c r="E161" s="2"/>
      <c r="F161" s="2"/>
      <c r="G161" s="2"/>
      <c r="H161" s="2"/>
      <c r="I161" s="2"/>
      <c r="J16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413" t="s">
        <v>2093</v>
      </c>
      <c r="AG161" s="2"/>
      <c r="AH161" s="2"/>
      <c r="AI161" s="2"/>
      <c r="AJ161" s="2"/>
      <c r="AK161" s="2"/>
      <c r="AL161" s="124"/>
      <c r="AM161" s="562" t="str">
        <f>AM160 &amp; ".P"</f>
        <v>LIMENP.P</v>
      </c>
      <c r="AN161" s="531" t="s">
        <v>842</v>
      </c>
      <c r="AO161" s="420" t="s">
        <v>23</v>
      </c>
      <c r="AP161" s="247">
        <f>IF(AP162=0,0,AP160*1000/AP162)</f>
        <v>0</v>
      </c>
      <c r="AQ161" s="247">
        <f>IF(AQ162=0,0,AQ160*1000/AQ162)</f>
        <v>0</v>
      </c>
      <c r="AR161" s="247">
        <f>IF(AR162=0,0,AR160*1000/AR162)</f>
        <v>0</v>
      </c>
      <c r="AS161" s="194"/>
      <c r="AT161" s="194"/>
      <c r="AU161" s="326"/>
    </row>
    <row r="162" spans="1:47" ht="12" customHeight="1">
      <c r="A162" s="2"/>
      <c r="B162" s="2"/>
      <c r="C162" s="2"/>
      <c r="D162" s="2"/>
      <c r="E162" s="2"/>
      <c r="F162" s="2"/>
      <c r="G162" s="2"/>
      <c r="H162" s="2"/>
      <c r="I162" s="2"/>
      <c r="J16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413" t="s">
        <v>2094</v>
      </c>
      <c r="AG162" s="2"/>
      <c r="AH162" s="2"/>
      <c r="AI162" s="2"/>
      <c r="AJ162" s="2"/>
      <c r="AK162" s="2"/>
      <c r="AL162" s="124"/>
      <c r="AM162" s="562" t="str">
        <f>AM160 &amp; ".V"</f>
        <v>LIMENP.V</v>
      </c>
      <c r="AN162" s="531" t="s">
        <v>245</v>
      </c>
      <c r="AO162" s="420" t="s">
        <v>289</v>
      </c>
      <c r="AP162" s="247">
        <f t="shared" ref="AP162:AR163" si="38">SUMIF($AS$9:$AT$9,AP$9,$AS162:$AT162)</f>
        <v>0</v>
      </c>
      <c r="AQ162" s="247">
        <f t="shared" si="38"/>
        <v>0</v>
      </c>
      <c r="AR162" s="247">
        <f t="shared" si="38"/>
        <v>0</v>
      </c>
      <c r="AS162" s="194"/>
      <c r="AT162" s="194"/>
      <c r="AU162" s="326"/>
    </row>
    <row r="163" spans="1:47" ht="12" customHeight="1">
      <c r="A163" s="2"/>
      <c r="B163" s="2"/>
      <c r="C163" s="2"/>
      <c r="D163" s="2"/>
      <c r="E163" s="2"/>
      <c r="F163" s="2"/>
      <c r="G163" s="2"/>
      <c r="H163" s="2"/>
      <c r="I163" s="2"/>
      <c r="J16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413" t="s">
        <v>2092</v>
      </c>
      <c r="AG163" s="2"/>
      <c r="AH163" s="2"/>
      <c r="AI163" s="2"/>
      <c r="AJ163" s="2"/>
      <c r="AK163" s="2"/>
      <c r="AL163" s="124"/>
      <c r="AM163" s="561" t="s">
        <v>2048</v>
      </c>
      <c r="AN163" s="559" t="s">
        <v>1940</v>
      </c>
      <c r="AO163" s="420" t="s">
        <v>195</v>
      </c>
      <c r="AP163" s="247">
        <f t="shared" si="38"/>
        <v>0</v>
      </c>
      <c r="AQ163" s="247">
        <f t="shared" si="38"/>
        <v>0</v>
      </c>
      <c r="AR163" s="247">
        <f t="shared" si="38"/>
        <v>0</v>
      </c>
      <c r="AS163" s="194"/>
      <c r="AT163" s="194"/>
      <c r="AU163" s="326"/>
    </row>
    <row r="164" spans="1:47" ht="12" customHeight="1">
      <c r="A164" s="2"/>
      <c r="B164" s="2"/>
      <c r="C164" s="2"/>
      <c r="D164" s="2"/>
      <c r="E164" s="2"/>
      <c r="F164" s="2"/>
      <c r="G164" s="2"/>
      <c r="H164" s="2"/>
      <c r="I164" s="2"/>
      <c r="J16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413" t="s">
        <v>2093</v>
      </c>
      <c r="AG164" s="2"/>
      <c r="AH164" s="2"/>
      <c r="AI164" s="2"/>
      <c r="AJ164" s="2"/>
      <c r="AK164" s="2"/>
      <c r="AL164" s="124"/>
      <c r="AM164" s="562" t="str">
        <f>AM163 &amp; ".P"</f>
        <v>LIMENH.P</v>
      </c>
      <c r="AN164" s="531" t="s">
        <v>842</v>
      </c>
      <c r="AO164" s="420" t="s">
        <v>23</v>
      </c>
      <c r="AP164" s="247">
        <f>IF(AP165=0,0,AP163*1000/AP165)</f>
        <v>0</v>
      </c>
      <c r="AQ164" s="247">
        <f>IF(AQ165=0,0,AQ163*1000/AQ165)</f>
        <v>0</v>
      </c>
      <c r="AR164" s="247">
        <f>IF(AR165=0,0,AR163*1000/AR165)</f>
        <v>0</v>
      </c>
      <c r="AS164" s="194"/>
      <c r="AT164" s="194"/>
      <c r="AU164" s="326"/>
    </row>
    <row r="165" spans="1:47" ht="12" customHeight="1">
      <c r="A165" s="2"/>
      <c r="B165" s="2"/>
      <c r="C165" s="2"/>
      <c r="D165" s="2"/>
      <c r="E165" s="2"/>
      <c r="F165" s="2"/>
      <c r="G165" s="2"/>
      <c r="H165" s="2"/>
      <c r="I165" s="2"/>
      <c r="J16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413" t="s">
        <v>2094</v>
      </c>
      <c r="AG165" s="2"/>
      <c r="AH165" s="2"/>
      <c r="AI165" s="2"/>
      <c r="AJ165" s="2"/>
      <c r="AK165" s="2"/>
      <c r="AL165" s="124"/>
      <c r="AM165" s="562" t="str">
        <f>AM163 &amp; ".V"</f>
        <v>LIMENH.V</v>
      </c>
      <c r="AN165" s="531" t="s">
        <v>245</v>
      </c>
      <c r="AO165" s="420" t="s">
        <v>289</v>
      </c>
      <c r="AP165" s="247">
        <f t="shared" ref="AP165:AR166" si="39">SUMIF($AS$9:$AT$9,AP$9,$AS165:$AT165)</f>
        <v>0</v>
      </c>
      <c r="AQ165" s="247">
        <f t="shared" si="39"/>
        <v>0</v>
      </c>
      <c r="AR165" s="247">
        <f t="shared" si="39"/>
        <v>0</v>
      </c>
      <c r="AS165" s="194"/>
      <c r="AT165" s="194"/>
      <c r="AU165" s="326"/>
    </row>
    <row r="166" spans="1:47" ht="12" customHeight="1">
      <c r="A166" s="2"/>
      <c r="B166" s="2"/>
      <c r="C166" s="2"/>
      <c r="D166" s="2"/>
      <c r="E166" s="2"/>
      <c r="F166" s="2"/>
      <c r="G166" s="2"/>
      <c r="H166" s="2"/>
      <c r="I166" s="2"/>
      <c r="J16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413" t="s">
        <v>2092</v>
      </c>
      <c r="AG166" s="2"/>
      <c r="AH166" s="2"/>
      <c r="AI166" s="2"/>
      <c r="AJ166" s="2"/>
      <c r="AK166" s="2"/>
      <c r="AL166" s="124"/>
      <c r="AM166" s="561" t="s">
        <v>2049</v>
      </c>
      <c r="AN166" s="559" t="s">
        <v>1941</v>
      </c>
      <c r="AO166" s="420" t="s">
        <v>195</v>
      </c>
      <c r="AP166" s="247">
        <f t="shared" si="39"/>
        <v>0</v>
      </c>
      <c r="AQ166" s="247">
        <f t="shared" si="39"/>
        <v>0</v>
      </c>
      <c r="AR166" s="247">
        <f t="shared" si="39"/>
        <v>0</v>
      </c>
      <c r="AS166" s="194"/>
      <c r="AT166" s="194"/>
      <c r="AU166" s="326"/>
    </row>
    <row r="167" spans="1:47" ht="12" customHeight="1">
      <c r="A167" s="2"/>
      <c r="B167" s="2"/>
      <c r="C167" s="2"/>
      <c r="D167" s="2"/>
      <c r="E167" s="2"/>
      <c r="F167" s="2"/>
      <c r="G167" s="2"/>
      <c r="H167" s="2"/>
      <c r="I167" s="2"/>
      <c r="J16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413" t="s">
        <v>2093</v>
      </c>
      <c r="AG167" s="2"/>
      <c r="AH167" s="2"/>
      <c r="AI167" s="2"/>
      <c r="AJ167" s="2"/>
      <c r="AK167" s="2"/>
      <c r="AL167" s="124"/>
      <c r="AM167" s="562" t="str">
        <f>AM166 &amp; ".P"</f>
        <v>LIMECL.P</v>
      </c>
      <c r="AN167" s="531" t="s">
        <v>842</v>
      </c>
      <c r="AO167" s="420" t="s">
        <v>23</v>
      </c>
      <c r="AP167" s="247">
        <f>IF(AP168=0,0,AP166*1000/AP168)</f>
        <v>0</v>
      </c>
      <c r="AQ167" s="247">
        <f>IF(AQ168=0,0,AQ166*1000/AQ168)</f>
        <v>0</v>
      </c>
      <c r="AR167" s="247">
        <f>IF(AR168=0,0,AR166*1000/AR168)</f>
        <v>0</v>
      </c>
      <c r="AS167" s="194"/>
      <c r="AT167" s="194"/>
      <c r="AU167" s="326"/>
    </row>
    <row r="168" spans="1:47" ht="12" customHeight="1">
      <c r="A168" s="2"/>
      <c r="B168" s="2"/>
      <c r="C168" s="2"/>
      <c r="D168" s="2"/>
      <c r="E168" s="2"/>
      <c r="F168" s="2"/>
      <c r="G168" s="2"/>
      <c r="H168" s="2"/>
      <c r="I168" s="2"/>
      <c r="J168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413" t="s">
        <v>2094</v>
      </c>
      <c r="AG168" s="2"/>
      <c r="AH168" s="2"/>
      <c r="AI168" s="2"/>
      <c r="AJ168" s="2"/>
      <c r="AK168" s="2"/>
      <c r="AL168" s="124"/>
      <c r="AM168" s="562" t="str">
        <f>AM166 &amp; ".V"</f>
        <v>LIMECL.V</v>
      </c>
      <c r="AN168" s="531" t="s">
        <v>245</v>
      </c>
      <c r="AO168" s="420" t="s">
        <v>289</v>
      </c>
      <c r="AP168" s="247">
        <f t="shared" ref="AP168:AR169" si="40">SUMIF($AS$9:$AT$9,AP$9,$AS168:$AT168)</f>
        <v>0</v>
      </c>
      <c r="AQ168" s="247">
        <f t="shared" si="40"/>
        <v>0</v>
      </c>
      <c r="AR168" s="247">
        <f t="shared" si="40"/>
        <v>0</v>
      </c>
      <c r="AS168" s="194"/>
      <c r="AT168" s="194"/>
      <c r="AU168" s="326"/>
    </row>
    <row r="169" spans="1:47" ht="12" customHeight="1">
      <c r="A169" s="2"/>
      <c r="B169" s="2"/>
      <c r="C169" s="2"/>
      <c r="D169" s="2"/>
      <c r="E169" s="2"/>
      <c r="F169" s="2"/>
      <c r="G169" s="2"/>
      <c r="H169" s="2"/>
      <c r="I169" s="2"/>
      <c r="J16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413" t="s">
        <v>2092</v>
      </c>
      <c r="AG169" s="2"/>
      <c r="AH169" s="2"/>
      <c r="AI169" s="2"/>
      <c r="AJ169" s="2"/>
      <c r="AK169" s="2"/>
      <c r="AL169" s="124"/>
      <c r="AM169" s="561" t="s">
        <v>2050</v>
      </c>
      <c r="AN169" s="559" t="s">
        <v>1942</v>
      </c>
      <c r="AO169" s="420" t="s">
        <v>195</v>
      </c>
      <c r="AP169" s="247">
        <f t="shared" si="40"/>
        <v>0</v>
      </c>
      <c r="AQ169" s="247">
        <f t="shared" si="40"/>
        <v>0</v>
      </c>
      <c r="AR169" s="247">
        <f t="shared" si="40"/>
        <v>0</v>
      </c>
      <c r="AS169" s="194"/>
      <c r="AT169" s="194"/>
      <c r="AU169" s="326"/>
    </row>
    <row r="170" spans="1:47" ht="12" customHeight="1">
      <c r="A170" s="2"/>
      <c r="B170" s="2"/>
      <c r="C170" s="2"/>
      <c r="D170" s="2"/>
      <c r="E170" s="2"/>
      <c r="F170" s="2"/>
      <c r="G170" s="2"/>
      <c r="H170" s="2"/>
      <c r="I170" s="2"/>
      <c r="J170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413" t="s">
        <v>2093</v>
      </c>
      <c r="AG170" s="2"/>
      <c r="AH170" s="2"/>
      <c r="AI170" s="2"/>
      <c r="AJ170" s="2"/>
      <c r="AK170" s="2"/>
      <c r="AL170" s="124"/>
      <c r="AM170" s="562" t="str">
        <f>AM169 &amp; ".P"</f>
        <v>KN.P</v>
      </c>
      <c r="AN170" s="531" t="s">
        <v>842</v>
      </c>
      <c r="AO170" s="420" t="s">
        <v>23</v>
      </c>
      <c r="AP170" s="247">
        <f>IF(AP171=0,0,AP169*1000/AP171)</f>
        <v>0</v>
      </c>
      <c r="AQ170" s="247">
        <f>IF(AQ171=0,0,AQ169*1000/AQ171)</f>
        <v>0</v>
      </c>
      <c r="AR170" s="247">
        <f>IF(AR171=0,0,AR169*1000/AR171)</f>
        <v>0</v>
      </c>
      <c r="AS170" s="194"/>
      <c r="AT170" s="194"/>
      <c r="AU170" s="326"/>
    </row>
    <row r="171" spans="1:47" ht="12" customHeight="1">
      <c r="A171" s="2"/>
      <c r="B171" s="2"/>
      <c r="C171" s="2"/>
      <c r="D171" s="2"/>
      <c r="E171" s="2"/>
      <c r="F171" s="2"/>
      <c r="G171" s="2"/>
      <c r="H171" s="2"/>
      <c r="I171" s="2"/>
      <c r="J17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413" t="s">
        <v>2094</v>
      </c>
      <c r="AG171" s="2"/>
      <c r="AH171" s="2"/>
      <c r="AI171" s="2"/>
      <c r="AJ171" s="2"/>
      <c r="AK171" s="2"/>
      <c r="AL171" s="124"/>
      <c r="AM171" s="562" t="str">
        <f>AM169 &amp; ".V"</f>
        <v>KN.V</v>
      </c>
      <c r="AN171" s="531" t="s">
        <v>245</v>
      </c>
      <c r="AO171" s="420" t="s">
        <v>289</v>
      </c>
      <c r="AP171" s="247">
        <f t="shared" ref="AP171:AR172" si="41">SUMIF($AS$9:$AT$9,AP$9,$AS171:$AT171)</f>
        <v>0</v>
      </c>
      <c r="AQ171" s="247">
        <f t="shared" si="41"/>
        <v>0</v>
      </c>
      <c r="AR171" s="247">
        <f t="shared" si="41"/>
        <v>0</v>
      </c>
      <c r="AS171" s="194"/>
      <c r="AT171" s="194"/>
      <c r="AU171" s="326"/>
    </row>
    <row r="172" spans="1:47" ht="12" customHeight="1">
      <c r="A172" s="2"/>
      <c r="B172" s="2"/>
      <c r="C172" s="2"/>
      <c r="D172" s="2"/>
      <c r="E172" s="2"/>
      <c r="F172" s="2"/>
      <c r="G172" s="2"/>
      <c r="H172" s="2"/>
      <c r="I172" s="2"/>
      <c r="J17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413" t="s">
        <v>2092</v>
      </c>
      <c r="AG172" s="2"/>
      <c r="AH172" s="2"/>
      <c r="AI172" s="2"/>
      <c r="AJ172" s="2"/>
      <c r="AK172" s="2"/>
      <c r="AL172" s="124"/>
      <c r="AM172" s="561" t="s">
        <v>2051</v>
      </c>
      <c r="AN172" s="559" t="s">
        <v>1943</v>
      </c>
      <c r="AO172" s="420" t="s">
        <v>195</v>
      </c>
      <c r="AP172" s="247">
        <f t="shared" si="41"/>
        <v>0</v>
      </c>
      <c r="AQ172" s="247">
        <f t="shared" si="41"/>
        <v>0</v>
      </c>
      <c r="AR172" s="247">
        <f t="shared" si="41"/>
        <v>0</v>
      </c>
      <c r="AS172" s="194"/>
      <c r="AT172" s="194"/>
      <c r="AU172" s="326"/>
    </row>
    <row r="173" spans="1:47" ht="12" customHeight="1">
      <c r="A173" s="2"/>
      <c r="B173" s="2"/>
      <c r="C173" s="2"/>
      <c r="D173" s="2"/>
      <c r="E173" s="2"/>
      <c r="F173" s="2"/>
      <c r="G173" s="2"/>
      <c r="H173" s="2"/>
      <c r="I173" s="2"/>
      <c r="J17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413" t="s">
        <v>2093</v>
      </c>
      <c r="AG173" s="2"/>
      <c r="AH173" s="2"/>
      <c r="AI173" s="2"/>
      <c r="AJ173" s="2"/>
      <c r="AK173" s="2"/>
      <c r="AL173" s="124"/>
      <c r="AM173" s="562" t="str">
        <f>AM172 &amp; ".P"</f>
        <v>KCR.P</v>
      </c>
      <c r="AN173" s="531" t="s">
        <v>842</v>
      </c>
      <c r="AO173" s="420" t="s">
        <v>23</v>
      </c>
      <c r="AP173" s="247">
        <f>IF(AP174=0,0,AP172*1000/AP174)</f>
        <v>0</v>
      </c>
      <c r="AQ173" s="247">
        <f>IF(AQ174=0,0,AQ172*1000/AQ174)</f>
        <v>0</v>
      </c>
      <c r="AR173" s="247">
        <f>IF(AR174=0,0,AR172*1000/AR174)</f>
        <v>0</v>
      </c>
      <c r="AS173" s="194"/>
      <c r="AT173" s="194"/>
      <c r="AU173" s="326"/>
    </row>
    <row r="174" spans="1:47" ht="12" customHeight="1">
      <c r="A174" s="2"/>
      <c r="B174" s="2"/>
      <c r="C174" s="2"/>
      <c r="D174" s="2"/>
      <c r="E174" s="2"/>
      <c r="F174" s="2"/>
      <c r="G174" s="2"/>
      <c r="H174" s="2"/>
      <c r="I174" s="2"/>
      <c r="J17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413" t="s">
        <v>2094</v>
      </c>
      <c r="AG174" s="2"/>
      <c r="AH174" s="2"/>
      <c r="AI174" s="2"/>
      <c r="AJ174" s="2"/>
      <c r="AK174" s="2"/>
      <c r="AL174" s="124"/>
      <c r="AM174" s="562" t="str">
        <f>AM172 &amp; ".V"</f>
        <v>KCR.V</v>
      </c>
      <c r="AN174" s="531" t="s">
        <v>245</v>
      </c>
      <c r="AO174" s="420" t="s">
        <v>289</v>
      </c>
      <c r="AP174" s="247">
        <f t="shared" ref="AP174:AR175" si="42">SUMIF($AS$9:$AT$9,AP$9,$AS174:$AT174)</f>
        <v>0</v>
      </c>
      <c r="AQ174" s="247">
        <f t="shared" si="42"/>
        <v>0</v>
      </c>
      <c r="AR174" s="247">
        <f t="shared" si="42"/>
        <v>0</v>
      </c>
      <c r="AS174" s="194"/>
      <c r="AT174" s="194"/>
      <c r="AU174" s="326"/>
    </row>
    <row r="175" spans="1:47" ht="12" customHeight="1">
      <c r="A175" s="2"/>
      <c r="B175" s="2"/>
      <c r="C175" s="2"/>
      <c r="D175" s="2"/>
      <c r="E175" s="2"/>
      <c r="F175" s="2"/>
      <c r="G175" s="2"/>
      <c r="H175" s="2"/>
      <c r="I175" s="2"/>
      <c r="J17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413" t="s">
        <v>2092</v>
      </c>
      <c r="AG175" s="2"/>
      <c r="AH175" s="2"/>
      <c r="AI175" s="2"/>
      <c r="AJ175" s="2"/>
      <c r="AK175" s="2"/>
      <c r="AL175" s="124"/>
      <c r="AM175" s="561" t="s">
        <v>2052</v>
      </c>
      <c r="AN175" s="559" t="s">
        <v>1944</v>
      </c>
      <c r="AO175" s="420" t="s">
        <v>195</v>
      </c>
      <c r="AP175" s="247">
        <f t="shared" si="42"/>
        <v>0</v>
      </c>
      <c r="AQ175" s="247">
        <f t="shared" si="42"/>
        <v>0</v>
      </c>
      <c r="AR175" s="247">
        <f t="shared" si="42"/>
        <v>0</v>
      </c>
      <c r="AS175" s="194"/>
      <c r="AT175" s="194"/>
      <c r="AU175" s="326"/>
    </row>
    <row r="176" spans="1:47" ht="12" customHeight="1">
      <c r="A176" s="2"/>
      <c r="B176" s="2"/>
      <c r="C176" s="2"/>
      <c r="D176" s="2"/>
      <c r="E176" s="2"/>
      <c r="F176" s="2"/>
      <c r="G176" s="2"/>
      <c r="H176" s="2"/>
      <c r="I176" s="2"/>
      <c r="J176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413" t="s">
        <v>2093</v>
      </c>
      <c r="AG176" s="2"/>
      <c r="AH176" s="2"/>
      <c r="AI176" s="2"/>
      <c r="AJ176" s="2"/>
      <c r="AK176" s="2"/>
      <c r="AL176" s="124"/>
      <c r="AM176" s="562" t="str">
        <f>AM175 &amp; ".P"</f>
        <v>KI.P</v>
      </c>
      <c r="AN176" s="531" t="s">
        <v>842</v>
      </c>
      <c r="AO176" s="420" t="s">
        <v>23</v>
      </c>
      <c r="AP176" s="247">
        <f>IF(AP177=0,0,AP175*1000/AP177)</f>
        <v>0</v>
      </c>
      <c r="AQ176" s="247">
        <f>IF(AQ177=0,0,AQ175*1000/AQ177)</f>
        <v>0</v>
      </c>
      <c r="AR176" s="247">
        <f>IF(AR177=0,0,AR175*1000/AR177)</f>
        <v>0</v>
      </c>
      <c r="AS176" s="194"/>
      <c r="AT176" s="194"/>
      <c r="AU176" s="326"/>
    </row>
    <row r="177" spans="1:47" ht="12" customHeight="1">
      <c r="A177" s="2"/>
      <c r="B177" s="2"/>
      <c r="C177" s="2"/>
      <c r="D177" s="2"/>
      <c r="E177" s="2"/>
      <c r="F177" s="2"/>
      <c r="G177" s="2"/>
      <c r="H177" s="2"/>
      <c r="I177" s="2"/>
      <c r="J17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413" t="s">
        <v>2094</v>
      </c>
      <c r="AG177" s="2"/>
      <c r="AH177" s="2"/>
      <c r="AI177" s="2"/>
      <c r="AJ177" s="2"/>
      <c r="AK177" s="2"/>
      <c r="AL177" s="124"/>
      <c r="AM177" s="562" t="str">
        <f>AM175 &amp; ".V"</f>
        <v>KI.V</v>
      </c>
      <c r="AN177" s="531" t="s">
        <v>245</v>
      </c>
      <c r="AO177" s="420" t="s">
        <v>289</v>
      </c>
      <c r="AP177" s="247">
        <f t="shared" ref="AP177:AR178" si="43">SUMIF($AS$9:$AT$9,AP$9,$AS177:$AT177)</f>
        <v>0</v>
      </c>
      <c r="AQ177" s="247">
        <f t="shared" si="43"/>
        <v>0</v>
      </c>
      <c r="AR177" s="247">
        <f t="shared" si="43"/>
        <v>0</v>
      </c>
      <c r="AS177" s="194"/>
      <c r="AT177" s="194"/>
      <c r="AU177" s="326"/>
    </row>
    <row r="178" spans="1:47" ht="12" customHeight="1">
      <c r="A178" s="2"/>
      <c r="B178" s="2"/>
      <c r="C178" s="2"/>
      <c r="D178" s="2"/>
      <c r="E178" s="2"/>
      <c r="F178" s="2"/>
      <c r="G178" s="2"/>
      <c r="H178" s="2"/>
      <c r="I178" s="2"/>
      <c r="J178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413" t="s">
        <v>2092</v>
      </c>
      <c r="AG178" s="2"/>
      <c r="AH178" s="2"/>
      <c r="AI178" s="2"/>
      <c r="AJ178" s="2"/>
      <c r="AK178" s="2"/>
      <c r="AL178" s="124"/>
      <c r="AM178" s="561" t="s">
        <v>2053</v>
      </c>
      <c r="AN178" s="559" t="s">
        <v>1945</v>
      </c>
      <c r="AO178" s="420" t="s">
        <v>195</v>
      </c>
      <c r="AP178" s="247">
        <f t="shared" si="43"/>
        <v>0</v>
      </c>
      <c r="AQ178" s="247">
        <f t="shared" si="43"/>
        <v>0</v>
      </c>
      <c r="AR178" s="247">
        <f t="shared" si="43"/>
        <v>0</v>
      </c>
      <c r="AS178" s="194"/>
      <c r="AT178" s="194"/>
      <c r="AU178" s="326"/>
    </row>
    <row r="179" spans="1:47" ht="12" customHeight="1">
      <c r="A179" s="2"/>
      <c r="B179" s="2"/>
      <c r="C179" s="2"/>
      <c r="D179" s="2"/>
      <c r="E179" s="2"/>
      <c r="F179" s="2"/>
      <c r="G179" s="2"/>
      <c r="H179" s="2"/>
      <c r="I179" s="2"/>
      <c r="J17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413" t="s">
        <v>2093</v>
      </c>
      <c r="AG179" s="2"/>
      <c r="AH179" s="2"/>
      <c r="AI179" s="2"/>
      <c r="AJ179" s="2"/>
      <c r="AK179" s="2"/>
      <c r="AL179" s="124"/>
      <c r="AM179" s="562" t="str">
        <f>AM178 &amp; ".P"</f>
        <v>KMN.P</v>
      </c>
      <c r="AN179" s="531" t="s">
        <v>842</v>
      </c>
      <c r="AO179" s="420" t="s">
        <v>23</v>
      </c>
      <c r="AP179" s="247">
        <f>IF(AP180=0,0,AP178*1000/AP180)</f>
        <v>0</v>
      </c>
      <c r="AQ179" s="247">
        <f>IF(AQ180=0,0,AQ178*1000/AQ180)</f>
        <v>0</v>
      </c>
      <c r="AR179" s="247">
        <f>IF(AR180=0,0,AR178*1000/AR180)</f>
        <v>0</v>
      </c>
      <c r="AS179" s="194"/>
      <c r="AT179" s="194"/>
      <c r="AU179" s="326"/>
    </row>
    <row r="180" spans="1:47" ht="12" customHeight="1">
      <c r="A180" s="2"/>
      <c r="B180" s="2"/>
      <c r="C180" s="2"/>
      <c r="D180" s="2"/>
      <c r="E180" s="2"/>
      <c r="F180" s="2"/>
      <c r="G180" s="2"/>
      <c r="H180" s="2"/>
      <c r="I180" s="2"/>
      <c r="J180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413" t="s">
        <v>2094</v>
      </c>
      <c r="AG180" s="2"/>
      <c r="AH180" s="2"/>
      <c r="AI180" s="2"/>
      <c r="AJ180" s="2"/>
      <c r="AK180" s="2"/>
      <c r="AL180" s="124"/>
      <c r="AM180" s="562" t="str">
        <f>AM178 &amp; ".V"</f>
        <v>KMN.V</v>
      </c>
      <c r="AN180" s="531" t="s">
        <v>245</v>
      </c>
      <c r="AO180" s="420" t="s">
        <v>289</v>
      </c>
      <c r="AP180" s="247">
        <f t="shared" ref="AP180:AR181" si="44">SUMIF($AS$9:$AT$9,AP$9,$AS180:$AT180)</f>
        <v>0</v>
      </c>
      <c r="AQ180" s="247">
        <f t="shared" si="44"/>
        <v>0</v>
      </c>
      <c r="AR180" s="247">
        <f t="shared" si="44"/>
        <v>0</v>
      </c>
      <c r="AS180" s="194"/>
      <c r="AT180" s="194"/>
      <c r="AU180" s="326"/>
    </row>
    <row r="181" spans="1:47" ht="12" customHeight="1">
      <c r="A181" s="2"/>
      <c r="B181" s="2"/>
      <c r="C181" s="2"/>
      <c r="D181" s="2"/>
      <c r="E181" s="2"/>
      <c r="F181" s="2"/>
      <c r="G181" s="2"/>
      <c r="H181" s="2"/>
      <c r="I181" s="2"/>
      <c r="J18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413" t="s">
        <v>2092</v>
      </c>
      <c r="AG181" s="2"/>
      <c r="AH181" s="2"/>
      <c r="AI181" s="2"/>
      <c r="AJ181" s="2"/>
      <c r="AK181" s="2"/>
      <c r="AL181" s="124"/>
      <c r="AM181" s="561" t="s">
        <v>2054</v>
      </c>
      <c r="AN181" s="559" t="s">
        <v>1946</v>
      </c>
      <c r="AO181" s="420" t="s">
        <v>195</v>
      </c>
      <c r="AP181" s="247">
        <f t="shared" si="44"/>
        <v>0</v>
      </c>
      <c r="AQ181" s="247">
        <f t="shared" si="44"/>
        <v>0</v>
      </c>
      <c r="AR181" s="247">
        <f t="shared" si="44"/>
        <v>0</v>
      </c>
      <c r="AS181" s="194"/>
      <c r="AT181" s="194"/>
      <c r="AU181" s="326"/>
    </row>
    <row r="182" spans="1:47" ht="12" customHeight="1">
      <c r="A182" s="2"/>
      <c r="B182" s="2"/>
      <c r="C182" s="2"/>
      <c r="D182" s="2"/>
      <c r="E182" s="2"/>
      <c r="F182" s="2"/>
      <c r="G182" s="2"/>
      <c r="H182" s="2"/>
      <c r="I182" s="2"/>
      <c r="J18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413" t="s">
        <v>2093</v>
      </c>
      <c r="AG182" s="2"/>
      <c r="AH182" s="2"/>
      <c r="AI182" s="2"/>
      <c r="AJ182" s="2"/>
      <c r="AK182" s="2"/>
      <c r="AL182" s="124"/>
      <c r="AM182" s="562" t="str">
        <f>AM181 &amp; ".P"</f>
        <v>KP.P</v>
      </c>
      <c r="AN182" s="531" t="s">
        <v>842</v>
      </c>
      <c r="AO182" s="420" t="s">
        <v>23</v>
      </c>
      <c r="AP182" s="247">
        <f>IF(AP183=0,0,AP181*1000/AP183)</f>
        <v>0</v>
      </c>
      <c r="AQ182" s="247">
        <f>IF(AQ183=0,0,AQ181*1000/AQ183)</f>
        <v>0</v>
      </c>
      <c r="AR182" s="247">
        <f>IF(AR183=0,0,AR181*1000/AR183)</f>
        <v>0</v>
      </c>
      <c r="AS182" s="194"/>
      <c r="AT182" s="194"/>
      <c r="AU182" s="326"/>
    </row>
    <row r="183" spans="1:47" ht="12" customHeight="1">
      <c r="A183" s="2"/>
      <c r="B183" s="2"/>
      <c r="C183" s="2"/>
      <c r="D183" s="2"/>
      <c r="E183" s="2"/>
      <c r="F183" s="2"/>
      <c r="G183" s="2"/>
      <c r="H183" s="2"/>
      <c r="I183" s="2"/>
      <c r="J18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413" t="s">
        <v>2094</v>
      </c>
      <c r="AG183" s="2"/>
      <c r="AH183" s="2"/>
      <c r="AI183" s="2"/>
      <c r="AJ183" s="2"/>
      <c r="AK183" s="2"/>
      <c r="AL183" s="124"/>
      <c r="AM183" s="562" t="str">
        <f>AM181 &amp; ".V"</f>
        <v>KP.V</v>
      </c>
      <c r="AN183" s="531" t="s">
        <v>245</v>
      </c>
      <c r="AO183" s="420" t="s">
        <v>289</v>
      </c>
      <c r="AP183" s="247">
        <f t="shared" ref="AP183:AR184" si="45">SUMIF($AS$9:$AT$9,AP$9,$AS183:$AT183)</f>
        <v>0</v>
      </c>
      <c r="AQ183" s="247">
        <f t="shared" si="45"/>
        <v>0</v>
      </c>
      <c r="AR183" s="247">
        <f t="shared" si="45"/>
        <v>0</v>
      </c>
      <c r="AS183" s="194"/>
      <c r="AT183" s="194"/>
      <c r="AU183" s="326"/>
    </row>
    <row r="184" spans="1:47" ht="12" customHeight="1">
      <c r="A184" s="2"/>
      <c r="B184" s="2"/>
      <c r="C184" s="2"/>
      <c r="D184" s="2"/>
      <c r="E184" s="2"/>
      <c r="F184" s="2"/>
      <c r="G184" s="2"/>
      <c r="H184" s="2"/>
      <c r="I184" s="2"/>
      <c r="J18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413" t="s">
        <v>2092</v>
      </c>
      <c r="AG184" s="2"/>
      <c r="AH184" s="2"/>
      <c r="AI184" s="2"/>
      <c r="AJ184" s="2"/>
      <c r="AK184" s="2"/>
      <c r="AL184" s="124"/>
      <c r="AM184" s="561" t="s">
        <v>2055</v>
      </c>
      <c r="AN184" s="559" t="s">
        <v>1947</v>
      </c>
      <c r="AO184" s="420" t="s">
        <v>195</v>
      </c>
      <c r="AP184" s="247">
        <f t="shared" si="45"/>
        <v>0</v>
      </c>
      <c r="AQ184" s="247">
        <f t="shared" si="45"/>
        <v>0</v>
      </c>
      <c r="AR184" s="247">
        <f t="shared" si="45"/>
        <v>0</v>
      </c>
      <c r="AS184" s="194"/>
      <c r="AT184" s="194"/>
      <c r="AU184" s="326"/>
    </row>
    <row r="185" spans="1:47" ht="12" customHeight="1">
      <c r="A185" s="2"/>
      <c r="B185" s="2"/>
      <c r="C185" s="2"/>
      <c r="D185" s="2"/>
      <c r="E185" s="2"/>
      <c r="F185" s="2"/>
      <c r="G185" s="2"/>
      <c r="H185" s="2"/>
      <c r="I185" s="2"/>
      <c r="J18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413" t="s">
        <v>2093</v>
      </c>
      <c r="AG185" s="2"/>
      <c r="AH185" s="2"/>
      <c r="AI185" s="2"/>
      <c r="AJ185" s="2"/>
      <c r="AK185" s="2"/>
      <c r="AL185" s="124"/>
      <c r="AM185" s="562" t="str">
        <f>AM184 &amp; ".P"</f>
        <v>HCL.P</v>
      </c>
      <c r="AN185" s="531" t="s">
        <v>842</v>
      </c>
      <c r="AO185" s="420" t="s">
        <v>23</v>
      </c>
      <c r="AP185" s="247">
        <f>IF(AP186=0,0,AP184*1000/AP186)</f>
        <v>0</v>
      </c>
      <c r="AQ185" s="247">
        <f>IF(AQ186=0,0,AQ184*1000/AQ186)</f>
        <v>0</v>
      </c>
      <c r="AR185" s="247">
        <f>IF(AR186=0,0,AR184*1000/AR186)</f>
        <v>0</v>
      </c>
      <c r="AS185" s="194"/>
      <c r="AT185" s="194"/>
      <c r="AU185" s="326"/>
    </row>
    <row r="186" spans="1:47" ht="12" customHeight="1">
      <c r="A186" s="2"/>
      <c r="B186" s="2"/>
      <c r="C186" s="2"/>
      <c r="D186" s="2"/>
      <c r="E186" s="2"/>
      <c r="F186" s="2"/>
      <c r="G186" s="2"/>
      <c r="H186" s="2"/>
      <c r="I186" s="2"/>
      <c r="J186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413" t="s">
        <v>2094</v>
      </c>
      <c r="AG186" s="2"/>
      <c r="AH186" s="2"/>
      <c r="AI186" s="2"/>
      <c r="AJ186" s="2"/>
      <c r="AK186" s="2"/>
      <c r="AL186" s="124"/>
      <c r="AM186" s="562" t="str">
        <f>AM184 &amp; ".V"</f>
        <v>HCL.V</v>
      </c>
      <c r="AN186" s="531" t="s">
        <v>245</v>
      </c>
      <c r="AO186" s="420" t="s">
        <v>289</v>
      </c>
      <c r="AP186" s="247">
        <f t="shared" ref="AP186:AR187" si="46">SUMIF($AS$9:$AT$9,AP$9,$AS186:$AT186)</f>
        <v>0</v>
      </c>
      <c r="AQ186" s="247">
        <f t="shared" si="46"/>
        <v>0</v>
      </c>
      <c r="AR186" s="247">
        <f t="shared" si="46"/>
        <v>0</v>
      </c>
      <c r="AS186" s="194"/>
      <c r="AT186" s="194"/>
      <c r="AU186" s="326"/>
    </row>
    <row r="187" spans="1:47" ht="12" customHeight="1">
      <c r="A187" s="2"/>
      <c r="B187" s="2"/>
      <c r="C187" s="2"/>
      <c r="D187" s="2"/>
      <c r="E187" s="2"/>
      <c r="F187" s="2"/>
      <c r="G187" s="2"/>
      <c r="H187" s="2"/>
      <c r="I187" s="2"/>
      <c r="J18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413" t="s">
        <v>2092</v>
      </c>
      <c r="AG187" s="2"/>
      <c r="AH187" s="2"/>
      <c r="AI187" s="2"/>
      <c r="AJ187" s="2"/>
      <c r="AK187" s="2"/>
      <c r="AL187" s="124"/>
      <c r="AM187" s="561" t="s">
        <v>2056</v>
      </c>
      <c r="AN187" s="559" t="s">
        <v>1948</v>
      </c>
      <c r="AO187" s="420" t="s">
        <v>195</v>
      </c>
      <c r="AP187" s="247">
        <f t="shared" si="46"/>
        <v>0</v>
      </c>
      <c r="AQ187" s="247">
        <f t="shared" si="46"/>
        <v>0</v>
      </c>
      <c r="AR187" s="247">
        <f t="shared" si="46"/>
        <v>0</v>
      </c>
      <c r="AS187" s="194"/>
      <c r="AT187" s="194"/>
      <c r="AU187" s="326"/>
    </row>
    <row r="188" spans="1:47" ht="12" customHeight="1">
      <c r="A188" s="2"/>
      <c r="B188" s="2"/>
      <c r="C188" s="2"/>
      <c r="D188" s="2"/>
      <c r="E188" s="2"/>
      <c r="F188" s="2"/>
      <c r="G188" s="2"/>
      <c r="H188" s="2"/>
      <c r="I188" s="2"/>
      <c r="J188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413" t="s">
        <v>2093</v>
      </c>
      <c r="AG188" s="2"/>
      <c r="AH188" s="2"/>
      <c r="AI188" s="2"/>
      <c r="AJ188" s="2"/>
      <c r="AK188" s="2"/>
      <c r="AL188" s="124"/>
      <c r="AM188" s="562" t="str">
        <f>AM187 &amp; ".P"</f>
        <v>KNA.P</v>
      </c>
      <c r="AN188" s="531" t="s">
        <v>842</v>
      </c>
      <c r="AO188" s="420" t="s">
        <v>23</v>
      </c>
      <c r="AP188" s="247">
        <f>IF(AP189=0,0,AP187*1000/AP189)</f>
        <v>0</v>
      </c>
      <c r="AQ188" s="247">
        <f>IF(AQ189=0,0,AQ187*1000/AQ189)</f>
        <v>0</v>
      </c>
      <c r="AR188" s="247">
        <f>IF(AR189=0,0,AR187*1000/AR189)</f>
        <v>0</v>
      </c>
      <c r="AS188" s="194"/>
      <c r="AT188" s="194"/>
      <c r="AU188" s="326"/>
    </row>
    <row r="189" spans="1:47" ht="12" customHeight="1">
      <c r="A189" s="2"/>
      <c r="B189" s="2"/>
      <c r="C189" s="2"/>
      <c r="D189" s="2"/>
      <c r="E189" s="2"/>
      <c r="F189" s="2"/>
      <c r="G189" s="2"/>
      <c r="H189" s="2"/>
      <c r="I189" s="2"/>
      <c r="J18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413" t="s">
        <v>2094</v>
      </c>
      <c r="AG189" s="2"/>
      <c r="AH189" s="2"/>
      <c r="AI189" s="2"/>
      <c r="AJ189" s="2"/>
      <c r="AK189" s="2"/>
      <c r="AL189" s="124"/>
      <c r="AM189" s="562" t="str">
        <f>AM187 &amp; ".V"</f>
        <v>KNA.V</v>
      </c>
      <c r="AN189" s="531" t="s">
        <v>245</v>
      </c>
      <c r="AO189" s="420" t="s">
        <v>289</v>
      </c>
      <c r="AP189" s="247">
        <f t="shared" ref="AP189:AR190" si="47">SUMIF($AS$9:$AT$9,AP$9,$AS189:$AT189)</f>
        <v>0</v>
      </c>
      <c r="AQ189" s="247">
        <f t="shared" si="47"/>
        <v>0</v>
      </c>
      <c r="AR189" s="247">
        <f t="shared" si="47"/>
        <v>0</v>
      </c>
      <c r="AS189" s="194"/>
      <c r="AT189" s="194"/>
      <c r="AU189" s="326"/>
    </row>
    <row r="190" spans="1:47" ht="12" customHeight="1">
      <c r="A190" s="2"/>
      <c r="B190" s="2"/>
      <c r="C190" s="2"/>
      <c r="D190" s="2"/>
      <c r="E190" s="2"/>
      <c r="F190" s="2"/>
      <c r="G190" s="2"/>
      <c r="H190" s="2"/>
      <c r="I190" s="2"/>
      <c r="J190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413" t="s">
        <v>2092</v>
      </c>
      <c r="AG190" s="2"/>
      <c r="AH190" s="2"/>
      <c r="AI190" s="2"/>
      <c r="AJ190" s="2"/>
      <c r="AK190" s="2"/>
      <c r="AL190" s="124"/>
      <c r="AM190" s="561" t="s">
        <v>2057</v>
      </c>
      <c r="AN190" s="559" t="s">
        <v>1949</v>
      </c>
      <c r="AO190" s="420" t="s">
        <v>195</v>
      </c>
      <c r="AP190" s="247">
        <f t="shared" si="47"/>
        <v>0</v>
      </c>
      <c r="AQ190" s="247">
        <f t="shared" si="47"/>
        <v>0</v>
      </c>
      <c r="AR190" s="247">
        <f t="shared" si="47"/>
        <v>0</v>
      </c>
      <c r="AS190" s="194"/>
      <c r="AT190" s="194"/>
      <c r="AU190" s="326"/>
    </row>
    <row r="191" spans="1:47" ht="12" customHeight="1">
      <c r="A191" s="2"/>
      <c r="B191" s="2"/>
      <c r="C191" s="2"/>
      <c r="D191" s="2"/>
      <c r="E191" s="2"/>
      <c r="F191" s="2"/>
      <c r="G191" s="2"/>
      <c r="H191" s="2"/>
      <c r="I191" s="2"/>
      <c r="J19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413" t="s">
        <v>2093</v>
      </c>
      <c r="AG191" s="2"/>
      <c r="AH191" s="2"/>
      <c r="AI191" s="2"/>
      <c r="AJ191" s="2"/>
      <c r="AK191" s="2"/>
      <c r="AL191" s="124"/>
      <c r="AM191" s="562" t="str">
        <f>AM190 &amp; ".P"</f>
        <v>CAC.P</v>
      </c>
      <c r="AN191" s="531" t="s">
        <v>842</v>
      </c>
      <c r="AO191" s="420" t="s">
        <v>23</v>
      </c>
      <c r="AP191" s="247">
        <f>IF(AP192=0,0,AP190*1000/AP192)</f>
        <v>0</v>
      </c>
      <c r="AQ191" s="247">
        <f>IF(AQ192=0,0,AQ190*1000/AQ192)</f>
        <v>0</v>
      </c>
      <c r="AR191" s="247">
        <f>IF(AR192=0,0,AR190*1000/AR192)</f>
        <v>0</v>
      </c>
      <c r="AS191" s="194"/>
      <c r="AT191" s="194"/>
      <c r="AU191" s="326"/>
    </row>
    <row r="192" spans="1:47" ht="12" customHeight="1">
      <c r="A192" s="2"/>
      <c r="B192" s="2"/>
      <c r="C192" s="2"/>
      <c r="D192" s="2"/>
      <c r="E192" s="2"/>
      <c r="F192" s="2"/>
      <c r="G192" s="2"/>
      <c r="H192" s="2"/>
      <c r="I192" s="2"/>
      <c r="J19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413" t="s">
        <v>2094</v>
      </c>
      <c r="AG192" s="2"/>
      <c r="AH192" s="2"/>
      <c r="AI192" s="2"/>
      <c r="AJ192" s="2"/>
      <c r="AK192" s="2"/>
      <c r="AL192" s="124"/>
      <c r="AM192" s="562" t="str">
        <f>AM190 &amp; ".V"</f>
        <v>CAC.V</v>
      </c>
      <c r="AN192" s="531" t="s">
        <v>245</v>
      </c>
      <c r="AO192" s="420" t="s">
        <v>289</v>
      </c>
      <c r="AP192" s="247">
        <f t="shared" ref="AP192:AR193" si="48">SUMIF($AS$9:$AT$9,AP$9,$AS192:$AT192)</f>
        <v>0</v>
      </c>
      <c r="AQ192" s="247">
        <f t="shared" si="48"/>
        <v>0</v>
      </c>
      <c r="AR192" s="247">
        <f t="shared" si="48"/>
        <v>0</v>
      </c>
      <c r="AS192" s="194"/>
      <c r="AT192" s="194"/>
      <c r="AU192" s="326"/>
    </row>
    <row r="193" spans="1:47" ht="12" customHeight="1">
      <c r="A193" s="2"/>
      <c r="B193" s="2"/>
      <c r="C193" s="2"/>
      <c r="D193" s="2"/>
      <c r="E193" s="2"/>
      <c r="F193" s="2"/>
      <c r="G193" s="2"/>
      <c r="H193" s="2"/>
      <c r="I193" s="2"/>
      <c r="J19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413" t="s">
        <v>2092</v>
      </c>
      <c r="AG193" s="2"/>
      <c r="AH193" s="2"/>
      <c r="AI193" s="2"/>
      <c r="AJ193" s="2"/>
      <c r="AK193" s="2"/>
      <c r="AL193" s="124"/>
      <c r="AM193" s="561" t="s">
        <v>2058</v>
      </c>
      <c r="AN193" s="559" t="s">
        <v>1950</v>
      </c>
      <c r="AO193" s="420" t="s">
        <v>195</v>
      </c>
      <c r="AP193" s="247">
        <f t="shared" si="48"/>
        <v>0</v>
      </c>
      <c r="AQ193" s="247">
        <f t="shared" si="48"/>
        <v>0</v>
      </c>
      <c r="AR193" s="247">
        <f t="shared" si="48"/>
        <v>0</v>
      </c>
      <c r="AS193" s="194"/>
      <c r="AT193" s="194"/>
      <c r="AU193" s="326"/>
    </row>
    <row r="194" spans="1:47" ht="12" customHeight="1">
      <c r="A194" s="2"/>
      <c r="B194" s="2"/>
      <c r="C194" s="2"/>
      <c r="D194" s="2"/>
      <c r="E194" s="2"/>
      <c r="F194" s="2"/>
      <c r="G194" s="2"/>
      <c r="H194" s="2"/>
      <c r="I194" s="2"/>
      <c r="J19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413" t="s">
        <v>2093</v>
      </c>
      <c r="AG194" s="2"/>
      <c r="AH194" s="2"/>
      <c r="AI194" s="2"/>
      <c r="AJ194" s="2"/>
      <c r="AK194" s="2"/>
      <c r="AL194" s="124"/>
      <c r="AM194" s="562" t="str">
        <f>AM193 &amp; ".P"</f>
        <v>CACL.P</v>
      </c>
      <c r="AN194" s="531" t="s">
        <v>842</v>
      </c>
      <c r="AO194" s="420" t="s">
        <v>23</v>
      </c>
      <c r="AP194" s="247">
        <f>IF(AP195=0,0,AP193*1000/AP195)</f>
        <v>0</v>
      </c>
      <c r="AQ194" s="247">
        <f>IF(AQ195=0,0,AQ193*1000/AQ195)</f>
        <v>0</v>
      </c>
      <c r="AR194" s="247">
        <f>IF(AR195=0,0,AR193*1000/AR195)</f>
        <v>0</v>
      </c>
      <c r="AS194" s="194"/>
      <c r="AT194" s="194"/>
      <c r="AU194" s="326"/>
    </row>
    <row r="195" spans="1:47" ht="12" customHeight="1">
      <c r="A195" s="2"/>
      <c r="B195" s="2"/>
      <c r="C195" s="2"/>
      <c r="D195" s="2"/>
      <c r="E195" s="2"/>
      <c r="F195" s="2"/>
      <c r="G195" s="2"/>
      <c r="H195" s="2"/>
      <c r="I195" s="2"/>
      <c r="J19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413" t="s">
        <v>2094</v>
      </c>
      <c r="AG195" s="2"/>
      <c r="AH195" s="2"/>
      <c r="AI195" s="2"/>
      <c r="AJ195" s="2"/>
      <c r="AK195" s="2"/>
      <c r="AL195" s="124"/>
      <c r="AM195" s="562" t="str">
        <f>AM193 &amp; ".V"</f>
        <v>CACL.V</v>
      </c>
      <c r="AN195" s="531" t="s">
        <v>245</v>
      </c>
      <c r="AO195" s="420" t="s">
        <v>289</v>
      </c>
      <c r="AP195" s="247">
        <f t="shared" ref="AP195:AR196" si="49">SUMIF($AS$9:$AT$9,AP$9,$AS195:$AT195)</f>
        <v>0</v>
      </c>
      <c r="AQ195" s="247">
        <f t="shared" si="49"/>
        <v>0</v>
      </c>
      <c r="AR195" s="247">
        <f t="shared" si="49"/>
        <v>0</v>
      </c>
      <c r="AS195" s="194"/>
      <c r="AT195" s="194"/>
      <c r="AU195" s="326"/>
    </row>
    <row r="196" spans="1:47" ht="12" customHeight="1">
      <c r="A196" s="2"/>
      <c r="B196" s="2"/>
      <c r="C196" s="2"/>
      <c r="D196" s="2"/>
      <c r="E196" s="2"/>
      <c r="F196" s="2"/>
      <c r="G196" s="2"/>
      <c r="H196" s="2"/>
      <c r="I196" s="2"/>
      <c r="J196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413" t="s">
        <v>2092</v>
      </c>
      <c r="AG196" s="2"/>
      <c r="AH196" s="2"/>
      <c r="AI196" s="2"/>
      <c r="AJ196" s="2"/>
      <c r="AK196" s="2"/>
      <c r="AL196" s="124"/>
      <c r="AM196" s="561" t="s">
        <v>2059</v>
      </c>
      <c r="AN196" s="559" t="s">
        <v>1951</v>
      </c>
      <c r="AO196" s="420" t="s">
        <v>195</v>
      </c>
      <c r="AP196" s="247">
        <f t="shared" si="49"/>
        <v>0</v>
      </c>
      <c r="AQ196" s="247">
        <f t="shared" si="49"/>
        <v>0</v>
      </c>
      <c r="AR196" s="247">
        <f t="shared" si="49"/>
        <v>0</v>
      </c>
      <c r="AS196" s="194"/>
      <c r="AT196" s="194"/>
      <c r="AU196" s="326"/>
    </row>
    <row r="197" spans="1:47" ht="12" customHeight="1">
      <c r="A197" s="2"/>
      <c r="B197" s="2"/>
      <c r="C197" s="2"/>
      <c r="D197" s="2"/>
      <c r="E197" s="2"/>
      <c r="F197" s="2"/>
      <c r="G197" s="2"/>
      <c r="H197" s="2"/>
      <c r="I197" s="2"/>
      <c r="J19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413" t="s">
        <v>2093</v>
      </c>
      <c r="AG197" s="2"/>
      <c r="AH197" s="2"/>
      <c r="AI197" s="2"/>
      <c r="AJ197" s="2"/>
      <c r="AK197" s="2"/>
      <c r="AL197" s="124"/>
      <c r="AM197" s="562" t="str">
        <f>AM196 &amp; ".P"</f>
        <v>CAHPCL.P</v>
      </c>
      <c r="AN197" s="531" t="s">
        <v>842</v>
      </c>
      <c r="AO197" s="420" t="s">
        <v>23</v>
      </c>
      <c r="AP197" s="247">
        <f>IF(AP198=0,0,AP196*1000/AP198)</f>
        <v>0</v>
      </c>
      <c r="AQ197" s="247">
        <f>IF(AQ198=0,0,AQ196*1000/AQ198)</f>
        <v>0</v>
      </c>
      <c r="AR197" s="247">
        <f>IF(AR198=0,0,AR196*1000/AR198)</f>
        <v>0</v>
      </c>
      <c r="AS197" s="194"/>
      <c r="AT197" s="194"/>
      <c r="AU197" s="326"/>
    </row>
    <row r="198" spans="1:47" ht="12" customHeight="1">
      <c r="A198" s="2"/>
      <c r="B198" s="2"/>
      <c r="C198" s="2"/>
      <c r="D198" s="2"/>
      <c r="E198" s="2"/>
      <c r="F198" s="2"/>
      <c r="G198" s="2"/>
      <c r="H198" s="2"/>
      <c r="I198" s="2"/>
      <c r="J198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413" t="s">
        <v>2094</v>
      </c>
      <c r="AG198" s="2"/>
      <c r="AH198" s="2"/>
      <c r="AI198" s="2"/>
      <c r="AJ198" s="2"/>
      <c r="AK198" s="2"/>
      <c r="AL198" s="124"/>
      <c r="AM198" s="562" t="str">
        <f>AM196 &amp; ".V"</f>
        <v>CAHPCL.V</v>
      </c>
      <c r="AN198" s="531" t="s">
        <v>245</v>
      </c>
      <c r="AO198" s="420" t="s">
        <v>289</v>
      </c>
      <c r="AP198" s="247">
        <f t="shared" ref="AP198:AR199" si="50">SUMIF($AS$9:$AT$9,AP$9,$AS198:$AT198)</f>
        <v>0</v>
      </c>
      <c r="AQ198" s="247">
        <f t="shared" si="50"/>
        <v>0</v>
      </c>
      <c r="AR198" s="247">
        <f t="shared" si="50"/>
        <v>0</v>
      </c>
      <c r="AS198" s="194"/>
      <c r="AT198" s="194"/>
      <c r="AU198" s="326"/>
    </row>
    <row r="199" spans="1:47" ht="12" customHeight="1">
      <c r="A199" s="2"/>
      <c r="B199" s="2"/>
      <c r="C199" s="2"/>
      <c r="D199" s="2"/>
      <c r="E199" s="2"/>
      <c r="F199" s="2"/>
      <c r="G199" s="2"/>
      <c r="H199" s="2"/>
      <c r="I199" s="2"/>
      <c r="J19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413" t="s">
        <v>2092</v>
      </c>
      <c r="AG199" s="2"/>
      <c r="AH199" s="2"/>
      <c r="AI199" s="2"/>
      <c r="AJ199" s="2"/>
      <c r="AK199" s="2"/>
      <c r="AL199" s="124"/>
      <c r="AM199" s="561" t="s">
        <v>2060</v>
      </c>
      <c r="AN199" s="559" t="s">
        <v>1952</v>
      </c>
      <c r="AO199" s="420" t="s">
        <v>195</v>
      </c>
      <c r="AP199" s="247">
        <f t="shared" si="50"/>
        <v>0</v>
      </c>
      <c r="AQ199" s="247">
        <f t="shared" si="50"/>
        <v>0</v>
      </c>
      <c r="AR199" s="247">
        <f t="shared" si="50"/>
        <v>0</v>
      </c>
      <c r="AS199" s="194"/>
      <c r="AT199" s="194"/>
      <c r="AU199" s="326"/>
    </row>
    <row r="200" spans="1:47" ht="12" customHeight="1">
      <c r="A200" s="2"/>
      <c r="B200" s="2"/>
      <c r="C200" s="2"/>
      <c r="D200" s="2"/>
      <c r="E200" s="2"/>
      <c r="F200" s="2"/>
      <c r="G200" s="2"/>
      <c r="H200" s="2"/>
      <c r="I200" s="2"/>
      <c r="J200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413" t="s">
        <v>2093</v>
      </c>
      <c r="AG200" s="2"/>
      <c r="AH200" s="2"/>
      <c r="AI200" s="2"/>
      <c r="AJ200" s="2"/>
      <c r="AK200" s="2"/>
      <c r="AL200" s="124"/>
      <c r="AM200" s="562" t="str">
        <f>AM199 &amp; ".P"</f>
        <v>SAND.P</v>
      </c>
      <c r="AN200" s="531" t="s">
        <v>842</v>
      </c>
      <c r="AO200" s="420" t="s">
        <v>23</v>
      </c>
      <c r="AP200" s="247">
        <f>IF(AP201=0,0,AP199*1000/AP201)</f>
        <v>0</v>
      </c>
      <c r="AQ200" s="247">
        <f>IF(AQ201=0,0,AQ199*1000/AQ201)</f>
        <v>0</v>
      </c>
      <c r="AR200" s="247">
        <f>IF(AR201=0,0,AR199*1000/AR201)</f>
        <v>0</v>
      </c>
      <c r="AS200" s="194"/>
      <c r="AT200" s="194"/>
      <c r="AU200" s="326"/>
    </row>
    <row r="201" spans="1:47" ht="12" customHeight="1">
      <c r="A201" s="2"/>
      <c r="B201" s="2"/>
      <c r="C201" s="2"/>
      <c r="D201" s="2"/>
      <c r="E201" s="2"/>
      <c r="F201" s="2"/>
      <c r="G201" s="2"/>
      <c r="H201" s="2"/>
      <c r="I201" s="2"/>
      <c r="J20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413" t="s">
        <v>2094</v>
      </c>
      <c r="AG201" s="2"/>
      <c r="AH201" s="2"/>
      <c r="AI201" s="2"/>
      <c r="AJ201" s="2"/>
      <c r="AK201" s="2"/>
      <c r="AL201" s="124"/>
      <c r="AM201" s="562" t="str">
        <f>AM199 &amp; ".V"</f>
        <v>SAND.V</v>
      </c>
      <c r="AN201" s="531" t="s">
        <v>245</v>
      </c>
      <c r="AO201" s="420" t="s">
        <v>289</v>
      </c>
      <c r="AP201" s="247">
        <f t="shared" ref="AP201:AR202" si="51">SUMIF($AS$9:$AT$9,AP$9,$AS201:$AT201)</f>
        <v>0</v>
      </c>
      <c r="AQ201" s="247">
        <f t="shared" si="51"/>
        <v>0</v>
      </c>
      <c r="AR201" s="247">
        <f t="shared" si="51"/>
        <v>0</v>
      </c>
      <c r="AS201" s="194"/>
      <c r="AT201" s="194"/>
      <c r="AU201" s="326"/>
    </row>
    <row r="202" spans="1:47" ht="12" customHeight="1">
      <c r="A202" s="2"/>
      <c r="B202" s="2"/>
      <c r="C202" s="2"/>
      <c r="D202" s="2"/>
      <c r="E202" s="2"/>
      <c r="F202" s="2"/>
      <c r="G202" s="2"/>
      <c r="H202" s="2"/>
      <c r="I202" s="2"/>
      <c r="J20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413" t="s">
        <v>2092</v>
      </c>
      <c r="AG202" s="2"/>
      <c r="AH202" s="2"/>
      <c r="AI202" s="2"/>
      <c r="AJ202" s="2"/>
      <c r="AK202" s="2"/>
      <c r="AL202" s="124"/>
      <c r="AM202" s="561" t="s">
        <v>2061</v>
      </c>
      <c r="AN202" s="559" t="s">
        <v>1953</v>
      </c>
      <c r="AO202" s="420" t="s">
        <v>195</v>
      </c>
      <c r="AP202" s="247">
        <f t="shared" si="51"/>
        <v>0</v>
      </c>
      <c r="AQ202" s="247">
        <f t="shared" si="51"/>
        <v>0</v>
      </c>
      <c r="AR202" s="247">
        <f t="shared" si="51"/>
        <v>0</v>
      </c>
      <c r="AS202" s="194"/>
      <c r="AT202" s="194"/>
      <c r="AU202" s="326"/>
    </row>
    <row r="203" spans="1:47" ht="12" customHeight="1">
      <c r="A203" s="2"/>
      <c r="B203" s="2"/>
      <c r="C203" s="2"/>
      <c r="D203" s="2"/>
      <c r="E203" s="2"/>
      <c r="F203" s="2"/>
      <c r="G203" s="2"/>
      <c r="H203" s="2"/>
      <c r="I203" s="2"/>
      <c r="J20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413" t="s">
        <v>2093</v>
      </c>
      <c r="AG203" s="2"/>
      <c r="AH203" s="2"/>
      <c r="AI203" s="2"/>
      <c r="AJ203" s="2"/>
      <c r="AK203" s="2"/>
      <c r="AL203" s="124"/>
      <c r="AM203" s="562" t="str">
        <f>AM202 &amp; ".P"</f>
        <v>ACIDN.P</v>
      </c>
      <c r="AN203" s="531" t="s">
        <v>842</v>
      </c>
      <c r="AO203" s="420" t="s">
        <v>23</v>
      </c>
      <c r="AP203" s="247">
        <f>IF(AP204=0,0,AP202*1000/AP204)</f>
        <v>0</v>
      </c>
      <c r="AQ203" s="247">
        <f>IF(AQ204=0,0,AQ202*1000/AQ204)</f>
        <v>0</v>
      </c>
      <c r="AR203" s="247">
        <f>IF(AR204=0,0,AR202*1000/AR204)</f>
        <v>0</v>
      </c>
      <c r="AS203" s="194"/>
      <c r="AT203" s="194"/>
      <c r="AU203" s="326"/>
    </row>
    <row r="204" spans="1:47" ht="12" customHeight="1">
      <c r="A204" s="2"/>
      <c r="B204" s="2"/>
      <c r="C204" s="2"/>
      <c r="D204" s="2"/>
      <c r="E204" s="2"/>
      <c r="F204" s="2"/>
      <c r="G204" s="2"/>
      <c r="H204" s="2"/>
      <c r="I204" s="2"/>
      <c r="J20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413" t="s">
        <v>2094</v>
      </c>
      <c r="AG204" s="2"/>
      <c r="AH204" s="2"/>
      <c r="AI204" s="2"/>
      <c r="AJ204" s="2"/>
      <c r="AK204" s="2"/>
      <c r="AL204" s="124"/>
      <c r="AM204" s="562" t="str">
        <f>AM202 &amp; ".V"</f>
        <v>ACIDN.V</v>
      </c>
      <c r="AN204" s="531" t="s">
        <v>245</v>
      </c>
      <c r="AO204" s="420" t="s">
        <v>289</v>
      </c>
      <c r="AP204" s="247">
        <f t="shared" ref="AP204:AR205" si="52">SUMIF($AS$9:$AT$9,AP$9,$AS204:$AT204)</f>
        <v>0</v>
      </c>
      <c r="AQ204" s="247">
        <f t="shared" si="52"/>
        <v>0</v>
      </c>
      <c r="AR204" s="247">
        <f t="shared" si="52"/>
        <v>0</v>
      </c>
      <c r="AS204" s="194"/>
      <c r="AT204" s="194"/>
      <c r="AU204" s="326"/>
    </row>
    <row r="205" spans="1:47" ht="12" customHeight="1">
      <c r="A205" s="2"/>
      <c r="B205" s="2"/>
      <c r="C205" s="2"/>
      <c r="D205" s="2"/>
      <c r="E205" s="2"/>
      <c r="F205" s="2"/>
      <c r="G205" s="2"/>
      <c r="H205" s="2"/>
      <c r="I205" s="2"/>
      <c r="J20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413" t="s">
        <v>2092</v>
      </c>
      <c r="AG205" s="2"/>
      <c r="AH205" s="2"/>
      <c r="AI205" s="2"/>
      <c r="AJ205" s="2"/>
      <c r="AK205" s="2"/>
      <c r="AL205" s="124"/>
      <c r="AM205" s="561" t="s">
        <v>2062</v>
      </c>
      <c r="AN205" s="559" t="s">
        <v>1954</v>
      </c>
      <c r="AO205" s="420" t="s">
        <v>195</v>
      </c>
      <c r="AP205" s="247">
        <f t="shared" si="52"/>
        <v>0</v>
      </c>
      <c r="AQ205" s="247">
        <f t="shared" si="52"/>
        <v>0</v>
      </c>
      <c r="AR205" s="247">
        <f t="shared" si="52"/>
        <v>0</v>
      </c>
      <c r="AS205" s="194"/>
      <c r="AT205" s="194"/>
      <c r="AU205" s="326"/>
    </row>
    <row r="206" spans="1:47" ht="12" customHeight="1">
      <c r="A206" s="2"/>
      <c r="B206" s="2"/>
      <c r="C206" s="2"/>
      <c r="D206" s="2"/>
      <c r="E206" s="2"/>
      <c r="F206" s="2"/>
      <c r="G206" s="2"/>
      <c r="H206" s="2"/>
      <c r="I206" s="2"/>
      <c r="J206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413" t="s">
        <v>2093</v>
      </c>
      <c r="AG206" s="2"/>
      <c r="AH206" s="2"/>
      <c r="AI206" s="2"/>
      <c r="AJ206" s="2"/>
      <c r="AK206" s="2"/>
      <c r="AL206" s="124"/>
      <c r="AM206" s="562" t="str">
        <f>AM205 &amp; ".P"</f>
        <v>ACIDA.P</v>
      </c>
      <c r="AN206" s="531" t="s">
        <v>842</v>
      </c>
      <c r="AO206" s="420" t="s">
        <v>23</v>
      </c>
      <c r="AP206" s="247">
        <f>IF(AP207=0,0,AP205*1000/AP207)</f>
        <v>0</v>
      </c>
      <c r="AQ206" s="247">
        <f>IF(AQ207=0,0,AQ205*1000/AQ207)</f>
        <v>0</v>
      </c>
      <c r="AR206" s="247">
        <f>IF(AR207=0,0,AR205*1000/AR207)</f>
        <v>0</v>
      </c>
      <c r="AS206" s="194"/>
      <c r="AT206" s="194"/>
      <c r="AU206" s="326"/>
    </row>
    <row r="207" spans="1:47" ht="12" customHeight="1">
      <c r="A207" s="2"/>
      <c r="B207" s="2"/>
      <c r="C207" s="2"/>
      <c r="D207" s="2"/>
      <c r="E207" s="2"/>
      <c r="F207" s="2"/>
      <c r="G207" s="2"/>
      <c r="H207" s="2"/>
      <c r="I207" s="2"/>
      <c r="J20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413" t="s">
        <v>2094</v>
      </c>
      <c r="AG207" s="2"/>
      <c r="AH207" s="2"/>
      <c r="AI207" s="2"/>
      <c r="AJ207" s="2"/>
      <c r="AK207" s="2"/>
      <c r="AL207" s="124"/>
      <c r="AM207" s="562" t="str">
        <f>AM205 &amp; ".V"</f>
        <v>ACIDA.V</v>
      </c>
      <c r="AN207" s="531" t="s">
        <v>245</v>
      </c>
      <c r="AO207" s="420" t="s">
        <v>289</v>
      </c>
      <c r="AP207" s="247">
        <f t="shared" ref="AP207:AR208" si="53">SUMIF($AS$9:$AT$9,AP$9,$AS207:$AT207)</f>
        <v>0</v>
      </c>
      <c r="AQ207" s="247">
        <f t="shared" si="53"/>
        <v>0</v>
      </c>
      <c r="AR207" s="247">
        <f t="shared" si="53"/>
        <v>0</v>
      </c>
      <c r="AS207" s="194"/>
      <c r="AT207" s="194"/>
      <c r="AU207" s="326"/>
    </row>
    <row r="208" spans="1:47" ht="12" customHeight="1">
      <c r="A208" s="2"/>
      <c r="B208" s="2"/>
      <c r="C208" s="2"/>
      <c r="D208" s="2"/>
      <c r="E208" s="2"/>
      <c r="F208" s="2"/>
      <c r="G208" s="2"/>
      <c r="H208" s="2"/>
      <c r="I208" s="2"/>
      <c r="J20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413" t="s">
        <v>2092</v>
      </c>
      <c r="AG208" s="2"/>
      <c r="AH208" s="2"/>
      <c r="AI208" s="2"/>
      <c r="AJ208" s="2"/>
      <c r="AK208" s="2"/>
      <c r="AL208" s="124"/>
      <c r="AM208" s="561" t="s">
        <v>2063</v>
      </c>
      <c r="AN208" s="559" t="s">
        <v>1955</v>
      </c>
      <c r="AO208" s="420" t="s">
        <v>195</v>
      </c>
      <c r="AP208" s="247">
        <f t="shared" si="53"/>
        <v>0</v>
      </c>
      <c r="AQ208" s="247">
        <f t="shared" si="53"/>
        <v>0</v>
      </c>
      <c r="AR208" s="247">
        <f t="shared" si="53"/>
        <v>0</v>
      </c>
      <c r="AS208" s="194"/>
      <c r="AT208" s="194"/>
      <c r="AU208" s="326"/>
    </row>
    <row r="209" spans="1:47" ht="12" customHeight="1">
      <c r="A209" s="2"/>
      <c r="B209" s="2"/>
      <c r="C209" s="2"/>
      <c r="D209" s="2"/>
      <c r="E209" s="2"/>
      <c r="F209" s="2"/>
      <c r="G209" s="2"/>
      <c r="H209" s="2"/>
      <c r="I209" s="2"/>
      <c r="J20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413" t="s">
        <v>2093</v>
      </c>
      <c r="AG209" s="2"/>
      <c r="AH209" s="2"/>
      <c r="AI209" s="2"/>
      <c r="AJ209" s="2"/>
      <c r="AK209" s="2"/>
      <c r="AL209" s="124"/>
      <c r="AM209" s="562" t="str">
        <f>AM208 &amp; ".P"</f>
        <v>ACIDL.P</v>
      </c>
      <c r="AN209" s="531" t="s">
        <v>842</v>
      </c>
      <c r="AO209" s="420" t="s">
        <v>23</v>
      </c>
      <c r="AP209" s="247">
        <f>IF(AP210=0,0,AP208*1000/AP210)</f>
        <v>0</v>
      </c>
      <c r="AQ209" s="247">
        <f>IF(AQ210=0,0,AQ208*1000/AQ210)</f>
        <v>0</v>
      </c>
      <c r="AR209" s="247">
        <f>IF(AR210=0,0,AR208*1000/AR210)</f>
        <v>0</v>
      </c>
      <c r="AS209" s="194"/>
      <c r="AT209" s="194"/>
      <c r="AU209" s="326"/>
    </row>
    <row r="210" spans="1:47" ht="12" customHeight="1">
      <c r="A210" s="2"/>
      <c r="B210" s="2"/>
      <c r="C210" s="2"/>
      <c r="D210" s="2"/>
      <c r="E210" s="2"/>
      <c r="F210" s="2"/>
      <c r="G210" s="2"/>
      <c r="H210" s="2"/>
      <c r="I210" s="2"/>
      <c r="J210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413" t="s">
        <v>2094</v>
      </c>
      <c r="AG210" s="2"/>
      <c r="AH210" s="2"/>
      <c r="AI210" s="2"/>
      <c r="AJ210" s="2"/>
      <c r="AK210" s="2"/>
      <c r="AL210" s="124"/>
      <c r="AM210" s="562" t="str">
        <f>AM208 &amp; ".V"</f>
        <v>ACIDL.V</v>
      </c>
      <c r="AN210" s="531" t="s">
        <v>245</v>
      </c>
      <c r="AO210" s="420" t="s">
        <v>289</v>
      </c>
      <c r="AP210" s="247">
        <f t="shared" ref="AP210:AR211" si="54">SUMIF($AS$9:$AT$9,AP$9,$AS210:$AT210)</f>
        <v>0</v>
      </c>
      <c r="AQ210" s="247">
        <f t="shared" si="54"/>
        <v>0</v>
      </c>
      <c r="AR210" s="247">
        <f t="shared" si="54"/>
        <v>0</v>
      </c>
      <c r="AS210" s="194"/>
      <c r="AT210" s="194"/>
      <c r="AU210" s="326"/>
    </row>
    <row r="211" spans="1:47" ht="12" customHeight="1">
      <c r="A211" s="2"/>
      <c r="B211" s="2"/>
      <c r="C211" s="2"/>
      <c r="D211" s="2"/>
      <c r="E211" s="2"/>
      <c r="F211" s="2"/>
      <c r="G211" s="2"/>
      <c r="H211" s="2"/>
      <c r="I211" s="2"/>
      <c r="J2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413" t="s">
        <v>2092</v>
      </c>
      <c r="AG211" s="2"/>
      <c r="AH211" s="2"/>
      <c r="AI211" s="2"/>
      <c r="AJ211" s="2"/>
      <c r="AK211" s="2"/>
      <c r="AL211" s="124"/>
      <c r="AM211" s="561" t="s">
        <v>2064</v>
      </c>
      <c r="AN211" s="559" t="s">
        <v>1956</v>
      </c>
      <c r="AO211" s="420" t="s">
        <v>195</v>
      </c>
      <c r="AP211" s="247">
        <f t="shared" si="54"/>
        <v>0</v>
      </c>
      <c r="AQ211" s="247">
        <f t="shared" si="54"/>
        <v>0</v>
      </c>
      <c r="AR211" s="247">
        <f t="shared" si="54"/>
        <v>0</v>
      </c>
      <c r="AS211" s="194"/>
      <c r="AT211" s="194"/>
      <c r="AU211" s="326"/>
    </row>
    <row r="212" spans="1:47" ht="12" customHeight="1">
      <c r="A212" s="2"/>
      <c r="B212" s="2"/>
      <c r="C212" s="2"/>
      <c r="D212" s="2"/>
      <c r="E212" s="2"/>
      <c r="F212" s="2"/>
      <c r="G212" s="2"/>
      <c r="H212" s="2"/>
      <c r="I212" s="2"/>
      <c r="J21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413" t="s">
        <v>2093</v>
      </c>
      <c r="AG212" s="2"/>
      <c r="AH212" s="2"/>
      <c r="AI212" s="2"/>
      <c r="AJ212" s="2"/>
      <c r="AK212" s="2"/>
      <c r="AL212" s="124"/>
      <c r="AM212" s="562" t="str">
        <f>AM211 &amp; ".P"</f>
        <v>AURIN.P</v>
      </c>
      <c r="AN212" s="531" t="s">
        <v>842</v>
      </c>
      <c r="AO212" s="420" t="s">
        <v>23</v>
      </c>
      <c r="AP212" s="247">
        <f>IF(AP213=0,0,AP211*1000/AP213)</f>
        <v>0</v>
      </c>
      <c r="AQ212" s="247">
        <f>IF(AQ213=0,0,AQ211*1000/AQ213)</f>
        <v>0</v>
      </c>
      <c r="AR212" s="247">
        <f>IF(AR213=0,0,AR211*1000/AR213)</f>
        <v>0</v>
      </c>
      <c r="AS212" s="194"/>
      <c r="AT212" s="194"/>
      <c r="AU212" s="326"/>
    </row>
    <row r="213" spans="1:47" ht="12" customHeight="1">
      <c r="A213" s="2"/>
      <c r="B213" s="2"/>
      <c r="C213" s="2"/>
      <c r="D213" s="2"/>
      <c r="E213" s="2"/>
      <c r="F213" s="2"/>
      <c r="G213" s="2"/>
      <c r="H213" s="2"/>
      <c r="I213" s="2"/>
      <c r="J2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413" t="s">
        <v>2094</v>
      </c>
      <c r="AG213" s="2"/>
      <c r="AH213" s="2"/>
      <c r="AI213" s="2"/>
      <c r="AJ213" s="2"/>
      <c r="AK213" s="2"/>
      <c r="AL213" s="124"/>
      <c r="AM213" s="562" t="str">
        <f>AM211 &amp; ".V"</f>
        <v>AURIN.V</v>
      </c>
      <c r="AN213" s="531" t="s">
        <v>245</v>
      </c>
      <c r="AO213" s="420" t="s">
        <v>289</v>
      </c>
      <c r="AP213" s="247">
        <f t="shared" ref="AP213:AR214" si="55">SUMIF($AS$9:$AT$9,AP$9,$AS213:$AT213)</f>
        <v>0</v>
      </c>
      <c r="AQ213" s="247">
        <f t="shared" si="55"/>
        <v>0</v>
      </c>
      <c r="AR213" s="247">
        <f t="shared" si="55"/>
        <v>0</v>
      </c>
      <c r="AS213" s="194"/>
      <c r="AT213" s="194"/>
      <c r="AU213" s="326"/>
    </row>
    <row r="214" spans="1:47" ht="12" customHeight="1">
      <c r="A214" s="2"/>
      <c r="B214" s="2"/>
      <c r="C214" s="2"/>
      <c r="D214" s="2"/>
      <c r="E214" s="2"/>
      <c r="F214" s="2"/>
      <c r="G214" s="2"/>
      <c r="H214" s="2"/>
      <c r="I214" s="2"/>
      <c r="J21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413" t="s">
        <v>2092</v>
      </c>
      <c r="AG214" s="2"/>
      <c r="AH214" s="2"/>
      <c r="AI214" s="2"/>
      <c r="AJ214" s="2"/>
      <c r="AK214" s="2"/>
      <c r="AL214" s="124"/>
      <c r="AM214" s="561" t="s">
        <v>2065</v>
      </c>
      <c r="AN214" s="559" t="s">
        <v>1957</v>
      </c>
      <c r="AO214" s="420" t="s">
        <v>195</v>
      </c>
      <c r="AP214" s="247">
        <f t="shared" si="55"/>
        <v>0</v>
      </c>
      <c r="AQ214" s="247">
        <f t="shared" si="55"/>
        <v>0</v>
      </c>
      <c r="AR214" s="247">
        <f t="shared" si="55"/>
        <v>0</v>
      </c>
      <c r="AS214" s="194"/>
      <c r="AT214" s="194"/>
      <c r="AU214" s="326"/>
    </row>
    <row r="215" spans="1:47" ht="12" customHeight="1">
      <c r="A215" s="2"/>
      <c r="B215" s="2"/>
      <c r="C215" s="2"/>
      <c r="D215" s="2"/>
      <c r="E215" s="2"/>
      <c r="F215" s="2"/>
      <c r="G215" s="2"/>
      <c r="H215" s="2"/>
      <c r="I215" s="2"/>
      <c r="J21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413" t="s">
        <v>2093</v>
      </c>
      <c r="AG215" s="2"/>
      <c r="AH215" s="2"/>
      <c r="AI215" s="2"/>
      <c r="AJ215" s="2"/>
      <c r="AK215" s="2"/>
      <c r="AL215" s="124"/>
      <c r="AM215" s="562" t="str">
        <f>AM214 &amp; ".P"</f>
        <v>ACIDS.P</v>
      </c>
      <c r="AN215" s="531" t="s">
        <v>842</v>
      </c>
      <c r="AO215" s="420" t="s">
        <v>23</v>
      </c>
      <c r="AP215" s="247">
        <f>IF(AP216=0,0,AP214*1000/AP216)</f>
        <v>0</v>
      </c>
      <c r="AQ215" s="247">
        <f>IF(AQ216=0,0,AQ214*1000/AQ216)</f>
        <v>0</v>
      </c>
      <c r="AR215" s="247">
        <f>IF(AR216=0,0,AR214*1000/AR216)</f>
        <v>0</v>
      </c>
      <c r="AS215" s="194"/>
      <c r="AT215" s="194"/>
      <c r="AU215" s="326"/>
    </row>
    <row r="216" spans="1:47" ht="12" customHeight="1">
      <c r="A216" s="2"/>
      <c r="B216" s="2"/>
      <c r="C216" s="2"/>
      <c r="D216" s="2"/>
      <c r="E216" s="2"/>
      <c r="F216" s="2"/>
      <c r="G216" s="2"/>
      <c r="H216" s="2"/>
      <c r="I216" s="2"/>
      <c r="J21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413" t="s">
        <v>2094</v>
      </c>
      <c r="AG216" s="2"/>
      <c r="AH216" s="2"/>
      <c r="AI216" s="2"/>
      <c r="AJ216" s="2"/>
      <c r="AK216" s="2"/>
      <c r="AL216" s="124"/>
      <c r="AM216" s="562" t="str">
        <f>AM214 &amp; ".V"</f>
        <v>ACIDS.V</v>
      </c>
      <c r="AN216" s="531" t="s">
        <v>245</v>
      </c>
      <c r="AO216" s="420" t="s">
        <v>289</v>
      </c>
      <c r="AP216" s="247">
        <f t="shared" ref="AP216:AR217" si="56">SUMIF($AS$9:$AT$9,AP$9,$AS216:$AT216)</f>
        <v>0</v>
      </c>
      <c r="AQ216" s="247">
        <f t="shared" si="56"/>
        <v>0</v>
      </c>
      <c r="AR216" s="247">
        <f t="shared" si="56"/>
        <v>0</v>
      </c>
      <c r="AS216" s="194"/>
      <c r="AT216" s="194"/>
      <c r="AU216" s="326"/>
    </row>
    <row r="217" spans="1:47" ht="12" customHeight="1">
      <c r="A217" s="2"/>
      <c r="B217" s="2"/>
      <c r="C217" s="2"/>
      <c r="D217" s="2"/>
      <c r="E217" s="2"/>
      <c r="F217" s="2"/>
      <c r="G217" s="2"/>
      <c r="H217" s="2"/>
      <c r="I217" s="2"/>
      <c r="J21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413" t="s">
        <v>2092</v>
      </c>
      <c r="AG217" s="2"/>
      <c r="AH217" s="2"/>
      <c r="AI217" s="2"/>
      <c r="AJ217" s="2"/>
      <c r="AK217" s="2"/>
      <c r="AL217" s="124"/>
      <c r="AM217" s="561" t="s">
        <v>2066</v>
      </c>
      <c r="AN217" s="559" t="s">
        <v>1958</v>
      </c>
      <c r="AO217" s="420" t="s">
        <v>195</v>
      </c>
      <c r="AP217" s="247">
        <f t="shared" si="56"/>
        <v>0</v>
      </c>
      <c r="AQ217" s="247">
        <f t="shared" si="56"/>
        <v>0</v>
      </c>
      <c r="AR217" s="247">
        <f t="shared" si="56"/>
        <v>0</v>
      </c>
      <c r="AS217" s="194"/>
      <c r="AT217" s="194"/>
      <c r="AU217" s="326"/>
    </row>
    <row r="218" spans="1:47" ht="12" customHeight="1">
      <c r="A218" s="2"/>
      <c r="B218" s="2"/>
      <c r="C218" s="2"/>
      <c r="D218" s="2"/>
      <c r="E218" s="2"/>
      <c r="F218" s="2"/>
      <c r="G218" s="2"/>
      <c r="H218" s="2"/>
      <c r="I218" s="2"/>
      <c r="J218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413" t="s">
        <v>2093</v>
      </c>
      <c r="AG218" s="2"/>
      <c r="AH218" s="2"/>
      <c r="AI218" s="2"/>
      <c r="AJ218" s="2"/>
      <c r="AK218" s="2"/>
      <c r="AL218" s="124"/>
      <c r="AM218" s="562" t="str">
        <f>AM217 &amp; ".P"</f>
        <v>ADIDCL.P</v>
      </c>
      <c r="AN218" s="531" t="s">
        <v>842</v>
      </c>
      <c r="AO218" s="420" t="s">
        <v>23</v>
      </c>
      <c r="AP218" s="247">
        <f>IF(AP219=0,0,AP217*1000/AP219)</f>
        <v>0</v>
      </c>
      <c r="AQ218" s="247">
        <f>IF(AQ219=0,0,AQ217*1000/AQ219)</f>
        <v>0</v>
      </c>
      <c r="AR218" s="247">
        <f>IF(AR219=0,0,AR217*1000/AR219)</f>
        <v>0</v>
      </c>
      <c r="AS218" s="194"/>
      <c r="AT218" s="194"/>
      <c r="AU218" s="326"/>
    </row>
    <row r="219" spans="1:47" ht="12" customHeight="1">
      <c r="A219" s="2"/>
      <c r="B219" s="2"/>
      <c r="C219" s="2"/>
      <c r="D219" s="2"/>
      <c r="E219" s="2"/>
      <c r="F219" s="2"/>
      <c r="G219" s="2"/>
      <c r="H219" s="2"/>
      <c r="I219" s="2"/>
      <c r="J21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413" t="s">
        <v>2094</v>
      </c>
      <c r="AG219" s="2"/>
      <c r="AH219" s="2"/>
      <c r="AI219" s="2"/>
      <c r="AJ219" s="2"/>
      <c r="AK219" s="2"/>
      <c r="AL219" s="124"/>
      <c r="AM219" s="562" t="str">
        <f>AM217 &amp; ".V"</f>
        <v>ADIDCL.V</v>
      </c>
      <c r="AN219" s="531" t="s">
        <v>245</v>
      </c>
      <c r="AO219" s="420" t="s">
        <v>289</v>
      </c>
      <c r="AP219" s="247">
        <f t="shared" ref="AP219:AR220" si="57">SUMIF($AS$9:$AT$9,AP$9,$AS219:$AT219)</f>
        <v>0</v>
      </c>
      <c r="AQ219" s="247">
        <f t="shared" si="57"/>
        <v>0</v>
      </c>
      <c r="AR219" s="247">
        <f t="shared" si="57"/>
        <v>0</v>
      </c>
      <c r="AS219" s="194"/>
      <c r="AT219" s="194"/>
      <c r="AU219" s="326"/>
    </row>
    <row r="220" spans="1:47" ht="12" customHeight="1">
      <c r="A220" s="2"/>
      <c r="B220" s="2"/>
      <c r="C220" s="2"/>
      <c r="D220" s="2"/>
      <c r="E220" s="2"/>
      <c r="F220" s="2"/>
      <c r="G220" s="2"/>
      <c r="H220" s="2"/>
      <c r="I220" s="2"/>
      <c r="J220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413" t="s">
        <v>2092</v>
      </c>
      <c r="AG220" s="2"/>
      <c r="AH220" s="2"/>
      <c r="AI220" s="2"/>
      <c r="AJ220" s="2"/>
      <c r="AK220" s="2"/>
      <c r="AL220" s="124"/>
      <c r="AM220" s="561" t="s">
        <v>2067</v>
      </c>
      <c r="AN220" s="559" t="s">
        <v>1959</v>
      </c>
      <c r="AO220" s="420" t="s">
        <v>195</v>
      </c>
      <c r="AP220" s="247">
        <f t="shared" si="57"/>
        <v>0</v>
      </c>
      <c r="AQ220" s="247">
        <f t="shared" si="57"/>
        <v>0</v>
      </c>
      <c r="AR220" s="247">
        <f t="shared" si="57"/>
        <v>0</v>
      </c>
      <c r="AS220" s="194"/>
      <c r="AT220" s="194"/>
      <c r="AU220" s="326"/>
    </row>
    <row r="221" spans="1:47" ht="12" customHeight="1">
      <c r="A221" s="2"/>
      <c r="B221" s="2"/>
      <c r="C221" s="2"/>
      <c r="D221" s="2"/>
      <c r="E221" s="2"/>
      <c r="F221" s="2"/>
      <c r="G221" s="2"/>
      <c r="H221" s="2"/>
      <c r="I221" s="2"/>
      <c r="J22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413" t="s">
        <v>2093</v>
      </c>
      <c r="AG221" s="2"/>
      <c r="AH221" s="2"/>
      <c r="AI221" s="2"/>
      <c r="AJ221" s="2"/>
      <c r="AK221" s="2"/>
      <c r="AL221" s="124"/>
      <c r="AM221" s="562" t="str">
        <f>AM220 &amp; ".P"</f>
        <v>ACIDAC.P</v>
      </c>
      <c r="AN221" s="531" t="s">
        <v>842</v>
      </c>
      <c r="AO221" s="420" t="s">
        <v>23</v>
      </c>
      <c r="AP221" s="247">
        <f>IF(AP222=0,0,AP220*1000/AP222)</f>
        <v>0</v>
      </c>
      <c r="AQ221" s="247">
        <f>IF(AQ222=0,0,AQ220*1000/AQ222)</f>
        <v>0</v>
      </c>
      <c r="AR221" s="247">
        <f>IF(AR222=0,0,AR220*1000/AR222)</f>
        <v>0</v>
      </c>
      <c r="AS221" s="194"/>
      <c r="AT221" s="194"/>
      <c r="AU221" s="326"/>
    </row>
    <row r="222" spans="1:47" ht="12" customHeight="1">
      <c r="A222" s="2"/>
      <c r="B222" s="2"/>
      <c r="C222" s="2"/>
      <c r="D222" s="2"/>
      <c r="E222" s="2"/>
      <c r="F222" s="2"/>
      <c r="G222" s="2"/>
      <c r="H222" s="2"/>
      <c r="I222" s="2"/>
      <c r="J2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413" t="s">
        <v>2094</v>
      </c>
      <c r="AG222" s="2"/>
      <c r="AH222" s="2"/>
      <c r="AI222" s="2"/>
      <c r="AJ222" s="2"/>
      <c r="AK222" s="2"/>
      <c r="AL222" s="124"/>
      <c r="AM222" s="562" t="str">
        <f>AM220 &amp; ".V"</f>
        <v>ACIDAC.V</v>
      </c>
      <c r="AN222" s="531" t="s">
        <v>245</v>
      </c>
      <c r="AO222" s="420" t="s">
        <v>289</v>
      </c>
      <c r="AP222" s="247">
        <f t="shared" ref="AP222:AR223" si="58">SUMIF($AS$9:$AT$9,AP$9,$AS222:$AT222)</f>
        <v>0</v>
      </c>
      <c r="AQ222" s="247">
        <f t="shared" si="58"/>
        <v>0</v>
      </c>
      <c r="AR222" s="247">
        <f t="shared" si="58"/>
        <v>0</v>
      </c>
      <c r="AS222" s="194"/>
      <c r="AT222" s="194"/>
      <c r="AU222" s="326"/>
    </row>
    <row r="223" spans="1:47" ht="12" customHeight="1">
      <c r="A223" s="2"/>
      <c r="B223" s="2"/>
      <c r="C223" s="2"/>
      <c r="D223" s="2"/>
      <c r="E223" s="2"/>
      <c r="F223" s="2"/>
      <c r="G223" s="2"/>
      <c r="H223" s="2"/>
      <c r="I223" s="2"/>
      <c r="J22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413" t="s">
        <v>2092</v>
      </c>
      <c r="AG223" s="2"/>
      <c r="AH223" s="2"/>
      <c r="AI223" s="2"/>
      <c r="AJ223" s="2"/>
      <c r="AK223" s="2"/>
      <c r="AL223" s="124"/>
      <c r="AM223" s="561" t="s">
        <v>2068</v>
      </c>
      <c r="AN223" s="559" t="s">
        <v>1960</v>
      </c>
      <c r="AO223" s="420" t="s">
        <v>195</v>
      </c>
      <c r="AP223" s="247">
        <f t="shared" si="58"/>
        <v>0</v>
      </c>
      <c r="AQ223" s="247">
        <f t="shared" si="58"/>
        <v>0</v>
      </c>
      <c r="AR223" s="247">
        <f t="shared" si="58"/>
        <v>0</v>
      </c>
      <c r="AS223" s="194"/>
      <c r="AT223" s="194"/>
      <c r="AU223" s="326"/>
    </row>
    <row r="224" spans="1:47" ht="12" customHeight="1">
      <c r="A224" s="2"/>
      <c r="B224" s="2"/>
      <c r="C224" s="2"/>
      <c r="D224" s="2"/>
      <c r="E224" s="2"/>
      <c r="F224" s="2"/>
      <c r="G224" s="2"/>
      <c r="H224" s="2"/>
      <c r="I224" s="2"/>
      <c r="J22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413" t="s">
        <v>2093</v>
      </c>
      <c r="AG224" s="2"/>
      <c r="AH224" s="2"/>
      <c r="AI224" s="2"/>
      <c r="AJ224" s="2"/>
      <c r="AK224" s="2"/>
      <c r="AL224" s="124"/>
      <c r="AM224" s="562" t="str">
        <f>AM223 &amp; ".P"</f>
        <v>ACIDOX.P</v>
      </c>
      <c r="AN224" s="531" t="s">
        <v>842</v>
      </c>
      <c r="AO224" s="420" t="s">
        <v>23</v>
      </c>
      <c r="AP224" s="247">
        <f>IF(AP225=0,0,AP223*1000/AP225)</f>
        <v>0</v>
      </c>
      <c r="AQ224" s="247">
        <f>IF(AQ225=0,0,AQ223*1000/AQ225)</f>
        <v>0</v>
      </c>
      <c r="AR224" s="247">
        <f>IF(AR225=0,0,AR223*1000/AR225)</f>
        <v>0</v>
      </c>
      <c r="AS224" s="194"/>
      <c r="AT224" s="194"/>
      <c r="AU224" s="326"/>
    </row>
    <row r="225" spans="1:47" ht="12" customHeight="1">
      <c r="A225" s="2"/>
      <c r="B225" s="2"/>
      <c r="C225" s="2"/>
      <c r="D225" s="2"/>
      <c r="E225" s="2"/>
      <c r="F225" s="2"/>
      <c r="G225" s="2"/>
      <c r="H225" s="2"/>
      <c r="I225" s="2"/>
      <c r="J2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413" t="s">
        <v>2094</v>
      </c>
      <c r="AG225" s="2"/>
      <c r="AH225" s="2"/>
      <c r="AI225" s="2"/>
      <c r="AJ225" s="2"/>
      <c r="AK225" s="2"/>
      <c r="AL225" s="124"/>
      <c r="AM225" s="562" t="str">
        <f>AM223 &amp; ".V"</f>
        <v>ACIDOX.V</v>
      </c>
      <c r="AN225" s="531" t="s">
        <v>245</v>
      </c>
      <c r="AO225" s="420" t="s">
        <v>289</v>
      </c>
      <c r="AP225" s="247">
        <f t="shared" ref="AP225:AR226" si="59">SUMIF($AS$9:$AT$9,AP$9,$AS225:$AT225)</f>
        <v>0</v>
      </c>
      <c r="AQ225" s="247">
        <f t="shared" si="59"/>
        <v>0</v>
      </c>
      <c r="AR225" s="247">
        <f t="shared" si="59"/>
        <v>0</v>
      </c>
      <c r="AS225" s="194"/>
      <c r="AT225" s="194"/>
      <c r="AU225" s="326"/>
    </row>
    <row r="226" spans="1:47" ht="12" customHeight="1">
      <c r="A226" s="2"/>
      <c r="B226" s="2"/>
      <c r="C226" s="2"/>
      <c r="D226" s="2"/>
      <c r="E226" s="2"/>
      <c r="F226" s="2"/>
      <c r="G226" s="2"/>
      <c r="H226" s="2"/>
      <c r="I226" s="2"/>
      <c r="J226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413" t="s">
        <v>2092</v>
      </c>
      <c r="AG226" s="2"/>
      <c r="AH226" s="2"/>
      <c r="AI226" s="2"/>
      <c r="AJ226" s="2"/>
      <c r="AK226" s="2"/>
      <c r="AL226" s="124"/>
      <c r="AM226" s="561" t="s">
        <v>2069</v>
      </c>
      <c r="AN226" s="559" t="s">
        <v>1961</v>
      </c>
      <c r="AO226" s="420" t="s">
        <v>195</v>
      </c>
      <c r="AP226" s="247">
        <f t="shared" si="59"/>
        <v>0</v>
      </c>
      <c r="AQ226" s="247">
        <f t="shared" si="59"/>
        <v>0</v>
      </c>
      <c r="AR226" s="247">
        <f t="shared" si="59"/>
        <v>0</v>
      </c>
      <c r="AS226" s="194"/>
      <c r="AT226" s="194"/>
      <c r="AU226" s="326"/>
    </row>
    <row r="227" spans="1:47" ht="12" customHeight="1">
      <c r="A227" s="2"/>
      <c r="B227" s="2"/>
      <c r="C227" s="2"/>
      <c r="D227" s="2"/>
      <c r="E227" s="2"/>
      <c r="F227" s="2"/>
      <c r="G227" s="2"/>
      <c r="H227" s="2"/>
      <c r="I227" s="2"/>
      <c r="J22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413" t="s">
        <v>2093</v>
      </c>
      <c r="AG227" s="2"/>
      <c r="AH227" s="2"/>
      <c r="AI227" s="2"/>
      <c r="AJ227" s="2"/>
      <c r="AK227" s="2"/>
      <c r="AL227" s="124"/>
      <c r="AM227" s="562" t="str">
        <f>AM226 &amp; ".P"</f>
        <v>STARCH.P</v>
      </c>
      <c r="AN227" s="531" t="s">
        <v>842</v>
      </c>
      <c r="AO227" s="420" t="s">
        <v>23</v>
      </c>
      <c r="AP227" s="247">
        <f>IF(AP228=0,0,AP226*1000/AP228)</f>
        <v>0</v>
      </c>
      <c r="AQ227" s="247">
        <f>IF(AQ228=0,0,AQ226*1000/AQ228)</f>
        <v>0</v>
      </c>
      <c r="AR227" s="247">
        <f>IF(AR228=0,0,AR226*1000/AR228)</f>
        <v>0</v>
      </c>
      <c r="AS227" s="194"/>
      <c r="AT227" s="194"/>
      <c r="AU227" s="326"/>
    </row>
    <row r="228" spans="1:47" ht="12" customHeight="1">
      <c r="A228" s="2"/>
      <c r="B228" s="2"/>
      <c r="C228" s="2"/>
      <c r="D228" s="2"/>
      <c r="E228" s="2"/>
      <c r="F228" s="2"/>
      <c r="G228" s="2"/>
      <c r="H228" s="2"/>
      <c r="I228" s="2"/>
      <c r="J228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413" t="s">
        <v>2094</v>
      </c>
      <c r="AG228" s="2"/>
      <c r="AH228" s="2"/>
      <c r="AI228" s="2"/>
      <c r="AJ228" s="2"/>
      <c r="AK228" s="2"/>
      <c r="AL228" s="124"/>
      <c r="AM228" s="562" t="str">
        <f>AM226 &amp; ".V"</f>
        <v>STARCH.V</v>
      </c>
      <c r="AN228" s="531" t="s">
        <v>245</v>
      </c>
      <c r="AO228" s="420" t="s">
        <v>289</v>
      </c>
      <c r="AP228" s="247">
        <f t="shared" ref="AP228:AR229" si="60">SUMIF($AS$9:$AT$9,AP$9,$AS228:$AT228)</f>
        <v>0</v>
      </c>
      <c r="AQ228" s="247">
        <f t="shared" si="60"/>
        <v>0</v>
      </c>
      <c r="AR228" s="247">
        <f t="shared" si="60"/>
        <v>0</v>
      </c>
      <c r="AS228" s="194"/>
      <c r="AT228" s="194"/>
      <c r="AU228" s="326"/>
    </row>
    <row r="229" spans="1:47" ht="12" customHeight="1">
      <c r="A229" s="2"/>
      <c r="B229" s="2"/>
      <c r="C229" s="2"/>
      <c r="D229" s="2"/>
      <c r="E229" s="2"/>
      <c r="F229" s="2"/>
      <c r="G229" s="2"/>
      <c r="H229" s="2"/>
      <c r="I229" s="2"/>
      <c r="J22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413" t="s">
        <v>2092</v>
      </c>
      <c r="AG229" s="2"/>
      <c r="AH229" s="2"/>
      <c r="AI229" s="2"/>
      <c r="AJ229" s="2"/>
      <c r="AK229" s="2"/>
      <c r="AL229" s="124"/>
      <c r="AM229" s="561" t="s">
        <v>2070</v>
      </c>
      <c r="AN229" s="559" t="s">
        <v>1962</v>
      </c>
      <c r="AO229" s="420" t="s">
        <v>195</v>
      </c>
      <c r="AP229" s="247">
        <f t="shared" si="60"/>
        <v>0</v>
      </c>
      <c r="AQ229" s="247">
        <f t="shared" si="60"/>
        <v>0</v>
      </c>
      <c r="AR229" s="247">
        <f t="shared" si="60"/>
        <v>0</v>
      </c>
      <c r="AS229" s="194"/>
      <c r="AT229" s="194"/>
      <c r="AU229" s="326"/>
    </row>
    <row r="230" spans="1:47" ht="12" customHeight="1">
      <c r="A230" s="2"/>
      <c r="B230" s="2"/>
      <c r="C230" s="2"/>
      <c r="D230" s="2"/>
      <c r="E230" s="2"/>
      <c r="F230" s="2"/>
      <c r="G230" s="2"/>
      <c r="H230" s="2"/>
      <c r="I230" s="2"/>
      <c r="J230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413" t="s">
        <v>2093</v>
      </c>
      <c r="AG230" s="2"/>
      <c r="AH230" s="2"/>
      <c r="AI230" s="2"/>
      <c r="AJ230" s="2"/>
      <c r="AK230" s="2"/>
      <c r="AL230" s="124"/>
      <c r="AM230" s="562" t="str">
        <f>AM229 &amp; ".P"</f>
        <v>LANTN.P</v>
      </c>
      <c r="AN230" s="531" t="s">
        <v>842</v>
      </c>
      <c r="AO230" s="420" t="s">
        <v>23</v>
      </c>
      <c r="AP230" s="247">
        <f>IF(AP231=0,0,AP229*1000/AP231)</f>
        <v>0</v>
      </c>
      <c r="AQ230" s="247">
        <f>IF(AQ231=0,0,AQ229*1000/AQ231)</f>
        <v>0</v>
      </c>
      <c r="AR230" s="247">
        <f>IF(AR231=0,0,AR229*1000/AR231)</f>
        <v>0</v>
      </c>
      <c r="AS230" s="194"/>
      <c r="AT230" s="194"/>
      <c r="AU230" s="326"/>
    </row>
    <row r="231" spans="1:47" ht="12" customHeight="1">
      <c r="A231" s="2"/>
      <c r="B231" s="2"/>
      <c r="C231" s="2"/>
      <c r="D231" s="2"/>
      <c r="E231" s="2"/>
      <c r="F231" s="2"/>
      <c r="G231" s="2"/>
      <c r="H231" s="2"/>
      <c r="I231" s="2"/>
      <c r="J23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413" t="s">
        <v>2094</v>
      </c>
      <c r="AG231" s="2"/>
      <c r="AH231" s="2"/>
      <c r="AI231" s="2"/>
      <c r="AJ231" s="2"/>
      <c r="AK231" s="2"/>
      <c r="AL231" s="124"/>
      <c r="AM231" s="562" t="str">
        <f>AM229 &amp; ".V"</f>
        <v>LANTN.V</v>
      </c>
      <c r="AN231" s="531" t="s">
        <v>245</v>
      </c>
      <c r="AO231" s="420" t="s">
        <v>289</v>
      </c>
      <c r="AP231" s="247">
        <f t="shared" ref="AP231:AR232" si="61">SUMIF($AS$9:$AT$9,AP$9,$AS231:$AT231)</f>
        <v>0</v>
      </c>
      <c r="AQ231" s="247">
        <f t="shared" si="61"/>
        <v>0</v>
      </c>
      <c r="AR231" s="247">
        <f t="shared" si="61"/>
        <v>0</v>
      </c>
      <c r="AS231" s="194"/>
      <c r="AT231" s="194"/>
      <c r="AU231" s="326"/>
    </row>
    <row r="232" spans="1:47" ht="12" customHeight="1">
      <c r="A232" s="2"/>
      <c r="B232" s="2"/>
      <c r="C232" s="2"/>
      <c r="D232" s="2"/>
      <c r="E232" s="2"/>
      <c r="F232" s="2"/>
      <c r="G232" s="2"/>
      <c r="H232" s="2"/>
      <c r="I232" s="2"/>
      <c r="J23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413" t="s">
        <v>2092</v>
      </c>
      <c r="AG232" s="2"/>
      <c r="AH232" s="2"/>
      <c r="AI232" s="2"/>
      <c r="AJ232" s="2"/>
      <c r="AK232" s="2"/>
      <c r="AL232" s="124"/>
      <c r="AM232" s="561" t="s">
        <v>2071</v>
      </c>
      <c r="AN232" s="559" t="s">
        <v>1963</v>
      </c>
      <c r="AO232" s="420" t="s">
        <v>195</v>
      </c>
      <c r="AP232" s="247">
        <f t="shared" si="61"/>
        <v>0</v>
      </c>
      <c r="AQ232" s="247">
        <f t="shared" si="61"/>
        <v>0</v>
      </c>
      <c r="AR232" s="247">
        <f t="shared" si="61"/>
        <v>0</v>
      </c>
      <c r="AS232" s="194"/>
      <c r="AT232" s="194"/>
      <c r="AU232" s="326"/>
    </row>
    <row r="233" spans="1:47" ht="12" customHeight="1">
      <c r="A233" s="2"/>
      <c r="B233" s="2"/>
      <c r="C233" s="2"/>
      <c r="D233" s="2"/>
      <c r="E233" s="2"/>
      <c r="F233" s="2"/>
      <c r="G233" s="2"/>
      <c r="H233" s="2"/>
      <c r="I233" s="2"/>
      <c r="J23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413" t="s">
        <v>2093</v>
      </c>
      <c r="AG233" s="2"/>
      <c r="AH233" s="2"/>
      <c r="AI233" s="2"/>
      <c r="AJ233" s="2"/>
      <c r="AK233" s="2"/>
      <c r="AL233" s="124"/>
      <c r="AM233" s="562" t="str">
        <f>AM232 &amp; ".P"</f>
        <v>MGS.P</v>
      </c>
      <c r="AN233" s="531" t="s">
        <v>842</v>
      </c>
      <c r="AO233" s="420" t="s">
        <v>23</v>
      </c>
      <c r="AP233" s="247">
        <f>IF(AP234=0,0,AP232*1000/AP234)</f>
        <v>0</v>
      </c>
      <c r="AQ233" s="247">
        <f>IF(AQ234=0,0,AQ232*1000/AQ234)</f>
        <v>0</v>
      </c>
      <c r="AR233" s="247">
        <f>IF(AR234=0,0,AR232*1000/AR234)</f>
        <v>0</v>
      </c>
      <c r="AS233" s="194"/>
      <c r="AT233" s="194"/>
      <c r="AU233" s="326"/>
    </row>
    <row r="234" spans="1:47" ht="12" customHeight="1">
      <c r="A234" s="2"/>
      <c r="B234" s="2"/>
      <c r="C234" s="2"/>
      <c r="D234" s="2"/>
      <c r="E234" s="2"/>
      <c r="F234" s="2"/>
      <c r="G234" s="2"/>
      <c r="H234" s="2"/>
      <c r="I234" s="2"/>
      <c r="J23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413" t="s">
        <v>2094</v>
      </c>
      <c r="AG234" s="2"/>
      <c r="AH234" s="2"/>
      <c r="AI234" s="2"/>
      <c r="AJ234" s="2"/>
      <c r="AK234" s="2"/>
      <c r="AL234" s="124"/>
      <c r="AM234" s="562" t="str">
        <f>AM232 &amp; ".V"</f>
        <v>MGS.V</v>
      </c>
      <c r="AN234" s="531" t="s">
        <v>245</v>
      </c>
      <c r="AO234" s="420" t="s">
        <v>289</v>
      </c>
      <c r="AP234" s="247">
        <f t="shared" ref="AP234:AR238" si="62">SUMIF($AS$9:$AT$9,AP$9,$AS234:$AT234)</f>
        <v>0</v>
      </c>
      <c r="AQ234" s="247">
        <f t="shared" si="62"/>
        <v>0</v>
      </c>
      <c r="AR234" s="247">
        <f t="shared" si="62"/>
        <v>0</v>
      </c>
      <c r="AS234" s="194"/>
      <c r="AT234" s="194"/>
      <c r="AU234" s="326"/>
    </row>
    <row r="235" spans="1:47" ht="12" customHeight="1">
      <c r="A235" s="2"/>
      <c r="B235" s="2"/>
      <c r="C235" s="2"/>
      <c r="D235" s="2"/>
      <c r="E235" s="2"/>
      <c r="F235" s="2"/>
      <c r="G235" s="2"/>
      <c r="H235" s="2"/>
      <c r="I235" s="2"/>
      <c r="J23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413" t="s">
        <v>2092</v>
      </c>
      <c r="AG235" s="2"/>
      <c r="AH235" s="2"/>
      <c r="AI235" s="2"/>
      <c r="AJ235" s="2"/>
      <c r="AK235" s="2"/>
      <c r="AL235" s="124"/>
      <c r="AM235" s="639" t="s">
        <v>2329</v>
      </c>
      <c r="AN235" s="559" t="s">
        <v>2330</v>
      </c>
      <c r="AO235" s="420" t="s">
        <v>195</v>
      </c>
      <c r="AP235" s="247">
        <f t="shared" si="62"/>
        <v>0</v>
      </c>
      <c r="AQ235" s="247">
        <f t="shared" si="62"/>
        <v>0</v>
      </c>
      <c r="AR235" s="247">
        <f t="shared" si="62"/>
        <v>0</v>
      </c>
      <c r="AS235" s="194"/>
      <c r="AT235" s="194"/>
      <c r="AU235" s="326"/>
    </row>
    <row r="236" spans="1:47" ht="12" customHeight="1">
      <c r="A236" s="2"/>
      <c r="B236" s="2"/>
      <c r="C236" s="2"/>
      <c r="D236" s="2"/>
      <c r="E236" s="2"/>
      <c r="F236" s="2"/>
      <c r="G236" s="2"/>
      <c r="H236" s="2"/>
      <c r="I236" s="2"/>
      <c r="J236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413" t="s">
        <v>2093</v>
      </c>
      <c r="AG236" s="2"/>
      <c r="AH236" s="2"/>
      <c r="AI236" s="2"/>
      <c r="AJ236" s="2"/>
      <c r="AK236" s="2"/>
      <c r="AL236" s="124"/>
      <c r="AM236" s="639" t="str">
        <f>AM235 &amp; ".P"</f>
        <v>FLOSPERSE.P</v>
      </c>
      <c r="AN236" s="531" t="s">
        <v>842</v>
      </c>
      <c r="AO236" s="420" t="s">
        <v>23</v>
      </c>
      <c r="AP236" s="247">
        <f>IF(AP237=0,0,AP235*1000/AP237)</f>
        <v>0</v>
      </c>
      <c r="AQ236" s="247">
        <f>IF(AQ237=0,0,AQ235*1000/AQ237)</f>
        <v>0</v>
      </c>
      <c r="AR236" s="247">
        <f>IF(AR237=0,0,AR235*1000/AR237)</f>
        <v>0</v>
      </c>
      <c r="AS236" s="194"/>
      <c r="AT236" s="194"/>
      <c r="AU236" s="326"/>
    </row>
    <row r="237" spans="1:47" ht="12" customHeight="1">
      <c r="A237" s="2"/>
      <c r="B237" s="2"/>
      <c r="C237" s="2"/>
      <c r="D237" s="2"/>
      <c r="E237" s="2"/>
      <c r="F237" s="2"/>
      <c r="G237" s="2"/>
      <c r="H237" s="2"/>
      <c r="I237" s="2"/>
      <c r="J23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413" t="s">
        <v>2094</v>
      </c>
      <c r="AG237" s="2"/>
      <c r="AH237" s="2"/>
      <c r="AI237" s="2"/>
      <c r="AJ237" s="2"/>
      <c r="AK237" s="2"/>
      <c r="AL237" s="124"/>
      <c r="AM237" s="639" t="str">
        <f>AM235 &amp; ".V"</f>
        <v>FLOSPERSE.V</v>
      </c>
      <c r="AN237" s="531" t="s">
        <v>245</v>
      </c>
      <c r="AO237" s="420" t="s">
        <v>289</v>
      </c>
      <c r="AP237" s="247">
        <f>SUMIF($AS$9:$AT$9,AP$9,$AS237:$AT237)</f>
        <v>0</v>
      </c>
      <c r="AQ237" s="247">
        <f>SUMIF($AS$9:$AT$9,AQ$9,$AS237:$AT237)</f>
        <v>0</v>
      </c>
      <c r="AR237" s="247">
        <f>SUMIF($AS$9:$AT$9,AR$9,$AS237:$AT237)</f>
        <v>0</v>
      </c>
      <c r="AS237" s="194"/>
      <c r="AT237" s="194"/>
      <c r="AU237" s="326"/>
    </row>
    <row r="238" spans="1:47" ht="12" customHeight="1">
      <c r="A238" s="2"/>
      <c r="B238" s="2"/>
      <c r="C238" s="2"/>
      <c r="D238" s="2"/>
      <c r="E238" s="2"/>
      <c r="F238" s="2"/>
      <c r="G238" s="2"/>
      <c r="H238" s="2"/>
      <c r="I238" s="2"/>
      <c r="J238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413" t="s">
        <v>2092</v>
      </c>
      <c r="AG238" s="2"/>
      <c r="AH238" s="2"/>
      <c r="AI238" s="2"/>
      <c r="AJ238" s="2"/>
      <c r="AK238" s="2"/>
      <c r="AL238" s="124"/>
      <c r="AM238" s="561" t="s">
        <v>2072</v>
      </c>
      <c r="AN238" s="559" t="s">
        <v>1964</v>
      </c>
      <c r="AO238" s="420" t="s">
        <v>195</v>
      </c>
      <c r="AP238" s="247">
        <f t="shared" si="62"/>
        <v>0</v>
      </c>
      <c r="AQ238" s="247">
        <f t="shared" si="62"/>
        <v>0</v>
      </c>
      <c r="AR238" s="247">
        <f t="shared" si="62"/>
        <v>0</v>
      </c>
      <c r="AS238" s="194"/>
      <c r="AT238" s="194"/>
      <c r="AU238" s="326"/>
    </row>
    <row r="239" spans="1:47" ht="12" customHeight="1">
      <c r="A239" s="2"/>
      <c r="B239" s="2"/>
      <c r="C239" s="2"/>
      <c r="D239" s="2"/>
      <c r="E239" s="2"/>
      <c r="F239" s="2"/>
      <c r="G239" s="2"/>
      <c r="H239" s="2"/>
      <c r="I239" s="2"/>
      <c r="J23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413" t="s">
        <v>2093</v>
      </c>
      <c r="AG239" s="2"/>
      <c r="AH239" s="2"/>
      <c r="AI239" s="2"/>
      <c r="AJ239" s="2"/>
      <c r="AK239" s="2"/>
      <c r="AL239" s="124"/>
      <c r="AM239" s="562" t="str">
        <f>AM238 &amp; ".P"</f>
        <v>NATR.P</v>
      </c>
      <c r="AN239" s="531" t="s">
        <v>842</v>
      </c>
      <c r="AO239" s="420" t="s">
        <v>23</v>
      </c>
      <c r="AP239" s="247">
        <f>IF(AP240=0,0,AP238*1000/AP240)</f>
        <v>0</v>
      </c>
      <c r="AQ239" s="247">
        <f>IF(AQ240=0,0,AQ238*1000/AQ240)</f>
        <v>0</v>
      </c>
      <c r="AR239" s="247">
        <f>IF(AR240=0,0,AR238*1000/AR240)</f>
        <v>0</v>
      </c>
      <c r="AS239" s="194"/>
      <c r="AT239" s="194"/>
      <c r="AU239" s="326"/>
    </row>
    <row r="240" spans="1:47" ht="12" customHeight="1">
      <c r="A240" s="2"/>
      <c r="B240" s="2"/>
      <c r="C240" s="2"/>
      <c r="D240" s="2"/>
      <c r="E240" s="2"/>
      <c r="F240" s="2"/>
      <c r="G240" s="2"/>
      <c r="H240" s="2"/>
      <c r="I240" s="2"/>
      <c r="J240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413" t="s">
        <v>2094</v>
      </c>
      <c r="AG240" s="2"/>
      <c r="AH240" s="2"/>
      <c r="AI240" s="2"/>
      <c r="AJ240" s="2"/>
      <c r="AK240" s="2"/>
      <c r="AL240" s="124"/>
      <c r="AM240" s="562" t="str">
        <f>AM238 &amp; ".V"</f>
        <v>NATR.V</v>
      </c>
      <c r="AN240" s="531" t="s">
        <v>245</v>
      </c>
      <c r="AO240" s="420" t="s">
        <v>289</v>
      </c>
      <c r="AP240" s="247">
        <f t="shared" ref="AP240:AR241" si="63">SUMIF($AS$9:$AT$9,AP$9,$AS240:$AT240)</f>
        <v>0</v>
      </c>
      <c r="AQ240" s="247">
        <f t="shared" si="63"/>
        <v>0</v>
      </c>
      <c r="AR240" s="247">
        <f t="shared" si="63"/>
        <v>0</v>
      </c>
      <c r="AS240" s="194"/>
      <c r="AT240" s="194"/>
      <c r="AU240" s="326"/>
    </row>
    <row r="241" spans="1:47" ht="12" customHeight="1">
      <c r="A241" s="2"/>
      <c r="B241" s="2"/>
      <c r="C241" s="2"/>
      <c r="D241" s="2"/>
      <c r="E241" s="2"/>
      <c r="F241" s="2"/>
      <c r="G241" s="2"/>
      <c r="H241" s="2"/>
      <c r="I241" s="2"/>
      <c r="J24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413" t="s">
        <v>2092</v>
      </c>
      <c r="AG241" s="2"/>
      <c r="AH241" s="2"/>
      <c r="AI241" s="2"/>
      <c r="AJ241" s="2"/>
      <c r="AK241" s="2"/>
      <c r="AL241" s="124"/>
      <c r="AM241" s="561" t="s">
        <v>2074</v>
      </c>
      <c r="AN241" s="559" t="s">
        <v>1965</v>
      </c>
      <c r="AO241" s="420" t="s">
        <v>195</v>
      </c>
      <c r="AP241" s="247">
        <f t="shared" si="63"/>
        <v>0</v>
      </c>
      <c r="AQ241" s="247">
        <f t="shared" si="63"/>
        <v>0</v>
      </c>
      <c r="AR241" s="247">
        <f t="shared" si="63"/>
        <v>0</v>
      </c>
      <c r="AS241" s="194"/>
      <c r="AT241" s="194"/>
      <c r="AU241" s="326"/>
    </row>
    <row r="242" spans="1:47" ht="12" customHeight="1">
      <c r="A242" s="2"/>
      <c r="B242" s="2"/>
      <c r="C242" s="2"/>
      <c r="D242" s="2"/>
      <c r="E242" s="2"/>
      <c r="F242" s="2"/>
      <c r="G242" s="2"/>
      <c r="H242" s="2"/>
      <c r="I242" s="2"/>
      <c r="J24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413" t="s">
        <v>2093</v>
      </c>
      <c r="AG242" s="2"/>
      <c r="AH242" s="2"/>
      <c r="AI242" s="2"/>
      <c r="AJ242" s="2"/>
      <c r="AK242" s="2"/>
      <c r="AL242" s="124"/>
      <c r="AM242" s="562" t="str">
        <f>AM241 &amp; ".P"</f>
        <v>NAHDOX.P</v>
      </c>
      <c r="AN242" s="531" t="s">
        <v>842</v>
      </c>
      <c r="AO242" s="420" t="s">
        <v>23</v>
      </c>
      <c r="AP242" s="247">
        <f>IF(AP243=0,0,AP241*1000/AP243)</f>
        <v>0</v>
      </c>
      <c r="AQ242" s="247">
        <f>IF(AQ243=0,0,AQ241*1000/AQ243)</f>
        <v>0</v>
      </c>
      <c r="AR242" s="247">
        <f>IF(AR243=0,0,AR241*1000/AR243)</f>
        <v>0</v>
      </c>
      <c r="AS242" s="194"/>
      <c r="AT242" s="194"/>
      <c r="AU242" s="326"/>
    </row>
    <row r="243" spans="1:47" ht="12" customHeight="1">
      <c r="A243" s="2"/>
      <c r="B243" s="2"/>
      <c r="C243" s="2"/>
      <c r="D243" s="2"/>
      <c r="E243" s="2"/>
      <c r="F243" s="2"/>
      <c r="G243" s="2"/>
      <c r="H243" s="2"/>
      <c r="I243" s="2"/>
      <c r="J24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413" t="s">
        <v>2094</v>
      </c>
      <c r="AG243" s="2"/>
      <c r="AH243" s="2"/>
      <c r="AI243" s="2"/>
      <c r="AJ243" s="2"/>
      <c r="AK243" s="2"/>
      <c r="AL243" s="124"/>
      <c r="AM243" s="562" t="str">
        <f>AM241 &amp; ".V"</f>
        <v>NAHDOX.V</v>
      </c>
      <c r="AN243" s="531" t="s">
        <v>245</v>
      </c>
      <c r="AO243" s="420" t="s">
        <v>289</v>
      </c>
      <c r="AP243" s="247">
        <f t="shared" ref="AP243:AR244" si="64">SUMIF($AS$9:$AT$9,AP$9,$AS243:$AT243)</f>
        <v>0</v>
      </c>
      <c r="AQ243" s="247">
        <f t="shared" si="64"/>
        <v>0</v>
      </c>
      <c r="AR243" s="247">
        <f t="shared" si="64"/>
        <v>0</v>
      </c>
      <c r="AS243" s="194"/>
      <c r="AT243" s="194"/>
      <c r="AU243" s="326"/>
    </row>
    <row r="244" spans="1:47" ht="12" customHeight="1">
      <c r="A244" s="2"/>
      <c r="B244" s="2"/>
      <c r="C244" s="2"/>
      <c r="D244" s="2"/>
      <c r="E244" s="2"/>
      <c r="F244" s="2"/>
      <c r="G244" s="2"/>
      <c r="H244" s="2"/>
      <c r="I244" s="2"/>
      <c r="J24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413" t="s">
        <v>2092</v>
      </c>
      <c r="AG244" s="2"/>
      <c r="AH244" s="2"/>
      <c r="AI244" s="2"/>
      <c r="AJ244" s="2"/>
      <c r="AK244" s="2"/>
      <c r="AL244" s="124"/>
      <c r="AM244" s="561" t="s">
        <v>2073</v>
      </c>
      <c r="AN244" s="559" t="s">
        <v>1966</v>
      </c>
      <c r="AO244" s="420" t="s">
        <v>195</v>
      </c>
      <c r="AP244" s="247">
        <f t="shared" si="64"/>
        <v>0</v>
      </c>
      <c r="AQ244" s="247">
        <f t="shared" si="64"/>
        <v>0</v>
      </c>
      <c r="AR244" s="247">
        <f t="shared" si="64"/>
        <v>0</v>
      </c>
      <c r="AS244" s="194"/>
      <c r="AT244" s="194"/>
      <c r="AU244" s="326"/>
    </row>
    <row r="245" spans="1:47" ht="12" customHeight="1">
      <c r="A245" s="2"/>
      <c r="B245" s="2"/>
      <c r="C245" s="2"/>
      <c r="D245" s="2"/>
      <c r="E245" s="2"/>
      <c r="F245" s="2"/>
      <c r="G245" s="2"/>
      <c r="H245" s="2"/>
      <c r="I245" s="2"/>
      <c r="J24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413" t="s">
        <v>2093</v>
      </c>
      <c r="AG245" s="2"/>
      <c r="AH245" s="2"/>
      <c r="AI245" s="2"/>
      <c r="AJ245" s="2"/>
      <c r="AK245" s="2"/>
      <c r="AL245" s="124"/>
      <c r="AM245" s="562" t="str">
        <f>AM244 &amp; ".P"</f>
        <v>NASLC.P</v>
      </c>
      <c r="AN245" s="531" t="s">
        <v>842</v>
      </c>
      <c r="AO245" s="420" t="s">
        <v>23</v>
      </c>
      <c r="AP245" s="247">
        <f>IF(AP246=0,0,AP244*1000/AP246)</f>
        <v>0</v>
      </c>
      <c r="AQ245" s="247">
        <f>IF(AQ246=0,0,AQ244*1000/AQ246)</f>
        <v>0</v>
      </c>
      <c r="AR245" s="247">
        <f>IF(AR246=0,0,AR244*1000/AR246)</f>
        <v>0</v>
      </c>
      <c r="AS245" s="194"/>
      <c r="AT245" s="194"/>
      <c r="AU245" s="326"/>
    </row>
    <row r="246" spans="1:47" ht="12" customHeight="1">
      <c r="A246" s="2"/>
      <c r="B246" s="2"/>
      <c r="C246" s="2"/>
      <c r="D246" s="2"/>
      <c r="E246" s="2"/>
      <c r="F246" s="2"/>
      <c r="G246" s="2"/>
      <c r="H246" s="2"/>
      <c r="I246" s="2"/>
      <c r="J246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413" t="s">
        <v>2094</v>
      </c>
      <c r="AG246" s="2"/>
      <c r="AH246" s="2"/>
      <c r="AI246" s="2"/>
      <c r="AJ246" s="2"/>
      <c r="AK246" s="2"/>
      <c r="AL246" s="124"/>
      <c r="AM246" s="562" t="str">
        <f>AM244 &amp; ".V"</f>
        <v>NASLC.V</v>
      </c>
      <c r="AN246" s="531" t="s">
        <v>245</v>
      </c>
      <c r="AO246" s="420" t="s">
        <v>289</v>
      </c>
      <c r="AP246" s="247">
        <f t="shared" ref="AP246:AR247" si="65">SUMIF($AS$9:$AT$9,AP$9,$AS246:$AT246)</f>
        <v>0</v>
      </c>
      <c r="AQ246" s="247">
        <f t="shared" si="65"/>
        <v>0</v>
      </c>
      <c r="AR246" s="247">
        <f t="shared" si="65"/>
        <v>0</v>
      </c>
      <c r="AS246" s="194"/>
      <c r="AT246" s="194"/>
      <c r="AU246" s="326"/>
    </row>
    <row r="247" spans="1:47" ht="12" customHeight="1">
      <c r="A247" s="2"/>
      <c r="B247" s="2"/>
      <c r="C247" s="2"/>
      <c r="D247" s="2"/>
      <c r="E247" s="2"/>
      <c r="F247" s="2"/>
      <c r="G247" s="2"/>
      <c r="H247" s="2"/>
      <c r="I247" s="2"/>
      <c r="J24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413" t="s">
        <v>2092</v>
      </c>
      <c r="AG247" s="2"/>
      <c r="AH247" s="2"/>
      <c r="AI247" s="2"/>
      <c r="AJ247" s="2"/>
      <c r="AK247" s="2"/>
      <c r="AL247" s="124"/>
      <c r="AM247" s="561" t="s">
        <v>2075</v>
      </c>
      <c r="AN247" s="559" t="s">
        <v>1967</v>
      </c>
      <c r="AO247" s="420" t="s">
        <v>195</v>
      </c>
      <c r="AP247" s="247">
        <f t="shared" si="65"/>
        <v>0</v>
      </c>
      <c r="AQ247" s="247">
        <f t="shared" si="65"/>
        <v>0</v>
      </c>
      <c r="AR247" s="247">
        <f t="shared" si="65"/>
        <v>0</v>
      </c>
      <c r="AS247" s="194"/>
      <c r="AT247" s="194"/>
      <c r="AU247" s="326"/>
    </row>
    <row r="248" spans="1:47" ht="12" customHeight="1">
      <c r="A248" s="2"/>
      <c r="B248" s="2"/>
      <c r="C248" s="2"/>
      <c r="D248" s="2"/>
      <c r="E248" s="2"/>
      <c r="F248" s="2"/>
      <c r="G248" s="2"/>
      <c r="H248" s="2"/>
      <c r="I248" s="2"/>
      <c r="J248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413" t="s">
        <v>2093</v>
      </c>
      <c r="AG248" s="2"/>
      <c r="AH248" s="2"/>
      <c r="AI248" s="2"/>
      <c r="AJ248" s="2"/>
      <c r="AK248" s="2"/>
      <c r="AL248" s="124"/>
      <c r="AM248" s="562" t="str">
        <f>AM247 &amp; ".P"</f>
        <v>NAS.P</v>
      </c>
      <c r="AN248" s="531" t="s">
        <v>842</v>
      </c>
      <c r="AO248" s="420" t="s">
        <v>23</v>
      </c>
      <c r="AP248" s="247">
        <f>IF(AP249=0,0,AP247*1000/AP249)</f>
        <v>0</v>
      </c>
      <c r="AQ248" s="247">
        <f>IF(AQ249=0,0,AQ247*1000/AQ249)</f>
        <v>0</v>
      </c>
      <c r="AR248" s="247">
        <f>IF(AR249=0,0,AR247*1000/AR249)</f>
        <v>0</v>
      </c>
      <c r="AS248" s="194"/>
      <c r="AT248" s="194"/>
      <c r="AU248" s="326"/>
    </row>
    <row r="249" spans="1:47" ht="12" customHeight="1">
      <c r="A249" s="2"/>
      <c r="B249" s="2"/>
      <c r="C249" s="2"/>
      <c r="D249" s="2"/>
      <c r="E249" s="2"/>
      <c r="F249" s="2"/>
      <c r="G249" s="2"/>
      <c r="H249" s="2"/>
      <c r="I249" s="2"/>
      <c r="J249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413" t="s">
        <v>2094</v>
      </c>
      <c r="AG249" s="2"/>
      <c r="AH249" s="2"/>
      <c r="AI249" s="2"/>
      <c r="AJ249" s="2"/>
      <c r="AK249" s="2"/>
      <c r="AL249" s="124"/>
      <c r="AM249" s="562" t="str">
        <f>AM247 &amp; ".V"</f>
        <v>NAS.V</v>
      </c>
      <c r="AN249" s="531" t="s">
        <v>245</v>
      </c>
      <c r="AO249" s="420" t="s">
        <v>289</v>
      </c>
      <c r="AP249" s="247">
        <f t="shared" ref="AP249:AR250" si="66">SUMIF($AS$9:$AT$9,AP$9,$AS249:$AT249)</f>
        <v>0</v>
      </c>
      <c r="AQ249" s="247">
        <f t="shared" si="66"/>
        <v>0</v>
      </c>
      <c r="AR249" s="247">
        <f t="shared" si="66"/>
        <v>0</v>
      </c>
      <c r="AS249" s="194"/>
      <c r="AT249" s="194"/>
      <c r="AU249" s="326"/>
    </row>
    <row r="250" spans="1:47" ht="12" customHeight="1">
      <c r="A250" s="2"/>
      <c r="B250" s="2"/>
      <c r="C250" s="2"/>
      <c r="D250" s="2"/>
      <c r="E250" s="2"/>
      <c r="F250" s="2"/>
      <c r="G250" s="2"/>
      <c r="H250" s="2"/>
      <c r="I250" s="2"/>
      <c r="J250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413" t="s">
        <v>2092</v>
      </c>
      <c r="AG250" s="2"/>
      <c r="AH250" s="2"/>
      <c r="AI250" s="2"/>
      <c r="AJ250" s="2"/>
      <c r="AK250" s="2"/>
      <c r="AL250" s="124"/>
      <c r="AM250" s="561" t="s">
        <v>2076</v>
      </c>
      <c r="AN250" s="559" t="s">
        <v>1968</v>
      </c>
      <c r="AO250" s="420" t="s">
        <v>195</v>
      </c>
      <c r="AP250" s="247">
        <f t="shared" si="66"/>
        <v>0</v>
      </c>
      <c r="AQ250" s="247">
        <f t="shared" si="66"/>
        <v>0</v>
      </c>
      <c r="AR250" s="247">
        <f t="shared" si="66"/>
        <v>0</v>
      </c>
      <c r="AS250" s="194"/>
      <c r="AT250" s="194"/>
      <c r="AU250" s="326"/>
    </row>
    <row r="251" spans="1:47" ht="12" customHeight="1">
      <c r="A251" s="2"/>
      <c r="B251" s="2"/>
      <c r="C251" s="2"/>
      <c r="D251" s="2"/>
      <c r="E251" s="2"/>
      <c r="F251" s="2"/>
      <c r="G251" s="2"/>
      <c r="H251" s="2"/>
      <c r="I251" s="2"/>
      <c r="J25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413" t="s">
        <v>2093</v>
      </c>
      <c r="AG251" s="2"/>
      <c r="AH251" s="2"/>
      <c r="AI251" s="2"/>
      <c r="AJ251" s="2"/>
      <c r="AK251" s="2"/>
      <c r="AL251" s="124"/>
      <c r="AM251" s="562" t="str">
        <f>AM250 &amp; ".P"</f>
        <v>NAC.P</v>
      </c>
      <c r="AN251" s="531" t="s">
        <v>842</v>
      </c>
      <c r="AO251" s="420" t="s">
        <v>23</v>
      </c>
      <c r="AP251" s="247">
        <f>IF(AP252=0,0,AP250*1000/AP252)</f>
        <v>0</v>
      </c>
      <c r="AQ251" s="247">
        <f>IF(AQ252=0,0,AQ250*1000/AQ252)</f>
        <v>0</v>
      </c>
      <c r="AR251" s="247">
        <f>IF(AR252=0,0,AR250*1000/AR252)</f>
        <v>0</v>
      </c>
      <c r="AS251" s="194"/>
      <c r="AT251" s="194"/>
      <c r="AU251" s="326"/>
    </row>
    <row r="252" spans="1:47" ht="12" customHeight="1">
      <c r="A252" s="2"/>
      <c r="B252" s="2"/>
      <c r="C252" s="2"/>
      <c r="D252" s="2"/>
      <c r="E252" s="2"/>
      <c r="F252" s="2"/>
      <c r="G252" s="2"/>
      <c r="H252" s="2"/>
      <c r="I252" s="2"/>
      <c r="J25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413" t="s">
        <v>2094</v>
      </c>
      <c r="AG252" s="2"/>
      <c r="AH252" s="2"/>
      <c r="AI252" s="2"/>
      <c r="AJ252" s="2"/>
      <c r="AK252" s="2"/>
      <c r="AL252" s="124"/>
      <c r="AM252" s="562" t="str">
        <f>AM250 &amp; ".V"</f>
        <v>NAC.V</v>
      </c>
      <c r="AN252" s="531" t="s">
        <v>245</v>
      </c>
      <c r="AO252" s="420" t="s">
        <v>289</v>
      </c>
      <c r="AP252" s="247">
        <f t="shared" ref="AP252:AR253" si="67">SUMIF($AS$9:$AT$9,AP$9,$AS252:$AT252)</f>
        <v>0</v>
      </c>
      <c r="AQ252" s="247">
        <f t="shared" si="67"/>
        <v>0</v>
      </c>
      <c r="AR252" s="247">
        <f t="shared" si="67"/>
        <v>0</v>
      </c>
      <c r="AS252" s="194"/>
      <c r="AT252" s="194"/>
      <c r="AU252" s="326"/>
    </row>
    <row r="253" spans="1:47" ht="12" customHeight="1">
      <c r="A253" s="2"/>
      <c r="B253" s="2"/>
      <c r="C253" s="2"/>
      <c r="D253" s="2"/>
      <c r="E253" s="2"/>
      <c r="F253" s="2"/>
      <c r="G253" s="2"/>
      <c r="H253" s="2"/>
      <c r="I253" s="2"/>
      <c r="J25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413" t="s">
        <v>2092</v>
      </c>
      <c r="AG253" s="2"/>
      <c r="AH253" s="2"/>
      <c r="AI253" s="2"/>
      <c r="AJ253" s="2"/>
      <c r="AK253" s="2"/>
      <c r="AL253" s="124"/>
      <c r="AM253" s="561" t="s">
        <v>2077</v>
      </c>
      <c r="AN253" s="559" t="s">
        <v>1969</v>
      </c>
      <c r="AO253" s="420" t="s">
        <v>195</v>
      </c>
      <c r="AP253" s="247">
        <f t="shared" si="67"/>
        <v>0</v>
      </c>
      <c r="AQ253" s="247">
        <f t="shared" si="67"/>
        <v>0</v>
      </c>
      <c r="AR253" s="247">
        <f t="shared" si="67"/>
        <v>0</v>
      </c>
      <c r="AS253" s="194"/>
      <c r="AT253" s="194"/>
      <c r="AU253" s="326"/>
    </row>
    <row r="254" spans="1:47" ht="12" customHeight="1">
      <c r="A254" s="2"/>
      <c r="B254" s="2"/>
      <c r="C254" s="2"/>
      <c r="D254" s="2"/>
      <c r="E254" s="2"/>
      <c r="F254" s="2"/>
      <c r="G254" s="2"/>
      <c r="H254" s="2"/>
      <c r="I254" s="2"/>
      <c r="J25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413" t="s">
        <v>2093</v>
      </c>
      <c r="AG254" s="2"/>
      <c r="AH254" s="2"/>
      <c r="AI254" s="2"/>
      <c r="AJ254" s="2"/>
      <c r="AK254" s="2"/>
      <c r="AL254" s="124"/>
      <c r="AM254" s="562" t="str">
        <f>AM253 &amp; ".P"</f>
        <v>NAAC.P</v>
      </c>
      <c r="AN254" s="531" t="s">
        <v>842</v>
      </c>
      <c r="AO254" s="420" t="s">
        <v>23</v>
      </c>
      <c r="AP254" s="247">
        <f>IF(AP255=0,0,AP253*1000/AP255)</f>
        <v>0</v>
      </c>
      <c r="AQ254" s="247">
        <f>IF(AQ255=0,0,AQ253*1000/AQ255)</f>
        <v>0</v>
      </c>
      <c r="AR254" s="247">
        <f>IF(AR255=0,0,AR253*1000/AR255)</f>
        <v>0</v>
      </c>
      <c r="AS254" s="194"/>
      <c r="AT254" s="194"/>
      <c r="AU254" s="326"/>
    </row>
    <row r="255" spans="1:47" ht="12" customHeight="1">
      <c r="A255" s="2"/>
      <c r="B255" s="2"/>
      <c r="C255" s="2"/>
      <c r="D255" s="2"/>
      <c r="E255" s="2"/>
      <c r="F255" s="2"/>
      <c r="G255" s="2"/>
      <c r="H255" s="2"/>
      <c r="I255" s="2"/>
      <c r="J25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413" t="s">
        <v>2094</v>
      </c>
      <c r="AG255" s="2"/>
      <c r="AH255" s="2"/>
      <c r="AI255" s="2"/>
      <c r="AJ255" s="2"/>
      <c r="AK255" s="2"/>
      <c r="AL255" s="124"/>
      <c r="AM255" s="562" t="str">
        <f>AM253 &amp; ".V"</f>
        <v>NAAC.V</v>
      </c>
      <c r="AN255" s="531" t="s">
        <v>245</v>
      </c>
      <c r="AO255" s="420" t="s">
        <v>289</v>
      </c>
      <c r="AP255" s="247">
        <f t="shared" ref="AP255:AR256" si="68">SUMIF($AS$9:$AT$9,AP$9,$AS255:$AT255)</f>
        <v>0</v>
      </c>
      <c r="AQ255" s="247">
        <f t="shared" si="68"/>
        <v>0</v>
      </c>
      <c r="AR255" s="247">
        <f t="shared" si="68"/>
        <v>0</v>
      </c>
      <c r="AS255" s="194"/>
      <c r="AT255" s="194"/>
      <c r="AU255" s="326"/>
    </row>
    <row r="256" spans="1:47" ht="12" customHeight="1">
      <c r="A256" s="2"/>
      <c r="B256" s="2"/>
      <c r="C256" s="2"/>
      <c r="D256" s="2"/>
      <c r="E256" s="2"/>
      <c r="F256" s="2"/>
      <c r="G256" s="2"/>
      <c r="H256" s="2"/>
      <c r="I256" s="2"/>
      <c r="J256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413" t="s">
        <v>2092</v>
      </c>
      <c r="AG256" s="2"/>
      <c r="AH256" s="2"/>
      <c r="AI256" s="2"/>
      <c r="AJ256" s="2"/>
      <c r="AK256" s="2"/>
      <c r="AL256" s="124"/>
      <c r="AM256" s="561" t="s">
        <v>2027</v>
      </c>
      <c r="AN256" s="559" t="s">
        <v>1970</v>
      </c>
      <c r="AO256" s="420" t="s">
        <v>195</v>
      </c>
      <c r="AP256" s="247">
        <f t="shared" si="68"/>
        <v>0</v>
      </c>
      <c r="AQ256" s="247">
        <f t="shared" si="68"/>
        <v>0</v>
      </c>
      <c r="AR256" s="247">
        <f t="shared" si="68"/>
        <v>0</v>
      </c>
      <c r="AS256" s="194"/>
      <c r="AT256" s="194"/>
      <c r="AU256" s="326"/>
    </row>
    <row r="257" spans="1:47" ht="12" customHeight="1">
      <c r="A257" s="2"/>
      <c r="B257" s="2"/>
      <c r="C257" s="2"/>
      <c r="D257" s="2"/>
      <c r="E257" s="2"/>
      <c r="F257" s="2"/>
      <c r="G257" s="2"/>
      <c r="H257" s="2"/>
      <c r="I257" s="2"/>
      <c r="J257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413" t="s">
        <v>2093</v>
      </c>
      <c r="AG257" s="2"/>
      <c r="AH257" s="2"/>
      <c r="AI257" s="2"/>
      <c r="AJ257" s="2"/>
      <c r="AK257" s="2"/>
      <c r="AL257" s="124"/>
      <c r="AM257" s="562" t="str">
        <f>AM256 &amp; ".P"</f>
        <v>NACL.P</v>
      </c>
      <c r="AN257" s="531" t="s">
        <v>842</v>
      </c>
      <c r="AO257" s="420" t="s">
        <v>23</v>
      </c>
      <c r="AP257" s="247">
        <f>IF(AP258=0,0,AP256*1000/AP258)</f>
        <v>0</v>
      </c>
      <c r="AQ257" s="247">
        <f>IF(AQ258=0,0,AQ256*1000/AQ258)</f>
        <v>0</v>
      </c>
      <c r="AR257" s="247">
        <f>IF(AR258=0,0,AR256*1000/AR258)</f>
        <v>0</v>
      </c>
      <c r="AS257" s="194"/>
      <c r="AT257" s="194"/>
      <c r="AU257" s="326"/>
    </row>
    <row r="258" spans="1:47" ht="12" customHeight="1">
      <c r="A258" s="2"/>
      <c r="B258" s="2"/>
      <c r="C258" s="2"/>
      <c r="D258" s="2"/>
      <c r="E258" s="2"/>
      <c r="F258" s="2"/>
      <c r="G258" s="2"/>
      <c r="H258" s="2"/>
      <c r="I258" s="2"/>
      <c r="J258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413" t="s">
        <v>2094</v>
      </c>
      <c r="AG258" s="2"/>
      <c r="AH258" s="2"/>
      <c r="AI258" s="2"/>
      <c r="AJ258" s="2"/>
      <c r="AK258" s="2"/>
      <c r="AL258" s="124"/>
      <c r="AM258" s="562" t="str">
        <f>AM256 &amp; ".V"</f>
        <v>NACL.V</v>
      </c>
      <c r="AN258" s="531" t="s">
        <v>245</v>
      </c>
      <c r="AO258" s="420" t="s">
        <v>289</v>
      </c>
      <c r="AP258" s="247">
        <f t="shared" ref="AP258:AR262" si="69">SUMIF($AS$9:$AT$9,AP$9,$AS258:$AT258)</f>
        <v>0</v>
      </c>
      <c r="AQ258" s="247">
        <f t="shared" si="69"/>
        <v>0</v>
      </c>
      <c r="AR258" s="247">
        <f t="shared" si="69"/>
        <v>0</v>
      </c>
      <c r="AS258" s="194"/>
      <c r="AT258" s="194"/>
      <c r="AU258" s="326"/>
    </row>
    <row r="259" spans="1:47" ht="12" customHeight="1">
      <c r="A259" s="2"/>
      <c r="B259" s="2"/>
      <c r="C259" s="2"/>
      <c r="D259" s="2"/>
      <c r="E259" s="2"/>
      <c r="F259" s="2"/>
      <c r="G259" s="2"/>
      <c r="H259" s="2"/>
      <c r="I259" s="2"/>
      <c r="J259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413" t="s">
        <v>2092</v>
      </c>
      <c r="AG259" s="2"/>
      <c r="AH259" s="2"/>
      <c r="AI259" s="2"/>
      <c r="AJ259" s="2"/>
      <c r="AK259" s="2"/>
      <c r="AL259" s="124"/>
      <c r="AM259" s="638" t="s">
        <v>2327</v>
      </c>
      <c r="AN259" s="559" t="s">
        <v>2328</v>
      </c>
      <c r="AO259" s="420" t="s">
        <v>195</v>
      </c>
      <c r="AP259" s="247">
        <f t="shared" si="69"/>
        <v>0</v>
      </c>
      <c r="AQ259" s="247">
        <f t="shared" si="69"/>
        <v>0</v>
      </c>
      <c r="AR259" s="247">
        <f t="shared" si="69"/>
        <v>0</v>
      </c>
      <c r="AS259" s="194"/>
      <c r="AT259" s="194"/>
      <c r="AU259" s="326"/>
    </row>
    <row r="260" spans="1:47" ht="12" customHeight="1">
      <c r="A260" s="2"/>
      <c r="B260" s="2"/>
      <c r="C260" s="2"/>
      <c r="D260" s="2"/>
      <c r="E260" s="2"/>
      <c r="F260" s="2"/>
      <c r="G260" s="2"/>
      <c r="H260" s="2"/>
      <c r="I260" s="2"/>
      <c r="J260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413" t="s">
        <v>2093</v>
      </c>
      <c r="AG260" s="2"/>
      <c r="AH260" s="2"/>
      <c r="AI260" s="2"/>
      <c r="AJ260" s="2"/>
      <c r="AK260" s="2"/>
      <c r="AL260" s="124"/>
      <c r="AM260" s="639" t="str">
        <f>AM259 &amp; ".P"</f>
        <v>FLOFOAM.P</v>
      </c>
      <c r="AN260" s="531" t="s">
        <v>842</v>
      </c>
      <c r="AO260" s="420" t="s">
        <v>23</v>
      </c>
      <c r="AP260" s="247">
        <f>IF(AP261=0,0,AP259*1000/AP261)</f>
        <v>0</v>
      </c>
      <c r="AQ260" s="247">
        <f>IF(AQ261=0,0,AQ259*1000/AQ261)</f>
        <v>0</v>
      </c>
      <c r="AR260" s="247">
        <f>IF(AR261=0,0,AR259*1000/AR261)</f>
        <v>0</v>
      </c>
      <c r="AS260" s="194"/>
      <c r="AT260" s="194"/>
      <c r="AU260" s="326"/>
    </row>
    <row r="261" spans="1:47" ht="12" customHeight="1">
      <c r="A261" s="2"/>
      <c r="B261" s="2"/>
      <c r="C261" s="2"/>
      <c r="D261" s="2"/>
      <c r="E261" s="2"/>
      <c r="F261" s="2"/>
      <c r="G261" s="2"/>
      <c r="H261" s="2"/>
      <c r="I261" s="2"/>
      <c r="J26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413" t="s">
        <v>2094</v>
      </c>
      <c r="AG261" s="2"/>
      <c r="AH261" s="2"/>
      <c r="AI261" s="2"/>
      <c r="AJ261" s="2"/>
      <c r="AK261" s="2"/>
      <c r="AL261" s="124"/>
      <c r="AM261" s="639" t="str">
        <f>AM259 &amp; ".V"</f>
        <v>FLOFOAM.V</v>
      </c>
      <c r="AN261" s="531" t="s">
        <v>245</v>
      </c>
      <c r="AO261" s="420" t="s">
        <v>289</v>
      </c>
      <c r="AP261" s="247">
        <f>SUMIF($AS$9:$AT$9,AP$9,$AS261:$AT261)</f>
        <v>0</v>
      </c>
      <c r="AQ261" s="247">
        <f>SUMIF($AS$9:$AT$9,AQ$9,$AS261:$AT261)</f>
        <v>0</v>
      </c>
      <c r="AR261" s="247">
        <f>SUMIF($AS$9:$AT$9,AR$9,$AS261:$AT261)</f>
        <v>0</v>
      </c>
      <c r="AS261" s="194"/>
      <c r="AT261" s="194"/>
      <c r="AU261" s="326"/>
    </row>
    <row r="262" spans="1:47" ht="12" customHeight="1">
      <c r="A262" s="2"/>
      <c r="B262" s="2"/>
      <c r="C262" s="2"/>
      <c r="D262" s="2"/>
      <c r="E262" s="2"/>
      <c r="F262" s="2"/>
      <c r="G262" s="2"/>
      <c r="H262" s="2"/>
      <c r="I262" s="2"/>
      <c r="J26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413" t="s">
        <v>2092</v>
      </c>
      <c r="AG262" s="2"/>
      <c r="AH262" s="2"/>
      <c r="AI262" s="2"/>
      <c r="AJ262" s="2"/>
      <c r="AK262" s="2"/>
      <c r="AL262" s="124"/>
      <c r="AM262" s="561" t="s">
        <v>2026</v>
      </c>
      <c r="AN262" s="559" t="s">
        <v>1971</v>
      </c>
      <c r="AO262" s="420" t="s">
        <v>195</v>
      </c>
      <c r="AP262" s="247">
        <f t="shared" si="69"/>
        <v>0</v>
      </c>
      <c r="AQ262" s="247">
        <f t="shared" si="69"/>
        <v>0</v>
      </c>
      <c r="AR262" s="247">
        <f t="shared" si="69"/>
        <v>0</v>
      </c>
      <c r="AS262" s="194"/>
      <c r="AT262" s="194"/>
      <c r="AU262" s="326"/>
    </row>
    <row r="263" spans="1:47" ht="12" customHeight="1">
      <c r="A263" s="2"/>
      <c r="B263" s="2"/>
      <c r="C263" s="2"/>
      <c r="D263" s="2"/>
      <c r="E263" s="2"/>
      <c r="F263" s="2"/>
      <c r="G263" s="2"/>
      <c r="H263" s="2"/>
      <c r="I263" s="2"/>
      <c r="J26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413" t="s">
        <v>2093</v>
      </c>
      <c r="AG263" s="2"/>
      <c r="AH263" s="2"/>
      <c r="AI263" s="2"/>
      <c r="AJ263" s="2"/>
      <c r="AK263" s="2"/>
      <c r="AL263" s="124"/>
      <c r="AM263" s="562" t="str">
        <f>AM262 &amp; ".P"</f>
        <v>RGRS.P</v>
      </c>
      <c r="AN263" s="531" t="s">
        <v>842</v>
      </c>
      <c r="AO263" s="420" t="s">
        <v>23</v>
      </c>
      <c r="AP263" s="247">
        <f>IF(AP264=0,0,AP262*1000/AP264)</f>
        <v>0</v>
      </c>
      <c r="AQ263" s="247">
        <f>IF(AQ264=0,0,AQ262*1000/AQ264)</f>
        <v>0</v>
      </c>
      <c r="AR263" s="247">
        <f>IF(AR264=0,0,AR262*1000/AR264)</f>
        <v>0</v>
      </c>
      <c r="AS263" s="194"/>
      <c r="AT263" s="194"/>
      <c r="AU263" s="326"/>
    </row>
    <row r="264" spans="1:47" ht="12" customHeight="1">
      <c r="A264" s="2"/>
      <c r="B264" s="2"/>
      <c r="C264" s="2"/>
      <c r="D264" s="2"/>
      <c r="E264" s="2"/>
      <c r="F264" s="2"/>
      <c r="G264" s="2"/>
      <c r="H264" s="2"/>
      <c r="I264" s="2"/>
      <c r="J26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413" t="s">
        <v>2094</v>
      </c>
      <c r="AG264" s="2"/>
      <c r="AH264" s="2"/>
      <c r="AI264" s="2"/>
      <c r="AJ264" s="2"/>
      <c r="AK264" s="2"/>
      <c r="AL264" s="124"/>
      <c r="AM264" s="562" t="str">
        <f>AM262 &amp; ".V"</f>
        <v>RGRS.V</v>
      </c>
      <c r="AN264" s="531" t="s">
        <v>245</v>
      </c>
      <c r="AO264" s="420" t="s">
        <v>289</v>
      </c>
      <c r="AP264" s="247">
        <f t="shared" ref="AP264:AR265" si="70">SUMIF($AS$9:$AT$9,AP$9,$AS264:$AT264)</f>
        <v>0</v>
      </c>
      <c r="AQ264" s="247">
        <f t="shared" si="70"/>
        <v>0</v>
      </c>
      <c r="AR264" s="247">
        <f t="shared" si="70"/>
        <v>0</v>
      </c>
      <c r="AS264" s="194"/>
      <c r="AT264" s="194"/>
      <c r="AU264" s="326"/>
    </row>
    <row r="265" spans="1:47" ht="12" customHeight="1">
      <c r="A265" s="2"/>
      <c r="B265" s="2"/>
      <c r="C265" s="2"/>
      <c r="D265" s="2"/>
      <c r="E265" s="2"/>
      <c r="F265" s="2"/>
      <c r="G265" s="2"/>
      <c r="H265" s="2"/>
      <c r="I265" s="2"/>
      <c r="J26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413" t="s">
        <v>2092</v>
      </c>
      <c r="AG265" s="2"/>
      <c r="AH265" s="2"/>
      <c r="AI265" s="2"/>
      <c r="AJ265" s="2"/>
      <c r="AK265" s="2"/>
      <c r="AL265" s="124"/>
      <c r="AM265" s="561" t="s">
        <v>2025</v>
      </c>
      <c r="AN265" s="559" t="s">
        <v>1972</v>
      </c>
      <c r="AO265" s="420" t="s">
        <v>195</v>
      </c>
      <c r="AP265" s="247">
        <f t="shared" si="70"/>
        <v>0</v>
      </c>
      <c r="AQ265" s="247">
        <f t="shared" si="70"/>
        <v>0</v>
      </c>
      <c r="AR265" s="247">
        <f t="shared" si="70"/>
        <v>0</v>
      </c>
      <c r="AS265" s="194"/>
      <c r="AT265" s="194"/>
      <c r="AU265" s="326"/>
    </row>
    <row r="266" spans="1:47" ht="12" customHeight="1">
      <c r="A266" s="2"/>
      <c r="B266" s="2"/>
      <c r="C266" s="2"/>
      <c r="D266" s="2"/>
      <c r="E266" s="2"/>
      <c r="F266" s="2"/>
      <c r="G266" s="2"/>
      <c r="H266" s="2"/>
      <c r="I266" s="2"/>
      <c r="J266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413" t="s">
        <v>2093</v>
      </c>
      <c r="AG266" s="2"/>
      <c r="AH266" s="2"/>
      <c r="AI266" s="2"/>
      <c r="AJ266" s="2"/>
      <c r="AK266" s="2"/>
      <c r="AL266" s="124"/>
      <c r="AM266" s="562" t="str">
        <f>AM265 &amp; ".P"</f>
        <v>RNSL.P</v>
      </c>
      <c r="AN266" s="531" t="s">
        <v>842</v>
      </c>
      <c r="AO266" s="420" t="s">
        <v>23</v>
      </c>
      <c r="AP266" s="247">
        <f>IF(AP267=0,0,AP265*1000/AP267)</f>
        <v>0</v>
      </c>
      <c r="AQ266" s="247">
        <f>IF(AQ267=0,0,AQ265*1000/AQ267)</f>
        <v>0</v>
      </c>
      <c r="AR266" s="247">
        <f>IF(AR267=0,0,AR265*1000/AR267)</f>
        <v>0</v>
      </c>
      <c r="AS266" s="194"/>
      <c r="AT266" s="194"/>
      <c r="AU266" s="326"/>
    </row>
    <row r="267" spans="1:47" ht="12" customHeight="1">
      <c r="A267" s="2"/>
      <c r="B267" s="2"/>
      <c r="C267" s="2"/>
      <c r="D267" s="2"/>
      <c r="E267" s="2"/>
      <c r="F267" s="2"/>
      <c r="G267" s="2"/>
      <c r="H267" s="2"/>
      <c r="I267" s="2"/>
      <c r="J267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413" t="s">
        <v>2094</v>
      </c>
      <c r="AG267" s="2"/>
      <c r="AH267" s="2"/>
      <c r="AI267" s="2"/>
      <c r="AJ267" s="2"/>
      <c r="AK267" s="2"/>
      <c r="AL267" s="124"/>
      <c r="AM267" s="562" t="str">
        <f>AM265 &amp; ".V"</f>
        <v>RNSL.V</v>
      </c>
      <c r="AN267" s="531" t="s">
        <v>245</v>
      </c>
      <c r="AO267" s="420" t="s">
        <v>289</v>
      </c>
      <c r="AP267" s="247">
        <f t="shared" ref="AP267:AR268" si="71">SUMIF($AS$9:$AT$9,AP$9,$AS267:$AT267)</f>
        <v>0</v>
      </c>
      <c r="AQ267" s="247">
        <f t="shared" si="71"/>
        <v>0</v>
      </c>
      <c r="AR267" s="247">
        <f t="shared" si="71"/>
        <v>0</v>
      </c>
      <c r="AS267" s="194"/>
      <c r="AT267" s="194"/>
      <c r="AU267" s="326"/>
    </row>
    <row r="268" spans="1:47" ht="12" customHeight="1">
      <c r="A268" s="2"/>
      <c r="B268" s="2"/>
      <c r="C268" s="2"/>
      <c r="D268" s="2"/>
      <c r="E268" s="2"/>
      <c r="F268" s="2"/>
      <c r="G268" s="2"/>
      <c r="H268" s="2"/>
      <c r="I268" s="2"/>
      <c r="J268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413" t="s">
        <v>2092</v>
      </c>
      <c r="AG268" s="2"/>
      <c r="AH268" s="2"/>
      <c r="AI268" s="2"/>
      <c r="AJ268" s="2"/>
      <c r="AK268" s="2"/>
      <c r="AL268" s="124"/>
      <c r="AM268" s="561" t="s">
        <v>2078</v>
      </c>
      <c r="AN268" s="559" t="s">
        <v>1973</v>
      </c>
      <c r="AO268" s="420" t="s">
        <v>195</v>
      </c>
      <c r="AP268" s="247">
        <f t="shared" si="71"/>
        <v>0</v>
      </c>
      <c r="AQ268" s="247">
        <f t="shared" si="71"/>
        <v>0</v>
      </c>
      <c r="AR268" s="247">
        <f t="shared" si="71"/>
        <v>0</v>
      </c>
      <c r="AS268" s="194"/>
      <c r="AT268" s="194"/>
      <c r="AU268" s="326"/>
    </row>
    <row r="269" spans="1:47" ht="12" customHeight="1">
      <c r="A269" s="2"/>
      <c r="B269" s="2"/>
      <c r="C269" s="2"/>
      <c r="D269" s="2"/>
      <c r="E269" s="2"/>
      <c r="F269" s="2"/>
      <c r="G269" s="2"/>
      <c r="H269" s="2"/>
      <c r="I269" s="2"/>
      <c r="J269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413" t="s">
        <v>2093</v>
      </c>
      <c r="AG269" s="2"/>
      <c r="AH269" s="2"/>
      <c r="AI269" s="2"/>
      <c r="AJ269" s="2"/>
      <c r="AK269" s="2"/>
      <c r="AL269" s="124"/>
      <c r="AM269" s="562" t="str">
        <f>AM268 &amp; ".P"</f>
        <v>PBAC.P</v>
      </c>
      <c r="AN269" s="531" t="s">
        <v>842</v>
      </c>
      <c r="AO269" s="420" t="s">
        <v>23</v>
      </c>
      <c r="AP269" s="247">
        <f>IF(AP270=0,0,AP268*1000/AP270)</f>
        <v>0</v>
      </c>
      <c r="AQ269" s="247">
        <f>IF(AQ270=0,0,AQ268*1000/AQ270)</f>
        <v>0</v>
      </c>
      <c r="AR269" s="247">
        <f>IF(AR270=0,0,AR268*1000/AR270)</f>
        <v>0</v>
      </c>
      <c r="AS269" s="194"/>
      <c r="AT269" s="194"/>
      <c r="AU269" s="326"/>
    </row>
    <row r="270" spans="1:47" ht="12" customHeight="1">
      <c r="A270" s="2"/>
      <c r="B270" s="2"/>
      <c r="C270" s="2"/>
      <c r="D270" s="2"/>
      <c r="E270" s="2"/>
      <c r="F270" s="2"/>
      <c r="G270" s="2"/>
      <c r="H270" s="2"/>
      <c r="I270" s="2"/>
      <c r="J270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413" t="s">
        <v>2094</v>
      </c>
      <c r="AG270" s="2"/>
      <c r="AH270" s="2"/>
      <c r="AI270" s="2"/>
      <c r="AJ270" s="2"/>
      <c r="AK270" s="2"/>
      <c r="AL270" s="124"/>
      <c r="AM270" s="562" t="str">
        <f>AM268 &amp; ".V"</f>
        <v>PBAC.V</v>
      </c>
      <c r="AN270" s="531" t="s">
        <v>245</v>
      </c>
      <c r="AO270" s="420" t="s">
        <v>289</v>
      </c>
      <c r="AP270" s="247">
        <f t="shared" ref="AP270:AR271" si="72">SUMIF($AS$9:$AT$9,AP$9,$AS270:$AT270)</f>
        <v>0</v>
      </c>
      <c r="AQ270" s="247">
        <f t="shared" si="72"/>
        <v>0</v>
      </c>
      <c r="AR270" s="247">
        <f t="shared" si="72"/>
        <v>0</v>
      </c>
      <c r="AS270" s="194"/>
      <c r="AT270" s="194"/>
      <c r="AU270" s="326"/>
    </row>
    <row r="271" spans="1:47" ht="12" customHeight="1">
      <c r="A271" s="2"/>
      <c r="B271" s="2"/>
      <c r="C271" s="2"/>
      <c r="D271" s="2"/>
      <c r="E271" s="2"/>
      <c r="F271" s="2"/>
      <c r="G271" s="2"/>
      <c r="H271" s="2"/>
      <c r="I271" s="2"/>
      <c r="J27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413" t="s">
        <v>2092</v>
      </c>
      <c r="AG271" s="2"/>
      <c r="AH271" s="2"/>
      <c r="AI271" s="2"/>
      <c r="AJ271" s="2"/>
      <c r="AK271" s="2"/>
      <c r="AL271" s="124"/>
      <c r="AM271" s="561" t="s">
        <v>2079</v>
      </c>
      <c r="AN271" s="559" t="s">
        <v>1974</v>
      </c>
      <c r="AO271" s="420" t="s">
        <v>195</v>
      </c>
      <c r="AP271" s="247">
        <f t="shared" si="72"/>
        <v>0</v>
      </c>
      <c r="AQ271" s="247">
        <f t="shared" si="72"/>
        <v>0</v>
      </c>
      <c r="AR271" s="247">
        <f t="shared" si="72"/>
        <v>0</v>
      </c>
      <c r="AS271" s="194"/>
      <c r="AT271" s="194"/>
      <c r="AU271" s="326"/>
    </row>
    <row r="272" spans="1:47" ht="12" customHeight="1">
      <c r="A272" s="2"/>
      <c r="B272" s="2"/>
      <c r="C272" s="2"/>
      <c r="D272" s="2"/>
      <c r="E272" s="2"/>
      <c r="F272" s="2"/>
      <c r="G272" s="2"/>
      <c r="H272" s="2"/>
      <c r="I272" s="2"/>
      <c r="J27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413" t="s">
        <v>2093</v>
      </c>
      <c r="AG272" s="2"/>
      <c r="AH272" s="2"/>
      <c r="AI272" s="2"/>
      <c r="AJ272" s="2"/>
      <c r="AK272" s="2"/>
      <c r="AL272" s="124"/>
      <c r="AM272" s="562" t="str">
        <f>AM271 &amp; ".P"</f>
        <v>AGN.P</v>
      </c>
      <c r="AN272" s="531" t="s">
        <v>842</v>
      </c>
      <c r="AO272" s="420" t="s">
        <v>23</v>
      </c>
      <c r="AP272" s="247">
        <f>IF(AP273=0,0,AP271*1000/AP273)</f>
        <v>0</v>
      </c>
      <c r="AQ272" s="247">
        <f>IF(AQ273=0,0,AQ271*1000/AQ273)</f>
        <v>0</v>
      </c>
      <c r="AR272" s="247">
        <f>IF(AR273=0,0,AR271*1000/AR273)</f>
        <v>0</v>
      </c>
      <c r="AS272" s="194"/>
      <c r="AT272" s="194"/>
      <c r="AU272" s="326"/>
    </row>
    <row r="273" spans="1:47" ht="12" customHeight="1">
      <c r="A273" s="2"/>
      <c r="B273" s="2"/>
      <c r="C273" s="2"/>
      <c r="D273" s="2"/>
      <c r="E273" s="2"/>
      <c r="F273" s="2"/>
      <c r="G273" s="2"/>
      <c r="H273" s="2"/>
      <c r="I273" s="2"/>
      <c r="J27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413" t="s">
        <v>2094</v>
      </c>
      <c r="AG273" s="2"/>
      <c r="AH273" s="2"/>
      <c r="AI273" s="2"/>
      <c r="AJ273" s="2"/>
      <c r="AK273" s="2"/>
      <c r="AL273" s="124"/>
      <c r="AM273" s="562" t="str">
        <f>AM271 &amp; ".V"</f>
        <v>AGN.V</v>
      </c>
      <c r="AN273" s="531" t="s">
        <v>245</v>
      </c>
      <c r="AO273" s="420" t="s">
        <v>289</v>
      </c>
      <c r="AP273" s="247">
        <f t="shared" ref="AP273:AR274" si="73">SUMIF($AS$9:$AT$9,AP$9,$AS273:$AT273)</f>
        <v>0</v>
      </c>
      <c r="AQ273" s="247">
        <f t="shared" si="73"/>
        <v>0</v>
      </c>
      <c r="AR273" s="247">
        <f t="shared" si="73"/>
        <v>0</v>
      </c>
      <c r="AS273" s="194"/>
      <c r="AT273" s="194"/>
      <c r="AU273" s="326"/>
    </row>
    <row r="274" spans="1:47" ht="12" customHeight="1">
      <c r="A274" s="2"/>
      <c r="B274" s="2"/>
      <c r="C274" s="2"/>
      <c r="D274" s="2"/>
      <c r="E274" s="2"/>
      <c r="F274" s="2"/>
      <c r="G274" s="2"/>
      <c r="H274" s="2"/>
      <c r="I274" s="2"/>
      <c r="J27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413" t="s">
        <v>2092</v>
      </c>
      <c r="AG274" s="2"/>
      <c r="AH274" s="2"/>
      <c r="AI274" s="2"/>
      <c r="AJ274" s="2"/>
      <c r="AK274" s="2"/>
      <c r="AL274" s="124"/>
      <c r="AM274" s="561" t="s">
        <v>2080</v>
      </c>
      <c r="AN274" s="559" t="s">
        <v>1975</v>
      </c>
      <c r="AO274" s="420" t="s">
        <v>195</v>
      </c>
      <c r="AP274" s="247">
        <f t="shared" si="73"/>
        <v>0</v>
      </c>
      <c r="AQ274" s="247">
        <f t="shared" si="73"/>
        <v>0</v>
      </c>
      <c r="AR274" s="247">
        <f t="shared" si="73"/>
        <v>0</v>
      </c>
      <c r="AS274" s="194"/>
      <c r="AT274" s="194"/>
      <c r="AU274" s="326"/>
    </row>
    <row r="275" spans="1:47" ht="12" customHeight="1">
      <c r="A275" s="2"/>
      <c r="B275" s="2"/>
      <c r="C275" s="2"/>
      <c r="D275" s="2"/>
      <c r="E275" s="2"/>
      <c r="F275" s="2"/>
      <c r="G275" s="2"/>
      <c r="H275" s="2"/>
      <c r="I275" s="2"/>
      <c r="J27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413" t="s">
        <v>2093</v>
      </c>
      <c r="AG275" s="2"/>
      <c r="AH275" s="2"/>
      <c r="AI275" s="2"/>
      <c r="AJ275" s="2"/>
      <c r="AK275" s="2"/>
      <c r="AL275" s="124"/>
      <c r="AM275" s="562" t="str">
        <f>AM274 &amp; ".P"</f>
        <v>AGS.P</v>
      </c>
      <c r="AN275" s="531" t="s">
        <v>842</v>
      </c>
      <c r="AO275" s="420" t="s">
        <v>23</v>
      </c>
      <c r="AP275" s="247">
        <f>IF(AP276=0,0,AP274*1000/AP276)</f>
        <v>0</v>
      </c>
      <c r="AQ275" s="247">
        <f>IF(AQ276=0,0,AQ274*1000/AQ276)</f>
        <v>0</v>
      </c>
      <c r="AR275" s="247">
        <f>IF(AR276=0,0,AR274*1000/AR276)</f>
        <v>0</v>
      </c>
      <c r="AS275" s="194"/>
      <c r="AT275" s="194"/>
      <c r="AU275" s="326"/>
    </row>
    <row r="276" spans="1:47" ht="12" customHeight="1">
      <c r="A276" s="2"/>
      <c r="B276" s="2"/>
      <c r="C276" s="2"/>
      <c r="D276" s="2"/>
      <c r="E276" s="2"/>
      <c r="F276" s="2"/>
      <c r="G276" s="2"/>
      <c r="H276" s="2"/>
      <c r="I276" s="2"/>
      <c r="J276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413" t="s">
        <v>2094</v>
      </c>
      <c r="AG276" s="2"/>
      <c r="AH276" s="2"/>
      <c r="AI276" s="2"/>
      <c r="AJ276" s="2"/>
      <c r="AK276" s="2"/>
      <c r="AL276" s="124"/>
      <c r="AM276" s="562" t="str">
        <f>AM274 &amp; ".V"</f>
        <v>AGS.V</v>
      </c>
      <c r="AN276" s="531" t="s">
        <v>245</v>
      </c>
      <c r="AO276" s="420" t="s">
        <v>289</v>
      </c>
      <c r="AP276" s="247">
        <f t="shared" ref="AP276:AR277" si="74">SUMIF($AS$9:$AT$9,AP$9,$AS276:$AT276)</f>
        <v>0</v>
      </c>
      <c r="AQ276" s="247">
        <f t="shared" si="74"/>
        <v>0</v>
      </c>
      <c r="AR276" s="247">
        <f t="shared" si="74"/>
        <v>0</v>
      </c>
      <c r="AS276" s="194"/>
      <c r="AT276" s="194"/>
      <c r="AU276" s="326"/>
    </row>
    <row r="277" spans="1:47" ht="12" customHeight="1">
      <c r="A277" s="2"/>
      <c r="B277" s="2"/>
      <c r="C277" s="2"/>
      <c r="D277" s="2"/>
      <c r="E277" s="2"/>
      <c r="F277" s="2"/>
      <c r="G277" s="2"/>
      <c r="H277" s="2"/>
      <c r="I277" s="2"/>
      <c r="J277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413" t="s">
        <v>2092</v>
      </c>
      <c r="AG277" s="2"/>
      <c r="AH277" s="2"/>
      <c r="AI277" s="2"/>
      <c r="AJ277" s="2"/>
      <c r="AK277" s="2"/>
      <c r="AL277" s="124"/>
      <c r="AM277" s="561" t="s">
        <v>2018</v>
      </c>
      <c r="AN277" s="559" t="s">
        <v>1976</v>
      </c>
      <c r="AO277" s="420" t="s">
        <v>195</v>
      </c>
      <c r="AP277" s="247">
        <f t="shared" si="74"/>
        <v>0</v>
      </c>
      <c r="AQ277" s="247">
        <f t="shared" si="74"/>
        <v>0</v>
      </c>
      <c r="AR277" s="247">
        <f t="shared" si="74"/>
        <v>0</v>
      </c>
      <c r="AS277" s="194"/>
      <c r="AT277" s="194"/>
      <c r="AU277" s="326"/>
    </row>
    <row r="278" spans="1:47" ht="12" customHeight="1">
      <c r="A278" s="2"/>
      <c r="B278" s="2"/>
      <c r="C278" s="2"/>
      <c r="D278" s="2"/>
      <c r="E278" s="2"/>
      <c r="F278" s="2"/>
      <c r="G278" s="2"/>
      <c r="H278" s="2"/>
      <c r="I278" s="2"/>
      <c r="J278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413" t="s">
        <v>2093</v>
      </c>
      <c r="AG278" s="2"/>
      <c r="AH278" s="2"/>
      <c r="AI278" s="2"/>
      <c r="AJ278" s="2"/>
      <c r="AK278" s="2"/>
      <c r="AL278" s="124"/>
      <c r="AM278" s="562" t="str">
        <f>AM277 &amp; ".P"</f>
        <v>SODACA.P</v>
      </c>
      <c r="AN278" s="531" t="s">
        <v>842</v>
      </c>
      <c r="AO278" s="420" t="s">
        <v>23</v>
      </c>
      <c r="AP278" s="247">
        <f>IF(AP279=0,0,AP277*1000/AP279)</f>
        <v>0</v>
      </c>
      <c r="AQ278" s="247">
        <f>IF(AQ279=0,0,AQ277*1000/AQ279)</f>
        <v>0</v>
      </c>
      <c r="AR278" s="247">
        <f>IF(AR279=0,0,AR277*1000/AR279)</f>
        <v>0</v>
      </c>
      <c r="AS278" s="194"/>
      <c r="AT278" s="194"/>
      <c r="AU278" s="326"/>
    </row>
    <row r="279" spans="1:47" ht="12" customHeight="1">
      <c r="A279" s="2"/>
      <c r="B279" s="2"/>
      <c r="C279" s="2"/>
      <c r="D279" s="2"/>
      <c r="E279" s="2"/>
      <c r="F279" s="2"/>
      <c r="G279" s="2"/>
      <c r="H279" s="2"/>
      <c r="I279" s="2"/>
      <c r="J279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413" t="s">
        <v>2094</v>
      </c>
      <c r="AG279" s="2"/>
      <c r="AH279" s="2"/>
      <c r="AI279" s="2"/>
      <c r="AJ279" s="2"/>
      <c r="AK279" s="2"/>
      <c r="AL279" s="124"/>
      <c r="AM279" s="562" t="str">
        <f>AM277 &amp; ".V"</f>
        <v>SODACA.V</v>
      </c>
      <c r="AN279" s="531" t="s">
        <v>245</v>
      </c>
      <c r="AO279" s="420" t="s">
        <v>289</v>
      </c>
      <c r="AP279" s="247">
        <f t="shared" ref="AP279:AR280" si="75">SUMIF($AS$9:$AT$9,AP$9,$AS279:$AT279)</f>
        <v>0</v>
      </c>
      <c r="AQ279" s="247">
        <f t="shared" si="75"/>
        <v>0</v>
      </c>
      <c r="AR279" s="247">
        <f t="shared" si="75"/>
        <v>0</v>
      </c>
      <c r="AS279" s="194"/>
      <c r="AT279" s="194"/>
      <c r="AU279" s="326"/>
    </row>
    <row r="280" spans="1:47" ht="12" customHeight="1">
      <c r="A280" s="2"/>
      <c r="B280" s="2"/>
      <c r="C280" s="2"/>
      <c r="D280" s="2"/>
      <c r="E280" s="2"/>
      <c r="F280" s="2"/>
      <c r="G280" s="2"/>
      <c r="H280" s="2"/>
      <c r="I280" s="2"/>
      <c r="J280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413" t="s">
        <v>2092</v>
      </c>
      <c r="AG280" s="2"/>
      <c r="AH280" s="2"/>
      <c r="AI280" s="2"/>
      <c r="AJ280" s="2"/>
      <c r="AK280" s="2"/>
      <c r="AL280" s="124"/>
      <c r="AM280" s="561" t="s">
        <v>2019</v>
      </c>
      <c r="AN280" s="559" t="s">
        <v>1977</v>
      </c>
      <c r="AO280" s="420" t="s">
        <v>195</v>
      </c>
      <c r="AP280" s="247">
        <f t="shared" si="75"/>
        <v>0</v>
      </c>
      <c r="AQ280" s="247">
        <f t="shared" si="75"/>
        <v>0</v>
      </c>
      <c r="AR280" s="247">
        <f t="shared" si="75"/>
        <v>0</v>
      </c>
      <c r="AS280" s="194"/>
      <c r="AT280" s="194"/>
      <c r="AU280" s="326"/>
    </row>
    <row r="281" spans="1:47" ht="12" customHeight="1">
      <c r="A281" s="2"/>
      <c r="B281" s="2"/>
      <c r="C281" s="2"/>
      <c r="D281" s="2"/>
      <c r="E281" s="2"/>
      <c r="F281" s="2"/>
      <c r="G281" s="2"/>
      <c r="H281" s="2"/>
      <c r="I281" s="2"/>
      <c r="J28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413" t="s">
        <v>2093</v>
      </c>
      <c r="AG281" s="2"/>
      <c r="AH281" s="2"/>
      <c r="AI281" s="2"/>
      <c r="AJ281" s="2"/>
      <c r="AK281" s="2"/>
      <c r="AL281" s="124"/>
      <c r="AM281" s="562" t="str">
        <f>AM280 &amp; ".P"</f>
        <v>SODACS.P</v>
      </c>
      <c r="AN281" s="531" t="s">
        <v>842</v>
      </c>
      <c r="AO281" s="420" t="s">
        <v>23</v>
      </c>
      <c r="AP281" s="247">
        <f>IF(AP282=0,0,AP280*1000/AP282)</f>
        <v>0</v>
      </c>
      <c r="AQ281" s="247">
        <f>IF(AQ282=0,0,AQ280*1000/AQ282)</f>
        <v>0</v>
      </c>
      <c r="AR281" s="247">
        <f>IF(AR282=0,0,AR280*1000/AR282)</f>
        <v>0</v>
      </c>
      <c r="AS281" s="194"/>
      <c r="AT281" s="194"/>
      <c r="AU281" s="326"/>
    </row>
    <row r="282" spans="1:47" ht="12" customHeight="1">
      <c r="A282" s="2"/>
      <c r="B282" s="2"/>
      <c r="C282" s="2"/>
      <c r="D282" s="2"/>
      <c r="E282" s="2"/>
      <c r="F282" s="2"/>
      <c r="G282" s="2"/>
      <c r="H282" s="2"/>
      <c r="I282" s="2"/>
      <c r="J28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413" t="s">
        <v>2094</v>
      </c>
      <c r="AG282" s="2"/>
      <c r="AH282" s="2"/>
      <c r="AI282" s="2"/>
      <c r="AJ282" s="2"/>
      <c r="AK282" s="2"/>
      <c r="AL282" s="124"/>
      <c r="AM282" s="562" t="str">
        <f>AM280 &amp; ".V"</f>
        <v>SODACS.V</v>
      </c>
      <c r="AN282" s="531" t="s">
        <v>245</v>
      </c>
      <c r="AO282" s="420" t="s">
        <v>289</v>
      </c>
      <c r="AP282" s="247">
        <f t="shared" ref="AP282:AR283" si="76">SUMIF($AS$9:$AT$9,AP$9,$AS282:$AT282)</f>
        <v>0</v>
      </c>
      <c r="AQ282" s="247">
        <f t="shared" si="76"/>
        <v>0</v>
      </c>
      <c r="AR282" s="247">
        <f t="shared" si="76"/>
        <v>0</v>
      </c>
      <c r="AS282" s="194"/>
      <c r="AT282" s="194"/>
      <c r="AU282" s="326"/>
    </row>
    <row r="283" spans="1:47" ht="12" customHeight="1">
      <c r="A283" s="2"/>
      <c r="B283" s="2"/>
      <c r="C283" s="2"/>
      <c r="D283" s="2"/>
      <c r="E283" s="2"/>
      <c r="F283" s="2"/>
      <c r="G283" s="2"/>
      <c r="H283" s="2"/>
      <c r="I283" s="2"/>
      <c r="J28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413" t="s">
        <v>2092</v>
      </c>
      <c r="AG283" s="2"/>
      <c r="AH283" s="2"/>
      <c r="AI283" s="2"/>
      <c r="AJ283" s="2"/>
      <c r="AK283" s="2"/>
      <c r="AL283" s="124"/>
      <c r="AM283" s="561" t="s">
        <v>2017</v>
      </c>
      <c r="AN283" s="559" t="s">
        <v>2016</v>
      </c>
      <c r="AO283" s="420" t="s">
        <v>195</v>
      </c>
      <c r="AP283" s="247">
        <f t="shared" si="76"/>
        <v>0</v>
      </c>
      <c r="AQ283" s="247">
        <f t="shared" si="76"/>
        <v>0</v>
      </c>
      <c r="AR283" s="247">
        <f t="shared" si="76"/>
        <v>0</v>
      </c>
      <c r="AS283" s="194"/>
      <c r="AT283" s="194"/>
      <c r="AU283" s="326"/>
    </row>
    <row r="284" spans="1:47" ht="12" customHeight="1">
      <c r="A284" s="2"/>
      <c r="B284" s="2"/>
      <c r="C284" s="2"/>
      <c r="D284" s="2"/>
      <c r="E284" s="2"/>
      <c r="F284" s="2"/>
      <c r="G284" s="2"/>
      <c r="H284" s="2"/>
      <c r="I284" s="2"/>
      <c r="J28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413" t="s">
        <v>2093</v>
      </c>
      <c r="AG284" s="2"/>
      <c r="AH284" s="2"/>
      <c r="AI284" s="2"/>
      <c r="AJ284" s="2"/>
      <c r="AK284" s="2"/>
      <c r="AL284" s="124"/>
      <c r="AM284" s="562" t="str">
        <f>AM283 &amp; ".P"</f>
        <v>SALT1G.P</v>
      </c>
      <c r="AN284" s="531" t="s">
        <v>842</v>
      </c>
      <c r="AO284" s="420" t="s">
        <v>23</v>
      </c>
      <c r="AP284" s="247">
        <f>IF(AP285=0,0,AP283*1000/AP285)</f>
        <v>0</v>
      </c>
      <c r="AQ284" s="247">
        <f>IF(AQ285=0,0,AQ283*1000/AQ285)</f>
        <v>0</v>
      </c>
      <c r="AR284" s="247">
        <f>IF(AR285=0,0,AR283*1000/AR285)</f>
        <v>0</v>
      </c>
      <c r="AS284" s="194"/>
      <c r="AT284" s="194"/>
      <c r="AU284" s="326"/>
    </row>
    <row r="285" spans="1:47" ht="12" customHeight="1">
      <c r="A285" s="2"/>
      <c r="B285" s="2"/>
      <c r="C285" s="2"/>
      <c r="D285" s="2"/>
      <c r="E285" s="2"/>
      <c r="F285" s="2"/>
      <c r="G285" s="2"/>
      <c r="H285" s="2"/>
      <c r="I285" s="2"/>
      <c r="J28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413" t="s">
        <v>2094</v>
      </c>
      <c r="AG285" s="2"/>
      <c r="AH285" s="2"/>
      <c r="AI285" s="2"/>
      <c r="AJ285" s="2"/>
      <c r="AK285" s="2"/>
      <c r="AL285" s="124"/>
      <c r="AM285" s="562" t="str">
        <f>AM283 &amp; ".V"</f>
        <v>SALT1G.V</v>
      </c>
      <c r="AN285" s="531" t="s">
        <v>245</v>
      </c>
      <c r="AO285" s="420" t="s">
        <v>289</v>
      </c>
      <c r="AP285" s="247">
        <f t="shared" ref="AP285:AR286" si="77">SUMIF($AS$9:$AT$9,AP$9,$AS285:$AT285)</f>
        <v>0</v>
      </c>
      <c r="AQ285" s="247">
        <f t="shared" si="77"/>
        <v>0</v>
      </c>
      <c r="AR285" s="247">
        <f t="shared" si="77"/>
        <v>0</v>
      </c>
      <c r="AS285" s="194"/>
      <c r="AT285" s="194"/>
      <c r="AU285" s="326"/>
    </row>
    <row r="286" spans="1:47" ht="12" customHeight="1">
      <c r="A286" s="2"/>
      <c r="B286" s="2"/>
      <c r="C286" s="2"/>
      <c r="D286" s="2"/>
      <c r="E286" s="2"/>
      <c r="F286" s="2"/>
      <c r="G286" s="2"/>
      <c r="H286" s="2"/>
      <c r="I286" s="2"/>
      <c r="J286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413" t="s">
        <v>2092</v>
      </c>
      <c r="AG286" s="2"/>
      <c r="AH286" s="2"/>
      <c r="AI286" s="2"/>
      <c r="AJ286" s="2"/>
      <c r="AK286" s="2"/>
      <c r="AL286" s="124"/>
      <c r="AM286" s="561" t="s">
        <v>2014</v>
      </c>
      <c r="AN286" s="559" t="s">
        <v>1978</v>
      </c>
      <c r="AO286" s="420" t="s">
        <v>195</v>
      </c>
      <c r="AP286" s="247">
        <f t="shared" si="77"/>
        <v>0</v>
      </c>
      <c r="AQ286" s="247">
        <f t="shared" si="77"/>
        <v>0</v>
      </c>
      <c r="AR286" s="247">
        <f t="shared" si="77"/>
        <v>0</v>
      </c>
      <c r="AS286" s="194"/>
      <c r="AT286" s="194"/>
      <c r="AU286" s="326"/>
    </row>
    <row r="287" spans="1:47" ht="12" customHeight="1">
      <c r="A287" s="2"/>
      <c r="B287" s="2"/>
      <c r="C287" s="2"/>
      <c r="D287" s="2"/>
      <c r="E287" s="2"/>
      <c r="F287" s="2"/>
      <c r="G287" s="2"/>
      <c r="H287" s="2"/>
      <c r="I287" s="2"/>
      <c r="J287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413" t="s">
        <v>2093</v>
      </c>
      <c r="AG287" s="2"/>
      <c r="AH287" s="2"/>
      <c r="AI287" s="2"/>
      <c r="AJ287" s="2"/>
      <c r="AK287" s="2"/>
      <c r="AL287" s="124"/>
      <c r="AM287" s="562" t="str">
        <f>AM286 &amp; ".P"</f>
        <v>SALT.P</v>
      </c>
      <c r="AN287" s="531" t="s">
        <v>842</v>
      </c>
      <c r="AO287" s="420" t="s">
        <v>23</v>
      </c>
      <c r="AP287" s="247">
        <f>IF(AP288=0,0,AP286*1000/AP288)</f>
        <v>0</v>
      </c>
      <c r="AQ287" s="247">
        <f>IF(AQ288=0,0,AQ286*1000/AQ288)</f>
        <v>0</v>
      </c>
      <c r="AR287" s="247">
        <f>IF(AR288=0,0,AR286*1000/AR288)</f>
        <v>0</v>
      </c>
      <c r="AS287" s="194"/>
      <c r="AT287" s="194"/>
      <c r="AU287" s="326"/>
    </row>
    <row r="288" spans="1:47" ht="12" customHeight="1">
      <c r="A288" s="2"/>
      <c r="B288" s="2"/>
      <c r="C288" s="2"/>
      <c r="D288" s="2"/>
      <c r="E288" s="2"/>
      <c r="F288" s="2"/>
      <c r="G288" s="2"/>
      <c r="H288" s="2"/>
      <c r="I288" s="2"/>
      <c r="J288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413" t="s">
        <v>2094</v>
      </c>
      <c r="AG288" s="2"/>
      <c r="AH288" s="2"/>
      <c r="AI288" s="2"/>
      <c r="AJ288" s="2"/>
      <c r="AK288" s="2"/>
      <c r="AL288" s="124"/>
      <c r="AM288" s="562" t="str">
        <f>AM286 &amp; ".V"</f>
        <v>SALT.V</v>
      </c>
      <c r="AN288" s="531" t="s">
        <v>245</v>
      </c>
      <c r="AO288" s="420" t="s">
        <v>289</v>
      </c>
      <c r="AP288" s="247">
        <f t="shared" ref="AP288:AR289" si="78">SUMIF($AS$9:$AT$9,AP$9,$AS288:$AT288)</f>
        <v>0</v>
      </c>
      <c r="AQ288" s="247">
        <f t="shared" si="78"/>
        <v>0</v>
      </c>
      <c r="AR288" s="247">
        <f t="shared" si="78"/>
        <v>0</v>
      </c>
      <c r="AS288" s="194"/>
      <c r="AT288" s="194"/>
      <c r="AU288" s="326"/>
    </row>
    <row r="289" spans="1:47" ht="12" customHeight="1">
      <c r="A289" s="2"/>
      <c r="B289" s="2"/>
      <c r="C289" s="2"/>
      <c r="D289" s="2"/>
      <c r="E289" s="2"/>
      <c r="F289" s="2"/>
      <c r="G289" s="2"/>
      <c r="H289" s="2"/>
      <c r="I289" s="2"/>
      <c r="J28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413" t="s">
        <v>2092</v>
      </c>
      <c r="AG289" s="2"/>
      <c r="AH289" s="2"/>
      <c r="AI289" s="2"/>
      <c r="AJ289" s="2"/>
      <c r="AK289" s="2"/>
      <c r="AL289" s="124"/>
      <c r="AM289" s="561" t="s">
        <v>2024</v>
      </c>
      <c r="AN289" s="559" t="s">
        <v>1979</v>
      </c>
      <c r="AO289" s="420" t="s">
        <v>195</v>
      </c>
      <c r="AP289" s="247">
        <f t="shared" si="78"/>
        <v>0</v>
      </c>
      <c r="AQ289" s="247">
        <f t="shared" si="78"/>
        <v>0</v>
      </c>
      <c r="AR289" s="247">
        <f t="shared" si="78"/>
        <v>0</v>
      </c>
      <c r="AS289" s="194"/>
      <c r="AT289" s="194"/>
      <c r="AU289" s="326"/>
    </row>
    <row r="290" spans="1:47" ht="12" customHeight="1">
      <c r="A290" s="2"/>
      <c r="B290" s="2"/>
      <c r="C290" s="2"/>
      <c r="D290" s="2"/>
      <c r="E290" s="2"/>
      <c r="F290" s="2"/>
      <c r="G290" s="2"/>
      <c r="H290" s="2"/>
      <c r="I290" s="2"/>
      <c r="J290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413" t="s">
        <v>2093</v>
      </c>
      <c r="AG290" s="2"/>
      <c r="AH290" s="2"/>
      <c r="AI290" s="2"/>
      <c r="AJ290" s="2"/>
      <c r="AK290" s="2"/>
      <c r="AL290" s="124"/>
      <c r="AM290" s="562" t="str">
        <f>AM289 &amp; ".P"</f>
        <v>SALTPL.P</v>
      </c>
      <c r="AN290" s="531" t="s">
        <v>842</v>
      </c>
      <c r="AO290" s="420" t="s">
        <v>23</v>
      </c>
      <c r="AP290" s="247">
        <f>IF(AP291=0,0,AP289*1000/AP291)</f>
        <v>0</v>
      </c>
      <c r="AQ290" s="247">
        <f>IF(AQ291=0,0,AQ289*1000/AQ291)</f>
        <v>0</v>
      </c>
      <c r="AR290" s="247">
        <f>IF(AR291=0,0,AR289*1000/AR291)</f>
        <v>0</v>
      </c>
      <c r="AS290" s="194"/>
      <c r="AT290" s="194"/>
      <c r="AU290" s="326"/>
    </row>
    <row r="291" spans="1:47" ht="12" customHeight="1">
      <c r="A291" s="2"/>
      <c r="B291" s="2"/>
      <c r="C291" s="2"/>
      <c r="D291" s="2"/>
      <c r="E291" s="2"/>
      <c r="F291" s="2"/>
      <c r="G291" s="2"/>
      <c r="H291" s="2"/>
      <c r="I291" s="2"/>
      <c r="J29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413" t="s">
        <v>2094</v>
      </c>
      <c r="AG291" s="2"/>
      <c r="AH291" s="2"/>
      <c r="AI291" s="2"/>
      <c r="AJ291" s="2"/>
      <c r="AK291" s="2"/>
      <c r="AL291" s="124"/>
      <c r="AM291" s="562" t="str">
        <f>AM289 &amp; ".V"</f>
        <v>SALTPL.V</v>
      </c>
      <c r="AN291" s="531" t="s">
        <v>245</v>
      </c>
      <c r="AO291" s="420" t="s">
        <v>289</v>
      </c>
      <c r="AP291" s="247">
        <f t="shared" ref="AP291:AR292" si="79">SUMIF($AS$9:$AT$9,AP$9,$AS291:$AT291)</f>
        <v>0</v>
      </c>
      <c r="AQ291" s="247">
        <f t="shared" si="79"/>
        <v>0</v>
      </c>
      <c r="AR291" s="247">
        <f t="shared" si="79"/>
        <v>0</v>
      </c>
      <c r="AS291" s="194"/>
      <c r="AT291" s="194"/>
      <c r="AU291" s="326"/>
    </row>
    <row r="292" spans="1:47" ht="12" customHeight="1">
      <c r="A292" s="2"/>
      <c r="B292" s="2"/>
      <c r="C292" s="2"/>
      <c r="D292" s="2"/>
      <c r="E292" s="2"/>
      <c r="F292" s="2"/>
      <c r="G292" s="2"/>
      <c r="H292" s="2"/>
      <c r="I292" s="2"/>
      <c r="J29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413" t="s">
        <v>2092</v>
      </c>
      <c r="AG292" s="2"/>
      <c r="AH292" s="2"/>
      <c r="AI292" s="2"/>
      <c r="AJ292" s="2"/>
      <c r="AK292" s="2"/>
      <c r="AL292" s="124"/>
      <c r="AM292" s="561" t="s">
        <v>2023</v>
      </c>
      <c r="AN292" s="559" t="s">
        <v>1980</v>
      </c>
      <c r="AO292" s="420" t="s">
        <v>195</v>
      </c>
      <c r="AP292" s="247">
        <f t="shared" si="79"/>
        <v>0</v>
      </c>
      <c r="AQ292" s="247">
        <f t="shared" si="79"/>
        <v>0</v>
      </c>
      <c r="AR292" s="247">
        <f t="shared" si="79"/>
        <v>0</v>
      </c>
      <c r="AS292" s="194"/>
      <c r="AT292" s="194"/>
      <c r="AU292" s="326"/>
    </row>
    <row r="293" spans="1:47" ht="12" customHeight="1">
      <c r="A293" s="2"/>
      <c r="B293" s="2"/>
      <c r="C293" s="2"/>
      <c r="D293" s="2"/>
      <c r="E293" s="2"/>
      <c r="F293" s="2"/>
      <c r="G293" s="2"/>
      <c r="H293" s="2"/>
      <c r="I293" s="2"/>
      <c r="J29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413" t="s">
        <v>2093</v>
      </c>
      <c r="AG293" s="2"/>
      <c r="AH293" s="2"/>
      <c r="AI293" s="2"/>
      <c r="AJ293" s="2"/>
      <c r="AK293" s="2"/>
      <c r="AL293" s="124"/>
      <c r="AM293" s="562" t="str">
        <f>AM292 &amp; ".P"</f>
        <v>SALTTH.P</v>
      </c>
      <c r="AN293" s="531" t="s">
        <v>842</v>
      </c>
      <c r="AO293" s="420" t="s">
        <v>23</v>
      </c>
      <c r="AP293" s="247">
        <f>IF(AP294=0,0,AP292*1000/AP294)</f>
        <v>0</v>
      </c>
      <c r="AQ293" s="247">
        <f>IF(AQ294=0,0,AQ292*1000/AQ294)</f>
        <v>0</v>
      </c>
      <c r="AR293" s="247">
        <f>IF(AR294=0,0,AR292*1000/AR294)</f>
        <v>0</v>
      </c>
      <c r="AS293" s="194"/>
      <c r="AT293" s="194"/>
      <c r="AU293" s="326"/>
    </row>
    <row r="294" spans="1:47" ht="12" customHeight="1">
      <c r="A294" s="2"/>
      <c r="B294" s="2"/>
      <c r="C294" s="2"/>
      <c r="D294" s="2"/>
      <c r="E294" s="2"/>
      <c r="F294" s="2"/>
      <c r="G294" s="2"/>
      <c r="H294" s="2"/>
      <c r="I294" s="2"/>
      <c r="J29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413" t="s">
        <v>2094</v>
      </c>
      <c r="AG294" s="2"/>
      <c r="AH294" s="2"/>
      <c r="AI294" s="2"/>
      <c r="AJ294" s="2"/>
      <c r="AK294" s="2"/>
      <c r="AL294" s="124"/>
      <c r="AM294" s="562" t="str">
        <f>AM292 &amp; ".V"</f>
        <v>SALTTH.V</v>
      </c>
      <c r="AN294" s="531" t="s">
        <v>245</v>
      </c>
      <c r="AO294" s="420" t="s">
        <v>289</v>
      </c>
      <c r="AP294" s="247">
        <f t="shared" ref="AP294:AR295" si="80">SUMIF($AS$9:$AT$9,AP$9,$AS294:$AT294)</f>
        <v>0</v>
      </c>
      <c r="AQ294" s="247">
        <f t="shared" si="80"/>
        <v>0</v>
      </c>
      <c r="AR294" s="247">
        <f t="shared" si="80"/>
        <v>0</v>
      </c>
      <c r="AS294" s="194"/>
      <c r="AT294" s="194"/>
      <c r="AU294" s="326"/>
    </row>
    <row r="295" spans="1:47" ht="12" customHeight="1">
      <c r="A295" s="2"/>
      <c r="B295" s="2"/>
      <c r="C295" s="2"/>
      <c r="D295" s="2"/>
      <c r="E295" s="2"/>
      <c r="F295" s="2"/>
      <c r="G295" s="2"/>
      <c r="H295" s="2"/>
      <c r="I295" s="2"/>
      <c r="J29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413" t="s">
        <v>2092</v>
      </c>
      <c r="AG295" s="2"/>
      <c r="AH295" s="2"/>
      <c r="AI295" s="2"/>
      <c r="AJ295" s="2"/>
      <c r="AK295" s="2"/>
      <c r="AL295" s="124"/>
      <c r="AM295" s="561" t="s">
        <v>2022</v>
      </c>
      <c r="AN295" s="559" t="s">
        <v>1981</v>
      </c>
      <c r="AO295" s="420" t="s">
        <v>195</v>
      </c>
      <c r="AP295" s="247">
        <f t="shared" si="80"/>
        <v>0</v>
      </c>
      <c r="AQ295" s="247">
        <f t="shared" si="80"/>
        <v>0</v>
      </c>
      <c r="AR295" s="247">
        <f t="shared" si="80"/>
        <v>0</v>
      </c>
      <c r="AS295" s="194"/>
      <c r="AT295" s="194"/>
      <c r="AU295" s="326"/>
    </row>
    <row r="296" spans="1:47" ht="12" customHeight="1">
      <c r="A296" s="2"/>
      <c r="B296" s="2"/>
      <c r="C296" s="2"/>
      <c r="D296" s="2"/>
      <c r="E296" s="2"/>
      <c r="F296" s="2"/>
      <c r="G296" s="2"/>
      <c r="H296" s="2"/>
      <c r="I296" s="2"/>
      <c r="J296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413" t="s">
        <v>2093</v>
      </c>
      <c r="AG296" s="2"/>
      <c r="AH296" s="2"/>
      <c r="AI296" s="2"/>
      <c r="AJ296" s="2"/>
      <c r="AK296" s="2"/>
      <c r="AL296" s="124"/>
      <c r="AM296" s="562" t="str">
        <f>AM295 &amp; ".P"</f>
        <v>SALTEX.P</v>
      </c>
      <c r="AN296" s="531" t="s">
        <v>842</v>
      </c>
      <c r="AO296" s="420" t="s">
        <v>23</v>
      </c>
      <c r="AP296" s="247">
        <f>IF(AP297=0,0,AP295*1000/AP297)</f>
        <v>0</v>
      </c>
      <c r="AQ296" s="247">
        <f>IF(AQ297=0,0,AQ295*1000/AQ297)</f>
        <v>0</v>
      </c>
      <c r="AR296" s="247">
        <f>IF(AR297=0,0,AR295*1000/AR297)</f>
        <v>0</v>
      </c>
      <c r="AS296" s="194"/>
      <c r="AT296" s="194"/>
      <c r="AU296" s="326"/>
    </row>
    <row r="297" spans="1:47" ht="12" customHeight="1">
      <c r="A297" s="2"/>
      <c r="B297" s="2"/>
      <c r="C297" s="2"/>
      <c r="D297" s="2"/>
      <c r="E297" s="2"/>
      <c r="F297" s="2"/>
      <c r="G297" s="2"/>
      <c r="H297" s="2"/>
      <c r="I297" s="2"/>
      <c r="J297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413" t="s">
        <v>2094</v>
      </c>
      <c r="AG297" s="2"/>
      <c r="AH297" s="2"/>
      <c r="AI297" s="2"/>
      <c r="AJ297" s="2"/>
      <c r="AK297" s="2"/>
      <c r="AL297" s="124"/>
      <c r="AM297" s="562" t="str">
        <f>AM295 &amp; ".V"</f>
        <v>SALTEX.V</v>
      </c>
      <c r="AN297" s="531" t="s">
        <v>245</v>
      </c>
      <c r="AO297" s="420" t="s">
        <v>289</v>
      </c>
      <c r="AP297" s="247">
        <f t="shared" ref="AP297:AR298" si="81">SUMIF($AS$9:$AT$9,AP$9,$AS297:$AT297)</f>
        <v>0</v>
      </c>
      <c r="AQ297" s="247">
        <f t="shared" si="81"/>
        <v>0</v>
      </c>
      <c r="AR297" s="247">
        <f t="shared" si="81"/>
        <v>0</v>
      </c>
      <c r="AS297" s="194"/>
      <c r="AT297" s="194"/>
      <c r="AU297" s="326"/>
    </row>
    <row r="298" spans="1:47" ht="12" customHeight="1">
      <c r="A298" s="2"/>
      <c r="B298" s="2"/>
      <c r="C298" s="2"/>
      <c r="D298" s="2"/>
      <c r="E298" s="2"/>
      <c r="F298" s="2"/>
      <c r="G298" s="2"/>
      <c r="H298" s="2"/>
      <c r="I298" s="2"/>
      <c r="J298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413" t="s">
        <v>2092</v>
      </c>
      <c r="AG298" s="2"/>
      <c r="AH298" s="2"/>
      <c r="AI298" s="2"/>
      <c r="AJ298" s="2"/>
      <c r="AK298" s="2"/>
      <c r="AL298" s="124"/>
      <c r="AM298" s="561" t="s">
        <v>2015</v>
      </c>
      <c r="AN298" s="559" t="s">
        <v>1982</v>
      </c>
      <c r="AO298" s="420" t="s">
        <v>195</v>
      </c>
      <c r="AP298" s="247">
        <f t="shared" si="81"/>
        <v>0</v>
      </c>
      <c r="AQ298" s="247">
        <f t="shared" si="81"/>
        <v>0</v>
      </c>
      <c r="AR298" s="247">
        <f t="shared" si="81"/>
        <v>0</v>
      </c>
      <c r="AS298" s="194"/>
      <c r="AT298" s="194"/>
      <c r="AU298" s="326"/>
    </row>
    <row r="299" spans="1:47" ht="12" customHeight="1">
      <c r="A299" s="2"/>
      <c r="B299" s="2"/>
      <c r="C299" s="2"/>
      <c r="D299" s="2"/>
      <c r="E299" s="2"/>
      <c r="F299" s="2"/>
      <c r="G299" s="2"/>
      <c r="H299" s="2"/>
      <c r="I299" s="2"/>
      <c r="J29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413" t="s">
        <v>2093</v>
      </c>
      <c r="AG299" s="2"/>
      <c r="AH299" s="2"/>
      <c r="AI299" s="2"/>
      <c r="AJ299" s="2"/>
      <c r="AK299" s="2"/>
      <c r="AL299" s="124"/>
      <c r="AM299" s="562" t="str">
        <f>AM298 &amp; ".P"</f>
        <v>C2H5OH.P</v>
      </c>
      <c r="AN299" s="531" t="s">
        <v>842</v>
      </c>
      <c r="AO299" s="420" t="s">
        <v>23</v>
      </c>
      <c r="AP299" s="247">
        <f>IF(AP300=0,0,AP298*1000/AP300)</f>
        <v>0</v>
      </c>
      <c r="AQ299" s="247">
        <f>IF(AQ300=0,0,AQ298*1000/AQ300)</f>
        <v>0</v>
      </c>
      <c r="AR299" s="247">
        <f>IF(AR300=0,0,AR298*1000/AR300)</f>
        <v>0</v>
      </c>
      <c r="AS299" s="194"/>
      <c r="AT299" s="194"/>
      <c r="AU299" s="326"/>
    </row>
    <row r="300" spans="1:47" ht="12" customHeight="1">
      <c r="A300" s="2"/>
      <c r="B300" s="2"/>
      <c r="C300" s="2"/>
      <c r="D300" s="2"/>
      <c r="E300" s="2"/>
      <c r="F300" s="2"/>
      <c r="G300" s="2"/>
      <c r="H300" s="2"/>
      <c r="I300" s="2"/>
      <c r="J300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413" t="s">
        <v>2094</v>
      </c>
      <c r="AG300" s="2"/>
      <c r="AH300" s="2"/>
      <c r="AI300" s="2"/>
      <c r="AJ300" s="2"/>
      <c r="AK300" s="2"/>
      <c r="AL300" s="124"/>
      <c r="AM300" s="562" t="str">
        <f>AM298 &amp; ".V"</f>
        <v>C2H5OH.V</v>
      </c>
      <c r="AN300" s="531" t="s">
        <v>245</v>
      </c>
      <c r="AO300" s="420" t="s">
        <v>289</v>
      </c>
      <c r="AP300" s="247">
        <f t="shared" ref="AP300:AR301" si="82">SUMIF($AS$9:$AT$9,AP$9,$AS300:$AT300)</f>
        <v>0</v>
      </c>
      <c r="AQ300" s="247">
        <f t="shared" si="82"/>
        <v>0</v>
      </c>
      <c r="AR300" s="247">
        <f t="shared" si="82"/>
        <v>0</v>
      </c>
      <c r="AS300" s="194"/>
      <c r="AT300" s="194"/>
      <c r="AU300" s="326"/>
    </row>
    <row r="301" spans="1:47" ht="12" customHeight="1">
      <c r="A301" s="2"/>
      <c r="B301" s="2"/>
      <c r="C301" s="2"/>
      <c r="D301" s="2"/>
      <c r="E301" s="2"/>
      <c r="F301" s="2"/>
      <c r="G301" s="2"/>
      <c r="H301" s="2"/>
      <c r="I301" s="2"/>
      <c r="J30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413" t="s">
        <v>2092</v>
      </c>
      <c r="AG301" s="2"/>
      <c r="AH301" s="2"/>
      <c r="AI301" s="2"/>
      <c r="AJ301" s="2"/>
      <c r="AK301" s="2"/>
      <c r="AL301" s="124"/>
      <c r="AM301" s="561" t="s">
        <v>2035</v>
      </c>
      <c r="AN301" s="559" t="s">
        <v>1983</v>
      </c>
      <c r="AO301" s="420" t="s">
        <v>195</v>
      </c>
      <c r="AP301" s="247">
        <f t="shared" si="82"/>
        <v>0</v>
      </c>
      <c r="AQ301" s="247">
        <f t="shared" si="82"/>
        <v>0</v>
      </c>
      <c r="AR301" s="247">
        <f t="shared" si="82"/>
        <v>0</v>
      </c>
      <c r="AS301" s="194"/>
      <c r="AT301" s="194"/>
      <c r="AU301" s="326"/>
    </row>
    <row r="302" spans="1:47" ht="12" customHeight="1">
      <c r="A302" s="2"/>
      <c r="B302" s="2"/>
      <c r="C302" s="2"/>
      <c r="D302" s="2"/>
      <c r="E302" s="2"/>
      <c r="F302" s="2"/>
      <c r="G302" s="2"/>
      <c r="H302" s="2"/>
      <c r="I302" s="2"/>
      <c r="J30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413" t="s">
        <v>2093</v>
      </c>
      <c r="AG302" s="2"/>
      <c r="AH302" s="2"/>
      <c r="AI302" s="2"/>
      <c r="AJ302" s="2"/>
      <c r="AK302" s="2"/>
      <c r="AL302" s="124"/>
      <c r="AM302" s="562" t="str">
        <f>AM301 &amp; ".P"</f>
        <v>SFAL1G.P</v>
      </c>
      <c r="AN302" s="531" t="s">
        <v>842</v>
      </c>
      <c r="AO302" s="420" t="s">
        <v>23</v>
      </c>
      <c r="AP302" s="247">
        <f>IF(AP303=0,0,AP301*1000/AP303)</f>
        <v>0</v>
      </c>
      <c r="AQ302" s="247">
        <f>IF(AQ303=0,0,AQ301*1000/AQ303)</f>
        <v>0</v>
      </c>
      <c r="AR302" s="247">
        <f>IF(AR303=0,0,AR301*1000/AR303)</f>
        <v>0</v>
      </c>
      <c r="AS302" s="194"/>
      <c r="AT302" s="194"/>
      <c r="AU302" s="326"/>
    </row>
    <row r="303" spans="1:47" ht="12" customHeight="1">
      <c r="A303" s="2"/>
      <c r="B303" s="2"/>
      <c r="C303" s="2"/>
      <c r="D303" s="2"/>
      <c r="E303" s="2"/>
      <c r="F303" s="2"/>
      <c r="G303" s="2"/>
      <c r="H303" s="2"/>
      <c r="I303" s="2"/>
      <c r="J30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413" t="s">
        <v>2094</v>
      </c>
      <c r="AG303" s="2"/>
      <c r="AH303" s="2"/>
      <c r="AI303" s="2"/>
      <c r="AJ303" s="2"/>
      <c r="AK303" s="2"/>
      <c r="AL303" s="124"/>
      <c r="AM303" s="562" t="str">
        <f>AM301 &amp; ".V"</f>
        <v>SFAL1G.V</v>
      </c>
      <c r="AN303" s="531" t="s">
        <v>245</v>
      </c>
      <c r="AO303" s="420" t="s">
        <v>289</v>
      </c>
      <c r="AP303" s="247">
        <f t="shared" ref="AP303:AR304" si="83">SUMIF($AS$9:$AT$9,AP$9,$AS303:$AT303)</f>
        <v>0</v>
      </c>
      <c r="AQ303" s="247">
        <f t="shared" si="83"/>
        <v>0</v>
      </c>
      <c r="AR303" s="247">
        <f t="shared" si="83"/>
        <v>0</v>
      </c>
      <c r="AS303" s="194"/>
      <c r="AT303" s="194"/>
      <c r="AU303" s="326"/>
    </row>
    <row r="304" spans="1:47" ht="12" customHeight="1">
      <c r="A304" s="2"/>
      <c r="B304" s="2"/>
      <c r="C304" s="2"/>
      <c r="D304" s="2"/>
      <c r="E304" s="2"/>
      <c r="F304" s="2"/>
      <c r="G304" s="2"/>
      <c r="H304" s="2"/>
      <c r="I304" s="2"/>
      <c r="J30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413" t="s">
        <v>2092</v>
      </c>
      <c r="AG304" s="2"/>
      <c r="AH304" s="2"/>
      <c r="AI304" s="2"/>
      <c r="AJ304" s="2"/>
      <c r="AK304" s="2"/>
      <c r="AL304" s="124"/>
      <c r="AM304" s="561" t="s">
        <v>2034</v>
      </c>
      <c r="AN304" s="559" t="s">
        <v>1984</v>
      </c>
      <c r="AO304" s="420" t="s">
        <v>195</v>
      </c>
      <c r="AP304" s="247">
        <f t="shared" si="83"/>
        <v>0</v>
      </c>
      <c r="AQ304" s="247">
        <f t="shared" si="83"/>
        <v>0</v>
      </c>
      <c r="AR304" s="247">
        <f t="shared" si="83"/>
        <v>0</v>
      </c>
      <c r="AS304" s="194"/>
      <c r="AT304" s="194"/>
      <c r="AU304" s="326"/>
    </row>
    <row r="305" spans="1:47" ht="12" customHeight="1">
      <c r="A305" s="2"/>
      <c r="B305" s="2"/>
      <c r="C305" s="2"/>
      <c r="D305" s="2"/>
      <c r="E305" s="2"/>
      <c r="F305" s="2"/>
      <c r="G305" s="2"/>
      <c r="H305" s="2"/>
      <c r="I305" s="2"/>
      <c r="J30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413" t="s">
        <v>2093</v>
      </c>
      <c r="AG305" s="2"/>
      <c r="AH305" s="2"/>
      <c r="AI305" s="2"/>
      <c r="AJ305" s="2"/>
      <c r="AK305" s="2"/>
      <c r="AL305" s="124"/>
      <c r="AM305" s="562" t="str">
        <f>AM304 &amp; ".P"</f>
        <v>SFALLQD.P</v>
      </c>
      <c r="AN305" s="531" t="s">
        <v>842</v>
      </c>
      <c r="AO305" s="420" t="s">
        <v>23</v>
      </c>
      <c r="AP305" s="247">
        <f>IF(AP306=0,0,AP304*1000/AP306)</f>
        <v>0</v>
      </c>
      <c r="AQ305" s="247">
        <f>IF(AQ306=0,0,AQ304*1000/AQ306)</f>
        <v>0</v>
      </c>
      <c r="AR305" s="247">
        <f>IF(AR306=0,0,AR304*1000/AR306)</f>
        <v>0</v>
      </c>
      <c r="AS305" s="194"/>
      <c r="AT305" s="194"/>
      <c r="AU305" s="326"/>
    </row>
    <row r="306" spans="1:47" ht="12" customHeight="1">
      <c r="A306" s="2"/>
      <c r="B306" s="2"/>
      <c r="C306" s="2"/>
      <c r="D306" s="2"/>
      <c r="E306" s="2"/>
      <c r="F306" s="2"/>
      <c r="G306" s="2"/>
      <c r="H306" s="2"/>
      <c r="I306" s="2"/>
      <c r="J306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413" t="s">
        <v>2094</v>
      </c>
      <c r="AG306" s="2"/>
      <c r="AH306" s="2"/>
      <c r="AI306" s="2"/>
      <c r="AJ306" s="2"/>
      <c r="AK306" s="2"/>
      <c r="AL306" s="124"/>
      <c r="AM306" s="562" t="str">
        <f>AM304 &amp; ".V"</f>
        <v>SFALLQD.V</v>
      </c>
      <c r="AN306" s="531" t="s">
        <v>245</v>
      </c>
      <c r="AO306" s="420" t="s">
        <v>289</v>
      </c>
      <c r="AP306" s="247">
        <f t="shared" ref="AP306:AR307" si="84">SUMIF($AS$9:$AT$9,AP$9,$AS306:$AT306)</f>
        <v>0</v>
      </c>
      <c r="AQ306" s="247">
        <f t="shared" si="84"/>
        <v>0</v>
      </c>
      <c r="AR306" s="247">
        <f t="shared" si="84"/>
        <v>0</v>
      </c>
      <c r="AS306" s="194"/>
      <c r="AT306" s="194"/>
      <c r="AU306" s="326"/>
    </row>
    <row r="307" spans="1:47" ht="12" customHeight="1">
      <c r="A307" s="2"/>
      <c r="B307" s="2"/>
      <c r="C307" s="2"/>
      <c r="D307" s="2"/>
      <c r="E307" s="2"/>
      <c r="F307" s="2"/>
      <c r="G307" s="2"/>
      <c r="H307" s="2"/>
      <c r="I307" s="2"/>
      <c r="J30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413" t="s">
        <v>2092</v>
      </c>
      <c r="AG307" s="2"/>
      <c r="AH307" s="2"/>
      <c r="AI307" s="2"/>
      <c r="AJ307" s="2"/>
      <c r="AK307" s="2"/>
      <c r="AL307" s="124"/>
      <c r="AM307" s="561" t="s">
        <v>2033</v>
      </c>
      <c r="AN307" s="559" t="s">
        <v>1985</v>
      </c>
      <c r="AO307" s="420" t="s">
        <v>195</v>
      </c>
      <c r="AP307" s="247">
        <f t="shared" si="84"/>
        <v>0</v>
      </c>
      <c r="AQ307" s="247">
        <f t="shared" si="84"/>
        <v>0</v>
      </c>
      <c r="AR307" s="247">
        <f t="shared" si="84"/>
        <v>0</v>
      </c>
      <c r="AS307" s="194"/>
      <c r="AT307" s="194"/>
      <c r="AU307" s="326"/>
    </row>
    <row r="308" spans="1:47" ht="12" customHeight="1">
      <c r="A308" s="2"/>
      <c r="B308" s="2"/>
      <c r="C308" s="2"/>
      <c r="D308" s="2"/>
      <c r="E308" s="2"/>
      <c r="F308" s="2"/>
      <c r="G308" s="2"/>
      <c r="H308" s="2"/>
      <c r="I308" s="2"/>
      <c r="J308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413" t="s">
        <v>2093</v>
      </c>
      <c r="AG308" s="2"/>
      <c r="AH308" s="2"/>
      <c r="AI308" s="2"/>
      <c r="AJ308" s="2"/>
      <c r="AK308" s="2"/>
      <c r="AL308" s="124"/>
      <c r="AM308" s="562" t="str">
        <f>AM307 &amp; ".P"</f>
        <v>SFALT.P</v>
      </c>
      <c r="AN308" s="531" t="s">
        <v>842</v>
      </c>
      <c r="AO308" s="420" t="s">
        <v>23</v>
      </c>
      <c r="AP308" s="247">
        <f>IF(AP309=0,0,AP307*1000/AP309)</f>
        <v>0</v>
      </c>
      <c r="AQ308" s="247">
        <f>IF(AQ309=0,0,AQ307*1000/AQ309)</f>
        <v>0</v>
      </c>
      <c r="AR308" s="247">
        <f>IF(AR309=0,0,AR307*1000/AR309)</f>
        <v>0</v>
      </c>
      <c r="AS308" s="194"/>
      <c r="AT308" s="194"/>
      <c r="AU308" s="326"/>
    </row>
    <row r="309" spans="1:47" ht="12" customHeight="1">
      <c r="A309" s="2"/>
      <c r="B309" s="2"/>
      <c r="C309" s="2"/>
      <c r="D309" s="2"/>
      <c r="E309" s="2"/>
      <c r="F309" s="2"/>
      <c r="G309" s="2"/>
      <c r="H309" s="2"/>
      <c r="I309" s="2"/>
      <c r="J30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413" t="s">
        <v>2094</v>
      </c>
      <c r="AG309" s="2"/>
      <c r="AH309" s="2"/>
      <c r="AI309" s="2"/>
      <c r="AJ309" s="2"/>
      <c r="AK309" s="2"/>
      <c r="AL309" s="124"/>
      <c r="AM309" s="562" t="str">
        <f>AM307 &amp; ".V"</f>
        <v>SFALT.V</v>
      </c>
      <c r="AN309" s="531" t="s">
        <v>245</v>
      </c>
      <c r="AO309" s="420" t="s">
        <v>289</v>
      </c>
      <c r="AP309" s="247">
        <f t="shared" ref="AP309:AR310" si="85">SUMIF($AS$9:$AT$9,AP$9,$AS309:$AT309)</f>
        <v>0</v>
      </c>
      <c r="AQ309" s="247">
        <f t="shared" si="85"/>
        <v>0</v>
      </c>
      <c r="AR309" s="247">
        <f t="shared" si="85"/>
        <v>0</v>
      </c>
      <c r="AS309" s="194"/>
      <c r="AT309" s="194"/>
      <c r="AU309" s="326"/>
    </row>
    <row r="310" spans="1:47" ht="12" customHeight="1">
      <c r="A310" s="2"/>
      <c r="B310" s="2"/>
      <c r="C310" s="2"/>
      <c r="D310" s="2"/>
      <c r="E310" s="2"/>
      <c r="F310" s="2"/>
      <c r="G310" s="2"/>
      <c r="H310" s="2"/>
      <c r="I310" s="2"/>
      <c r="J310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413" t="s">
        <v>2092</v>
      </c>
      <c r="AG310" s="2"/>
      <c r="AH310" s="2"/>
      <c r="AI310" s="2"/>
      <c r="AJ310" s="2"/>
      <c r="AK310" s="2"/>
      <c r="AL310" s="124"/>
      <c r="AM310" s="561" t="s">
        <v>2032</v>
      </c>
      <c r="AN310" s="559" t="s">
        <v>1986</v>
      </c>
      <c r="AO310" s="420" t="s">
        <v>195</v>
      </c>
      <c r="AP310" s="247">
        <f t="shared" si="85"/>
        <v>0</v>
      </c>
      <c r="AQ310" s="247">
        <f t="shared" si="85"/>
        <v>0</v>
      </c>
      <c r="AR310" s="247">
        <f t="shared" si="85"/>
        <v>0</v>
      </c>
      <c r="AS310" s="194"/>
      <c r="AT310" s="194"/>
      <c r="AU310" s="326"/>
    </row>
    <row r="311" spans="1:47" ht="12" customHeight="1">
      <c r="A311" s="2"/>
      <c r="B311" s="2"/>
      <c r="C311" s="2"/>
      <c r="D311" s="2"/>
      <c r="E311" s="2"/>
      <c r="F311" s="2"/>
      <c r="G311" s="2"/>
      <c r="H311" s="2"/>
      <c r="I311" s="2"/>
      <c r="J3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413" t="s">
        <v>2093</v>
      </c>
      <c r="AG311" s="2"/>
      <c r="AH311" s="2"/>
      <c r="AI311" s="2"/>
      <c r="AJ311" s="2"/>
      <c r="AK311" s="2"/>
      <c r="AL311" s="124"/>
      <c r="AM311" s="562" t="str">
        <f>AM310 &amp; ".P"</f>
        <v>SFAMN.P</v>
      </c>
      <c r="AN311" s="531" t="s">
        <v>842</v>
      </c>
      <c r="AO311" s="420" t="s">
        <v>23</v>
      </c>
      <c r="AP311" s="247">
        <f>IF(AP312=0,0,AP310*1000/AP312)</f>
        <v>0</v>
      </c>
      <c r="AQ311" s="247">
        <f>IF(AQ312=0,0,AQ310*1000/AQ312)</f>
        <v>0</v>
      </c>
      <c r="AR311" s="247">
        <f>IF(AR312=0,0,AR310*1000/AR312)</f>
        <v>0</v>
      </c>
      <c r="AS311" s="194"/>
      <c r="AT311" s="194"/>
      <c r="AU311" s="326"/>
    </row>
    <row r="312" spans="1:47" ht="12" customHeight="1">
      <c r="A312" s="2"/>
      <c r="B312" s="2"/>
      <c r="C312" s="2"/>
      <c r="D312" s="2"/>
      <c r="E312" s="2"/>
      <c r="F312" s="2"/>
      <c r="G312" s="2"/>
      <c r="H312" s="2"/>
      <c r="I312" s="2"/>
      <c r="J31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413" t="s">
        <v>2094</v>
      </c>
      <c r="AG312" s="2"/>
      <c r="AH312" s="2"/>
      <c r="AI312" s="2"/>
      <c r="AJ312" s="2"/>
      <c r="AK312" s="2"/>
      <c r="AL312" s="124"/>
      <c r="AM312" s="562" t="str">
        <f>AM310 &amp; ".V"</f>
        <v>SFAMN.V</v>
      </c>
      <c r="AN312" s="531" t="s">
        <v>245</v>
      </c>
      <c r="AO312" s="420" t="s">
        <v>289</v>
      </c>
      <c r="AP312" s="247">
        <f t="shared" ref="AP312:AR313" si="86">SUMIF($AS$9:$AT$9,AP$9,$AS312:$AT312)</f>
        <v>0</v>
      </c>
      <c r="AQ312" s="247">
        <f t="shared" si="86"/>
        <v>0</v>
      </c>
      <c r="AR312" s="247">
        <f t="shared" si="86"/>
        <v>0</v>
      </c>
      <c r="AS312" s="194"/>
      <c r="AT312" s="194"/>
      <c r="AU312" s="326"/>
    </row>
    <row r="313" spans="1:47" ht="12" customHeight="1">
      <c r="A313" s="2"/>
      <c r="B313" s="2"/>
      <c r="C313" s="2"/>
      <c r="D313" s="2"/>
      <c r="E313" s="2"/>
      <c r="F313" s="2"/>
      <c r="G313" s="2"/>
      <c r="H313" s="2"/>
      <c r="I313" s="2"/>
      <c r="J3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413" t="s">
        <v>2092</v>
      </c>
      <c r="AG313" s="2"/>
      <c r="AH313" s="2"/>
      <c r="AI313" s="2"/>
      <c r="AJ313" s="2"/>
      <c r="AK313" s="2"/>
      <c r="AL313" s="124"/>
      <c r="AM313" s="561" t="s">
        <v>2031</v>
      </c>
      <c r="AN313" s="559" t="s">
        <v>1987</v>
      </c>
      <c r="AO313" s="420" t="s">
        <v>195</v>
      </c>
      <c r="AP313" s="247">
        <f t="shared" si="86"/>
        <v>0</v>
      </c>
      <c r="AQ313" s="247">
        <f t="shared" si="86"/>
        <v>0</v>
      </c>
      <c r="AR313" s="247">
        <f t="shared" si="86"/>
        <v>0</v>
      </c>
      <c r="AS313" s="194"/>
      <c r="AT313" s="194"/>
      <c r="AU313" s="326"/>
    </row>
    <row r="314" spans="1:47" ht="12" customHeight="1">
      <c r="A314" s="2"/>
      <c r="B314" s="2"/>
      <c r="C314" s="2"/>
      <c r="D314" s="2"/>
      <c r="E314" s="2"/>
      <c r="F314" s="2"/>
      <c r="G314" s="2"/>
      <c r="H314" s="2"/>
      <c r="I314" s="2"/>
      <c r="J31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413" t="s">
        <v>2093</v>
      </c>
      <c r="AG314" s="2"/>
      <c r="AH314" s="2"/>
      <c r="AI314" s="2"/>
      <c r="AJ314" s="2"/>
      <c r="AK314" s="2"/>
      <c r="AL314" s="124"/>
      <c r="AM314" s="562" t="str">
        <f>AM313 &amp; ".P"</f>
        <v>TM.P</v>
      </c>
      <c r="AN314" s="531" t="s">
        <v>842</v>
      </c>
      <c r="AO314" s="420" t="s">
        <v>23</v>
      </c>
      <c r="AP314" s="247">
        <f>IF(AP315=0,0,AP313*1000/AP315)</f>
        <v>0</v>
      </c>
      <c r="AQ314" s="247">
        <f>IF(AQ315=0,0,AQ313*1000/AQ315)</f>
        <v>0</v>
      </c>
      <c r="AR314" s="247">
        <f>IF(AR315=0,0,AR313*1000/AR315)</f>
        <v>0</v>
      </c>
      <c r="AS314" s="194"/>
      <c r="AT314" s="194"/>
      <c r="AU314" s="326"/>
    </row>
    <row r="315" spans="1:47" ht="12" customHeight="1">
      <c r="A315" s="2"/>
      <c r="B315" s="2"/>
      <c r="C315" s="2"/>
      <c r="D315" s="2"/>
      <c r="E315" s="2"/>
      <c r="F315" s="2"/>
      <c r="G315" s="2"/>
      <c r="H315" s="2"/>
      <c r="I315" s="2"/>
      <c r="J31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413" t="s">
        <v>2094</v>
      </c>
      <c r="AG315" s="2"/>
      <c r="AH315" s="2"/>
      <c r="AI315" s="2"/>
      <c r="AJ315" s="2"/>
      <c r="AK315" s="2"/>
      <c r="AL315" s="124"/>
      <c r="AM315" s="562" t="str">
        <f>AM313 &amp; ".V"</f>
        <v>TM.V</v>
      </c>
      <c r="AN315" s="531" t="s">
        <v>245</v>
      </c>
      <c r="AO315" s="420" t="s">
        <v>289</v>
      </c>
      <c r="AP315" s="247">
        <f t="shared" ref="AP315:AR316" si="87">SUMIF($AS$9:$AT$9,AP$9,$AS315:$AT315)</f>
        <v>0</v>
      </c>
      <c r="AQ315" s="247">
        <f t="shared" si="87"/>
        <v>0</v>
      </c>
      <c r="AR315" s="247">
        <f t="shared" si="87"/>
        <v>0</v>
      </c>
      <c r="AS315" s="194"/>
      <c r="AT315" s="194"/>
      <c r="AU315" s="326"/>
    </row>
    <row r="316" spans="1:47" ht="12" customHeight="1">
      <c r="A316" s="2"/>
      <c r="B316" s="2"/>
      <c r="C316" s="2"/>
      <c r="D316" s="2"/>
      <c r="E316" s="2"/>
      <c r="F316" s="2"/>
      <c r="G316" s="2"/>
      <c r="H316" s="2"/>
      <c r="I316" s="2"/>
      <c r="J316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413" t="s">
        <v>2092</v>
      </c>
      <c r="AG316" s="2"/>
      <c r="AH316" s="2"/>
      <c r="AI316" s="2"/>
      <c r="AJ316" s="2"/>
      <c r="AK316" s="2"/>
      <c r="AL316" s="124"/>
      <c r="AM316" s="561" t="s">
        <v>2030</v>
      </c>
      <c r="AN316" s="559" t="s">
        <v>1988</v>
      </c>
      <c r="AO316" s="420" t="s">
        <v>195</v>
      </c>
      <c r="AP316" s="247">
        <f t="shared" si="87"/>
        <v>0</v>
      </c>
      <c r="AQ316" s="247">
        <f t="shared" si="87"/>
        <v>0</v>
      </c>
      <c r="AR316" s="247">
        <f t="shared" si="87"/>
        <v>0</v>
      </c>
      <c r="AS316" s="194"/>
      <c r="AT316" s="194"/>
      <c r="AU316" s="326"/>
    </row>
    <row r="317" spans="1:47" ht="12" customHeight="1">
      <c r="A317" s="2"/>
      <c r="B317" s="2"/>
      <c r="C317" s="2"/>
      <c r="D317" s="2"/>
      <c r="E317" s="2"/>
      <c r="F317" s="2"/>
      <c r="G317" s="2"/>
      <c r="H317" s="2"/>
      <c r="I317" s="2"/>
      <c r="J31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413" t="s">
        <v>2093</v>
      </c>
      <c r="AG317" s="2"/>
      <c r="AH317" s="2"/>
      <c r="AI317" s="2"/>
      <c r="AJ317" s="2"/>
      <c r="AK317" s="2"/>
      <c r="AL317" s="124"/>
      <c r="AM317" s="562" t="str">
        <f>AM316 &amp; ".P"</f>
        <v>TSFNA.P</v>
      </c>
      <c r="AN317" s="531" t="s">
        <v>842</v>
      </c>
      <c r="AO317" s="420" t="s">
        <v>23</v>
      </c>
      <c r="AP317" s="247">
        <f>IF(AP318=0,0,AP316*1000/AP318)</f>
        <v>0</v>
      </c>
      <c r="AQ317" s="247">
        <f>IF(AQ318=0,0,AQ316*1000/AQ318)</f>
        <v>0</v>
      </c>
      <c r="AR317" s="247">
        <f>IF(AR318=0,0,AR316*1000/AR318)</f>
        <v>0</v>
      </c>
      <c r="AS317" s="194"/>
      <c r="AT317" s="194"/>
      <c r="AU317" s="326"/>
    </row>
    <row r="318" spans="1:47" ht="12" customHeight="1">
      <c r="A318" s="2"/>
      <c r="B318" s="2"/>
      <c r="C318" s="2"/>
      <c r="D318" s="2"/>
      <c r="E318" s="2"/>
      <c r="F318" s="2"/>
      <c r="G318" s="2"/>
      <c r="H318" s="2"/>
      <c r="I318" s="2"/>
      <c r="J318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413" t="s">
        <v>2094</v>
      </c>
      <c r="AG318" s="2"/>
      <c r="AH318" s="2"/>
      <c r="AI318" s="2"/>
      <c r="AJ318" s="2"/>
      <c r="AK318" s="2"/>
      <c r="AL318" s="124"/>
      <c r="AM318" s="562" t="str">
        <f>AM316 &amp; ".V"</f>
        <v>TSFNA.V</v>
      </c>
      <c r="AN318" s="531" t="s">
        <v>245</v>
      </c>
      <c r="AO318" s="420" t="s">
        <v>289</v>
      </c>
      <c r="AP318" s="247">
        <f t="shared" ref="AP318:AR322" si="88">SUMIF($AS$9:$AT$9,AP$9,$AS318:$AT318)</f>
        <v>0</v>
      </c>
      <c r="AQ318" s="247">
        <f t="shared" si="88"/>
        <v>0</v>
      </c>
      <c r="AR318" s="247">
        <f t="shared" si="88"/>
        <v>0</v>
      </c>
      <c r="AS318" s="194"/>
      <c r="AT318" s="194"/>
      <c r="AU318" s="326"/>
    </row>
    <row r="319" spans="1:47" ht="12" customHeight="1">
      <c r="A319" s="2"/>
      <c r="B319" s="2"/>
      <c r="C319" s="2"/>
      <c r="D319" s="2"/>
      <c r="E319" s="2"/>
      <c r="F319" s="2"/>
      <c r="G319" s="2"/>
      <c r="H319" s="2"/>
      <c r="I319" s="2"/>
      <c r="J31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413" t="s">
        <v>2092</v>
      </c>
      <c r="AG319" s="2"/>
      <c r="AH319" s="2"/>
      <c r="AI319" s="2"/>
      <c r="AJ319" s="2"/>
      <c r="AK319" s="2"/>
      <c r="AL319" s="124"/>
      <c r="AM319" s="639" t="s">
        <v>2331</v>
      </c>
      <c r="AN319" s="559" t="s">
        <v>2332</v>
      </c>
      <c r="AO319" s="420" t="s">
        <v>195</v>
      </c>
      <c r="AP319" s="247">
        <f t="shared" si="88"/>
        <v>0</v>
      </c>
      <c r="AQ319" s="247">
        <f t="shared" si="88"/>
        <v>0</v>
      </c>
      <c r="AR319" s="247">
        <f t="shared" si="88"/>
        <v>0</v>
      </c>
      <c r="AS319" s="194"/>
      <c r="AT319" s="194"/>
      <c r="AU319" s="326"/>
    </row>
    <row r="320" spans="1:47" ht="12" customHeight="1">
      <c r="A320" s="2"/>
      <c r="B320" s="2"/>
      <c r="C320" s="2"/>
      <c r="D320" s="2"/>
      <c r="E320" s="2"/>
      <c r="F320" s="2"/>
      <c r="G320" s="2"/>
      <c r="H320" s="2"/>
      <c r="I320" s="2"/>
      <c r="J320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413" t="s">
        <v>2093</v>
      </c>
      <c r="AG320" s="2"/>
      <c r="AH320" s="2"/>
      <c r="AI320" s="2"/>
      <c r="AJ320" s="2"/>
      <c r="AK320" s="2"/>
      <c r="AL320" s="124"/>
      <c r="AM320" s="639" t="str">
        <f>AM319 &amp; ".P"</f>
        <v>CARBONPWDRD.P</v>
      </c>
      <c r="AN320" s="531" t="s">
        <v>842</v>
      </c>
      <c r="AO320" s="420" t="s">
        <v>23</v>
      </c>
      <c r="AP320" s="247">
        <f>IF(AP321=0,0,AP319*1000/AP321)</f>
        <v>0</v>
      </c>
      <c r="AQ320" s="247">
        <f>IF(AQ321=0,0,AQ319*1000/AQ321)</f>
        <v>0</v>
      </c>
      <c r="AR320" s="247">
        <f>IF(AR321=0,0,AR319*1000/AR321)</f>
        <v>0</v>
      </c>
      <c r="AS320" s="194"/>
      <c r="AT320" s="194"/>
      <c r="AU320" s="326"/>
    </row>
    <row r="321" spans="1:47" ht="12" customHeight="1">
      <c r="A321" s="2"/>
      <c r="B321" s="2"/>
      <c r="C321" s="2"/>
      <c r="D321" s="2"/>
      <c r="E321" s="2"/>
      <c r="F321" s="2"/>
      <c r="G321" s="2"/>
      <c r="H321" s="2"/>
      <c r="I321" s="2"/>
      <c r="J32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413" t="s">
        <v>2094</v>
      </c>
      <c r="AG321" s="2"/>
      <c r="AH321" s="2"/>
      <c r="AI321" s="2"/>
      <c r="AJ321" s="2"/>
      <c r="AK321" s="2"/>
      <c r="AL321" s="124"/>
      <c r="AM321" s="639" t="str">
        <f>AM319 &amp; ".V"</f>
        <v>CARBONPWDRD.V</v>
      </c>
      <c r="AN321" s="531" t="s">
        <v>245</v>
      </c>
      <c r="AO321" s="420" t="s">
        <v>289</v>
      </c>
      <c r="AP321" s="247">
        <f>SUMIF($AS$9:$AT$9,AP$9,$AS321:$AT321)</f>
        <v>0</v>
      </c>
      <c r="AQ321" s="247">
        <f>SUMIF($AS$9:$AT$9,AQ$9,$AS321:$AT321)</f>
        <v>0</v>
      </c>
      <c r="AR321" s="247">
        <f>SUMIF($AS$9:$AT$9,AR$9,$AS321:$AT321)</f>
        <v>0</v>
      </c>
      <c r="AS321" s="194"/>
      <c r="AT321" s="194"/>
      <c r="AU321" s="326"/>
    </row>
    <row r="322" spans="1:47" ht="12" customHeight="1">
      <c r="A322" s="2"/>
      <c r="B322" s="2"/>
      <c r="C322" s="2"/>
      <c r="D322" s="2"/>
      <c r="E322" s="2"/>
      <c r="F322" s="2"/>
      <c r="G322" s="2"/>
      <c r="H322" s="2"/>
      <c r="I322" s="2"/>
      <c r="J3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413" t="s">
        <v>2092</v>
      </c>
      <c r="AG322" s="2"/>
      <c r="AH322" s="2"/>
      <c r="AI322" s="2"/>
      <c r="AJ322" s="2"/>
      <c r="AK322" s="2"/>
      <c r="AL322" s="124"/>
      <c r="AM322" s="561" t="s">
        <v>2021</v>
      </c>
      <c r="AN322" s="559" t="s">
        <v>1989</v>
      </c>
      <c r="AO322" s="420" t="s">
        <v>195</v>
      </c>
      <c r="AP322" s="247">
        <f t="shared" si="88"/>
        <v>0</v>
      </c>
      <c r="AQ322" s="247">
        <f t="shared" si="88"/>
        <v>0</v>
      </c>
      <c r="AR322" s="247">
        <f t="shared" si="88"/>
        <v>0</v>
      </c>
      <c r="AS322" s="194"/>
      <c r="AT322" s="194"/>
      <c r="AU322" s="326"/>
    </row>
    <row r="323" spans="1:47" ht="12" customHeight="1">
      <c r="A323" s="2"/>
      <c r="B323" s="2"/>
      <c r="C323" s="2"/>
      <c r="D323" s="2"/>
      <c r="E323" s="2"/>
      <c r="F323" s="2"/>
      <c r="G323" s="2"/>
      <c r="H323" s="2"/>
      <c r="I323" s="2"/>
      <c r="J32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413" t="s">
        <v>2093</v>
      </c>
      <c r="AG323" s="2"/>
      <c r="AH323" s="2"/>
      <c r="AI323" s="2"/>
      <c r="AJ323" s="2"/>
      <c r="AK323" s="2"/>
      <c r="AL323" s="124"/>
      <c r="AM323" s="562" t="str">
        <f>AM322 &amp; ".P"</f>
        <v>CCL4.P</v>
      </c>
      <c r="AN323" s="531" t="s">
        <v>842</v>
      </c>
      <c r="AO323" s="420" t="s">
        <v>23</v>
      </c>
      <c r="AP323" s="247">
        <f>IF(AP324=0,0,AP322*1000/AP324)</f>
        <v>0</v>
      </c>
      <c r="AQ323" s="247">
        <f>IF(AQ324=0,0,AQ322*1000/AQ324)</f>
        <v>0</v>
      </c>
      <c r="AR323" s="247">
        <f>IF(AR324=0,0,AR322*1000/AR324)</f>
        <v>0</v>
      </c>
      <c r="AS323" s="194"/>
      <c r="AT323" s="194"/>
      <c r="AU323" s="326"/>
    </row>
    <row r="324" spans="1:47" ht="12" customHeight="1">
      <c r="A324" s="2"/>
      <c r="B324" s="2"/>
      <c r="C324" s="2"/>
      <c r="D324" s="2"/>
      <c r="E324" s="2"/>
      <c r="F324" s="2"/>
      <c r="G324" s="2"/>
      <c r="H324" s="2"/>
      <c r="I324" s="2"/>
      <c r="J32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413" t="s">
        <v>2094</v>
      </c>
      <c r="AG324" s="2"/>
      <c r="AH324" s="2"/>
      <c r="AI324" s="2"/>
      <c r="AJ324" s="2"/>
      <c r="AK324" s="2"/>
      <c r="AL324" s="124"/>
      <c r="AM324" s="562" t="str">
        <f>AM322 &amp; ".V"</f>
        <v>CCL4.V</v>
      </c>
      <c r="AN324" s="531" t="s">
        <v>245</v>
      </c>
      <c r="AO324" s="420" t="s">
        <v>289</v>
      </c>
      <c r="AP324" s="247">
        <f t="shared" ref="AP324:AR325" si="89">SUMIF($AS$9:$AT$9,AP$9,$AS324:$AT324)</f>
        <v>0</v>
      </c>
      <c r="AQ324" s="247">
        <f t="shared" si="89"/>
        <v>0</v>
      </c>
      <c r="AR324" s="247">
        <f t="shared" si="89"/>
        <v>0</v>
      </c>
      <c r="AS324" s="194"/>
      <c r="AT324" s="194"/>
      <c r="AU324" s="326"/>
    </row>
    <row r="325" spans="1:47" ht="12" customHeight="1">
      <c r="A325" s="2"/>
      <c r="B325" s="2"/>
      <c r="C325" s="2"/>
      <c r="D325" s="2"/>
      <c r="E325" s="2"/>
      <c r="F325" s="2"/>
      <c r="G325" s="2"/>
      <c r="H325" s="2"/>
      <c r="I325" s="2"/>
      <c r="J3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413" t="s">
        <v>2092</v>
      </c>
      <c r="AG325" s="2"/>
      <c r="AH325" s="2"/>
      <c r="AI325" s="2"/>
      <c r="AJ325" s="2"/>
      <c r="AK325" s="2"/>
      <c r="AL325" s="124"/>
      <c r="AM325" s="561" t="s">
        <v>2013</v>
      </c>
      <c r="AN325" s="559" t="s">
        <v>1990</v>
      </c>
      <c r="AO325" s="420" t="s">
        <v>195</v>
      </c>
      <c r="AP325" s="247">
        <f t="shared" si="89"/>
        <v>0</v>
      </c>
      <c r="AQ325" s="247">
        <f t="shared" si="89"/>
        <v>0</v>
      </c>
      <c r="AR325" s="247">
        <f t="shared" si="89"/>
        <v>0</v>
      </c>
      <c r="AS325" s="194"/>
      <c r="AT325" s="194"/>
      <c r="AU325" s="326"/>
    </row>
    <row r="326" spans="1:47" ht="12" customHeight="1">
      <c r="A326" s="2"/>
      <c r="B326" s="2"/>
      <c r="C326" s="2"/>
      <c r="D326" s="2"/>
      <c r="E326" s="2"/>
      <c r="F326" s="2"/>
      <c r="G326" s="2"/>
      <c r="H326" s="2"/>
      <c r="I326" s="2"/>
      <c r="J326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413" t="s">
        <v>2093</v>
      </c>
      <c r="AG326" s="2"/>
      <c r="AH326" s="2"/>
      <c r="AI326" s="2"/>
      <c r="AJ326" s="2"/>
      <c r="AK326" s="2"/>
      <c r="AL326" s="124"/>
      <c r="AM326" s="562" t="str">
        <f>AM325 &amp; ".P"</f>
        <v>FFTLN.P</v>
      </c>
      <c r="AN326" s="531" t="s">
        <v>842</v>
      </c>
      <c r="AO326" s="420" t="s">
        <v>23</v>
      </c>
      <c r="AP326" s="247">
        <f>IF(AP327=0,0,AP325*1000/AP327)</f>
        <v>0</v>
      </c>
      <c r="AQ326" s="247">
        <f>IF(AQ327=0,0,AQ325*1000/AQ327)</f>
        <v>0</v>
      </c>
      <c r="AR326" s="247">
        <f>IF(AR327=0,0,AR325*1000/AR327)</f>
        <v>0</v>
      </c>
      <c r="AS326" s="194"/>
      <c r="AT326" s="194"/>
      <c r="AU326" s="326"/>
    </row>
    <row r="327" spans="1:47" ht="12" customHeight="1">
      <c r="A327" s="2"/>
      <c r="B327" s="2"/>
      <c r="C327" s="2"/>
      <c r="D327" s="2"/>
      <c r="E327" s="2"/>
      <c r="F327" s="2"/>
      <c r="G327" s="2"/>
      <c r="H327" s="2"/>
      <c r="I327" s="2"/>
      <c r="J32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413" t="s">
        <v>2094</v>
      </c>
      <c r="AG327" s="2"/>
      <c r="AH327" s="2"/>
      <c r="AI327" s="2"/>
      <c r="AJ327" s="2"/>
      <c r="AK327" s="2"/>
      <c r="AL327" s="124"/>
      <c r="AM327" s="562" t="str">
        <f>AM325 &amp; ".V"</f>
        <v>FFTLN.V</v>
      </c>
      <c r="AN327" s="531" t="s">
        <v>245</v>
      </c>
      <c r="AO327" s="420" t="s">
        <v>289</v>
      </c>
      <c r="AP327" s="247">
        <f t="shared" ref="AP327:AR328" si="90">SUMIF($AS$9:$AT$9,AP$9,$AS327:$AT327)</f>
        <v>0</v>
      </c>
      <c r="AQ327" s="247">
        <f t="shared" si="90"/>
        <v>0</v>
      </c>
      <c r="AR327" s="247">
        <f t="shared" si="90"/>
        <v>0</v>
      </c>
      <c r="AS327" s="194"/>
      <c r="AT327" s="194"/>
      <c r="AU327" s="326"/>
    </row>
    <row r="328" spans="1:47" ht="12" customHeight="1">
      <c r="A328" s="2"/>
      <c r="B328" s="2"/>
      <c r="C328" s="2"/>
      <c r="D328" s="2"/>
      <c r="E328" s="2"/>
      <c r="F328" s="2"/>
      <c r="G328" s="2"/>
      <c r="H328" s="2"/>
      <c r="I328" s="2"/>
      <c r="J328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413" t="s">
        <v>2092</v>
      </c>
      <c r="AG328" s="2"/>
      <c r="AH328" s="2"/>
      <c r="AI328" s="2"/>
      <c r="AJ328" s="2"/>
      <c r="AK328" s="2"/>
      <c r="AL328" s="124"/>
      <c r="AM328" s="561" t="s">
        <v>1068</v>
      </c>
      <c r="AN328" s="559" t="s">
        <v>1991</v>
      </c>
      <c r="AO328" s="420" t="s">
        <v>195</v>
      </c>
      <c r="AP328" s="247">
        <f t="shared" si="90"/>
        <v>0</v>
      </c>
      <c r="AQ328" s="247">
        <f t="shared" si="90"/>
        <v>0</v>
      </c>
      <c r="AR328" s="247">
        <f t="shared" si="90"/>
        <v>0</v>
      </c>
      <c r="AS328" s="194"/>
      <c r="AT328" s="194"/>
      <c r="AU328" s="326"/>
    </row>
    <row r="329" spans="1:47" ht="12" customHeight="1">
      <c r="A329" s="2"/>
      <c r="B329" s="2"/>
      <c r="C329" s="2"/>
      <c r="D329" s="2"/>
      <c r="E329" s="2"/>
      <c r="F329" s="2"/>
      <c r="G329" s="2"/>
      <c r="H329" s="2"/>
      <c r="I329" s="2"/>
      <c r="J32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413" t="s">
        <v>2093</v>
      </c>
      <c r="AG329" s="2"/>
      <c r="AH329" s="2"/>
      <c r="AI329" s="2"/>
      <c r="AJ329" s="2"/>
      <c r="AK329" s="2"/>
      <c r="AL329" s="124"/>
      <c r="AM329" s="562" t="str">
        <f>AM328 &amp; ".P"</f>
        <v>CL.P</v>
      </c>
      <c r="AN329" s="531" t="s">
        <v>842</v>
      </c>
      <c r="AO329" s="420" t="s">
        <v>23</v>
      </c>
      <c r="AP329" s="247">
        <f>IF(AP330=0,0,AP328*1000/AP330)</f>
        <v>0</v>
      </c>
      <c r="AQ329" s="247">
        <f>IF(AQ330=0,0,AQ328*1000/AQ330)</f>
        <v>0</v>
      </c>
      <c r="AR329" s="247">
        <f>IF(AR330=0,0,AR328*1000/AR330)</f>
        <v>0</v>
      </c>
      <c r="AS329" s="194"/>
      <c r="AT329" s="194"/>
      <c r="AU329" s="326"/>
    </row>
    <row r="330" spans="1:47" ht="12" customHeight="1">
      <c r="A330" s="2"/>
      <c r="B330" s="2"/>
      <c r="C330" s="2"/>
      <c r="D330" s="2"/>
      <c r="E330" s="2"/>
      <c r="F330" s="2"/>
      <c r="G330" s="2"/>
      <c r="H330" s="2"/>
      <c r="I330" s="2"/>
      <c r="J330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413" t="s">
        <v>2094</v>
      </c>
      <c r="AG330" s="2"/>
      <c r="AH330" s="2"/>
      <c r="AI330" s="2"/>
      <c r="AJ330" s="2"/>
      <c r="AK330" s="2"/>
      <c r="AL330" s="124"/>
      <c r="AM330" s="562" t="str">
        <f>AM328 &amp; ".V"</f>
        <v>CL.V</v>
      </c>
      <c r="AN330" s="531" t="s">
        <v>245</v>
      </c>
      <c r="AO330" s="420" t="s">
        <v>289</v>
      </c>
      <c r="AP330" s="247">
        <f t="shared" ref="AP330:AR331" si="91">SUMIF($AS$9:$AT$9,AP$9,$AS330:$AT330)</f>
        <v>0</v>
      </c>
      <c r="AQ330" s="247">
        <f t="shared" si="91"/>
        <v>0</v>
      </c>
      <c r="AR330" s="247">
        <f t="shared" si="91"/>
        <v>0</v>
      </c>
      <c r="AS330" s="194"/>
      <c r="AT330" s="194"/>
      <c r="AU330" s="326"/>
    </row>
    <row r="331" spans="1:47" ht="12" customHeight="1">
      <c r="A331" s="2"/>
      <c r="B331" s="2"/>
      <c r="C331" s="2"/>
      <c r="D331" s="2"/>
      <c r="E331" s="2"/>
      <c r="F331" s="2"/>
      <c r="G331" s="2"/>
      <c r="H331" s="2"/>
      <c r="I331" s="2"/>
      <c r="J33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413" t="s">
        <v>2092</v>
      </c>
      <c r="AG331" s="2"/>
      <c r="AH331" s="2"/>
      <c r="AI331" s="2"/>
      <c r="AJ331" s="2"/>
      <c r="AK331" s="2"/>
      <c r="AL331" s="124"/>
      <c r="AM331" s="561" t="s">
        <v>2020</v>
      </c>
      <c r="AN331" s="559" t="s">
        <v>1992</v>
      </c>
      <c r="AO331" s="420" t="s">
        <v>195</v>
      </c>
      <c r="AP331" s="247">
        <f t="shared" si="91"/>
        <v>0</v>
      </c>
      <c r="AQ331" s="247">
        <f t="shared" si="91"/>
        <v>0</v>
      </c>
      <c r="AR331" s="247">
        <f t="shared" si="91"/>
        <v>0</v>
      </c>
      <c r="AS331" s="194"/>
      <c r="AT331" s="194"/>
      <c r="AU331" s="326"/>
    </row>
    <row r="332" spans="1:47" ht="12" customHeight="1">
      <c r="A332" s="2"/>
      <c r="B332" s="2"/>
      <c r="C332" s="2"/>
      <c r="D332" s="2"/>
      <c r="E332" s="2"/>
      <c r="F332" s="2"/>
      <c r="G332" s="2"/>
      <c r="H332" s="2"/>
      <c r="I332" s="2"/>
      <c r="J33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413" t="s">
        <v>2093</v>
      </c>
      <c r="AG332" s="2"/>
      <c r="AH332" s="2"/>
      <c r="AI332" s="2"/>
      <c r="AJ332" s="2"/>
      <c r="AK332" s="2"/>
      <c r="AL332" s="124"/>
      <c r="AM332" s="562" t="str">
        <f>AM331 &amp; ".P"</f>
        <v>CLLIQ.P</v>
      </c>
      <c r="AN332" s="531" t="s">
        <v>842</v>
      </c>
      <c r="AO332" s="420" t="s">
        <v>23</v>
      </c>
      <c r="AP332" s="247">
        <f>IF(AP333=0,0,AP331*1000/AP333)</f>
        <v>0</v>
      </c>
      <c r="AQ332" s="247">
        <f>IF(AQ333=0,0,AQ331*1000/AQ333)</f>
        <v>0</v>
      </c>
      <c r="AR332" s="247">
        <f>IF(AR333=0,0,AR331*1000/AR333)</f>
        <v>0</v>
      </c>
      <c r="AS332" s="194"/>
      <c r="AT332" s="194"/>
      <c r="AU332" s="326"/>
    </row>
    <row r="333" spans="1:47" ht="12" customHeight="1">
      <c r="A333" s="2"/>
      <c r="B333" s="2"/>
      <c r="C333" s="2"/>
      <c r="D333" s="2"/>
      <c r="E333" s="2"/>
      <c r="F333" s="2"/>
      <c r="G333" s="2"/>
      <c r="H333" s="2"/>
      <c r="I333" s="2"/>
      <c r="J33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413" t="s">
        <v>2094</v>
      </c>
      <c r="AG333" s="2"/>
      <c r="AH333" s="2"/>
      <c r="AI333" s="2"/>
      <c r="AJ333" s="2"/>
      <c r="AK333" s="2"/>
      <c r="AL333" s="124"/>
      <c r="AM333" s="562" t="str">
        <f>AM331 &amp; ".V"</f>
        <v>CLLIQ.V</v>
      </c>
      <c r="AN333" s="531" t="s">
        <v>245</v>
      </c>
      <c r="AO333" s="420" t="s">
        <v>289</v>
      </c>
      <c r="AP333" s="247">
        <f t="shared" ref="AP333:AR334" si="92">SUMIF($AS$9:$AT$9,AP$9,$AS333:$AT333)</f>
        <v>0</v>
      </c>
      <c r="AQ333" s="247">
        <f t="shared" si="92"/>
        <v>0</v>
      </c>
      <c r="AR333" s="247">
        <f t="shared" si="92"/>
        <v>0</v>
      </c>
      <c r="AS333" s="194"/>
      <c r="AT333" s="194"/>
      <c r="AU333" s="326"/>
    </row>
    <row r="334" spans="1:47" ht="12" customHeight="1">
      <c r="A334" s="2"/>
      <c r="B334" s="2"/>
      <c r="C334" s="2"/>
      <c r="D334" s="2"/>
      <c r="E334" s="2"/>
      <c r="F334" s="2"/>
      <c r="G334" s="2"/>
      <c r="H334" s="2"/>
      <c r="I334" s="2"/>
      <c r="J33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413" t="s">
        <v>2092</v>
      </c>
      <c r="AG334" s="2"/>
      <c r="AH334" s="2"/>
      <c r="AI334" s="2"/>
      <c r="AJ334" s="2"/>
      <c r="AK334" s="2"/>
      <c r="AL334" s="124"/>
      <c r="AM334" s="561" t="s">
        <v>2012</v>
      </c>
      <c r="AN334" s="559" t="s">
        <v>1993</v>
      </c>
      <c r="AO334" s="420" t="s">
        <v>195</v>
      </c>
      <c r="AP334" s="247">
        <f t="shared" si="92"/>
        <v>0</v>
      </c>
      <c r="AQ334" s="247">
        <f t="shared" si="92"/>
        <v>0</v>
      </c>
      <c r="AR334" s="247">
        <f t="shared" si="92"/>
        <v>0</v>
      </c>
      <c r="AS334" s="194"/>
      <c r="AT334" s="194"/>
      <c r="AU334" s="326"/>
    </row>
    <row r="335" spans="1:47" ht="12" customHeight="1">
      <c r="A335" s="2"/>
      <c r="B335" s="2"/>
      <c r="C335" s="2"/>
      <c r="D335" s="2"/>
      <c r="E335" s="2"/>
      <c r="F335" s="2"/>
      <c r="G335" s="2"/>
      <c r="H335" s="2"/>
      <c r="I335" s="2"/>
      <c r="J33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413" t="s">
        <v>2093</v>
      </c>
      <c r="AG335" s="2"/>
      <c r="AH335" s="2"/>
      <c r="AI335" s="2"/>
      <c r="AJ335" s="2"/>
      <c r="AK335" s="2"/>
      <c r="AL335" s="124"/>
      <c r="AM335" s="562" t="str">
        <f>AM334 &amp; ".P"</f>
        <v>CLAMN.P</v>
      </c>
      <c r="AN335" s="531" t="s">
        <v>842</v>
      </c>
      <c r="AO335" s="420" t="s">
        <v>23</v>
      </c>
      <c r="AP335" s="247">
        <f>IF(AP336=0,0,AP334*1000/AP336)</f>
        <v>0</v>
      </c>
      <c r="AQ335" s="247">
        <f>IF(AQ336=0,0,AQ334*1000/AQ336)</f>
        <v>0</v>
      </c>
      <c r="AR335" s="247">
        <f>IF(AR336=0,0,AR334*1000/AR336)</f>
        <v>0</v>
      </c>
      <c r="AS335" s="194"/>
      <c r="AT335" s="194"/>
      <c r="AU335" s="326"/>
    </row>
    <row r="336" spans="1:47" ht="12" customHeight="1">
      <c r="A336" s="2"/>
      <c r="B336" s="2"/>
      <c r="C336" s="2"/>
      <c r="D336" s="2"/>
      <c r="E336" s="2"/>
      <c r="F336" s="2"/>
      <c r="G336" s="2"/>
      <c r="H336" s="2"/>
      <c r="I336" s="2"/>
      <c r="J336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413" t="s">
        <v>2094</v>
      </c>
      <c r="AG336" s="2"/>
      <c r="AH336" s="2"/>
      <c r="AI336" s="2"/>
      <c r="AJ336" s="2"/>
      <c r="AK336" s="2"/>
      <c r="AL336" s="124"/>
      <c r="AM336" s="562" t="str">
        <f>AM334 &amp; ".V"</f>
        <v>CLAMN.V</v>
      </c>
      <c r="AN336" s="531" t="s">
        <v>245</v>
      </c>
      <c r="AO336" s="420" t="s">
        <v>289</v>
      </c>
      <c r="AP336" s="247">
        <f t="shared" ref="AP336:AR337" si="93">SUMIF($AS$9:$AT$9,AP$9,$AS336:$AT336)</f>
        <v>0</v>
      </c>
      <c r="AQ336" s="247">
        <f t="shared" si="93"/>
        <v>0</v>
      </c>
      <c r="AR336" s="247">
        <f t="shared" si="93"/>
        <v>0</v>
      </c>
      <c r="AS336" s="194"/>
      <c r="AT336" s="194"/>
      <c r="AU336" s="326"/>
    </row>
    <row r="337" spans="1:48" ht="12" customHeight="1">
      <c r="A337" s="2"/>
      <c r="B337" s="2"/>
      <c r="C337" s="2"/>
      <c r="D337" s="2"/>
      <c r="E337" s="2"/>
      <c r="F337" s="2"/>
      <c r="G337" s="2"/>
      <c r="H337" s="2"/>
      <c r="I337" s="2"/>
      <c r="J33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413" t="s">
        <v>2092</v>
      </c>
      <c r="AG337" s="2"/>
      <c r="AH337" s="2"/>
      <c r="AI337" s="2"/>
      <c r="AJ337" s="2"/>
      <c r="AK337" s="2"/>
      <c r="AL337" s="124"/>
      <c r="AM337" s="561" t="s">
        <v>2028</v>
      </c>
      <c r="AN337" s="559" t="s">
        <v>1994</v>
      </c>
      <c r="AO337" s="420" t="s">
        <v>195</v>
      </c>
      <c r="AP337" s="247">
        <f t="shared" si="93"/>
        <v>0</v>
      </c>
      <c r="AQ337" s="247">
        <f t="shared" si="93"/>
        <v>0</v>
      </c>
      <c r="AR337" s="247">
        <f t="shared" si="93"/>
        <v>0</v>
      </c>
      <c r="AS337" s="194"/>
      <c r="AT337" s="194"/>
      <c r="AU337" s="326"/>
    </row>
    <row r="338" spans="1:48" ht="12" customHeight="1">
      <c r="A338" s="2"/>
      <c r="B338" s="2"/>
      <c r="C338" s="2"/>
      <c r="D338" s="2"/>
      <c r="E338" s="2"/>
      <c r="F338" s="2"/>
      <c r="G338" s="2"/>
      <c r="H338" s="2"/>
      <c r="I338" s="2"/>
      <c r="J338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413" t="s">
        <v>2093</v>
      </c>
      <c r="AG338" s="2"/>
      <c r="AH338" s="2"/>
      <c r="AI338" s="2"/>
      <c r="AJ338" s="2"/>
      <c r="AK338" s="2"/>
      <c r="AL338" s="124"/>
      <c r="AM338" s="562" t="str">
        <f>AM337 &amp; ".P"</f>
        <v>CLFRM.P</v>
      </c>
      <c r="AN338" s="531" t="s">
        <v>842</v>
      </c>
      <c r="AO338" s="420" t="s">
        <v>23</v>
      </c>
      <c r="AP338" s="247">
        <f>IF(AP339=0,0,AP337*1000/AP339)</f>
        <v>0</v>
      </c>
      <c r="AQ338" s="247">
        <f>IF(AQ339=0,0,AQ337*1000/AQ339)</f>
        <v>0</v>
      </c>
      <c r="AR338" s="247">
        <f>IF(AR339=0,0,AR337*1000/AR339)</f>
        <v>0</v>
      </c>
      <c r="AS338" s="194"/>
      <c r="AT338" s="194"/>
      <c r="AU338" s="326"/>
    </row>
    <row r="339" spans="1:48" ht="12" customHeight="1">
      <c r="A339" s="2"/>
      <c r="B339" s="2"/>
      <c r="C339" s="2"/>
      <c r="D339" s="2"/>
      <c r="E339" s="2"/>
      <c r="F339" s="2"/>
      <c r="G339" s="2"/>
      <c r="H339" s="2"/>
      <c r="I339" s="2"/>
      <c r="J33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413" t="s">
        <v>2094</v>
      </c>
      <c r="AG339" s="2"/>
      <c r="AH339" s="2"/>
      <c r="AI339" s="2"/>
      <c r="AJ339" s="2"/>
      <c r="AK339" s="2"/>
      <c r="AL339" s="124"/>
      <c r="AM339" s="562" t="str">
        <f>AM337 &amp; ".V"</f>
        <v>CLFRM.V</v>
      </c>
      <c r="AN339" s="531" t="s">
        <v>245</v>
      </c>
      <c r="AO339" s="420" t="s">
        <v>289</v>
      </c>
      <c r="AP339" s="247">
        <f t="shared" ref="AP339:AR340" si="94">SUMIF($AS$9:$AT$9,AP$9,$AS339:$AT339)</f>
        <v>0</v>
      </c>
      <c r="AQ339" s="247">
        <f t="shared" si="94"/>
        <v>0</v>
      </c>
      <c r="AR339" s="247">
        <f t="shared" si="94"/>
        <v>0</v>
      </c>
      <c r="AS339" s="194"/>
      <c r="AT339" s="194"/>
      <c r="AU339" s="326"/>
    </row>
    <row r="340" spans="1:48" ht="12" customHeight="1">
      <c r="A340" s="2"/>
      <c r="B340" s="2"/>
      <c r="C340" s="2"/>
      <c r="D340" s="2"/>
      <c r="E340" s="2"/>
      <c r="F340" s="2"/>
      <c r="G340" s="2"/>
      <c r="H340" s="2"/>
      <c r="I340" s="2"/>
      <c r="J340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413" t="s">
        <v>2092</v>
      </c>
      <c r="AG340" s="2"/>
      <c r="AH340" s="2"/>
      <c r="AI340" s="2"/>
      <c r="AJ340" s="2"/>
      <c r="AK340" s="2"/>
      <c r="AL340" s="124"/>
      <c r="AM340" s="561" t="s">
        <v>2029</v>
      </c>
      <c r="AN340" s="559" t="s">
        <v>1995</v>
      </c>
      <c r="AO340" s="420" t="s">
        <v>195</v>
      </c>
      <c r="AP340" s="247">
        <f t="shared" si="94"/>
        <v>0</v>
      </c>
      <c r="AQ340" s="247">
        <f t="shared" si="94"/>
        <v>0</v>
      </c>
      <c r="AR340" s="247">
        <f t="shared" si="94"/>
        <v>0</v>
      </c>
      <c r="AS340" s="194"/>
      <c r="AT340" s="194"/>
      <c r="AU340" s="326"/>
    </row>
    <row r="341" spans="1:48" ht="12" customHeight="1">
      <c r="A341" s="2"/>
      <c r="B341" s="2"/>
      <c r="C341" s="2"/>
      <c r="D341" s="2"/>
      <c r="E341" s="2"/>
      <c r="F341" s="2"/>
      <c r="G341" s="2"/>
      <c r="H341" s="2"/>
      <c r="I341" s="2"/>
      <c r="J34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413" t="s">
        <v>2093</v>
      </c>
      <c r="AG341" s="2"/>
      <c r="AH341" s="2"/>
      <c r="AI341" s="2"/>
      <c r="AJ341" s="2"/>
      <c r="AK341" s="2"/>
      <c r="AL341" s="124"/>
      <c r="AM341" s="562" t="str">
        <f>AM340 &amp; ".P"</f>
        <v>ETHL.P</v>
      </c>
      <c r="AN341" s="531" t="s">
        <v>842</v>
      </c>
      <c r="AO341" s="420" t="s">
        <v>23</v>
      </c>
      <c r="AP341" s="247">
        <f>IF(AP342=0,0,AP340*1000/AP342)</f>
        <v>0</v>
      </c>
      <c r="AQ341" s="247">
        <f>IF(AQ342=0,0,AQ340*1000/AQ342)</f>
        <v>0</v>
      </c>
      <c r="AR341" s="247">
        <f>IF(AR342=0,0,AR340*1000/AR342)</f>
        <v>0</v>
      </c>
      <c r="AS341" s="194"/>
      <c r="AT341" s="194"/>
      <c r="AU341" s="326"/>
    </row>
    <row r="342" spans="1:48" ht="12" customHeight="1">
      <c r="A342" s="2"/>
      <c r="B342" s="2"/>
      <c r="C342" s="2"/>
      <c r="D342" s="2"/>
      <c r="E342" s="2"/>
      <c r="F342" s="2"/>
      <c r="G342" s="2"/>
      <c r="H342" s="2"/>
      <c r="I342" s="2"/>
      <c r="J34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413" t="s">
        <v>2094</v>
      </c>
      <c r="AG342" s="2"/>
      <c r="AH342" s="2"/>
      <c r="AI342" s="2"/>
      <c r="AJ342" s="2"/>
      <c r="AK342" s="2"/>
      <c r="AL342" s="124"/>
      <c r="AM342" s="562" t="str">
        <f>AM340 &amp; ".V"</f>
        <v>ETHL.V</v>
      </c>
      <c r="AN342" s="531" t="s">
        <v>245</v>
      </c>
      <c r="AO342" s="420" t="s">
        <v>289</v>
      </c>
      <c r="AP342" s="247">
        <f t="shared" ref="AP342:AR343" si="95">SUMIF($AS$9:$AT$9,AP$9,$AS342:$AT342)</f>
        <v>0</v>
      </c>
      <c r="AQ342" s="247">
        <f t="shared" si="95"/>
        <v>0</v>
      </c>
      <c r="AR342" s="247">
        <f t="shared" si="95"/>
        <v>0</v>
      </c>
      <c r="AS342" s="194"/>
      <c r="AT342" s="194"/>
      <c r="AU342" s="326"/>
    </row>
    <row r="343" spans="1:48" ht="12" customHeight="1">
      <c r="A343" s="2"/>
      <c r="B343" s="2"/>
      <c r="C343" s="2"/>
      <c r="D343" s="2"/>
      <c r="E343" s="2"/>
      <c r="F343" s="2"/>
      <c r="G343" s="2"/>
      <c r="H343" s="2"/>
      <c r="I343" s="2"/>
      <c r="J34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413" t="s">
        <v>2091</v>
      </c>
      <c r="AG343" s="2"/>
      <c r="AH343" s="2"/>
      <c r="AI343" s="2"/>
      <c r="AJ343" s="2"/>
      <c r="AK343" s="2"/>
      <c r="AL343" s="124"/>
      <c r="AM343" s="564" t="s">
        <v>1356</v>
      </c>
      <c r="AN343" s="565" t="s">
        <v>307</v>
      </c>
      <c r="AO343" s="418" t="s">
        <v>195</v>
      </c>
      <c r="AP343" s="253">
        <f t="shared" si="95"/>
        <v>0</v>
      </c>
      <c r="AQ343" s="253">
        <f t="shared" si="95"/>
        <v>0</v>
      </c>
      <c r="AR343" s="253">
        <f t="shared" si="95"/>
        <v>0</v>
      </c>
      <c r="AS343" s="194"/>
      <c r="AT343" s="194"/>
      <c r="AU343" s="326"/>
    </row>
    <row r="344" spans="1:48" ht="0.75" hidden="1" customHeight="1">
      <c r="A344" s="2"/>
      <c r="B344" s="2"/>
      <c r="C344" s="2"/>
      <c r="D344" s="2"/>
      <c r="E344" s="2"/>
      <c r="F344" s="2"/>
      <c r="G344" s="2"/>
      <c r="H344" s="2"/>
      <c r="I344" s="2"/>
      <c r="J34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413"/>
      <c r="AG344" s="2"/>
      <c r="AH344" s="2"/>
      <c r="AI344" s="2"/>
      <c r="AJ344" s="2"/>
      <c r="AK344" s="2"/>
      <c r="AL344" s="124"/>
      <c r="AM344" s="560"/>
      <c r="AN344" s="533"/>
      <c r="AO344" s="166"/>
      <c r="AP344" s="142"/>
      <c r="AQ344" s="142"/>
      <c r="AR344" s="142"/>
      <c r="AS344" s="223"/>
      <c r="AT344" s="194"/>
    </row>
    <row r="345" spans="1:48" ht="0.75" hidden="1" customHeight="1">
      <c r="A345" s="2"/>
      <c r="B345" s="2"/>
      <c r="C345" s="2"/>
      <c r="D345" s="2"/>
      <c r="E345" s="2"/>
      <c r="F345" s="2"/>
      <c r="G345" s="2"/>
      <c r="H345" s="2"/>
      <c r="I345" s="2"/>
      <c r="J34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413"/>
      <c r="AG345" s="2"/>
      <c r="AH345" s="2"/>
      <c r="AI345" s="2"/>
      <c r="AJ345" s="2"/>
      <c r="AK345" s="2"/>
      <c r="AL345" s="124"/>
      <c r="AM345" s="560"/>
      <c r="AN345" s="533"/>
      <c r="AO345" s="166"/>
      <c r="AP345" s="142"/>
      <c r="AQ345" s="142"/>
      <c r="AR345" s="142"/>
      <c r="AS345" s="223"/>
      <c r="AT345" s="194"/>
    </row>
    <row r="346" spans="1:48" ht="12" customHeight="1">
      <c r="A346" s="2"/>
      <c r="B346" s="2"/>
      <c r="C346" s="2"/>
      <c r="D346" s="2"/>
      <c r="E346" s="2"/>
      <c r="F346" s="2"/>
      <c r="G346" s="2"/>
      <c r="H346" s="2"/>
      <c r="I346" s="2"/>
      <c r="J346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413" t="s">
        <v>2091</v>
      </c>
      <c r="AG346" s="2"/>
      <c r="AH346" s="2"/>
      <c r="AI346" s="2"/>
      <c r="AJ346" s="2"/>
      <c r="AK346" s="2"/>
      <c r="AL346" s="124"/>
      <c r="AM346" s="561" t="s">
        <v>1356</v>
      </c>
      <c r="AN346" s="567" t="s">
        <v>169</v>
      </c>
      <c r="AO346" s="163" t="s">
        <v>195</v>
      </c>
      <c r="AP346" s="247">
        <f>SUMIF($AS$9:$AT$9,AP$9,$AS346:$AT346)</f>
        <v>0</v>
      </c>
      <c r="AQ346" s="247">
        <f>SUMIF($AS$9:$AT$9,AQ$9,$AS346:$AT346)</f>
        <v>0</v>
      </c>
      <c r="AR346" s="247">
        <f>SUMIF($AS$9:$AT$9,AR$9,$AS346:$AT346)</f>
        <v>0</v>
      </c>
      <c r="AS346" s="223"/>
      <c r="AT346" s="194"/>
      <c r="AU346" s="326"/>
    </row>
    <row r="347" spans="1:48" ht="0.75" hidden="1" customHeight="1">
      <c r="A347" s="2"/>
      <c r="B347" s="2"/>
      <c r="C347" s="2"/>
      <c r="D347" s="2"/>
      <c r="E347" s="2"/>
      <c r="F347" s="2"/>
      <c r="G347" s="2"/>
      <c r="H347" s="2"/>
      <c r="I347" s="2"/>
      <c r="J34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413"/>
      <c r="AG347" s="2"/>
      <c r="AH347" s="2"/>
      <c r="AI347" s="2"/>
      <c r="AJ347" s="2"/>
      <c r="AK347" s="2"/>
      <c r="AL347" s="124"/>
      <c r="AM347" s="560"/>
      <c r="AN347" s="533"/>
      <c r="AO347" s="166"/>
      <c r="AP347" s="142"/>
      <c r="AQ347" s="142"/>
      <c r="AR347" s="142"/>
      <c r="AS347" s="223"/>
      <c r="AT347" s="194"/>
    </row>
    <row r="348" spans="1:48" customFormat="1" ht="12" customHeight="1">
      <c r="AF348" s="413"/>
      <c r="AL348" s="36"/>
      <c r="AM348" s="566" t="s">
        <v>607</v>
      </c>
      <c r="AN348" s="501" t="s">
        <v>1712</v>
      </c>
      <c r="AO348" s="163" t="s">
        <v>1026</v>
      </c>
      <c r="AP348" s="267"/>
      <c r="AQ348" s="267"/>
      <c r="AR348" s="267"/>
      <c r="AS348" s="563"/>
      <c r="AT348" s="194"/>
      <c r="AU348" s="169"/>
    </row>
    <row r="349" spans="1:48">
      <c r="A349" s="2"/>
      <c r="B349" s="2"/>
      <c r="C349" s="2"/>
      <c r="D349" s="2"/>
      <c r="E349" s="2"/>
      <c r="F349" s="2"/>
      <c r="G349" s="2"/>
      <c r="H349" s="2"/>
      <c r="I349" s="2"/>
      <c r="J3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413"/>
      <c r="AG349" s="2"/>
      <c r="AH349" s="2"/>
      <c r="AI349" s="2"/>
      <c r="AJ349" s="2"/>
      <c r="AK349" s="2"/>
      <c r="AL349" s="124"/>
      <c r="AM349" s="560"/>
      <c r="AN349" s="533"/>
      <c r="AO349" s="166"/>
      <c r="AP349" s="142"/>
      <c r="AQ349" s="142"/>
      <c r="AR349" s="142"/>
      <c r="AS349" s="223"/>
      <c r="AT349" s="194"/>
    </row>
    <row r="350" spans="1:48" s="24" customFormat="1" ht="12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2"/>
      <c r="AT350" s="2"/>
      <c r="AU350" s="45"/>
      <c r="AV350" s="45"/>
    </row>
    <row r="351" spans="1:48">
      <c r="AL351" s="45"/>
    </row>
  </sheetData>
  <sheetProtection password="D0EA" sheet="1" objects="1" scenarios="1" formatColumns="0" formatRows="0"/>
  <mergeCells count="6">
    <mergeCell ref="AM13:AN14"/>
    <mergeCell ref="AP14:AR14"/>
    <mergeCell ref="AM19:AM20"/>
    <mergeCell ref="AN19:AN20"/>
    <mergeCell ref="AO19:AO20"/>
    <mergeCell ref="AP19:AR20"/>
  </mergeCell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VOTV_BAL_PR">
    <tabColor indexed="31"/>
    <pageSetUpPr fitToPage="1"/>
  </sheetPr>
  <dimension ref="A1:BI142"/>
  <sheetViews>
    <sheetView showGridLines="0" topLeftCell="D1" zoomScale="90" zoomScaleNormal="90" workbookViewId="0">
      <pane xSplit="4" ySplit="131" topLeftCell="H132" activePane="bottomRight" state="frozen"/>
      <selection activeCell="D118" sqref="D118"/>
      <selection pane="topRight" activeCell="H118" sqref="H118"/>
      <selection pane="bottomLeft" activeCell="D132" sqref="D132"/>
      <selection pane="bottomRight"/>
    </sheetView>
  </sheetViews>
  <sheetFormatPr defaultColWidth="9.125" defaultRowHeight="17.399999999999999"/>
  <cols>
    <col min="1" max="1" width="5.75" style="2" hidden="1" customWidth="1"/>
    <col min="2" max="2" width="5.75" style="24" hidden="1" customWidth="1"/>
    <col min="3" max="3" width="5.75" style="2" hidden="1" customWidth="1"/>
    <col min="4" max="4" width="5.75" style="86" customWidth="1"/>
    <col min="5" max="5" width="0.125" style="25" customWidth="1"/>
    <col min="6" max="6" width="6.75" style="2" customWidth="1"/>
    <col min="7" max="7" width="20.75" style="2" customWidth="1"/>
    <col min="8" max="9" width="12.75" style="2" customWidth="1"/>
    <col min="10" max="10" width="18.75" style="2" customWidth="1"/>
    <col min="11" max="11" width="16.75" style="2" customWidth="1"/>
    <col min="12" max="12" width="15.75" style="2" customWidth="1"/>
    <col min="13" max="13" width="16.75" style="2" customWidth="1"/>
    <col min="14" max="27" width="15.75" style="2" customWidth="1"/>
    <col min="28" max="28" width="16.75" style="2" customWidth="1"/>
    <col min="29" max="30" width="13.75" style="2" customWidth="1"/>
    <col min="31" max="31" width="18.75" style="2" customWidth="1"/>
    <col min="32" max="32" width="15.75" style="2" customWidth="1"/>
    <col min="33" max="47" width="2.75" customWidth="1"/>
    <col min="48" max="48" width="2.75" hidden="1" customWidth="1"/>
    <col min="49" max="52" width="2.75" customWidth="1"/>
    <col min="53" max="53" width="22.75" hidden="1" customWidth="1"/>
    <col min="54" max="55" width="8.75" customWidth="1"/>
    <col min="56" max="57" width="8.75" style="63" customWidth="1"/>
    <col min="58" max="58" width="9.125" style="24"/>
    <col min="59" max="16384" width="9.125" style="2"/>
  </cols>
  <sheetData>
    <row r="1" spans="1:61" s="114" customFormat="1" ht="24" hidden="1" customHeight="1">
      <c r="A1" s="287"/>
      <c r="B1" s="942"/>
      <c r="C1" s="288" t="str">
        <f>F3</f>
        <v>0.0</v>
      </c>
      <c r="D1" s="396" t="s">
        <v>112</v>
      </c>
      <c r="E1" s="289"/>
      <c r="F1" s="938">
        <f>B1</f>
        <v>0</v>
      </c>
      <c r="G1" s="945"/>
      <c r="H1" s="274"/>
      <c r="I1" s="274"/>
      <c r="J1" s="274"/>
      <c r="K1" s="274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0"/>
      <c r="AG1" s="169"/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277" t="s">
        <v>765</v>
      </c>
      <c r="BB1" s="169"/>
      <c r="BC1" s="169"/>
      <c r="BD1" s="278"/>
      <c r="BE1" s="278"/>
      <c r="BF1" s="278"/>
      <c r="BI1" s="212"/>
    </row>
    <row r="2" spans="1:61" s="114" customFormat="1" ht="0.75" hidden="1" customHeight="1">
      <c r="A2" s="287"/>
      <c r="B2" s="943"/>
      <c r="C2" s="288"/>
      <c r="D2" s="397"/>
      <c r="E2" s="289"/>
      <c r="F2" s="939"/>
      <c r="G2" s="941"/>
      <c r="H2" s="274"/>
      <c r="I2" s="274"/>
      <c r="J2" s="274"/>
      <c r="K2" s="274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0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9"/>
      <c r="AY2" s="169"/>
      <c r="AZ2" s="169"/>
      <c r="BA2" s="280"/>
      <c r="BB2" s="169"/>
      <c r="BC2" s="169"/>
      <c r="BD2" s="278"/>
      <c r="BE2" s="278"/>
      <c r="BF2" s="278"/>
      <c r="BI2" s="212"/>
    </row>
    <row r="3" spans="1:61" s="114" customFormat="1" ht="12" hidden="1" customHeight="1">
      <c r="A3" s="287"/>
      <c r="B3" s="943"/>
      <c r="C3" s="946"/>
      <c r="D3" s="286"/>
      <c r="E3" s="282"/>
      <c r="F3" s="283" t="str">
        <f>F1 &amp; ".0"</f>
        <v>0.0</v>
      </c>
      <c r="G3" s="301" t="s">
        <v>136</v>
      </c>
      <c r="H3" s="274"/>
      <c r="I3" s="274"/>
      <c r="J3" s="274"/>
      <c r="K3" s="274"/>
      <c r="L3" s="275"/>
      <c r="M3" s="275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5"/>
      <c r="AC3" s="275"/>
      <c r="AD3" s="275"/>
      <c r="AE3" s="275"/>
      <c r="AF3" s="270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277" t="s">
        <v>21</v>
      </c>
      <c r="BB3" s="169"/>
      <c r="BC3" s="169"/>
      <c r="BD3" s="278"/>
      <c r="BE3" s="278"/>
      <c r="BF3" s="278"/>
      <c r="BI3" s="212"/>
    </row>
    <row r="4" spans="1:61" s="114" customFormat="1" ht="12" hidden="1" customHeight="1">
      <c r="A4" s="287"/>
      <c r="B4" s="943"/>
      <c r="C4" s="947"/>
      <c r="D4" s="286"/>
      <c r="E4" s="282"/>
      <c r="F4" s="283" t="str">
        <f>F1 &amp; ".1"</f>
        <v>0.1</v>
      </c>
      <c r="G4" s="301" t="s">
        <v>137</v>
      </c>
      <c r="H4" s="274"/>
      <c r="I4" s="274"/>
      <c r="J4" s="274"/>
      <c r="K4" s="274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5"/>
      <c r="AC4" s="275"/>
      <c r="AD4" s="275"/>
      <c r="AE4" s="275"/>
      <c r="AF4" s="270"/>
      <c r="AG4" s="169"/>
      <c r="AH4" s="169"/>
      <c r="AI4" s="169"/>
      <c r="AJ4" s="169"/>
      <c r="AK4" s="169"/>
      <c r="AL4" s="169"/>
      <c r="AM4" s="169"/>
      <c r="AN4" s="169"/>
      <c r="AO4" s="169"/>
      <c r="AP4" s="169"/>
      <c r="AQ4" s="169"/>
      <c r="AR4" s="169"/>
      <c r="AS4" s="169"/>
      <c r="AT4" s="169"/>
      <c r="AU4" s="169"/>
      <c r="AV4" s="169"/>
      <c r="AW4" s="169"/>
      <c r="AX4" s="169"/>
      <c r="AY4" s="169"/>
      <c r="AZ4" s="169"/>
      <c r="BA4" s="280" t="str">
        <f>C1 &amp; "-I"</f>
        <v>0.0-I</v>
      </c>
      <c r="BB4" s="169"/>
      <c r="BC4" s="169"/>
      <c r="BD4" s="278"/>
      <c r="BE4" s="278"/>
      <c r="BF4" s="278"/>
      <c r="BI4" s="212"/>
    </row>
    <row r="5" spans="1:61" s="114" customFormat="1" ht="12" hidden="1" customHeight="1">
      <c r="A5" s="287"/>
      <c r="B5" s="943"/>
      <c r="C5" s="947"/>
      <c r="D5" s="286"/>
      <c r="E5" s="282"/>
      <c r="F5" s="283" t="str">
        <f>F1 &amp; ".2"</f>
        <v>0.2</v>
      </c>
      <c r="G5" s="301" t="s">
        <v>138</v>
      </c>
      <c r="H5" s="274"/>
      <c r="I5" s="274"/>
      <c r="J5" s="274"/>
      <c r="K5" s="274"/>
      <c r="L5" s="275"/>
      <c r="M5" s="275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5"/>
      <c r="AC5" s="275"/>
      <c r="AD5" s="275"/>
      <c r="AE5" s="275"/>
      <c r="AF5" s="270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280" t="str">
        <f>C1 &amp; "-I"</f>
        <v>0.0-I</v>
      </c>
      <c r="BB5" s="169"/>
      <c r="BC5" s="169"/>
      <c r="BD5" s="278"/>
      <c r="BE5" s="278"/>
      <c r="BF5" s="278"/>
      <c r="BI5" s="212"/>
    </row>
    <row r="6" spans="1:61" s="114" customFormat="1" ht="12" hidden="1" customHeight="1">
      <c r="A6" s="287"/>
      <c r="B6" s="943"/>
      <c r="C6" s="947"/>
      <c r="D6" s="286"/>
      <c r="E6" s="282"/>
      <c r="F6" s="283" t="str">
        <f>F1 &amp; ".3"</f>
        <v>0.3</v>
      </c>
      <c r="G6" s="301" t="s">
        <v>139</v>
      </c>
      <c r="H6" s="274"/>
      <c r="I6" s="274"/>
      <c r="J6" s="274"/>
      <c r="K6" s="274"/>
      <c r="L6" s="275"/>
      <c r="M6" s="275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0"/>
      <c r="AG6" s="169"/>
      <c r="AH6" s="169"/>
      <c r="AI6" s="169"/>
      <c r="AJ6" s="169"/>
      <c r="AK6" s="169"/>
      <c r="AL6" s="169"/>
      <c r="AM6" s="169"/>
      <c r="AN6" s="169"/>
      <c r="AO6" s="169"/>
      <c r="AP6" s="169"/>
      <c r="AQ6" s="169"/>
      <c r="AR6" s="169"/>
      <c r="AS6" s="169"/>
      <c r="AT6" s="169"/>
      <c r="AU6" s="169"/>
      <c r="AV6" s="169"/>
      <c r="AW6" s="169"/>
      <c r="AX6" s="169"/>
      <c r="AY6" s="169"/>
      <c r="AZ6" s="169"/>
      <c r="BA6" s="280" t="str">
        <f>C1 &amp; "-I"</f>
        <v>0.0-I</v>
      </c>
      <c r="BB6" s="169"/>
      <c r="BC6" s="169"/>
      <c r="BD6" s="278"/>
      <c r="BE6" s="278"/>
      <c r="BF6" s="278"/>
      <c r="BI6" s="212"/>
    </row>
    <row r="7" spans="1:61" s="114" customFormat="1" ht="12" hidden="1" customHeight="1">
      <c r="A7" s="287"/>
      <c r="B7" s="943"/>
      <c r="C7" s="947"/>
      <c r="D7" s="286"/>
      <c r="E7" s="282"/>
      <c r="F7" s="283" t="str">
        <f>F1 &amp; ".4"</f>
        <v>0.4</v>
      </c>
      <c r="G7" s="301" t="s">
        <v>140</v>
      </c>
      <c r="H7" s="274"/>
      <c r="I7" s="274"/>
      <c r="J7" s="274"/>
      <c r="K7" s="274"/>
      <c r="L7" s="275"/>
      <c r="M7" s="275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5"/>
      <c r="AC7" s="275"/>
      <c r="AD7" s="275"/>
      <c r="AE7" s="275"/>
      <c r="AF7" s="270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280" t="str">
        <f>C1 &amp; "-I"</f>
        <v>0.0-I</v>
      </c>
      <c r="BB7" s="169"/>
      <c r="BC7" s="169"/>
      <c r="BD7" s="278"/>
      <c r="BE7" s="278"/>
      <c r="BF7" s="278"/>
      <c r="BI7" s="212"/>
    </row>
    <row r="8" spans="1:61" s="114" customFormat="1" ht="12" hidden="1" customHeight="1">
      <c r="A8" s="287"/>
      <c r="B8" s="943"/>
      <c r="C8" s="947"/>
      <c r="D8" s="286"/>
      <c r="E8" s="282"/>
      <c r="F8" s="283" t="str">
        <f>F1 &amp; ".5"</f>
        <v>0.5</v>
      </c>
      <c r="G8" s="301" t="s">
        <v>141</v>
      </c>
      <c r="H8" s="274"/>
      <c r="I8" s="274"/>
      <c r="J8" s="274"/>
      <c r="K8" s="274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5"/>
      <c r="AC8" s="275"/>
      <c r="AD8" s="275"/>
      <c r="AE8" s="275"/>
      <c r="AF8" s="270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280" t="str">
        <f>C1 &amp; "-I"</f>
        <v>0.0-I</v>
      </c>
      <c r="BB8" s="169"/>
      <c r="BC8" s="169"/>
      <c r="BD8" s="278"/>
      <c r="BE8" s="278"/>
      <c r="BF8" s="278"/>
      <c r="BI8" s="212"/>
    </row>
    <row r="9" spans="1:61" s="114" customFormat="1" ht="12" hidden="1" customHeight="1">
      <c r="A9" s="287"/>
      <c r="B9" s="943"/>
      <c r="C9" s="947"/>
      <c r="D9" s="286"/>
      <c r="E9" s="282"/>
      <c r="F9" s="283" t="str">
        <f>F1 &amp; ".6"</f>
        <v>0.6</v>
      </c>
      <c r="G9" s="301" t="s">
        <v>142</v>
      </c>
      <c r="H9" s="274"/>
      <c r="I9" s="274"/>
      <c r="J9" s="274"/>
      <c r="K9" s="274"/>
      <c r="L9" s="275"/>
      <c r="M9" s="275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5"/>
      <c r="AC9" s="275"/>
      <c r="AD9" s="275"/>
      <c r="AE9" s="275"/>
      <c r="AF9" s="270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280" t="str">
        <f>C1 &amp; "-I"</f>
        <v>0.0-I</v>
      </c>
      <c r="BB9" s="169"/>
      <c r="BC9" s="169"/>
      <c r="BD9" s="278"/>
      <c r="BE9" s="278"/>
      <c r="BF9" s="278"/>
      <c r="BI9" s="212"/>
    </row>
    <row r="10" spans="1:61" s="114" customFormat="1" ht="12" hidden="1" customHeight="1">
      <c r="A10" s="287"/>
      <c r="B10" s="943"/>
      <c r="C10" s="947"/>
      <c r="D10" s="286"/>
      <c r="E10" s="282"/>
      <c r="F10" s="283" t="str">
        <f>F1 &amp; ".7"</f>
        <v>0.7</v>
      </c>
      <c r="G10" s="301" t="s">
        <v>143</v>
      </c>
      <c r="H10" s="274"/>
      <c r="I10" s="274"/>
      <c r="J10" s="274"/>
      <c r="K10" s="274"/>
      <c r="L10" s="275"/>
      <c r="M10" s="275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5"/>
      <c r="AC10" s="275"/>
      <c r="AD10" s="275"/>
      <c r="AE10" s="275"/>
      <c r="AF10" s="270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169"/>
      <c r="AX10" s="169"/>
      <c r="AY10" s="169"/>
      <c r="AZ10" s="169"/>
      <c r="BA10" s="280" t="str">
        <f>C1 &amp; "-II"</f>
        <v>0.0-II</v>
      </c>
      <c r="BB10" s="169"/>
      <c r="BC10" s="169"/>
      <c r="BD10" s="278"/>
      <c r="BE10" s="278"/>
      <c r="BF10" s="278"/>
      <c r="BI10" s="212"/>
    </row>
    <row r="11" spans="1:61" s="114" customFormat="1" ht="12" hidden="1" customHeight="1">
      <c r="A11" s="287"/>
      <c r="B11" s="943"/>
      <c r="C11" s="947"/>
      <c r="D11" s="286"/>
      <c r="E11" s="282"/>
      <c r="F11" s="283" t="str">
        <f>F1 &amp; ".8"</f>
        <v>0.8</v>
      </c>
      <c r="G11" s="301" t="s">
        <v>144</v>
      </c>
      <c r="H11" s="274"/>
      <c r="I11" s="274"/>
      <c r="J11" s="274"/>
      <c r="K11" s="274"/>
      <c r="L11" s="275"/>
      <c r="M11" s="275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5"/>
      <c r="AC11" s="275"/>
      <c r="AD11" s="275"/>
      <c r="AE11" s="275"/>
      <c r="AF11" s="270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69"/>
      <c r="AT11" s="169"/>
      <c r="AU11" s="169"/>
      <c r="AV11" s="169"/>
      <c r="AW11" s="169"/>
      <c r="AX11" s="169"/>
      <c r="AY11" s="169"/>
      <c r="AZ11" s="169"/>
      <c r="BA11" s="280" t="str">
        <f>C1 &amp; "-II"</f>
        <v>0.0-II</v>
      </c>
      <c r="BB11" s="169"/>
      <c r="BC11" s="169"/>
      <c r="BD11" s="278"/>
      <c r="BE11" s="278"/>
      <c r="BF11" s="278"/>
      <c r="BI11" s="212"/>
    </row>
    <row r="12" spans="1:61" s="114" customFormat="1" ht="12" hidden="1" customHeight="1">
      <c r="A12" s="287"/>
      <c r="B12" s="943"/>
      <c r="C12" s="947"/>
      <c r="D12" s="286"/>
      <c r="E12" s="282"/>
      <c r="F12" s="283" t="str">
        <f>F1 &amp; ".9"</f>
        <v>0.9</v>
      </c>
      <c r="G12" s="301" t="s">
        <v>145</v>
      </c>
      <c r="H12" s="274"/>
      <c r="I12" s="274"/>
      <c r="J12" s="274"/>
      <c r="K12" s="274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0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69"/>
      <c r="AT12" s="169"/>
      <c r="AU12" s="169"/>
      <c r="AV12" s="169"/>
      <c r="AW12" s="169"/>
      <c r="AX12" s="169"/>
      <c r="AY12" s="169"/>
      <c r="AZ12" s="169"/>
      <c r="BA12" s="280" t="str">
        <f>C1 &amp; "-II"</f>
        <v>0.0-II</v>
      </c>
      <c r="BB12" s="169"/>
      <c r="BC12" s="169"/>
      <c r="BD12" s="278"/>
      <c r="BE12" s="278"/>
      <c r="BF12" s="278"/>
      <c r="BI12" s="212"/>
    </row>
    <row r="13" spans="1:61" s="114" customFormat="1" ht="12" hidden="1" customHeight="1">
      <c r="A13" s="287"/>
      <c r="B13" s="943"/>
      <c r="C13" s="947"/>
      <c r="D13" s="286"/>
      <c r="E13" s="282"/>
      <c r="F13" s="283" t="str">
        <f>F1 &amp; ".10"</f>
        <v>0.10</v>
      </c>
      <c r="G13" s="301" t="s">
        <v>146</v>
      </c>
      <c r="H13" s="274"/>
      <c r="I13" s="274"/>
      <c r="J13" s="274"/>
      <c r="K13" s="274"/>
      <c r="L13" s="275"/>
      <c r="M13" s="275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5"/>
      <c r="AC13" s="275"/>
      <c r="AD13" s="275"/>
      <c r="AE13" s="275"/>
      <c r="AF13" s="270"/>
      <c r="AG13" s="169"/>
      <c r="AH13" s="169"/>
      <c r="AI13" s="169"/>
      <c r="AJ13" s="169"/>
      <c r="AK13" s="169"/>
      <c r="AL13" s="169"/>
      <c r="AM13" s="169"/>
      <c r="AN13" s="169"/>
      <c r="AO13" s="169"/>
      <c r="AP13" s="169"/>
      <c r="AQ13" s="169"/>
      <c r="AR13" s="169"/>
      <c r="AS13" s="169"/>
      <c r="AT13" s="169"/>
      <c r="AU13" s="169"/>
      <c r="AV13" s="169"/>
      <c r="AW13" s="169"/>
      <c r="AX13" s="169"/>
      <c r="AY13" s="169"/>
      <c r="AZ13" s="169"/>
      <c r="BA13" s="280" t="str">
        <f>C1 &amp; "-II"</f>
        <v>0.0-II</v>
      </c>
      <c r="BB13" s="169"/>
      <c r="BC13" s="169"/>
      <c r="BD13" s="278"/>
      <c r="BE13" s="278"/>
      <c r="BF13" s="278"/>
      <c r="BI13" s="212"/>
    </row>
    <row r="14" spans="1:61" s="114" customFormat="1" ht="12" hidden="1" customHeight="1">
      <c r="A14" s="287"/>
      <c r="B14" s="943"/>
      <c r="C14" s="947"/>
      <c r="D14" s="286"/>
      <c r="E14" s="282"/>
      <c r="F14" s="283" t="str">
        <f>F1 &amp; ".11"</f>
        <v>0.11</v>
      </c>
      <c r="G14" s="301" t="s">
        <v>147</v>
      </c>
      <c r="H14" s="274"/>
      <c r="I14" s="274"/>
      <c r="J14" s="274"/>
      <c r="K14" s="274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5"/>
      <c r="AE14" s="275"/>
      <c r="AF14" s="270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69"/>
      <c r="AT14" s="169"/>
      <c r="AU14" s="169"/>
      <c r="AV14" s="169"/>
      <c r="AW14" s="169"/>
      <c r="AX14" s="169"/>
      <c r="AY14" s="169"/>
      <c r="AZ14" s="169"/>
      <c r="BA14" s="280" t="str">
        <f>C1 &amp; "-II"</f>
        <v>0.0-II</v>
      </c>
      <c r="BB14" s="169"/>
      <c r="BC14" s="169"/>
      <c r="BD14" s="278"/>
      <c r="BE14" s="278"/>
      <c r="BF14" s="278"/>
      <c r="BI14" s="212"/>
    </row>
    <row r="15" spans="1:61" s="114" customFormat="1" ht="12" hidden="1" customHeight="1">
      <c r="A15" s="287"/>
      <c r="B15" s="943"/>
      <c r="C15" s="948"/>
      <c r="D15" s="286"/>
      <c r="E15" s="282"/>
      <c r="F15" s="283" t="str">
        <f>F1 &amp; ".12"</f>
        <v>0.12</v>
      </c>
      <c r="G15" s="301" t="s">
        <v>148</v>
      </c>
      <c r="H15" s="274"/>
      <c r="I15" s="274"/>
      <c r="J15" s="274"/>
      <c r="K15" s="274"/>
      <c r="L15" s="275"/>
      <c r="M15" s="275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5"/>
      <c r="AC15" s="275"/>
      <c r="AD15" s="275"/>
      <c r="AE15" s="275"/>
      <c r="AF15" s="270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280" t="str">
        <f>C1 &amp; "-II"</f>
        <v>0.0-II</v>
      </c>
      <c r="BB15" s="169"/>
      <c r="BC15" s="169"/>
      <c r="BD15" s="278"/>
      <c r="BE15" s="278"/>
      <c r="BF15" s="278"/>
      <c r="BI15" s="212"/>
    </row>
    <row r="16" spans="1:61" s="114" customFormat="1" ht="0.75" hidden="1" customHeight="1">
      <c r="A16" s="287"/>
      <c r="B16" s="943"/>
      <c r="C16" s="946"/>
      <c r="D16" s="286"/>
      <c r="E16" s="282"/>
      <c r="F16" s="274"/>
      <c r="G16" s="274"/>
      <c r="H16" s="274"/>
      <c r="I16" s="274"/>
      <c r="J16" s="274"/>
      <c r="K16" s="274"/>
      <c r="L16" s="275"/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5"/>
      <c r="AC16" s="275"/>
      <c r="AD16" s="275"/>
      <c r="AE16" s="275"/>
      <c r="AF16" s="270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280"/>
      <c r="BB16" s="169"/>
      <c r="BC16" s="169"/>
      <c r="BD16" s="278"/>
      <c r="BE16" s="278"/>
      <c r="BF16" s="278"/>
      <c r="BI16" s="212"/>
    </row>
    <row r="17" spans="1:61" s="114" customFormat="1" ht="0.75" hidden="1" customHeight="1">
      <c r="A17" s="287"/>
      <c r="B17" s="943"/>
      <c r="C17" s="947"/>
      <c r="D17" s="286"/>
      <c r="E17" s="282"/>
      <c r="F17" s="274"/>
      <c r="G17" s="274"/>
      <c r="H17" s="274"/>
      <c r="I17" s="274"/>
      <c r="J17" s="274"/>
      <c r="K17" s="274"/>
      <c r="L17" s="275"/>
      <c r="M17" s="275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5"/>
      <c r="AC17" s="275"/>
      <c r="AD17" s="275"/>
      <c r="AE17" s="275"/>
      <c r="AF17" s="270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  <c r="AW17" s="169"/>
      <c r="AX17" s="169"/>
      <c r="AY17" s="169"/>
      <c r="AZ17" s="169"/>
      <c r="BA17" s="280"/>
      <c r="BB17" s="169"/>
      <c r="BC17" s="169"/>
      <c r="BD17" s="278"/>
      <c r="BE17" s="278"/>
      <c r="BF17" s="278"/>
      <c r="BI17" s="212"/>
    </row>
    <row r="18" spans="1:61" s="114" customFormat="1" ht="0.75" hidden="1" customHeight="1">
      <c r="A18" s="287"/>
      <c r="B18" s="943"/>
      <c r="C18" s="947"/>
      <c r="D18" s="286"/>
      <c r="E18" s="282"/>
      <c r="F18" s="274"/>
      <c r="G18" s="274"/>
      <c r="H18" s="274"/>
      <c r="I18" s="274"/>
      <c r="J18" s="274"/>
      <c r="K18" s="274"/>
      <c r="L18" s="275"/>
      <c r="M18" s="275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5"/>
      <c r="AC18" s="275"/>
      <c r="AD18" s="275"/>
      <c r="AE18" s="275"/>
      <c r="AF18" s="270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69"/>
      <c r="AT18" s="169"/>
      <c r="AU18" s="169"/>
      <c r="AV18" s="169"/>
      <c r="AW18" s="169"/>
      <c r="AX18" s="169"/>
      <c r="AY18" s="169"/>
      <c r="AZ18" s="169"/>
      <c r="BA18" s="280"/>
      <c r="BB18" s="169"/>
      <c r="BC18" s="169"/>
      <c r="BD18" s="278"/>
      <c r="BE18" s="278"/>
      <c r="BF18" s="278"/>
      <c r="BI18" s="212"/>
    </row>
    <row r="19" spans="1:61" s="114" customFormat="1" ht="0.75" hidden="1" customHeight="1">
      <c r="A19" s="287"/>
      <c r="B19" s="943"/>
      <c r="C19" s="947"/>
      <c r="D19" s="286"/>
      <c r="E19" s="282"/>
      <c r="F19" s="274"/>
      <c r="G19" s="274"/>
      <c r="H19" s="274"/>
      <c r="I19" s="274"/>
      <c r="J19" s="274"/>
      <c r="K19" s="274"/>
      <c r="L19" s="275"/>
      <c r="M19" s="275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5"/>
      <c r="AC19" s="275"/>
      <c r="AD19" s="275"/>
      <c r="AE19" s="275"/>
      <c r="AF19" s="270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280"/>
      <c r="BB19" s="169"/>
      <c r="BC19" s="169"/>
      <c r="BD19" s="278"/>
      <c r="BE19" s="278"/>
      <c r="BF19" s="278"/>
      <c r="BI19" s="212"/>
    </row>
    <row r="20" spans="1:61" s="114" customFormat="1" ht="0.75" hidden="1" customHeight="1">
      <c r="A20" s="287"/>
      <c r="B20" s="943"/>
      <c r="C20" s="947"/>
      <c r="D20" s="286"/>
      <c r="E20" s="282"/>
      <c r="F20" s="274"/>
      <c r="G20" s="274"/>
      <c r="H20" s="274"/>
      <c r="I20" s="274"/>
      <c r="J20" s="274"/>
      <c r="K20" s="274"/>
      <c r="L20" s="275"/>
      <c r="M20" s="275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5"/>
      <c r="AC20" s="275"/>
      <c r="AD20" s="275"/>
      <c r="AE20" s="275"/>
      <c r="AF20" s="270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280"/>
      <c r="BB20" s="169"/>
      <c r="BC20" s="169"/>
      <c r="BD20" s="278"/>
      <c r="BE20" s="278"/>
      <c r="BF20" s="278"/>
      <c r="BI20" s="212"/>
    </row>
    <row r="21" spans="1:61" s="114" customFormat="1" ht="0.75" hidden="1" customHeight="1">
      <c r="A21" s="287"/>
      <c r="B21" s="943"/>
      <c r="C21" s="947"/>
      <c r="D21" s="286"/>
      <c r="E21" s="282"/>
      <c r="F21" s="274"/>
      <c r="G21" s="274"/>
      <c r="H21" s="274"/>
      <c r="I21" s="274"/>
      <c r="J21" s="274"/>
      <c r="K21" s="274"/>
      <c r="L21" s="275"/>
      <c r="M21" s="275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5"/>
      <c r="AC21" s="275"/>
      <c r="AD21" s="275"/>
      <c r="AE21" s="275"/>
      <c r="AF21" s="270"/>
      <c r="AG21" s="169"/>
      <c r="AH21" s="169"/>
      <c r="AI21" s="169"/>
      <c r="AJ21" s="169"/>
      <c r="AK21" s="169"/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280"/>
      <c r="BB21" s="169"/>
      <c r="BC21" s="169"/>
      <c r="BD21" s="278"/>
      <c r="BE21" s="278"/>
      <c r="BF21" s="278"/>
      <c r="BI21" s="212"/>
    </row>
    <row r="22" spans="1:61" s="114" customFormat="1" ht="0.75" hidden="1" customHeight="1">
      <c r="A22" s="287"/>
      <c r="B22" s="943"/>
      <c r="C22" s="947"/>
      <c r="D22" s="286"/>
      <c r="E22" s="282"/>
      <c r="F22" s="274"/>
      <c r="G22" s="274"/>
      <c r="H22" s="274"/>
      <c r="I22" s="274"/>
      <c r="J22" s="274"/>
      <c r="K22" s="274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0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280"/>
      <c r="BB22" s="169"/>
      <c r="BC22" s="169"/>
      <c r="BD22" s="278"/>
      <c r="BE22" s="278"/>
      <c r="BF22" s="278"/>
      <c r="BI22" s="212"/>
    </row>
    <row r="23" spans="1:61" s="114" customFormat="1" ht="0.75" hidden="1" customHeight="1">
      <c r="A23" s="287"/>
      <c r="B23" s="943"/>
      <c r="C23" s="947"/>
      <c r="D23" s="286"/>
      <c r="E23" s="282"/>
      <c r="F23" s="274"/>
      <c r="G23" s="274"/>
      <c r="H23" s="274"/>
      <c r="I23" s="274"/>
      <c r="J23" s="274"/>
      <c r="K23" s="274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0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169"/>
      <c r="AV23" s="169"/>
      <c r="AW23" s="169"/>
      <c r="AX23" s="169"/>
      <c r="AY23" s="169"/>
      <c r="AZ23" s="169"/>
      <c r="BA23" s="280"/>
      <c r="BB23" s="169"/>
      <c r="BC23" s="169"/>
      <c r="BD23" s="278"/>
      <c r="BE23" s="278"/>
      <c r="BF23" s="278"/>
      <c r="BI23" s="212"/>
    </row>
    <row r="24" spans="1:61" s="114" customFormat="1" ht="0.75" hidden="1" customHeight="1">
      <c r="A24" s="287"/>
      <c r="B24" s="943"/>
      <c r="C24" s="947"/>
      <c r="D24" s="286"/>
      <c r="E24" s="282"/>
      <c r="F24" s="274"/>
      <c r="G24" s="274"/>
      <c r="H24" s="274"/>
      <c r="I24" s="274"/>
      <c r="J24" s="274"/>
      <c r="K24" s="274"/>
      <c r="L24" s="275"/>
      <c r="M24" s="275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5"/>
      <c r="AC24" s="275"/>
      <c r="AD24" s="275"/>
      <c r="AE24" s="275"/>
      <c r="AF24" s="270"/>
      <c r="AG24" s="169"/>
      <c r="AH24" s="169"/>
      <c r="AI24" s="169"/>
      <c r="AJ24" s="169"/>
      <c r="AK24" s="169"/>
      <c r="AL24" s="169"/>
      <c r="AM24" s="169"/>
      <c r="AN24" s="169"/>
      <c r="AO24" s="169"/>
      <c r="AP24" s="169"/>
      <c r="AQ24" s="169"/>
      <c r="AR24" s="169"/>
      <c r="AS24" s="169"/>
      <c r="AT24" s="169"/>
      <c r="AU24" s="169"/>
      <c r="AV24" s="169"/>
      <c r="AW24" s="169"/>
      <c r="AX24" s="169"/>
      <c r="AY24" s="169"/>
      <c r="AZ24" s="169"/>
      <c r="BA24" s="280"/>
      <c r="BB24" s="169"/>
      <c r="BC24" s="169"/>
      <c r="BD24" s="278"/>
      <c r="BE24" s="278"/>
      <c r="BF24" s="278"/>
      <c r="BI24" s="212"/>
    </row>
    <row r="25" spans="1:61" s="114" customFormat="1" ht="0.75" hidden="1" customHeight="1">
      <c r="A25" s="287"/>
      <c r="B25" s="943"/>
      <c r="C25" s="947"/>
      <c r="D25" s="286"/>
      <c r="E25" s="282"/>
      <c r="F25" s="274"/>
      <c r="G25" s="274"/>
      <c r="H25" s="274"/>
      <c r="I25" s="274"/>
      <c r="J25" s="274"/>
      <c r="K25" s="274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75"/>
      <c r="AE25" s="275"/>
      <c r="AF25" s="270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69"/>
      <c r="AT25" s="169"/>
      <c r="AU25" s="169"/>
      <c r="AV25" s="169"/>
      <c r="AW25" s="169"/>
      <c r="AX25" s="169"/>
      <c r="AY25" s="169"/>
      <c r="AZ25" s="169"/>
      <c r="BA25" s="280"/>
      <c r="BB25" s="169"/>
      <c r="BC25" s="169"/>
      <c r="BD25" s="278"/>
      <c r="BE25" s="278"/>
      <c r="BF25" s="278"/>
      <c r="BI25" s="212"/>
    </row>
    <row r="26" spans="1:61" s="114" customFormat="1" ht="0.75" hidden="1" customHeight="1">
      <c r="A26" s="287"/>
      <c r="B26" s="943"/>
      <c r="C26" s="947"/>
      <c r="D26" s="286"/>
      <c r="E26" s="282"/>
      <c r="F26" s="274"/>
      <c r="G26" s="274"/>
      <c r="H26" s="274"/>
      <c r="I26" s="274"/>
      <c r="J26" s="274"/>
      <c r="K26" s="274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0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69"/>
      <c r="AT26" s="169"/>
      <c r="AU26" s="169"/>
      <c r="AV26" s="169"/>
      <c r="AW26" s="169"/>
      <c r="AX26" s="169"/>
      <c r="AY26" s="169"/>
      <c r="AZ26" s="169"/>
      <c r="BA26" s="280"/>
      <c r="BB26" s="169"/>
      <c r="BC26" s="169"/>
      <c r="BD26" s="278"/>
      <c r="BE26" s="278"/>
      <c r="BF26" s="278"/>
      <c r="BI26" s="212"/>
    </row>
    <row r="27" spans="1:61" s="114" customFormat="1" ht="0.75" hidden="1" customHeight="1">
      <c r="A27" s="287"/>
      <c r="B27" s="943"/>
      <c r="C27" s="947"/>
      <c r="D27" s="286"/>
      <c r="E27" s="282"/>
      <c r="F27" s="274"/>
      <c r="G27" s="274"/>
      <c r="H27" s="274"/>
      <c r="I27" s="274"/>
      <c r="J27" s="274"/>
      <c r="K27" s="274"/>
      <c r="L27" s="275"/>
      <c r="M27" s="275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5"/>
      <c r="AC27" s="275"/>
      <c r="AD27" s="275"/>
      <c r="AE27" s="275"/>
      <c r="AF27" s="270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69"/>
      <c r="AT27" s="169"/>
      <c r="AU27" s="169"/>
      <c r="AV27" s="169"/>
      <c r="AW27" s="169"/>
      <c r="AX27" s="169"/>
      <c r="AY27" s="169"/>
      <c r="AZ27" s="169"/>
      <c r="BA27" s="280"/>
      <c r="BB27" s="169"/>
      <c r="BC27" s="169"/>
      <c r="BD27" s="278"/>
      <c r="BE27" s="278"/>
      <c r="BF27" s="278"/>
      <c r="BI27" s="212"/>
    </row>
    <row r="28" spans="1:61" s="114" customFormat="1" ht="0.75" hidden="1" customHeight="1">
      <c r="A28" s="287"/>
      <c r="B28" s="1022"/>
      <c r="C28" s="1023"/>
      <c r="D28" s="398"/>
      <c r="E28" s="282"/>
      <c r="F28" s="274"/>
      <c r="G28" s="274"/>
      <c r="H28" s="274"/>
      <c r="I28" s="274"/>
      <c r="J28" s="274"/>
      <c r="K28" s="274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0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69"/>
      <c r="AT28" s="169"/>
      <c r="AU28" s="169"/>
      <c r="AV28" s="169"/>
      <c r="AW28" s="169"/>
      <c r="AX28" s="169"/>
      <c r="AY28" s="169"/>
      <c r="AZ28" s="169"/>
      <c r="BA28" s="280"/>
      <c r="BB28" s="169"/>
      <c r="BC28" s="169"/>
      <c r="BD28" s="278"/>
      <c r="BE28" s="278"/>
      <c r="BF28" s="278"/>
      <c r="BI28" s="212"/>
    </row>
    <row r="29" spans="1:61" s="114" customFormat="1" ht="24" hidden="1" customHeight="1">
      <c r="A29" s="287" t="s">
        <v>403</v>
      </c>
      <c r="B29" s="942"/>
      <c r="C29" s="288" t="str">
        <f>F31</f>
        <v>0.0</v>
      </c>
      <c r="D29" s="396" t="s">
        <v>112</v>
      </c>
      <c r="E29" s="289"/>
      <c r="F29" s="938">
        <f>B29</f>
        <v>0</v>
      </c>
      <c r="G29" s="945"/>
      <c r="H29" s="290">
        <f>H31</f>
        <v>0</v>
      </c>
      <c r="I29" s="290">
        <f>I31</f>
        <v>0</v>
      </c>
      <c r="J29" s="599" t="str">
        <f>A29</f>
        <v>TBD</v>
      </c>
      <c r="K29" s="290">
        <f>K31</f>
        <v>0</v>
      </c>
      <c r="L29" s="290">
        <f>L31</f>
        <v>0</v>
      </c>
      <c r="M29" s="290">
        <f>M31</f>
        <v>0</v>
      </c>
      <c r="N29" s="290">
        <f>N31</f>
        <v>0</v>
      </c>
      <c r="O29" s="290">
        <f t="shared" ref="O29:V29" si="0">O31</f>
        <v>0</v>
      </c>
      <c r="P29" s="290">
        <f t="shared" si="0"/>
        <v>0</v>
      </c>
      <c r="Q29" s="290">
        <f t="shared" si="0"/>
        <v>0</v>
      </c>
      <c r="R29" s="290">
        <f t="shared" si="0"/>
        <v>0</v>
      </c>
      <c r="S29" s="290">
        <f t="shared" si="0"/>
        <v>0</v>
      </c>
      <c r="T29" s="290">
        <f t="shared" si="0"/>
        <v>0</v>
      </c>
      <c r="U29" s="290">
        <f t="shared" si="0"/>
        <v>0</v>
      </c>
      <c r="V29" s="290">
        <f t="shared" si="0"/>
        <v>0</v>
      </c>
      <c r="W29" s="290">
        <f>W31</f>
        <v>0</v>
      </c>
      <c r="X29" s="290">
        <f t="shared" ref="X29:AF29" si="1">X31</f>
        <v>0</v>
      </c>
      <c r="Y29" s="290">
        <f t="shared" si="1"/>
        <v>0</v>
      </c>
      <c r="Z29" s="290">
        <f t="shared" si="1"/>
        <v>0</v>
      </c>
      <c r="AA29" s="290">
        <f t="shared" si="1"/>
        <v>0</v>
      </c>
      <c r="AB29" s="290">
        <f t="shared" si="1"/>
        <v>0</v>
      </c>
      <c r="AC29" s="290">
        <f t="shared" si="1"/>
        <v>0</v>
      </c>
      <c r="AD29" s="290">
        <f t="shared" si="1"/>
        <v>0</v>
      </c>
      <c r="AE29" s="290">
        <f t="shared" si="1"/>
        <v>0</v>
      </c>
      <c r="AF29" s="240">
        <f t="shared" si="1"/>
        <v>0</v>
      </c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69"/>
      <c r="AT29" s="169"/>
      <c r="AU29" s="169"/>
      <c r="AV29" s="169"/>
      <c r="AW29" s="169"/>
      <c r="AX29" s="169"/>
      <c r="AY29" s="169"/>
      <c r="AZ29" s="169"/>
      <c r="BA29" s="277" t="s">
        <v>765</v>
      </c>
      <c r="BB29" s="169"/>
      <c r="BC29" s="169"/>
      <c r="BD29" s="388"/>
      <c r="BE29" s="388"/>
      <c r="BF29" s="278"/>
    </row>
    <row r="30" spans="1:61" s="114" customFormat="1" ht="0.75" hidden="1" customHeight="1">
      <c r="A30" s="287"/>
      <c r="B30" s="943"/>
      <c r="C30" s="288"/>
      <c r="D30" s="397"/>
      <c r="E30" s="289"/>
      <c r="F30" s="939"/>
      <c r="G30" s="941"/>
      <c r="H30" s="274"/>
      <c r="I30" s="274"/>
      <c r="J30" s="275"/>
      <c r="K30" s="274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275"/>
      <c r="AC30" s="275"/>
      <c r="AD30" s="275"/>
      <c r="AE30" s="275"/>
      <c r="AF30" s="336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69"/>
      <c r="AT30" s="169"/>
      <c r="AU30" s="169"/>
      <c r="AV30" s="169"/>
      <c r="AW30" s="169"/>
      <c r="AX30" s="169"/>
      <c r="AY30" s="169"/>
      <c r="AZ30" s="169"/>
      <c r="BA30" s="280"/>
      <c r="BB30" s="169"/>
      <c r="BC30" s="169"/>
      <c r="BD30" s="388"/>
      <c r="BE30" s="388"/>
      <c r="BF30" s="278"/>
    </row>
    <row r="31" spans="1:61" s="114" customFormat="1" ht="12" hidden="1" customHeight="1">
      <c r="A31" s="287"/>
      <c r="B31" s="943"/>
      <c r="C31" s="946"/>
      <c r="D31" s="286"/>
      <c r="E31" s="282"/>
      <c r="F31" s="283" t="str">
        <f>F29 &amp; ".0"</f>
        <v>0.0</v>
      </c>
      <c r="G31" s="301" t="s">
        <v>136</v>
      </c>
      <c r="H31" s="749">
        <f>SUMIF('Список объектов'!$R$15:$R$19,$F31,'Список объектов'!$S$15:$S$19)</f>
        <v>0</v>
      </c>
      <c r="I31" s="292">
        <f>SUMIF('Список объектов'!$R$15:$R$19,$F31,'Список объектов'!$T$15:$T$19)</f>
        <v>0</v>
      </c>
      <c r="J31" s="392" t="str">
        <f>J29</f>
        <v>TBD</v>
      </c>
      <c r="K31" s="293">
        <f>L31+M31</f>
        <v>0</v>
      </c>
      <c r="L31" s="293">
        <f>SUM(L32:L43)</f>
        <v>0</v>
      </c>
      <c r="M31" s="293">
        <f>SUM(M32:M43)</f>
        <v>0</v>
      </c>
      <c r="N31" s="293">
        <f>SUM(N32:N43)</f>
        <v>0</v>
      </c>
      <c r="O31" s="293">
        <f t="shared" ref="O31:V31" si="2">SUM(O32:O43)</f>
        <v>0</v>
      </c>
      <c r="P31" s="293">
        <f t="shared" si="2"/>
        <v>0</v>
      </c>
      <c r="Q31" s="293">
        <f t="shared" si="2"/>
        <v>0</v>
      </c>
      <c r="R31" s="293">
        <f t="shared" si="2"/>
        <v>0</v>
      </c>
      <c r="S31" s="293">
        <f t="shared" si="2"/>
        <v>0</v>
      </c>
      <c r="T31" s="293">
        <f t="shared" si="2"/>
        <v>0</v>
      </c>
      <c r="U31" s="293">
        <f t="shared" si="2"/>
        <v>0</v>
      </c>
      <c r="V31" s="293">
        <f t="shared" si="2"/>
        <v>0</v>
      </c>
      <c r="W31" s="293">
        <f>SUM(W32:W43)</f>
        <v>0</v>
      </c>
      <c r="X31" s="293">
        <f>SUM(X32:X43)</f>
        <v>0</v>
      </c>
      <c r="Y31" s="293">
        <f>SUM(Y32:Y43)</f>
        <v>0</v>
      </c>
      <c r="Z31" s="292"/>
      <c r="AA31" s="292"/>
      <c r="AB31" s="292"/>
      <c r="AC31" s="293">
        <f>AD31+AE31</f>
        <v>0</v>
      </c>
      <c r="AD31" s="292"/>
      <c r="AE31" s="292"/>
      <c r="AF31" s="269"/>
      <c r="AG31" s="169"/>
      <c r="AH31" s="169"/>
      <c r="AI31" s="169"/>
      <c r="AJ31" s="169"/>
      <c r="AK31" s="169"/>
      <c r="AL31" s="169"/>
      <c r="AM31" s="169"/>
      <c r="AN31" s="169"/>
      <c r="AO31" s="169"/>
      <c r="AP31" s="169"/>
      <c r="AQ31" s="169"/>
      <c r="AR31" s="169"/>
      <c r="AS31" s="169"/>
      <c r="AT31" s="169"/>
      <c r="AU31" s="169"/>
      <c r="AV31" s="393">
        <f>IF(K31=0,0,L31/K31*100)</f>
        <v>0</v>
      </c>
      <c r="AW31" s="169"/>
      <c r="AX31" s="169"/>
      <c r="AY31" s="169"/>
      <c r="AZ31" s="169"/>
      <c r="BA31" s="277" t="s">
        <v>21</v>
      </c>
      <c r="BB31" s="169"/>
      <c r="BC31" s="169"/>
      <c r="BD31" s="388"/>
      <c r="BE31" s="388"/>
      <c r="BF31" s="278"/>
    </row>
    <row r="32" spans="1:61" s="114" customFormat="1" ht="12" hidden="1" customHeight="1">
      <c r="A32" s="287"/>
      <c r="B32" s="943"/>
      <c r="C32" s="947"/>
      <c r="D32" s="286"/>
      <c r="E32" s="282"/>
      <c r="F32" s="283" t="str">
        <f>F29 &amp; ".1"</f>
        <v>0.1</v>
      </c>
      <c r="G32" s="301" t="s">
        <v>137</v>
      </c>
      <c r="H32" s="275"/>
      <c r="I32" s="275"/>
      <c r="J32" s="602" t="str">
        <f ca="1">IF(OFFSET('Список территорий'!CJ$15,$F29,0)="a","Y","N")</f>
        <v>N</v>
      </c>
      <c r="K32" s="293">
        <f t="shared" ref="K32:K43" si="3">L32+M32</f>
        <v>0</v>
      </c>
      <c r="L32" s="292"/>
      <c r="M32" s="293">
        <f>SUM(N32,Q32,T32,W32)</f>
        <v>0</v>
      </c>
      <c r="N32" s="293">
        <f>SUM(O32,P32,)</f>
        <v>0</v>
      </c>
      <c r="O32" s="292"/>
      <c r="P32" s="292"/>
      <c r="Q32" s="293">
        <f>SUM(R32,S32,)</f>
        <v>0</v>
      </c>
      <c r="R32" s="292"/>
      <c r="S32" s="292"/>
      <c r="T32" s="293">
        <f>SUM(U32,V32,)</f>
        <v>0</v>
      </c>
      <c r="U32" s="292"/>
      <c r="V32" s="292"/>
      <c r="W32" s="293">
        <f>SUM(X32,Y32,)</f>
        <v>0</v>
      </c>
      <c r="X32" s="292"/>
      <c r="Y32" s="292"/>
      <c r="Z32" s="275"/>
      <c r="AA32" s="275"/>
      <c r="AB32" s="275"/>
      <c r="AC32" s="275"/>
      <c r="AD32" s="275"/>
      <c r="AE32" s="275"/>
      <c r="AF32" s="270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69"/>
      <c r="AT32" s="169"/>
      <c r="AU32" s="169"/>
      <c r="AV32" s="169"/>
      <c r="AW32" s="169"/>
      <c r="AX32" s="169"/>
      <c r="AY32" s="169"/>
      <c r="AZ32" s="169"/>
      <c r="BA32" s="280" t="str">
        <f>C29 &amp; "-I"</f>
        <v>0.0-I</v>
      </c>
      <c r="BB32" s="169"/>
      <c r="BC32" s="169"/>
      <c r="BD32" s="388"/>
      <c r="BE32" s="388"/>
      <c r="BF32" s="278"/>
    </row>
    <row r="33" spans="1:61" s="114" customFormat="1" ht="12" hidden="1" customHeight="1">
      <c r="A33" s="287"/>
      <c r="B33" s="943"/>
      <c r="C33" s="947"/>
      <c r="D33" s="286"/>
      <c r="E33" s="282"/>
      <c r="F33" s="283" t="str">
        <f>F29 &amp; ".2"</f>
        <v>0.2</v>
      </c>
      <c r="G33" s="301" t="s">
        <v>138</v>
      </c>
      <c r="H33" s="275"/>
      <c r="I33" s="275"/>
      <c r="J33" s="602" t="str">
        <f ca="1">IF(OFFSET('Список территорий'!CK$15,$F29,0)="a","Y","N")</f>
        <v>N</v>
      </c>
      <c r="K33" s="293">
        <f t="shared" si="3"/>
        <v>0</v>
      </c>
      <c r="L33" s="292"/>
      <c r="M33" s="293">
        <f t="shared" ref="M33:M43" si="4">SUM(N33,Q33,T33,W33)</f>
        <v>0</v>
      </c>
      <c r="N33" s="293">
        <f t="shared" ref="N33:N43" si="5">SUM(O33,P33,)</f>
        <v>0</v>
      </c>
      <c r="O33" s="292"/>
      <c r="P33" s="292"/>
      <c r="Q33" s="293">
        <f t="shared" ref="Q33:Q43" si="6">SUM(R33,S33,)</f>
        <v>0</v>
      </c>
      <c r="R33" s="292"/>
      <c r="S33" s="292"/>
      <c r="T33" s="293">
        <f t="shared" ref="T33:T43" si="7">SUM(U33,V33,)</f>
        <v>0</v>
      </c>
      <c r="U33" s="292"/>
      <c r="V33" s="292"/>
      <c r="W33" s="293">
        <f t="shared" ref="W33:W43" si="8">SUM(X33,Y33,)</f>
        <v>0</v>
      </c>
      <c r="X33" s="292"/>
      <c r="Y33" s="292"/>
      <c r="Z33" s="275"/>
      <c r="AA33" s="275"/>
      <c r="AB33" s="275"/>
      <c r="AC33" s="275"/>
      <c r="AD33" s="275"/>
      <c r="AE33" s="275"/>
      <c r="AF33" s="270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69"/>
      <c r="AT33" s="169"/>
      <c r="AU33" s="169"/>
      <c r="AV33" s="169"/>
      <c r="AW33" s="169"/>
      <c r="AX33" s="169"/>
      <c r="AY33" s="169"/>
      <c r="AZ33" s="169"/>
      <c r="BA33" s="280" t="str">
        <f>C29 &amp; "-I"</f>
        <v>0.0-I</v>
      </c>
      <c r="BB33" s="169"/>
      <c r="BC33" s="169"/>
      <c r="BD33" s="388"/>
      <c r="BE33" s="388"/>
      <c r="BF33" s="278"/>
    </row>
    <row r="34" spans="1:61" s="114" customFormat="1" ht="12" hidden="1" customHeight="1">
      <c r="A34" s="287"/>
      <c r="B34" s="943"/>
      <c r="C34" s="947"/>
      <c r="D34" s="286"/>
      <c r="E34" s="282"/>
      <c r="F34" s="283" t="str">
        <f>F29 &amp; ".3"</f>
        <v>0.3</v>
      </c>
      <c r="G34" s="301" t="s">
        <v>139</v>
      </c>
      <c r="H34" s="275"/>
      <c r="I34" s="275"/>
      <c r="J34" s="602" t="str">
        <f ca="1">IF(OFFSET('Список территорий'!CL$15,$F29,0)="a","Y","N")</f>
        <v>N</v>
      </c>
      <c r="K34" s="293">
        <f t="shared" si="3"/>
        <v>0</v>
      </c>
      <c r="L34" s="292"/>
      <c r="M34" s="293">
        <f t="shared" si="4"/>
        <v>0</v>
      </c>
      <c r="N34" s="293">
        <f t="shared" si="5"/>
        <v>0</v>
      </c>
      <c r="O34" s="292"/>
      <c r="P34" s="292"/>
      <c r="Q34" s="293">
        <f t="shared" si="6"/>
        <v>0</v>
      </c>
      <c r="R34" s="292"/>
      <c r="S34" s="292"/>
      <c r="T34" s="293">
        <f t="shared" si="7"/>
        <v>0</v>
      </c>
      <c r="U34" s="292"/>
      <c r="V34" s="292"/>
      <c r="W34" s="293">
        <f t="shared" si="8"/>
        <v>0</v>
      </c>
      <c r="X34" s="292"/>
      <c r="Y34" s="292"/>
      <c r="Z34" s="275"/>
      <c r="AA34" s="275"/>
      <c r="AB34" s="275"/>
      <c r="AC34" s="275"/>
      <c r="AD34" s="275"/>
      <c r="AE34" s="275"/>
      <c r="AF34" s="270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69"/>
      <c r="AT34" s="169"/>
      <c r="AU34" s="169"/>
      <c r="AV34" s="169"/>
      <c r="AW34" s="169"/>
      <c r="AX34" s="169"/>
      <c r="AY34" s="169"/>
      <c r="AZ34" s="169"/>
      <c r="BA34" s="280" t="str">
        <f>C29 &amp; "-I"</f>
        <v>0.0-I</v>
      </c>
      <c r="BB34" s="169"/>
      <c r="BC34" s="169"/>
      <c r="BD34" s="388"/>
      <c r="BE34" s="388"/>
      <c r="BF34" s="278"/>
    </row>
    <row r="35" spans="1:61" s="114" customFormat="1" ht="12" hidden="1" customHeight="1">
      <c r="A35" s="287"/>
      <c r="B35" s="943"/>
      <c r="C35" s="947"/>
      <c r="D35" s="286"/>
      <c r="E35" s="282"/>
      <c r="F35" s="283" t="str">
        <f>F29 &amp; ".4"</f>
        <v>0.4</v>
      </c>
      <c r="G35" s="301" t="s">
        <v>140</v>
      </c>
      <c r="H35" s="275"/>
      <c r="I35" s="275"/>
      <c r="J35" s="602" t="str">
        <f ca="1">IF(OFFSET('Список территорий'!CM$15,$F29,0)="a","Y","N")</f>
        <v>N</v>
      </c>
      <c r="K35" s="293">
        <f t="shared" si="3"/>
        <v>0</v>
      </c>
      <c r="L35" s="292"/>
      <c r="M35" s="293">
        <f t="shared" si="4"/>
        <v>0</v>
      </c>
      <c r="N35" s="293">
        <f t="shared" si="5"/>
        <v>0</v>
      </c>
      <c r="O35" s="292"/>
      <c r="P35" s="292"/>
      <c r="Q35" s="293">
        <f t="shared" si="6"/>
        <v>0</v>
      </c>
      <c r="R35" s="292"/>
      <c r="S35" s="292"/>
      <c r="T35" s="293">
        <f t="shared" si="7"/>
        <v>0</v>
      </c>
      <c r="U35" s="292"/>
      <c r="V35" s="292"/>
      <c r="W35" s="293">
        <f t="shared" si="8"/>
        <v>0</v>
      </c>
      <c r="X35" s="292"/>
      <c r="Y35" s="292"/>
      <c r="Z35" s="275"/>
      <c r="AA35" s="275"/>
      <c r="AB35" s="275"/>
      <c r="AC35" s="275"/>
      <c r="AD35" s="275"/>
      <c r="AE35" s="275"/>
      <c r="AF35" s="270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69"/>
      <c r="AT35" s="169"/>
      <c r="AU35" s="169"/>
      <c r="AV35" s="169"/>
      <c r="AW35" s="169"/>
      <c r="AX35" s="169"/>
      <c r="AY35" s="169"/>
      <c r="AZ35" s="169"/>
      <c r="BA35" s="280" t="str">
        <f>C29 &amp; "-I"</f>
        <v>0.0-I</v>
      </c>
      <c r="BB35" s="169"/>
      <c r="BC35" s="169"/>
      <c r="BD35" s="388"/>
      <c r="BE35" s="388"/>
      <c r="BF35" s="278"/>
    </row>
    <row r="36" spans="1:61" s="114" customFormat="1" ht="12" hidden="1" customHeight="1">
      <c r="A36" s="287"/>
      <c r="B36" s="943"/>
      <c r="C36" s="947"/>
      <c r="D36" s="286"/>
      <c r="E36" s="282"/>
      <c r="F36" s="283" t="str">
        <f>F29 &amp; ".5"</f>
        <v>0.5</v>
      </c>
      <c r="G36" s="301" t="s">
        <v>141</v>
      </c>
      <c r="H36" s="275"/>
      <c r="I36" s="275"/>
      <c r="J36" s="602" t="str">
        <f ca="1">IF(OFFSET('Список территорий'!CN$15,$F29,0)="a","Y","N")</f>
        <v>N</v>
      </c>
      <c r="K36" s="293">
        <f t="shared" si="3"/>
        <v>0</v>
      </c>
      <c r="L36" s="292"/>
      <c r="M36" s="293">
        <f t="shared" si="4"/>
        <v>0</v>
      </c>
      <c r="N36" s="293">
        <f t="shared" si="5"/>
        <v>0</v>
      </c>
      <c r="O36" s="292"/>
      <c r="P36" s="292"/>
      <c r="Q36" s="293">
        <f t="shared" si="6"/>
        <v>0</v>
      </c>
      <c r="R36" s="292"/>
      <c r="S36" s="292"/>
      <c r="T36" s="293">
        <f t="shared" si="7"/>
        <v>0</v>
      </c>
      <c r="U36" s="292"/>
      <c r="V36" s="292"/>
      <c r="W36" s="293">
        <f t="shared" si="8"/>
        <v>0</v>
      </c>
      <c r="X36" s="292"/>
      <c r="Y36" s="292"/>
      <c r="Z36" s="275"/>
      <c r="AA36" s="275"/>
      <c r="AB36" s="275"/>
      <c r="AC36" s="275"/>
      <c r="AD36" s="275"/>
      <c r="AE36" s="275"/>
      <c r="AF36" s="270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280" t="str">
        <f>C29 &amp; "-I"</f>
        <v>0.0-I</v>
      </c>
      <c r="BB36" s="169"/>
      <c r="BC36" s="169"/>
      <c r="BD36" s="388"/>
      <c r="BE36" s="388"/>
      <c r="BF36" s="278"/>
    </row>
    <row r="37" spans="1:61" s="114" customFormat="1" ht="12" hidden="1" customHeight="1">
      <c r="A37" s="287"/>
      <c r="B37" s="943"/>
      <c r="C37" s="947"/>
      <c r="D37" s="286"/>
      <c r="E37" s="282"/>
      <c r="F37" s="283" t="str">
        <f>F29 &amp; ".6"</f>
        <v>0.6</v>
      </c>
      <c r="G37" s="301" t="s">
        <v>142</v>
      </c>
      <c r="H37" s="275"/>
      <c r="I37" s="275"/>
      <c r="J37" s="602" t="str">
        <f ca="1">IF(OFFSET('Список территорий'!CO$15,$F29,0)="a","Y","N")</f>
        <v>N</v>
      </c>
      <c r="K37" s="293">
        <f t="shared" si="3"/>
        <v>0</v>
      </c>
      <c r="L37" s="292"/>
      <c r="M37" s="293">
        <f t="shared" si="4"/>
        <v>0</v>
      </c>
      <c r="N37" s="293">
        <f t="shared" si="5"/>
        <v>0</v>
      </c>
      <c r="O37" s="292"/>
      <c r="P37" s="292"/>
      <c r="Q37" s="293">
        <f t="shared" si="6"/>
        <v>0</v>
      </c>
      <c r="R37" s="292"/>
      <c r="S37" s="292"/>
      <c r="T37" s="293">
        <f t="shared" si="7"/>
        <v>0</v>
      </c>
      <c r="U37" s="292"/>
      <c r="V37" s="292"/>
      <c r="W37" s="293">
        <f t="shared" si="8"/>
        <v>0</v>
      </c>
      <c r="X37" s="292"/>
      <c r="Y37" s="292"/>
      <c r="Z37" s="275"/>
      <c r="AA37" s="275"/>
      <c r="AB37" s="275"/>
      <c r="AC37" s="275"/>
      <c r="AD37" s="275"/>
      <c r="AE37" s="275"/>
      <c r="AF37" s="270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69"/>
      <c r="AT37" s="169"/>
      <c r="AU37" s="169"/>
      <c r="AV37" s="169"/>
      <c r="AW37" s="169"/>
      <c r="AX37" s="169"/>
      <c r="AY37" s="169"/>
      <c r="AZ37" s="169"/>
      <c r="BA37" s="280" t="str">
        <f>C29 &amp; "-I"</f>
        <v>0.0-I</v>
      </c>
      <c r="BB37" s="169"/>
      <c r="BC37" s="169"/>
      <c r="BD37" s="388"/>
      <c r="BE37" s="388"/>
      <c r="BF37" s="278"/>
    </row>
    <row r="38" spans="1:61" s="114" customFormat="1" ht="12" hidden="1" customHeight="1">
      <c r="A38" s="287"/>
      <c r="B38" s="943"/>
      <c r="C38" s="947"/>
      <c r="D38" s="286"/>
      <c r="E38" s="282"/>
      <c r="F38" s="283" t="str">
        <f>F29 &amp; ".7"</f>
        <v>0.7</v>
      </c>
      <c r="G38" s="301" t="s">
        <v>143</v>
      </c>
      <c r="H38" s="275"/>
      <c r="I38" s="275"/>
      <c r="J38" s="602" t="str">
        <f ca="1">IF(OFFSET('Список территорий'!CP$15,$F29,0)="a","Y","N")</f>
        <v>N</v>
      </c>
      <c r="K38" s="293">
        <f t="shared" si="3"/>
        <v>0</v>
      </c>
      <c r="L38" s="292"/>
      <c r="M38" s="293">
        <f t="shared" si="4"/>
        <v>0</v>
      </c>
      <c r="N38" s="293">
        <f t="shared" si="5"/>
        <v>0</v>
      </c>
      <c r="O38" s="292"/>
      <c r="P38" s="292"/>
      <c r="Q38" s="293">
        <f t="shared" si="6"/>
        <v>0</v>
      </c>
      <c r="R38" s="292"/>
      <c r="S38" s="292"/>
      <c r="T38" s="293">
        <f t="shared" si="7"/>
        <v>0</v>
      </c>
      <c r="U38" s="292"/>
      <c r="V38" s="292"/>
      <c r="W38" s="293">
        <f t="shared" si="8"/>
        <v>0</v>
      </c>
      <c r="X38" s="292"/>
      <c r="Y38" s="292"/>
      <c r="Z38" s="275"/>
      <c r="AA38" s="275"/>
      <c r="AB38" s="275"/>
      <c r="AC38" s="275"/>
      <c r="AD38" s="275"/>
      <c r="AE38" s="275"/>
      <c r="AF38" s="270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69"/>
      <c r="AT38" s="169"/>
      <c r="AU38" s="169"/>
      <c r="AV38" s="169"/>
      <c r="AW38" s="169"/>
      <c r="AX38" s="169"/>
      <c r="AY38" s="169"/>
      <c r="AZ38" s="169"/>
      <c r="BA38" s="280" t="str">
        <f>C29 &amp; "-II"</f>
        <v>0.0-II</v>
      </c>
      <c r="BB38" s="169"/>
      <c r="BC38" s="169"/>
      <c r="BD38" s="388"/>
      <c r="BE38" s="388"/>
      <c r="BF38" s="278"/>
    </row>
    <row r="39" spans="1:61" s="114" customFormat="1" ht="12" hidden="1" customHeight="1">
      <c r="A39" s="287"/>
      <c r="B39" s="943"/>
      <c r="C39" s="947"/>
      <c r="D39" s="286"/>
      <c r="E39" s="282"/>
      <c r="F39" s="283" t="str">
        <f>F29 &amp; ".8"</f>
        <v>0.8</v>
      </c>
      <c r="G39" s="301" t="s">
        <v>144</v>
      </c>
      <c r="H39" s="275"/>
      <c r="I39" s="275"/>
      <c r="J39" s="602" t="str">
        <f ca="1">IF(OFFSET('Список территорий'!CQ$15,$F29,0)="a","Y","N")</f>
        <v>N</v>
      </c>
      <c r="K39" s="293">
        <f t="shared" si="3"/>
        <v>0</v>
      </c>
      <c r="L39" s="292"/>
      <c r="M39" s="293">
        <f t="shared" si="4"/>
        <v>0</v>
      </c>
      <c r="N39" s="293">
        <f t="shared" si="5"/>
        <v>0</v>
      </c>
      <c r="O39" s="292"/>
      <c r="P39" s="292"/>
      <c r="Q39" s="293">
        <f t="shared" si="6"/>
        <v>0</v>
      </c>
      <c r="R39" s="292"/>
      <c r="S39" s="292"/>
      <c r="T39" s="293">
        <f t="shared" si="7"/>
        <v>0</v>
      </c>
      <c r="U39" s="292"/>
      <c r="V39" s="292"/>
      <c r="W39" s="293">
        <f t="shared" si="8"/>
        <v>0</v>
      </c>
      <c r="X39" s="292"/>
      <c r="Y39" s="292"/>
      <c r="Z39" s="275"/>
      <c r="AA39" s="275"/>
      <c r="AB39" s="275"/>
      <c r="AC39" s="275"/>
      <c r="AD39" s="275"/>
      <c r="AE39" s="275"/>
      <c r="AF39" s="270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69"/>
      <c r="AT39" s="169"/>
      <c r="AU39" s="169"/>
      <c r="AV39" s="169"/>
      <c r="AW39" s="169"/>
      <c r="AX39" s="169"/>
      <c r="AY39" s="169"/>
      <c r="AZ39" s="169"/>
      <c r="BA39" s="280" t="str">
        <f>C29 &amp; "-II"</f>
        <v>0.0-II</v>
      </c>
      <c r="BB39" s="169"/>
      <c r="BC39" s="169"/>
      <c r="BD39" s="388"/>
      <c r="BE39" s="388"/>
      <c r="BF39" s="278"/>
    </row>
    <row r="40" spans="1:61" s="114" customFormat="1" ht="12" hidden="1" customHeight="1">
      <c r="A40" s="287"/>
      <c r="B40" s="943"/>
      <c r="C40" s="947"/>
      <c r="D40" s="286"/>
      <c r="E40" s="282"/>
      <c r="F40" s="283" t="str">
        <f>F29 &amp; ".9"</f>
        <v>0.9</v>
      </c>
      <c r="G40" s="301" t="s">
        <v>145</v>
      </c>
      <c r="H40" s="275"/>
      <c r="I40" s="275"/>
      <c r="J40" s="602" t="str">
        <f ca="1">IF(OFFSET('Список территорий'!CR$15,$F29,0)="a","Y","N")</f>
        <v>N</v>
      </c>
      <c r="K40" s="293">
        <f t="shared" si="3"/>
        <v>0</v>
      </c>
      <c r="L40" s="292"/>
      <c r="M40" s="293">
        <f t="shared" si="4"/>
        <v>0</v>
      </c>
      <c r="N40" s="293">
        <f t="shared" si="5"/>
        <v>0</v>
      </c>
      <c r="O40" s="292"/>
      <c r="P40" s="292"/>
      <c r="Q40" s="293">
        <f t="shared" si="6"/>
        <v>0</v>
      </c>
      <c r="R40" s="292"/>
      <c r="S40" s="292"/>
      <c r="T40" s="293">
        <f t="shared" si="7"/>
        <v>0</v>
      </c>
      <c r="U40" s="292"/>
      <c r="V40" s="292"/>
      <c r="W40" s="293">
        <f t="shared" si="8"/>
        <v>0</v>
      </c>
      <c r="X40" s="292"/>
      <c r="Y40" s="292"/>
      <c r="Z40" s="275"/>
      <c r="AA40" s="275"/>
      <c r="AB40" s="275"/>
      <c r="AC40" s="275"/>
      <c r="AD40" s="275"/>
      <c r="AE40" s="275"/>
      <c r="AF40" s="270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69"/>
      <c r="AT40" s="169"/>
      <c r="AU40" s="169"/>
      <c r="AV40" s="169"/>
      <c r="AW40" s="169"/>
      <c r="AX40" s="169"/>
      <c r="AY40" s="169"/>
      <c r="AZ40" s="169"/>
      <c r="BA40" s="280" t="str">
        <f>C29 &amp; "-II"</f>
        <v>0.0-II</v>
      </c>
      <c r="BB40" s="169"/>
      <c r="BC40" s="169"/>
      <c r="BD40" s="388"/>
      <c r="BE40" s="388"/>
      <c r="BF40" s="278"/>
    </row>
    <row r="41" spans="1:61" s="114" customFormat="1" ht="12" hidden="1" customHeight="1">
      <c r="A41" s="287"/>
      <c r="B41" s="943"/>
      <c r="C41" s="947"/>
      <c r="D41" s="286"/>
      <c r="E41" s="282"/>
      <c r="F41" s="283" t="str">
        <f>F29 &amp; ".10"</f>
        <v>0.10</v>
      </c>
      <c r="G41" s="301" t="s">
        <v>146</v>
      </c>
      <c r="H41" s="275"/>
      <c r="I41" s="275"/>
      <c r="J41" s="602" t="str">
        <f ca="1">IF(OFFSET('Список территорий'!CS$15,$F29,0)="a","Y","N")</f>
        <v>N</v>
      </c>
      <c r="K41" s="293">
        <f t="shared" si="3"/>
        <v>0</v>
      </c>
      <c r="L41" s="292"/>
      <c r="M41" s="293">
        <f t="shared" si="4"/>
        <v>0</v>
      </c>
      <c r="N41" s="293">
        <f t="shared" si="5"/>
        <v>0</v>
      </c>
      <c r="O41" s="292"/>
      <c r="P41" s="292"/>
      <c r="Q41" s="293">
        <f t="shared" si="6"/>
        <v>0</v>
      </c>
      <c r="R41" s="292"/>
      <c r="S41" s="292"/>
      <c r="T41" s="293">
        <f t="shared" si="7"/>
        <v>0</v>
      </c>
      <c r="U41" s="292"/>
      <c r="V41" s="292"/>
      <c r="W41" s="293">
        <f t="shared" si="8"/>
        <v>0</v>
      </c>
      <c r="X41" s="292"/>
      <c r="Y41" s="292"/>
      <c r="Z41" s="275"/>
      <c r="AA41" s="275"/>
      <c r="AB41" s="275"/>
      <c r="AC41" s="275"/>
      <c r="AD41" s="275"/>
      <c r="AE41" s="275"/>
      <c r="AF41" s="270"/>
      <c r="AG41" s="169"/>
      <c r="AH41" s="169"/>
      <c r="AI41" s="169"/>
      <c r="AJ41" s="169"/>
      <c r="AK41" s="169"/>
      <c r="AL41" s="169"/>
      <c r="AM41" s="169"/>
      <c r="AN41" s="169"/>
      <c r="AO41" s="169"/>
      <c r="AP41" s="169"/>
      <c r="AQ41" s="169"/>
      <c r="AR41" s="169"/>
      <c r="AS41" s="169"/>
      <c r="AT41" s="169"/>
      <c r="AU41" s="169"/>
      <c r="AV41" s="169"/>
      <c r="AW41" s="169"/>
      <c r="AX41" s="169"/>
      <c r="AY41" s="169"/>
      <c r="AZ41" s="169"/>
      <c r="BA41" s="280" t="str">
        <f>C29 &amp; "-II"</f>
        <v>0.0-II</v>
      </c>
      <c r="BB41" s="169"/>
      <c r="BC41" s="169"/>
      <c r="BD41" s="388"/>
      <c r="BE41" s="388"/>
      <c r="BF41" s="278"/>
    </row>
    <row r="42" spans="1:61" s="114" customFormat="1" ht="12" hidden="1" customHeight="1">
      <c r="A42" s="287"/>
      <c r="B42" s="943"/>
      <c r="C42" s="947"/>
      <c r="D42" s="286"/>
      <c r="E42" s="282"/>
      <c r="F42" s="283" t="str">
        <f>F29 &amp; ".11"</f>
        <v>0.11</v>
      </c>
      <c r="G42" s="301" t="s">
        <v>147</v>
      </c>
      <c r="H42" s="275"/>
      <c r="I42" s="275"/>
      <c r="J42" s="602" t="str">
        <f ca="1">IF(OFFSET('Список территорий'!CT$15,$F29,0)="a","Y","N")</f>
        <v>N</v>
      </c>
      <c r="K42" s="293">
        <f t="shared" si="3"/>
        <v>0</v>
      </c>
      <c r="L42" s="292"/>
      <c r="M42" s="293">
        <f t="shared" si="4"/>
        <v>0</v>
      </c>
      <c r="N42" s="293">
        <f t="shared" si="5"/>
        <v>0</v>
      </c>
      <c r="O42" s="292"/>
      <c r="P42" s="292"/>
      <c r="Q42" s="293">
        <f t="shared" si="6"/>
        <v>0</v>
      </c>
      <c r="R42" s="292"/>
      <c r="S42" s="292"/>
      <c r="T42" s="293">
        <f t="shared" si="7"/>
        <v>0</v>
      </c>
      <c r="U42" s="292"/>
      <c r="V42" s="292"/>
      <c r="W42" s="293">
        <f t="shared" si="8"/>
        <v>0</v>
      </c>
      <c r="X42" s="292"/>
      <c r="Y42" s="292"/>
      <c r="Z42" s="275"/>
      <c r="AA42" s="275"/>
      <c r="AB42" s="275"/>
      <c r="AC42" s="275"/>
      <c r="AD42" s="275"/>
      <c r="AE42" s="275"/>
      <c r="AF42" s="270"/>
      <c r="AG42" s="169"/>
      <c r="AH42" s="169"/>
      <c r="AI42" s="169"/>
      <c r="AJ42" s="169"/>
      <c r="AK42" s="169"/>
      <c r="AL42" s="169"/>
      <c r="AM42" s="169"/>
      <c r="AN42" s="169"/>
      <c r="AO42" s="169"/>
      <c r="AP42" s="169"/>
      <c r="AQ42" s="169"/>
      <c r="AR42" s="169"/>
      <c r="AS42" s="169"/>
      <c r="AT42" s="169"/>
      <c r="AU42" s="169"/>
      <c r="AV42" s="169"/>
      <c r="AW42" s="169"/>
      <c r="AX42" s="169"/>
      <c r="AY42" s="169"/>
      <c r="AZ42" s="169"/>
      <c r="BA42" s="280" t="str">
        <f>C29 &amp; "-II"</f>
        <v>0.0-II</v>
      </c>
      <c r="BB42" s="169"/>
      <c r="BC42" s="169"/>
      <c r="BD42" s="388"/>
      <c r="BE42" s="388"/>
      <c r="BF42" s="278"/>
    </row>
    <row r="43" spans="1:61" s="114" customFormat="1" ht="12" hidden="1" customHeight="1">
      <c r="A43" s="287"/>
      <c r="B43" s="943"/>
      <c r="C43" s="948"/>
      <c r="D43" s="286"/>
      <c r="E43" s="282"/>
      <c r="F43" s="283" t="str">
        <f>F29 &amp; ".12"</f>
        <v>0.12</v>
      </c>
      <c r="G43" s="301" t="s">
        <v>148</v>
      </c>
      <c r="H43" s="274"/>
      <c r="I43" s="274"/>
      <c r="J43" s="602" t="str">
        <f ca="1">IF(OFFSET('Список территорий'!CU$15,$F29,0)="a","Y","N")</f>
        <v>N</v>
      </c>
      <c r="K43" s="293">
        <f t="shared" si="3"/>
        <v>0</v>
      </c>
      <c r="L43" s="292"/>
      <c r="M43" s="293">
        <f t="shared" si="4"/>
        <v>0</v>
      </c>
      <c r="N43" s="293">
        <f t="shared" si="5"/>
        <v>0</v>
      </c>
      <c r="O43" s="292"/>
      <c r="P43" s="292"/>
      <c r="Q43" s="293">
        <f t="shared" si="6"/>
        <v>0</v>
      </c>
      <c r="R43" s="292"/>
      <c r="S43" s="292"/>
      <c r="T43" s="293">
        <f t="shared" si="7"/>
        <v>0</v>
      </c>
      <c r="U43" s="292"/>
      <c r="V43" s="292"/>
      <c r="W43" s="293">
        <f t="shared" si="8"/>
        <v>0</v>
      </c>
      <c r="X43" s="292"/>
      <c r="Y43" s="292"/>
      <c r="Z43" s="275"/>
      <c r="AA43" s="275"/>
      <c r="AB43" s="275"/>
      <c r="AC43" s="275"/>
      <c r="AD43" s="275"/>
      <c r="AE43" s="275"/>
      <c r="AF43" s="270"/>
      <c r="AG43" s="169"/>
      <c r="AH43" s="169"/>
      <c r="AI43" s="169"/>
      <c r="AJ43" s="169"/>
      <c r="AK43" s="169"/>
      <c r="AL43" s="169"/>
      <c r="AM43" s="169"/>
      <c r="AN43" s="169"/>
      <c r="AO43" s="169"/>
      <c r="AP43" s="169"/>
      <c r="AQ43" s="169"/>
      <c r="AR43" s="169"/>
      <c r="AS43" s="169"/>
      <c r="AT43" s="169"/>
      <c r="AU43" s="169"/>
      <c r="AV43" s="169"/>
      <c r="AW43" s="169"/>
      <c r="AX43" s="169"/>
      <c r="AY43" s="169"/>
      <c r="AZ43" s="169"/>
      <c r="BA43" s="280" t="str">
        <f>C29 &amp; "-II"</f>
        <v>0.0-II</v>
      </c>
      <c r="BB43" s="169"/>
      <c r="BC43" s="169"/>
      <c r="BD43" s="278"/>
      <c r="BE43" s="278"/>
      <c r="BF43" s="278"/>
      <c r="BI43" s="212"/>
    </row>
    <row r="44" spans="1:61" s="114" customFormat="1" ht="0.75" hidden="1" customHeight="1">
      <c r="A44" s="287"/>
      <c r="B44" s="943"/>
      <c r="C44" s="946"/>
      <c r="D44" s="286"/>
      <c r="E44" s="282"/>
      <c r="F44" s="274"/>
      <c r="G44" s="274"/>
      <c r="H44" s="274"/>
      <c r="I44" s="274"/>
      <c r="J44" s="274"/>
      <c r="K44" s="274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0"/>
      <c r="AG44" s="169"/>
      <c r="AH44" s="169"/>
      <c r="AI44" s="169"/>
      <c r="AJ44" s="169"/>
      <c r="AK44" s="169"/>
      <c r="AL44" s="169"/>
      <c r="AM44" s="169"/>
      <c r="AN44" s="169"/>
      <c r="AO44" s="169"/>
      <c r="AP44" s="169"/>
      <c r="AQ44" s="169"/>
      <c r="AR44" s="169"/>
      <c r="AS44" s="169"/>
      <c r="AT44" s="169"/>
      <c r="AU44" s="169"/>
      <c r="AV44" s="169"/>
      <c r="AW44" s="169"/>
      <c r="AX44" s="169"/>
      <c r="AY44" s="169"/>
      <c r="AZ44" s="169"/>
      <c r="BA44" s="280"/>
      <c r="BB44" s="169"/>
      <c r="BC44" s="169"/>
      <c r="BD44" s="278"/>
      <c r="BE44" s="278"/>
      <c r="BF44" s="278"/>
      <c r="BI44" s="212"/>
    </row>
    <row r="45" spans="1:61" s="114" customFormat="1" ht="0.75" hidden="1" customHeight="1">
      <c r="A45" s="287"/>
      <c r="B45" s="943"/>
      <c r="C45" s="947"/>
      <c r="D45" s="286"/>
      <c r="E45" s="282"/>
      <c r="F45" s="274"/>
      <c r="G45" s="274"/>
      <c r="H45" s="274"/>
      <c r="I45" s="274"/>
      <c r="J45" s="274"/>
      <c r="K45" s="274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0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69"/>
      <c r="AT45" s="169"/>
      <c r="AU45" s="169"/>
      <c r="AV45" s="169"/>
      <c r="AW45" s="169"/>
      <c r="AX45" s="169"/>
      <c r="AY45" s="169"/>
      <c r="AZ45" s="169"/>
      <c r="BA45" s="280"/>
      <c r="BB45" s="169"/>
      <c r="BC45" s="169"/>
      <c r="BD45" s="278"/>
      <c r="BE45" s="278"/>
      <c r="BF45" s="278"/>
      <c r="BI45" s="212"/>
    </row>
    <row r="46" spans="1:61" s="114" customFormat="1" ht="0.75" hidden="1" customHeight="1">
      <c r="A46" s="287"/>
      <c r="B46" s="943"/>
      <c r="C46" s="947"/>
      <c r="D46" s="286"/>
      <c r="E46" s="282"/>
      <c r="F46" s="274"/>
      <c r="G46" s="274"/>
      <c r="H46" s="274"/>
      <c r="I46" s="274"/>
      <c r="J46" s="274"/>
      <c r="K46" s="274"/>
      <c r="L46" s="275"/>
      <c r="M46" s="275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5"/>
      <c r="AC46" s="275"/>
      <c r="AD46" s="275"/>
      <c r="AE46" s="275"/>
      <c r="AF46" s="270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69"/>
      <c r="AT46" s="169"/>
      <c r="AU46" s="169"/>
      <c r="AV46" s="169"/>
      <c r="AW46" s="169"/>
      <c r="AX46" s="169"/>
      <c r="AY46" s="169"/>
      <c r="AZ46" s="169"/>
      <c r="BA46" s="280"/>
      <c r="BB46" s="169"/>
      <c r="BC46" s="169"/>
      <c r="BD46" s="278"/>
      <c r="BE46" s="278"/>
      <c r="BF46" s="278"/>
      <c r="BI46" s="212"/>
    </row>
    <row r="47" spans="1:61" s="114" customFormat="1" ht="0.75" hidden="1" customHeight="1">
      <c r="A47" s="287"/>
      <c r="B47" s="943"/>
      <c r="C47" s="947"/>
      <c r="D47" s="286"/>
      <c r="E47" s="282"/>
      <c r="F47" s="274"/>
      <c r="G47" s="274"/>
      <c r="H47" s="274"/>
      <c r="I47" s="274"/>
      <c r="J47" s="274"/>
      <c r="K47" s="274"/>
      <c r="L47" s="275"/>
      <c r="M47" s="275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5"/>
      <c r="AC47" s="275"/>
      <c r="AD47" s="275"/>
      <c r="AE47" s="275"/>
      <c r="AF47" s="270"/>
      <c r="AG47" s="169"/>
      <c r="AH47" s="169"/>
      <c r="AI47" s="169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9"/>
      <c r="AY47" s="169"/>
      <c r="AZ47" s="169"/>
      <c r="BA47" s="280"/>
      <c r="BB47" s="169"/>
      <c r="BC47" s="169"/>
      <c r="BD47" s="278"/>
      <c r="BE47" s="278"/>
      <c r="BF47" s="278"/>
      <c r="BI47" s="212"/>
    </row>
    <row r="48" spans="1:61" s="114" customFormat="1" ht="0.75" hidden="1" customHeight="1">
      <c r="A48" s="287"/>
      <c r="B48" s="943"/>
      <c r="C48" s="947"/>
      <c r="D48" s="286"/>
      <c r="E48" s="282"/>
      <c r="F48" s="274"/>
      <c r="G48" s="274"/>
      <c r="H48" s="274"/>
      <c r="I48" s="274"/>
      <c r="J48" s="274"/>
      <c r="K48" s="274"/>
      <c r="L48" s="275"/>
      <c r="M48" s="275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  <c r="AA48" s="275"/>
      <c r="AB48" s="275"/>
      <c r="AC48" s="275"/>
      <c r="AD48" s="275"/>
      <c r="AE48" s="275"/>
      <c r="AF48" s="270"/>
      <c r="AG48" s="169"/>
      <c r="AH48" s="169"/>
      <c r="AI48" s="169"/>
      <c r="AJ48" s="169"/>
      <c r="AK48" s="169"/>
      <c r="AL48" s="169"/>
      <c r="AM48" s="169"/>
      <c r="AN48" s="169"/>
      <c r="AO48" s="169"/>
      <c r="AP48" s="169"/>
      <c r="AQ48" s="169"/>
      <c r="AR48" s="169"/>
      <c r="AS48" s="169"/>
      <c r="AT48" s="169"/>
      <c r="AU48" s="169"/>
      <c r="AV48" s="169"/>
      <c r="AW48" s="169"/>
      <c r="AX48" s="169"/>
      <c r="AY48" s="169"/>
      <c r="AZ48" s="169"/>
      <c r="BA48" s="280"/>
      <c r="BB48" s="169"/>
      <c r="BC48" s="169"/>
      <c r="BD48" s="278"/>
      <c r="BE48" s="278"/>
      <c r="BF48" s="278"/>
      <c r="BI48" s="212"/>
    </row>
    <row r="49" spans="1:61" s="114" customFormat="1" ht="0.75" hidden="1" customHeight="1">
      <c r="A49" s="287"/>
      <c r="B49" s="943"/>
      <c r="C49" s="947"/>
      <c r="D49" s="286"/>
      <c r="E49" s="282"/>
      <c r="F49" s="274"/>
      <c r="G49" s="274"/>
      <c r="H49" s="274"/>
      <c r="I49" s="274"/>
      <c r="J49" s="274"/>
      <c r="K49" s="274"/>
      <c r="L49" s="275"/>
      <c r="M49" s="275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5"/>
      <c r="AC49" s="275"/>
      <c r="AD49" s="275"/>
      <c r="AE49" s="275"/>
      <c r="AF49" s="270"/>
      <c r="AG49" s="169"/>
      <c r="AH49" s="169"/>
      <c r="AI49" s="169"/>
      <c r="AJ49" s="169"/>
      <c r="AK49" s="169"/>
      <c r="AL49" s="169"/>
      <c r="AM49" s="169"/>
      <c r="AN49" s="169"/>
      <c r="AO49" s="169"/>
      <c r="AP49" s="169"/>
      <c r="AQ49" s="169"/>
      <c r="AR49" s="169"/>
      <c r="AS49" s="169"/>
      <c r="AT49" s="169"/>
      <c r="AU49" s="169"/>
      <c r="AV49" s="169"/>
      <c r="AW49" s="169"/>
      <c r="AX49" s="169"/>
      <c r="AY49" s="169"/>
      <c r="AZ49" s="169"/>
      <c r="BA49" s="280"/>
      <c r="BB49" s="169"/>
      <c r="BC49" s="169"/>
      <c r="BD49" s="278"/>
      <c r="BE49" s="278"/>
      <c r="BF49" s="278"/>
      <c r="BI49" s="212"/>
    </row>
    <row r="50" spans="1:61" s="114" customFormat="1" ht="0.75" hidden="1" customHeight="1">
      <c r="A50" s="287"/>
      <c r="B50" s="943"/>
      <c r="C50" s="947"/>
      <c r="D50" s="286"/>
      <c r="E50" s="282"/>
      <c r="F50" s="274"/>
      <c r="G50" s="274"/>
      <c r="H50" s="274"/>
      <c r="I50" s="274"/>
      <c r="J50" s="274"/>
      <c r="K50" s="274"/>
      <c r="L50" s="275"/>
      <c r="M50" s="275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5"/>
      <c r="AC50" s="275"/>
      <c r="AD50" s="275"/>
      <c r="AE50" s="275"/>
      <c r="AF50" s="270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280"/>
      <c r="BB50" s="169"/>
      <c r="BC50" s="169"/>
      <c r="BD50" s="278"/>
      <c r="BE50" s="278"/>
      <c r="BF50" s="278"/>
      <c r="BI50" s="212"/>
    </row>
    <row r="51" spans="1:61" s="114" customFormat="1" ht="0.75" hidden="1" customHeight="1">
      <c r="A51" s="287"/>
      <c r="B51" s="943"/>
      <c r="C51" s="947"/>
      <c r="D51" s="286"/>
      <c r="E51" s="282"/>
      <c r="F51" s="274"/>
      <c r="G51" s="274"/>
      <c r="H51" s="274"/>
      <c r="I51" s="274"/>
      <c r="J51" s="274"/>
      <c r="K51" s="274"/>
      <c r="L51" s="275"/>
      <c r="M51" s="275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5"/>
      <c r="AC51" s="275"/>
      <c r="AD51" s="275"/>
      <c r="AE51" s="275"/>
      <c r="AF51" s="270"/>
      <c r="AG51" s="169"/>
      <c r="AH51" s="169"/>
      <c r="AI51" s="169"/>
      <c r="AJ51" s="169"/>
      <c r="AK51" s="169"/>
      <c r="AL51" s="169"/>
      <c r="AM51" s="169"/>
      <c r="AN51" s="169"/>
      <c r="AO51" s="169"/>
      <c r="AP51" s="169"/>
      <c r="AQ51" s="169"/>
      <c r="AR51" s="169"/>
      <c r="AS51" s="169"/>
      <c r="AT51" s="169"/>
      <c r="AU51" s="169"/>
      <c r="AV51" s="169"/>
      <c r="AW51" s="169"/>
      <c r="AX51" s="169"/>
      <c r="AY51" s="169"/>
      <c r="AZ51" s="169"/>
      <c r="BA51" s="280"/>
      <c r="BB51" s="169"/>
      <c r="BC51" s="169"/>
      <c r="BD51" s="278"/>
      <c r="BE51" s="278"/>
      <c r="BF51" s="278"/>
      <c r="BI51" s="212"/>
    </row>
    <row r="52" spans="1:61" s="114" customFormat="1" ht="0.75" hidden="1" customHeight="1">
      <c r="A52" s="287"/>
      <c r="B52" s="943"/>
      <c r="C52" s="947"/>
      <c r="D52" s="286"/>
      <c r="E52" s="282"/>
      <c r="F52" s="274"/>
      <c r="G52" s="274"/>
      <c r="H52" s="274"/>
      <c r="I52" s="274"/>
      <c r="J52" s="274"/>
      <c r="K52" s="274"/>
      <c r="L52" s="275"/>
      <c r="M52" s="275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5"/>
      <c r="AC52" s="275"/>
      <c r="AD52" s="275"/>
      <c r="AE52" s="275"/>
      <c r="AF52" s="270"/>
      <c r="AG52" s="169"/>
      <c r="AH52" s="169"/>
      <c r="AI52" s="169"/>
      <c r="AJ52" s="169"/>
      <c r="AK52" s="169"/>
      <c r="AL52" s="169"/>
      <c r="AM52" s="169"/>
      <c r="AN52" s="169"/>
      <c r="AO52" s="169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69"/>
      <c r="BA52" s="280"/>
      <c r="BB52" s="169"/>
      <c r="BC52" s="169"/>
      <c r="BD52" s="278"/>
      <c r="BE52" s="278"/>
      <c r="BF52" s="278"/>
      <c r="BI52" s="212"/>
    </row>
    <row r="53" spans="1:61" s="114" customFormat="1" ht="0.75" hidden="1" customHeight="1">
      <c r="A53" s="287"/>
      <c r="B53" s="943"/>
      <c r="C53" s="947"/>
      <c r="D53" s="286"/>
      <c r="E53" s="282"/>
      <c r="F53" s="274"/>
      <c r="G53" s="274"/>
      <c r="H53" s="274"/>
      <c r="I53" s="274"/>
      <c r="J53" s="274"/>
      <c r="K53" s="274"/>
      <c r="L53" s="275"/>
      <c r="M53" s="275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5"/>
      <c r="AC53" s="275"/>
      <c r="AD53" s="275"/>
      <c r="AE53" s="275"/>
      <c r="AF53" s="270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280"/>
      <c r="BB53" s="169"/>
      <c r="BC53" s="169"/>
      <c r="BD53" s="278"/>
      <c r="BE53" s="278"/>
      <c r="BF53" s="278"/>
      <c r="BI53" s="212"/>
    </row>
    <row r="54" spans="1:61" s="114" customFormat="1" ht="0.75" hidden="1" customHeight="1">
      <c r="A54" s="287"/>
      <c r="B54" s="943"/>
      <c r="C54" s="947"/>
      <c r="D54" s="286"/>
      <c r="E54" s="282"/>
      <c r="F54" s="274"/>
      <c r="G54" s="274"/>
      <c r="H54" s="274"/>
      <c r="I54" s="274"/>
      <c r="J54" s="274"/>
      <c r="K54" s="274"/>
      <c r="L54" s="275"/>
      <c r="M54" s="275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5"/>
      <c r="AC54" s="275"/>
      <c r="AD54" s="275"/>
      <c r="AE54" s="275"/>
      <c r="AF54" s="270"/>
      <c r="AG54" s="169"/>
      <c r="AH54" s="169"/>
      <c r="AI54" s="169"/>
      <c r="AJ54" s="169"/>
      <c r="AK54" s="169"/>
      <c r="AL54" s="169"/>
      <c r="AM54" s="169"/>
      <c r="AN54" s="169"/>
      <c r="AO54" s="169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69"/>
      <c r="BA54" s="280"/>
      <c r="BB54" s="169"/>
      <c r="BC54" s="169"/>
      <c r="BD54" s="278"/>
      <c r="BE54" s="278"/>
      <c r="BF54" s="278"/>
      <c r="BI54" s="212"/>
    </row>
    <row r="55" spans="1:61" s="114" customFormat="1" ht="0.75" hidden="1" customHeight="1">
      <c r="A55" s="287"/>
      <c r="B55" s="943"/>
      <c r="C55" s="947"/>
      <c r="D55" s="286"/>
      <c r="E55" s="282"/>
      <c r="F55" s="274"/>
      <c r="G55" s="274"/>
      <c r="H55" s="274"/>
      <c r="I55" s="274"/>
      <c r="J55" s="274"/>
      <c r="K55" s="274"/>
      <c r="L55" s="275"/>
      <c r="M55" s="275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5"/>
      <c r="AC55" s="275"/>
      <c r="AD55" s="275"/>
      <c r="AE55" s="275"/>
      <c r="AF55" s="270"/>
      <c r="AG55" s="169"/>
      <c r="AH55" s="169"/>
      <c r="AI55" s="169"/>
      <c r="AJ55" s="169"/>
      <c r="AK55" s="169"/>
      <c r="AL55" s="169"/>
      <c r="AM55" s="169"/>
      <c r="AN55" s="169"/>
      <c r="AO55" s="169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69"/>
      <c r="BA55" s="284"/>
      <c r="BB55" s="169"/>
      <c r="BC55" s="169"/>
      <c r="BD55" s="278"/>
      <c r="BE55" s="278"/>
      <c r="BF55" s="278"/>
      <c r="BI55" s="212"/>
    </row>
    <row r="56" spans="1:61" s="114" customFormat="1" ht="0.75" hidden="1" customHeight="1">
      <c r="A56" s="287"/>
      <c r="B56" s="944"/>
      <c r="C56" s="949"/>
      <c r="D56" s="286"/>
      <c r="E56" s="282"/>
      <c r="F56" s="297"/>
      <c r="G56" s="297"/>
      <c r="H56" s="297"/>
      <c r="I56" s="297"/>
      <c r="J56" s="297"/>
      <c r="K56" s="297"/>
      <c r="L56" s="259"/>
      <c r="M56" s="259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59"/>
      <c r="AC56" s="259"/>
      <c r="AD56" s="259"/>
      <c r="AE56" s="259"/>
      <c r="AF56" s="241"/>
      <c r="AG56" s="169"/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284"/>
      <c r="BB56" s="169"/>
      <c r="BC56" s="169"/>
      <c r="BD56" s="278"/>
      <c r="BE56" s="278"/>
      <c r="BF56" s="278"/>
      <c r="BI56" s="212"/>
    </row>
    <row r="57" spans="1:61" s="169" customFormat="1" ht="0.75" hidden="1" customHeight="1">
      <c r="D57" s="347"/>
    </row>
    <row r="58" spans="1:61" s="169" customFormat="1" ht="0.75" hidden="1" customHeight="1">
      <c r="D58" s="347"/>
    </row>
    <row r="59" spans="1:61" s="169" customFormat="1" ht="0.75" hidden="1" customHeight="1">
      <c r="D59" s="347"/>
    </row>
    <row r="60" spans="1:61" s="169" customFormat="1" ht="0.75" hidden="1" customHeight="1">
      <c r="D60" s="347"/>
    </row>
    <row r="61" spans="1:61" s="169" customFormat="1" ht="0.75" hidden="1" customHeight="1">
      <c r="D61" s="347"/>
    </row>
    <row r="62" spans="1:61" s="169" customFormat="1" ht="0.75" hidden="1" customHeight="1">
      <c r="D62" s="347"/>
    </row>
    <row r="63" spans="1:61" s="169" customFormat="1" ht="0.75" hidden="1" customHeight="1">
      <c r="D63" s="347"/>
    </row>
    <row r="64" spans="1:61" s="169" customFormat="1" ht="0.75" hidden="1" customHeight="1">
      <c r="D64" s="347"/>
    </row>
    <row r="65" spans="4:4" s="169" customFormat="1" ht="0.75" hidden="1" customHeight="1">
      <c r="D65" s="347"/>
    </row>
    <row r="66" spans="4:4" s="169" customFormat="1" ht="0.75" hidden="1" customHeight="1">
      <c r="D66" s="347"/>
    </row>
    <row r="67" spans="4:4" s="169" customFormat="1" ht="0.75" hidden="1" customHeight="1">
      <c r="D67" s="347"/>
    </row>
    <row r="68" spans="4:4" s="169" customFormat="1" ht="0.75" hidden="1" customHeight="1">
      <c r="D68" s="347"/>
    </row>
    <row r="69" spans="4:4" s="169" customFormat="1" ht="0.75" hidden="1" customHeight="1">
      <c r="D69" s="347"/>
    </row>
    <row r="70" spans="4:4" s="169" customFormat="1" ht="0.75" hidden="1" customHeight="1">
      <c r="D70" s="347"/>
    </row>
    <row r="71" spans="4:4" s="169" customFormat="1" ht="0.75" hidden="1" customHeight="1">
      <c r="D71" s="347"/>
    </row>
    <row r="72" spans="4:4" s="169" customFormat="1" ht="0.75" hidden="1" customHeight="1">
      <c r="D72" s="347"/>
    </row>
    <row r="73" spans="4:4" s="169" customFormat="1" ht="0.75" hidden="1" customHeight="1">
      <c r="D73" s="347"/>
    </row>
    <row r="74" spans="4:4" s="169" customFormat="1" ht="0.75" hidden="1" customHeight="1">
      <c r="D74" s="347"/>
    </row>
    <row r="75" spans="4:4" s="169" customFormat="1" ht="0.75" hidden="1" customHeight="1">
      <c r="D75" s="347"/>
    </row>
    <row r="76" spans="4:4" s="169" customFormat="1" ht="0.75" hidden="1" customHeight="1">
      <c r="D76" s="347"/>
    </row>
    <row r="77" spans="4:4" s="169" customFormat="1" ht="0.75" hidden="1" customHeight="1">
      <c r="D77" s="347"/>
    </row>
    <row r="78" spans="4:4" s="169" customFormat="1" ht="0.75" hidden="1" customHeight="1">
      <c r="D78" s="347"/>
    </row>
    <row r="79" spans="4:4" s="169" customFormat="1" ht="0.75" hidden="1" customHeight="1">
      <c r="D79" s="347"/>
    </row>
    <row r="80" spans="4:4" s="169" customFormat="1" ht="0.75" hidden="1" customHeight="1">
      <c r="D80" s="347"/>
    </row>
    <row r="81" spans="4:4" s="169" customFormat="1" ht="0.75" hidden="1" customHeight="1">
      <c r="D81" s="347"/>
    </row>
    <row r="82" spans="4:4" s="169" customFormat="1" ht="0.75" hidden="1" customHeight="1">
      <c r="D82" s="347"/>
    </row>
    <row r="83" spans="4:4" s="169" customFormat="1" ht="0.75" hidden="1" customHeight="1">
      <c r="D83" s="347"/>
    </row>
    <row r="84" spans="4:4" s="169" customFormat="1" ht="0.75" hidden="1" customHeight="1">
      <c r="D84" s="347"/>
    </row>
    <row r="85" spans="4:4" s="169" customFormat="1" ht="0.75" hidden="1" customHeight="1">
      <c r="D85" s="347"/>
    </row>
    <row r="86" spans="4:4" s="169" customFormat="1" ht="0.75" hidden="1" customHeight="1">
      <c r="D86" s="347"/>
    </row>
    <row r="87" spans="4:4" s="169" customFormat="1" ht="0.75" hidden="1" customHeight="1">
      <c r="D87" s="347"/>
    </row>
    <row r="88" spans="4:4" s="169" customFormat="1" ht="0.75" hidden="1" customHeight="1">
      <c r="D88" s="347"/>
    </row>
    <row r="89" spans="4:4" s="169" customFormat="1" ht="0.75" hidden="1" customHeight="1">
      <c r="D89" s="347"/>
    </row>
    <row r="90" spans="4:4" s="169" customFormat="1" ht="0.75" hidden="1" customHeight="1">
      <c r="D90" s="347"/>
    </row>
    <row r="91" spans="4:4" s="169" customFormat="1" ht="0.75" hidden="1" customHeight="1">
      <c r="D91" s="347"/>
    </row>
    <row r="92" spans="4:4" s="169" customFormat="1" ht="0.75" hidden="1" customHeight="1">
      <c r="D92" s="347"/>
    </row>
    <row r="93" spans="4:4" s="169" customFormat="1" ht="0.75" hidden="1" customHeight="1">
      <c r="D93" s="347"/>
    </row>
    <row r="94" spans="4:4" s="169" customFormat="1" ht="0.75" hidden="1" customHeight="1">
      <c r="D94" s="347"/>
    </row>
    <row r="95" spans="4:4" s="169" customFormat="1" ht="0.75" hidden="1" customHeight="1">
      <c r="D95" s="347"/>
    </row>
    <row r="96" spans="4:4" s="169" customFormat="1" ht="0.75" hidden="1" customHeight="1">
      <c r="D96" s="347"/>
    </row>
    <row r="97" spans="4:4" s="169" customFormat="1" ht="0.75" hidden="1" customHeight="1">
      <c r="D97" s="347"/>
    </row>
    <row r="98" spans="4:4" s="169" customFormat="1" ht="0.75" hidden="1" customHeight="1">
      <c r="D98" s="347"/>
    </row>
    <row r="99" spans="4:4" s="169" customFormat="1" ht="0.75" hidden="1" customHeight="1">
      <c r="D99" s="347"/>
    </row>
    <row r="100" spans="4:4" s="169" customFormat="1" ht="0.75" hidden="1" customHeight="1">
      <c r="D100" s="347"/>
    </row>
    <row r="101" spans="4:4" s="169" customFormat="1" ht="0.75" hidden="1" customHeight="1">
      <c r="D101" s="347"/>
    </row>
    <row r="102" spans="4:4" s="169" customFormat="1" ht="0.75" hidden="1" customHeight="1">
      <c r="D102" s="347"/>
    </row>
    <row r="103" spans="4:4" s="169" customFormat="1" ht="0.75" hidden="1" customHeight="1">
      <c r="D103" s="347"/>
    </row>
    <row r="104" spans="4:4" s="169" customFormat="1" ht="0.75" hidden="1" customHeight="1">
      <c r="D104" s="347"/>
    </row>
    <row r="105" spans="4:4" s="169" customFormat="1" ht="0.75" hidden="1" customHeight="1">
      <c r="D105" s="347"/>
    </row>
    <row r="106" spans="4:4" s="169" customFormat="1" ht="0.75" hidden="1" customHeight="1">
      <c r="D106" s="347"/>
    </row>
    <row r="107" spans="4:4" s="169" customFormat="1" ht="0.75" hidden="1" customHeight="1">
      <c r="D107" s="347"/>
    </row>
    <row r="108" spans="4:4" s="169" customFormat="1" ht="0.75" hidden="1" customHeight="1">
      <c r="D108" s="347"/>
    </row>
    <row r="109" spans="4:4" s="169" customFormat="1" ht="0.75" hidden="1" customHeight="1">
      <c r="D109" s="347"/>
    </row>
    <row r="110" spans="4:4" s="169" customFormat="1" ht="0.75" hidden="1" customHeight="1">
      <c r="D110" s="347"/>
    </row>
    <row r="111" spans="4:4" s="169" customFormat="1" ht="0.75" hidden="1" customHeight="1">
      <c r="D111" s="347"/>
    </row>
    <row r="112" spans="4:4" s="169" customFormat="1" ht="0.75" hidden="1" customHeight="1">
      <c r="D112" s="347"/>
    </row>
    <row r="113" spans="1:58" s="114" customFormat="1" ht="0.75" hidden="1" customHeight="1">
      <c r="A113" s="249"/>
      <c r="B113" s="299"/>
      <c r="C113" s="249"/>
      <c r="D113" s="286"/>
      <c r="E113" s="316"/>
      <c r="F113" s="212"/>
      <c r="AG113" s="169"/>
      <c r="AH113" s="169"/>
      <c r="AI113" s="169"/>
      <c r="AJ113" s="169"/>
      <c r="AK113" s="169"/>
      <c r="AL113" s="169"/>
      <c r="AM113" s="169"/>
      <c r="AN113" s="169"/>
      <c r="AO113" s="169"/>
      <c r="AP113" s="169"/>
      <c r="AQ113" s="169"/>
      <c r="AR113" s="169"/>
      <c r="AS113" s="169"/>
      <c r="AT113" s="169"/>
      <c r="AU113" s="169"/>
      <c r="AV113" s="169"/>
      <c r="AW113" s="169"/>
      <c r="AX113" s="169"/>
      <c r="AY113" s="169"/>
      <c r="AZ113" s="169"/>
      <c r="BA113" s="169"/>
      <c r="BB113" s="169"/>
      <c r="BC113" s="169"/>
      <c r="BD113" s="386"/>
      <c r="BE113" s="386"/>
      <c r="BF113" s="8"/>
    </row>
    <row r="114" spans="1:58" s="114" customFormat="1" ht="0.75" hidden="1" customHeight="1">
      <c r="A114" s="249"/>
      <c r="B114" s="299"/>
      <c r="C114" s="249"/>
      <c r="D114" s="286"/>
      <c r="E114" s="337"/>
      <c r="F114" s="212"/>
      <c r="AG114" s="169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386"/>
      <c r="BE114" s="386"/>
      <c r="BF114" s="8"/>
    </row>
    <row r="115" spans="1:58" s="114" customFormat="1" ht="0.75" hidden="1" customHeight="1">
      <c r="A115" s="249"/>
      <c r="B115" s="299"/>
      <c r="C115" s="249"/>
      <c r="D115" s="286"/>
      <c r="E115" s="169"/>
      <c r="F115" s="394"/>
      <c r="G115" s="169"/>
      <c r="AG115" s="169"/>
      <c r="AH115" s="169"/>
      <c r="AI115" s="169"/>
      <c r="AJ115" s="169"/>
      <c r="AK115" s="169"/>
      <c r="AL115" s="169"/>
      <c r="AM115" s="169"/>
      <c r="AN115" s="169"/>
      <c r="AO115" s="169"/>
      <c r="AP115" s="169"/>
      <c r="AQ115" s="169"/>
      <c r="AR115" s="169"/>
      <c r="AS115" s="169"/>
      <c r="AT115" s="169"/>
      <c r="AU115" s="169"/>
      <c r="AV115" s="169"/>
      <c r="AW115" s="169"/>
      <c r="AX115" s="169"/>
      <c r="AY115" s="169"/>
      <c r="AZ115" s="169"/>
      <c r="BA115" s="169"/>
      <c r="BB115" s="169"/>
      <c r="BC115" s="169"/>
      <c r="BD115" s="386"/>
      <c r="BE115" s="386"/>
      <c r="BF115" s="8"/>
    </row>
    <row r="116" spans="1:58" s="351" customFormat="1" ht="0.75" hidden="1" customHeight="1">
      <c r="A116" s="249"/>
      <c r="B116" s="299"/>
      <c r="C116" s="249"/>
      <c r="D116" s="286"/>
      <c r="E116" s="169"/>
      <c r="F116" s="394"/>
      <c r="G116" s="169"/>
      <c r="AG116" s="169"/>
      <c r="AH116" s="169"/>
      <c r="AI116" s="169"/>
      <c r="AJ116" s="169"/>
      <c r="AK116" s="169"/>
      <c r="AL116" s="169"/>
      <c r="AM116" s="169"/>
      <c r="AN116" s="169"/>
      <c r="AO116" s="169"/>
      <c r="AP116" s="169"/>
      <c r="AQ116" s="169"/>
      <c r="AR116" s="169"/>
      <c r="AS116" s="169"/>
      <c r="AT116" s="169"/>
      <c r="AU116" s="169"/>
      <c r="AV116" s="169"/>
      <c r="AW116" s="169"/>
      <c r="AX116" s="169"/>
      <c r="AY116" s="169"/>
      <c r="AZ116" s="169"/>
      <c r="BA116" s="169"/>
      <c r="BB116" s="169"/>
      <c r="BC116" s="169"/>
    </row>
    <row r="117" spans="1:58" s="351" customFormat="1" hidden="1">
      <c r="A117" s="249"/>
      <c r="B117" s="299"/>
      <c r="C117" s="249"/>
      <c r="D117" s="286"/>
      <c r="E117" s="169"/>
      <c r="F117" s="394"/>
      <c r="G117" s="169"/>
      <c r="W117" s="169"/>
      <c r="AG117" s="169"/>
      <c r="AH117" s="169"/>
      <c r="AI117" s="169"/>
      <c r="AJ117" s="169"/>
      <c r="AK117" s="169"/>
      <c r="AL117" s="169"/>
      <c r="AM117" s="169"/>
      <c r="AN117" s="169"/>
      <c r="AO117" s="169"/>
      <c r="AP117" s="169"/>
      <c r="AQ117" s="169"/>
      <c r="AR117" s="169"/>
      <c r="AS117" s="169"/>
      <c r="AT117" s="169"/>
      <c r="AU117" s="169"/>
      <c r="AV117" s="169"/>
      <c r="AW117" s="169"/>
      <c r="AX117" s="169"/>
      <c r="AY117" s="169"/>
      <c r="AZ117" s="169"/>
      <c r="BA117" s="169"/>
      <c r="BB117" s="169"/>
      <c r="BC117" s="169"/>
    </row>
    <row r="118" spans="1:58" s="45" customFormat="1" ht="12" customHeight="1">
      <c r="A118" s="9"/>
      <c r="B118" s="41"/>
      <c r="C118" s="11"/>
      <c r="D118" s="85"/>
      <c r="E118" s="11"/>
      <c r="F118" s="11"/>
      <c r="G118" s="11"/>
      <c r="W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</row>
    <row r="119" spans="1:58" s="45" customFormat="1" ht="17.25" customHeight="1">
      <c r="A119" s="9"/>
      <c r="B119" s="41"/>
      <c r="C119" s="11"/>
      <c r="D119" s="85"/>
      <c r="E119" s="38"/>
      <c r="F119" s="119" t="str">
        <f>"Баланс " &amp; TEMPLATE_SPHERE &amp; " (производство)"</f>
        <v>Баланс теплоснабжения (производство)</v>
      </c>
      <c r="G119" s="120"/>
      <c r="W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</row>
    <row r="120" spans="1:58" s="45" customFormat="1">
      <c r="A120" s="9"/>
      <c r="B120" s="41"/>
      <c r="C120" s="11"/>
      <c r="D120" s="85"/>
      <c r="E120"/>
      <c r="F120" s="439" t="s">
        <v>515</v>
      </c>
      <c r="G120" s="127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225"/>
      <c r="Y120" s="225"/>
      <c r="Z120" s="225"/>
      <c r="AA120" s="225"/>
      <c r="AB120" s="124"/>
      <c r="AC120" s="124"/>
      <c r="AD120" s="124"/>
      <c r="AE120" s="124"/>
      <c r="AF120" s="124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</row>
    <row r="121" spans="1:58" ht="24" customHeight="1">
      <c r="B121" s="35"/>
      <c r="C121" s="9"/>
      <c r="D121" s="84"/>
      <c r="E121" s="36"/>
      <c r="F121" s="925" t="s">
        <v>104</v>
      </c>
      <c r="G121" s="925" t="s">
        <v>150</v>
      </c>
      <c r="H121" s="961" t="s">
        <v>399</v>
      </c>
      <c r="I121" s="961" t="s">
        <v>400</v>
      </c>
      <c r="J121" s="925" t="s">
        <v>775</v>
      </c>
      <c r="K121" s="925" t="s">
        <v>1130</v>
      </c>
      <c r="L121" s="908" t="s">
        <v>689</v>
      </c>
      <c r="M121" s="1009" t="s">
        <v>1131</v>
      </c>
      <c r="N121" s="1014"/>
      <c r="O121" s="1014"/>
      <c r="P121" s="1014"/>
      <c r="Q121" s="1014"/>
      <c r="R121" s="1014"/>
      <c r="S121" s="1014"/>
      <c r="T121" s="1014"/>
      <c r="U121" s="1014"/>
      <c r="V121" s="1015"/>
      <c r="W121" s="1009" t="s">
        <v>1132</v>
      </c>
      <c r="X121" s="1014"/>
      <c r="Y121" s="1015"/>
      <c r="Z121" s="958" t="s">
        <v>1087</v>
      </c>
      <c r="AA121" s="958" t="s">
        <v>1088</v>
      </c>
      <c r="AB121" s="925" t="s">
        <v>690</v>
      </c>
      <c r="AC121" s="925" t="s">
        <v>691</v>
      </c>
      <c r="AD121" s="925"/>
      <c r="AE121" s="925"/>
      <c r="AF121" s="925" t="s">
        <v>692</v>
      </c>
    </row>
    <row r="122" spans="1:58" s="26" customFormat="1" ht="15" customHeight="1">
      <c r="A122" s="2"/>
      <c r="B122" s="43"/>
      <c r="C122" s="42"/>
      <c r="D122" s="84"/>
      <c r="E122" s="36"/>
      <c r="F122" s="925"/>
      <c r="G122" s="925"/>
      <c r="H122" s="961"/>
      <c r="I122" s="961"/>
      <c r="J122" s="925"/>
      <c r="K122" s="925"/>
      <c r="L122" s="960"/>
      <c r="M122" s="925" t="s">
        <v>160</v>
      </c>
      <c r="N122" s="1019" t="s">
        <v>168</v>
      </c>
      <c r="O122" s="1020"/>
      <c r="P122" s="1021"/>
      <c r="Q122" s="1019" t="s">
        <v>162</v>
      </c>
      <c r="R122" s="1020"/>
      <c r="S122" s="1021"/>
      <c r="T122" s="1019" t="s">
        <v>169</v>
      </c>
      <c r="U122" s="1020"/>
      <c r="V122" s="1021"/>
      <c r="W122" s="925" t="s">
        <v>160</v>
      </c>
      <c r="X122" s="1007" t="s">
        <v>1076</v>
      </c>
      <c r="Y122" s="1008" t="s">
        <v>1077</v>
      </c>
      <c r="Z122" s="1018"/>
      <c r="AA122" s="1018"/>
      <c r="AB122" s="925"/>
      <c r="AC122" s="925" t="s">
        <v>160</v>
      </c>
      <c r="AD122" s="925" t="s">
        <v>693</v>
      </c>
      <c r="AE122" s="925" t="s">
        <v>694</v>
      </c>
      <c r="AF122" s="925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 s="64"/>
      <c r="BE122" s="64"/>
      <c r="BF122" s="28"/>
    </row>
    <row r="123" spans="1:58" s="26" customFormat="1" ht="45" customHeight="1">
      <c r="A123" s="2"/>
      <c r="B123" s="43"/>
      <c r="C123" s="42"/>
      <c r="D123" s="84"/>
      <c r="E123" s="36"/>
      <c r="F123" s="925"/>
      <c r="G123" s="925"/>
      <c r="H123" s="961"/>
      <c r="I123" s="961"/>
      <c r="J123" s="925"/>
      <c r="K123" s="925"/>
      <c r="L123" s="909"/>
      <c r="M123" s="925"/>
      <c r="N123" s="419" t="s">
        <v>160</v>
      </c>
      <c r="O123" s="419" t="s">
        <v>1076</v>
      </c>
      <c r="P123" s="419" t="s">
        <v>1077</v>
      </c>
      <c r="Q123" s="419" t="s">
        <v>160</v>
      </c>
      <c r="R123" s="419" t="s">
        <v>1076</v>
      </c>
      <c r="S123" s="419" t="s">
        <v>1077</v>
      </c>
      <c r="T123" s="419" t="s">
        <v>160</v>
      </c>
      <c r="U123" s="419" t="s">
        <v>1076</v>
      </c>
      <c r="V123" s="419" t="s">
        <v>1077</v>
      </c>
      <c r="W123" s="925"/>
      <c r="X123" s="1007"/>
      <c r="Y123" s="1008"/>
      <c r="Z123" s="959"/>
      <c r="AA123" s="959"/>
      <c r="AB123" s="925"/>
      <c r="AC123" s="925"/>
      <c r="AD123" s="925"/>
      <c r="AE123" s="925"/>
      <c r="AF123" s="925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 s="64"/>
      <c r="BE123" s="64"/>
      <c r="BF123" s="28"/>
    </row>
    <row r="124" spans="1:58" s="300" customFormat="1" ht="12" customHeight="1">
      <c r="A124" s="249"/>
      <c r="B124" s="302"/>
      <c r="D124" s="303"/>
      <c r="E124" s="310"/>
      <c r="F124" s="353"/>
      <c r="G124" s="354" t="s">
        <v>170</v>
      </c>
      <c r="H124" s="354" t="s">
        <v>637</v>
      </c>
      <c r="I124" s="354" t="s">
        <v>1068</v>
      </c>
      <c r="J124" s="354" t="s">
        <v>101</v>
      </c>
      <c r="K124" s="354" t="s">
        <v>105</v>
      </c>
      <c r="L124" s="364" t="s">
        <v>198</v>
      </c>
      <c r="M124" s="354" t="s">
        <v>199</v>
      </c>
      <c r="N124" s="354" t="s">
        <v>200</v>
      </c>
      <c r="O124" s="354" t="s">
        <v>847</v>
      </c>
      <c r="P124" s="354" t="s">
        <v>876</v>
      </c>
      <c r="Q124" s="354" t="s">
        <v>703</v>
      </c>
      <c r="R124" s="354" t="s">
        <v>1102</v>
      </c>
      <c r="S124" s="354" t="s">
        <v>1103</v>
      </c>
      <c r="T124" s="354" t="s">
        <v>695</v>
      </c>
      <c r="U124" s="354" t="s">
        <v>1104</v>
      </c>
      <c r="V124" s="354" t="s">
        <v>1105</v>
      </c>
      <c r="W124" s="354" t="s">
        <v>696</v>
      </c>
      <c r="X124" s="354" t="s">
        <v>1106</v>
      </c>
      <c r="Y124" s="354" t="s">
        <v>1107</v>
      </c>
      <c r="Z124" s="354" t="s">
        <v>705</v>
      </c>
      <c r="AA124" s="354" t="s">
        <v>917</v>
      </c>
      <c r="AB124" s="354" t="s">
        <v>164</v>
      </c>
      <c r="AC124" s="354" t="s">
        <v>165</v>
      </c>
      <c r="AD124" s="354" t="s">
        <v>171</v>
      </c>
      <c r="AE124" s="354" t="s">
        <v>172</v>
      </c>
      <c r="AF124" s="354" t="s">
        <v>166</v>
      </c>
      <c r="AG124" s="310"/>
      <c r="AH124" s="310"/>
      <c r="AI124" s="310"/>
      <c r="AJ124" s="310"/>
      <c r="AK124" s="310"/>
      <c r="AL124" s="310"/>
      <c r="AM124" s="310"/>
      <c r="AN124" s="310"/>
      <c r="AO124" s="310"/>
      <c r="AP124" s="310"/>
      <c r="AQ124" s="310"/>
      <c r="AR124" s="310"/>
      <c r="AS124" s="310"/>
      <c r="AT124" s="310"/>
      <c r="AU124" s="310"/>
      <c r="AV124" s="310"/>
      <c r="AW124" s="310"/>
      <c r="AX124" s="310"/>
      <c r="AY124" s="310"/>
      <c r="AZ124" s="310"/>
      <c r="BA124" s="310"/>
      <c r="BB124" s="310"/>
      <c r="BC124" s="310"/>
      <c r="BD124" s="365"/>
      <c r="BE124" s="365"/>
      <c r="BF124" s="302"/>
    </row>
    <row r="125" spans="1:58" s="171" customFormat="1" ht="5.25" hidden="1" customHeight="1">
      <c r="A125" s="114"/>
      <c r="B125" s="302"/>
      <c r="C125" s="300"/>
      <c r="D125" s="303"/>
      <c r="E125" s="310"/>
      <c r="F125" s="355"/>
      <c r="G125" s="340"/>
      <c r="H125" s="340"/>
      <c r="I125" s="340"/>
      <c r="J125" s="340"/>
      <c r="K125" s="340"/>
      <c r="L125" s="340"/>
      <c r="M125" s="340"/>
      <c r="N125" s="340"/>
      <c r="O125" s="340"/>
      <c r="P125" s="340"/>
      <c r="Q125" s="340"/>
      <c r="R125" s="340"/>
      <c r="S125" s="340"/>
      <c r="T125" s="340"/>
      <c r="U125" s="340"/>
      <c r="V125" s="340"/>
      <c r="W125" s="340"/>
      <c r="X125" s="340"/>
      <c r="Y125" s="340"/>
      <c r="Z125" s="340"/>
      <c r="AA125" s="340"/>
      <c r="AB125" s="340"/>
      <c r="AC125" s="340"/>
      <c r="AD125" s="340"/>
      <c r="AE125" s="340"/>
      <c r="AF125" s="340"/>
      <c r="AG125" s="169"/>
      <c r="AH125" s="169"/>
      <c r="AI125" s="169"/>
      <c r="AJ125" s="169"/>
      <c r="AK125" s="169"/>
      <c r="AL125" s="169"/>
      <c r="AM125" s="169"/>
      <c r="AN125" s="169"/>
      <c r="AO125" s="169"/>
      <c r="AP125" s="169"/>
      <c r="AQ125" s="169"/>
      <c r="AR125" s="169"/>
      <c r="AS125" s="169"/>
      <c r="AT125" s="169"/>
      <c r="AU125" s="169"/>
      <c r="AV125" s="169"/>
      <c r="AW125" s="169"/>
      <c r="AX125" s="169"/>
      <c r="AY125" s="169"/>
      <c r="AZ125" s="169"/>
      <c r="BA125" s="169"/>
      <c r="BB125" s="169"/>
      <c r="BC125" s="169"/>
      <c r="BD125" s="366"/>
      <c r="BE125" s="366"/>
      <c r="BF125" s="367"/>
    </row>
    <row r="126" spans="1:58" s="114" customFormat="1" ht="24" customHeight="1">
      <c r="B126" s="169"/>
      <c r="C126" s="249"/>
      <c r="D126" s="343" t="s">
        <v>112</v>
      </c>
      <c r="E126" s="358"/>
      <c r="F126" s="317" t="str">
        <f>IF(TEMPLATE_SPHERE_CODE="COLDVSNA","0.1.P","0.1")</f>
        <v>0.1</v>
      </c>
      <c r="G126" s="1017" t="s">
        <v>2118</v>
      </c>
      <c r="H126" s="359"/>
      <c r="I126" s="336"/>
      <c r="J126" s="274"/>
      <c r="K126" s="293">
        <f t="shared" ref="K126:AF126" si="9">SUMIF($BA131:$BA132,$BA126,K131:K132)</f>
        <v>0</v>
      </c>
      <c r="L126" s="293">
        <f t="shared" si="9"/>
        <v>0</v>
      </c>
      <c r="M126" s="293">
        <f t="shared" si="9"/>
        <v>0</v>
      </c>
      <c r="N126" s="293">
        <f t="shared" si="9"/>
        <v>0</v>
      </c>
      <c r="O126" s="293">
        <f t="shared" si="9"/>
        <v>0</v>
      </c>
      <c r="P126" s="293">
        <f t="shared" si="9"/>
        <v>0</v>
      </c>
      <c r="Q126" s="293">
        <f t="shared" si="9"/>
        <v>0</v>
      </c>
      <c r="R126" s="293">
        <f t="shared" si="9"/>
        <v>0</v>
      </c>
      <c r="S126" s="293">
        <f t="shared" si="9"/>
        <v>0</v>
      </c>
      <c r="T126" s="293">
        <f t="shared" si="9"/>
        <v>0</v>
      </c>
      <c r="U126" s="293">
        <f t="shared" si="9"/>
        <v>0</v>
      </c>
      <c r="V126" s="293">
        <f t="shared" si="9"/>
        <v>0</v>
      </c>
      <c r="W126" s="293">
        <f t="shared" si="9"/>
        <v>0</v>
      </c>
      <c r="X126" s="293">
        <f t="shared" si="9"/>
        <v>0</v>
      </c>
      <c r="Y126" s="293">
        <f t="shared" si="9"/>
        <v>0</v>
      </c>
      <c r="Z126" s="293">
        <f t="shared" si="9"/>
        <v>0</v>
      </c>
      <c r="AA126" s="293">
        <f t="shared" si="9"/>
        <v>0</v>
      </c>
      <c r="AB126" s="368">
        <f t="shared" si="9"/>
        <v>0</v>
      </c>
      <c r="AC126" s="293">
        <f t="shared" si="9"/>
        <v>0</v>
      </c>
      <c r="AD126" s="293">
        <f t="shared" si="9"/>
        <v>0</v>
      </c>
      <c r="AE126" s="293">
        <f t="shared" si="9"/>
        <v>0</v>
      </c>
      <c r="AF126" s="253">
        <f t="shared" si="9"/>
        <v>0</v>
      </c>
      <c r="AG126" s="169"/>
      <c r="AH126" s="169"/>
      <c r="AI126" s="169"/>
      <c r="AJ126" s="169"/>
      <c r="AK126" s="169"/>
      <c r="AL126" s="169"/>
      <c r="AM126" s="169"/>
      <c r="AN126" s="169"/>
      <c r="AO126" s="169"/>
      <c r="AP126" s="169"/>
      <c r="AQ126" s="169"/>
      <c r="AR126" s="170"/>
      <c r="AS126" s="170"/>
      <c r="AT126" s="170"/>
      <c r="AU126" s="170"/>
      <c r="AV126" s="170"/>
      <c r="AW126" s="170"/>
      <c r="AX126" s="170"/>
      <c r="AY126" s="170"/>
      <c r="AZ126" s="170"/>
      <c r="BA126" s="277" t="s">
        <v>21</v>
      </c>
      <c r="BB126" s="170"/>
      <c r="BC126" s="170"/>
      <c r="BD126" s="170"/>
      <c r="BE126" s="170"/>
      <c r="BF126" s="170"/>
    </row>
    <row r="127" spans="1:58" s="114" customFormat="1" ht="0.75" customHeight="1">
      <c r="B127" s="169"/>
      <c r="D127" s="345"/>
      <c r="E127" s="360"/>
      <c r="F127" s="318" t="str">
        <f>IF(TEMPLATE_SPHERE_CODE="COLDVSNA","0.1.T","")</f>
        <v/>
      </c>
      <c r="G127" s="1016"/>
      <c r="H127" s="361"/>
      <c r="I127" s="270"/>
      <c r="J127" s="274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369"/>
      <c r="Y127" s="369"/>
      <c r="Z127" s="369"/>
      <c r="AA127" s="369"/>
      <c r="AB127" s="369"/>
      <c r="AC127" s="275"/>
      <c r="AD127" s="275"/>
      <c r="AE127" s="275"/>
      <c r="AF127" s="270"/>
      <c r="AG127" s="169"/>
      <c r="AH127" s="169"/>
      <c r="AI127" s="169"/>
      <c r="AJ127" s="169"/>
      <c r="AK127" s="169"/>
      <c r="AL127" s="169"/>
      <c r="AM127" s="169"/>
      <c r="AN127" s="169"/>
      <c r="AO127" s="169"/>
      <c r="AP127" s="169"/>
      <c r="AQ127" s="169"/>
      <c r="AR127" s="170"/>
      <c r="AS127" s="170"/>
      <c r="AT127" s="170"/>
      <c r="AU127" s="170"/>
      <c r="AV127" s="170"/>
      <c r="AW127" s="170"/>
      <c r="AX127" s="170"/>
      <c r="AY127" s="170"/>
      <c r="AZ127" s="170"/>
      <c r="BA127" s="280"/>
      <c r="BB127" s="170"/>
      <c r="BC127" s="170"/>
      <c r="BD127" s="170"/>
      <c r="BE127" s="170"/>
      <c r="BF127" s="170"/>
    </row>
    <row r="128" spans="1:58" s="114" customFormat="1" ht="0.75" customHeight="1">
      <c r="B128" s="169"/>
      <c r="D128" s="345"/>
      <c r="E128" s="360"/>
      <c r="F128" s="319"/>
      <c r="G128" s="950"/>
      <c r="H128" s="359"/>
      <c r="I128" s="270"/>
      <c r="J128" s="274"/>
      <c r="K128" s="291"/>
      <c r="L128" s="291"/>
      <c r="M128" s="291"/>
      <c r="N128" s="291"/>
      <c r="O128" s="291"/>
      <c r="P128" s="291"/>
      <c r="Q128" s="291"/>
      <c r="R128" s="291"/>
      <c r="S128" s="291"/>
      <c r="T128" s="291"/>
      <c r="U128" s="291"/>
      <c r="V128" s="291"/>
      <c r="W128" s="291"/>
      <c r="X128" s="370"/>
      <c r="Y128" s="370"/>
      <c r="Z128" s="370"/>
      <c r="AA128" s="370"/>
      <c r="AB128" s="370"/>
      <c r="AC128" s="291"/>
      <c r="AD128" s="291"/>
      <c r="AE128" s="291"/>
      <c r="AF128" s="362"/>
      <c r="AG128" s="169"/>
      <c r="AH128" s="169"/>
      <c r="AI128" s="169"/>
      <c r="AJ128" s="169"/>
      <c r="AK128" s="169"/>
      <c r="AL128" s="169"/>
      <c r="AM128" s="169"/>
      <c r="AN128" s="169"/>
      <c r="AO128" s="169"/>
      <c r="AP128" s="169"/>
      <c r="AQ128" s="169"/>
      <c r="AR128" s="170"/>
      <c r="AS128" s="170"/>
      <c r="AT128" s="170"/>
      <c r="AU128" s="170"/>
      <c r="AV128" s="170"/>
      <c r="AW128" s="170"/>
      <c r="AX128" s="170"/>
      <c r="AY128" s="170"/>
      <c r="AZ128" s="170"/>
      <c r="BA128" s="320"/>
      <c r="BB128" s="170"/>
      <c r="BC128" s="170"/>
      <c r="BD128" s="170"/>
      <c r="BE128" s="170"/>
      <c r="BF128" s="170"/>
    </row>
    <row r="129" spans="1:58" s="114" customFormat="1" ht="0.75" customHeight="1">
      <c r="B129" s="169"/>
      <c r="D129" s="345"/>
      <c r="E129" s="360"/>
      <c r="F129" s="321"/>
      <c r="G129" s="1016"/>
      <c r="H129" s="361"/>
      <c r="I129" s="270"/>
      <c r="J129" s="274"/>
      <c r="K129" s="274"/>
      <c r="L129" s="275"/>
      <c r="M129" s="275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369"/>
      <c r="Y129" s="369"/>
      <c r="Z129" s="369"/>
      <c r="AA129" s="369"/>
      <c r="AB129" s="369"/>
      <c r="AC129" s="275"/>
      <c r="AD129" s="275"/>
      <c r="AE129" s="275"/>
      <c r="AF129" s="270"/>
      <c r="AG129" s="169"/>
      <c r="AH129" s="169"/>
      <c r="AI129" s="169"/>
      <c r="AJ129" s="169"/>
      <c r="AK129" s="169"/>
      <c r="AL129" s="169"/>
      <c r="AM129" s="169"/>
      <c r="AN129" s="169"/>
      <c r="AO129" s="169"/>
      <c r="AP129" s="169"/>
      <c r="AQ129" s="169"/>
      <c r="AR129" s="170"/>
      <c r="AS129" s="170"/>
      <c r="AT129" s="170"/>
      <c r="AU129" s="170"/>
      <c r="AV129" s="170"/>
      <c r="AW129" s="170"/>
      <c r="AX129" s="170"/>
      <c r="AY129" s="170"/>
      <c r="AZ129" s="170"/>
      <c r="BA129" s="280"/>
      <c r="BB129" s="170"/>
      <c r="BC129" s="170"/>
      <c r="BD129" s="170"/>
      <c r="BE129" s="170"/>
      <c r="BF129" s="170"/>
    </row>
    <row r="130" spans="1:58" s="114" customFormat="1" ht="0.75" customHeight="1">
      <c r="B130" s="169"/>
      <c r="D130" s="345"/>
      <c r="E130" s="316"/>
      <c r="F130" s="322"/>
      <c r="G130" s="340"/>
      <c r="H130" s="340"/>
      <c r="I130" s="340"/>
      <c r="J130" s="340"/>
      <c r="K130" s="340"/>
      <c r="L130" s="340"/>
      <c r="M130" s="340"/>
      <c r="N130" s="340"/>
      <c r="O130" s="340"/>
      <c r="P130" s="340"/>
      <c r="Q130" s="340"/>
      <c r="R130" s="340"/>
      <c r="S130" s="340"/>
      <c r="T130" s="340"/>
      <c r="U130" s="340"/>
      <c r="V130" s="340"/>
      <c r="W130" s="340"/>
      <c r="X130" s="340"/>
      <c r="Y130" s="340"/>
      <c r="Z130" s="340"/>
      <c r="AA130" s="340"/>
      <c r="AB130" s="340"/>
      <c r="AC130" s="340"/>
      <c r="AD130" s="340"/>
      <c r="AE130" s="340"/>
      <c r="AF130" s="340"/>
      <c r="AG130" s="169"/>
      <c r="AH130" s="169"/>
      <c r="AI130" s="169"/>
      <c r="AJ130" s="169"/>
      <c r="AK130" s="169"/>
      <c r="AL130" s="169"/>
      <c r="AM130" s="169"/>
      <c r="AN130" s="169"/>
      <c r="AO130" s="169"/>
      <c r="AP130" s="169"/>
      <c r="AQ130" s="169"/>
      <c r="AR130" s="170"/>
      <c r="AS130" s="170"/>
      <c r="AT130" s="170"/>
      <c r="AU130" s="170"/>
      <c r="AV130" s="170"/>
      <c r="AW130" s="170"/>
      <c r="AX130" s="170"/>
      <c r="AY130" s="170"/>
      <c r="AZ130" s="170"/>
      <c r="BA130" s="280"/>
      <c r="BB130" s="170"/>
      <c r="BC130" s="170"/>
      <c r="BD130" s="170"/>
      <c r="BE130" s="170"/>
      <c r="BF130" s="170"/>
    </row>
    <row r="131" spans="1:58" s="249" customFormat="1" ht="0.75" customHeight="1">
      <c r="B131" s="323">
        <v>0</v>
      </c>
      <c r="D131" s="286"/>
      <c r="E131" s="316"/>
      <c r="F131" s="324"/>
      <c r="G131" s="325"/>
      <c r="H131" s="310"/>
      <c r="I131" s="310"/>
      <c r="J131" s="307"/>
      <c r="K131" s="307"/>
      <c r="L131" s="363"/>
      <c r="M131" s="363"/>
      <c r="N131" s="363"/>
      <c r="O131" s="363"/>
      <c r="P131" s="363"/>
      <c r="Q131" s="363"/>
      <c r="R131" s="363"/>
      <c r="S131" s="363"/>
      <c r="T131" s="363"/>
      <c r="U131" s="363"/>
      <c r="V131" s="363"/>
      <c r="W131" s="363"/>
      <c r="X131" s="363"/>
      <c r="Y131" s="363"/>
      <c r="Z131" s="363"/>
      <c r="AA131" s="363"/>
      <c r="AB131" s="363"/>
      <c r="AC131" s="363"/>
      <c r="AD131" s="363"/>
      <c r="AE131" s="363"/>
      <c r="AF131" s="363"/>
      <c r="AG131" s="310"/>
      <c r="AH131" s="310"/>
      <c r="AI131" s="310"/>
      <c r="AJ131" s="310"/>
      <c r="AK131" s="310"/>
      <c r="AL131" s="310"/>
      <c r="AM131" s="310"/>
      <c r="AN131" s="310"/>
      <c r="AO131" s="310"/>
      <c r="AP131" s="310"/>
      <c r="AQ131" s="310"/>
      <c r="AR131" s="325"/>
      <c r="AS131" s="325"/>
      <c r="AT131" s="325"/>
      <c r="AU131" s="325"/>
      <c r="AV131" s="325"/>
      <c r="AW131" s="325"/>
      <c r="AX131" s="325"/>
      <c r="AY131" s="325"/>
      <c r="AZ131" s="325"/>
      <c r="BA131" s="53"/>
      <c r="BB131" s="325"/>
      <c r="BC131" s="325"/>
      <c r="BD131" s="325"/>
      <c r="BE131" s="325"/>
      <c r="BF131" s="325"/>
    </row>
    <row r="132" spans="1:58" s="114" customFormat="1" ht="0.75" customHeight="1">
      <c r="A132" s="249"/>
      <c r="B132" s="169"/>
      <c r="C132" s="249"/>
      <c r="D132" s="286"/>
      <c r="E132" s="316"/>
      <c r="F132" s="198"/>
      <c r="G132" s="329" t="s">
        <v>135</v>
      </c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E132" s="198"/>
      <c r="AF132" s="198"/>
      <c r="AG132" s="169"/>
      <c r="AH132" s="169"/>
      <c r="AI132" s="169"/>
      <c r="AJ132" s="169"/>
      <c r="AK132" s="169"/>
      <c r="AL132" s="169"/>
      <c r="AM132" s="169"/>
      <c r="AN132" s="169"/>
      <c r="AO132" s="169"/>
      <c r="AP132" s="169"/>
      <c r="AQ132" s="169"/>
      <c r="AR132" s="170"/>
      <c r="AS132" s="170"/>
      <c r="AT132" s="170"/>
      <c r="AU132" s="170"/>
      <c r="AV132" s="170"/>
      <c r="AW132" s="170"/>
      <c r="AX132" s="170"/>
      <c r="AY132" s="170"/>
      <c r="AZ132" s="170"/>
      <c r="BA132" s="278"/>
      <c r="BB132" s="170"/>
      <c r="BC132" s="170"/>
      <c r="BD132" s="170"/>
      <c r="BE132" s="170"/>
      <c r="BF132" s="170"/>
    </row>
    <row r="133" spans="1:58" s="114" customFormat="1" ht="12" customHeight="1">
      <c r="A133" s="169"/>
      <c r="B133" s="169"/>
      <c r="C133" s="169"/>
      <c r="D133" s="347"/>
      <c r="E133" s="169"/>
      <c r="F133" s="348"/>
      <c r="G133" s="348"/>
      <c r="H133" s="348"/>
      <c r="I133" s="348"/>
      <c r="J133" s="348"/>
      <c r="K133" s="348"/>
      <c r="L133" s="348"/>
      <c r="M133" s="348"/>
      <c r="N133" s="348"/>
      <c r="O133" s="348"/>
      <c r="P133" s="348"/>
      <c r="Q133" s="348"/>
      <c r="R133" s="348"/>
      <c r="S133" s="348"/>
      <c r="T133" s="348"/>
      <c r="U133" s="348"/>
      <c r="V133" s="348"/>
      <c r="W133" s="348"/>
      <c r="X133" s="348"/>
      <c r="Y133" s="348"/>
      <c r="Z133" s="348"/>
      <c r="AA133" s="348"/>
      <c r="AB133" s="349"/>
      <c r="AC133" s="349"/>
      <c r="AD133" s="348"/>
      <c r="AE133" s="348"/>
      <c r="AF133" s="348"/>
      <c r="AG133" s="169"/>
      <c r="AH133" s="169"/>
      <c r="AI133" s="169"/>
      <c r="AJ133" s="169"/>
      <c r="AK133" s="169"/>
      <c r="AL133" s="169"/>
      <c r="AM133" s="169"/>
      <c r="AN133" s="169"/>
      <c r="AO133" s="169"/>
      <c r="AP133" s="169"/>
      <c r="AQ133" s="169"/>
      <c r="AR133" s="170"/>
      <c r="AS133" s="170"/>
      <c r="AT133" s="170"/>
      <c r="AU133" s="170"/>
      <c r="AV133" s="170"/>
      <c r="AW133" s="170"/>
      <c r="AX133" s="170"/>
      <c r="AY133" s="170"/>
      <c r="AZ133" s="170"/>
      <c r="BA133" s="278"/>
      <c r="BB133" s="170"/>
      <c r="BC133" s="170"/>
      <c r="BD133" s="170"/>
      <c r="BE133" s="170"/>
      <c r="BF133" s="170"/>
    </row>
    <row r="134" spans="1:58" s="45" customFormat="1">
      <c r="A134" s="2"/>
      <c r="B134" s="24"/>
      <c r="C134" s="2"/>
      <c r="D134" s="83"/>
      <c r="E134" s="25"/>
      <c r="F134" s="2"/>
      <c r="G134" s="2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</row>
    <row r="135" spans="1:58" s="45" customFormat="1">
      <c r="A135" s="2"/>
      <c r="B135" s="24"/>
      <c r="C135" s="2"/>
      <c r="D135" s="83"/>
      <c r="E135" s="25"/>
      <c r="F135" s="2"/>
      <c r="G135" s="2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</row>
    <row r="136" spans="1:58" s="45" customFormat="1">
      <c r="A136" s="2"/>
      <c r="B136" s="24"/>
      <c r="C136" s="2"/>
      <c r="D136" s="83"/>
      <c r="E136" s="25"/>
      <c r="F136" s="2"/>
      <c r="G136" s="2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</row>
    <row r="137" spans="1:58" s="45" customFormat="1">
      <c r="A137" s="2"/>
      <c r="B137" s="24"/>
      <c r="C137" s="2"/>
      <c r="D137" s="83"/>
      <c r="E137" s="25"/>
      <c r="F137" s="2"/>
      <c r="G137" s="2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</row>
    <row r="138" spans="1:58" s="45" customFormat="1">
      <c r="A138" s="2"/>
      <c r="B138" s="24"/>
      <c r="C138" s="2"/>
      <c r="D138" s="83"/>
      <c r="E138" s="25"/>
      <c r="F138" s="2"/>
      <c r="G138" s="2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</row>
    <row r="139" spans="1:58">
      <c r="D139" s="83"/>
    </row>
    <row r="140" spans="1:58">
      <c r="D140" s="83"/>
    </row>
    <row r="141" spans="1:58">
      <c r="D141" s="83"/>
    </row>
    <row r="142" spans="1:58">
      <c r="D142" s="83"/>
    </row>
  </sheetData>
  <sheetProtection password="D0EA" sheet="1" objects="1" scenarios="1" formatColumns="0" formatRows="0"/>
  <mergeCells count="36">
    <mergeCell ref="B1:B28"/>
    <mergeCell ref="C16:C28"/>
    <mergeCell ref="B29:B56"/>
    <mergeCell ref="C3:C15"/>
    <mergeCell ref="C44:C56"/>
    <mergeCell ref="C31:C43"/>
    <mergeCell ref="G128:G129"/>
    <mergeCell ref="AE122:AE123"/>
    <mergeCell ref="G126:G127"/>
    <mergeCell ref="AC122:AC123"/>
    <mergeCell ref="L121:L123"/>
    <mergeCell ref="AB121:AB123"/>
    <mergeCell ref="W121:Y121"/>
    <mergeCell ref="Z121:Z123"/>
    <mergeCell ref="AA121:AA123"/>
    <mergeCell ref="X122:X123"/>
    <mergeCell ref="Y122:Y123"/>
    <mergeCell ref="N122:P122"/>
    <mergeCell ref="Q122:S122"/>
    <mergeCell ref="T122:V122"/>
    <mergeCell ref="M121:V121"/>
    <mergeCell ref="G1:G2"/>
    <mergeCell ref="F29:F30"/>
    <mergeCell ref="G29:G30"/>
    <mergeCell ref="K121:K123"/>
    <mergeCell ref="I121:I123"/>
    <mergeCell ref="H121:H123"/>
    <mergeCell ref="G121:G123"/>
    <mergeCell ref="J121:J123"/>
    <mergeCell ref="F1:F2"/>
    <mergeCell ref="F121:F123"/>
    <mergeCell ref="AF121:AF123"/>
    <mergeCell ref="M122:M123"/>
    <mergeCell ref="AD122:AD123"/>
    <mergeCell ref="AC121:AE121"/>
    <mergeCell ref="W122:W123"/>
  </mergeCells>
  <phoneticPr fontId="3" type="noConversion"/>
  <pageMargins left="0.37" right="0.35" top="1" bottom="1" header="0.5" footer="0.5"/>
  <pageSetup paperSize="9" scale="30" orientation="landscape" horizontalDpi="4294967292" verticalDpi="4294967292" r:id="rId1"/>
  <headerFooter alignWithMargins="0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VOTV_BAL_TR">
    <tabColor indexed="31"/>
    <pageSetUpPr fitToPage="1"/>
  </sheetPr>
  <dimension ref="A1:BI135"/>
  <sheetViews>
    <sheetView showGridLines="0" topLeftCell="D1" zoomScale="90" zoomScaleNormal="90" workbookViewId="0">
      <pane xSplit="4" ySplit="131" topLeftCell="H132" activePane="bottomRight" state="frozen"/>
      <selection activeCell="D118" sqref="D118"/>
      <selection pane="topRight" activeCell="H118" sqref="H118"/>
      <selection pane="bottomLeft" activeCell="D132" sqref="D132"/>
      <selection pane="bottomRight"/>
    </sheetView>
  </sheetViews>
  <sheetFormatPr defaultColWidth="9.125" defaultRowHeight="17.399999999999999"/>
  <cols>
    <col min="1" max="2" width="5.75" style="24" hidden="1" customWidth="1"/>
    <col min="3" max="3" width="5.75" style="2" hidden="1" customWidth="1"/>
    <col min="4" max="4" width="5.75" style="86" customWidth="1"/>
    <col min="5" max="5" width="0.125" style="25" customWidth="1"/>
    <col min="6" max="6" width="6.75" style="2" customWidth="1"/>
    <col min="7" max="7" width="20.75" style="2" customWidth="1"/>
    <col min="8" max="9" width="12.75" style="2" customWidth="1"/>
    <col min="10" max="10" width="18.75" style="2" customWidth="1"/>
    <col min="11" max="13" width="17.75" style="2" customWidth="1"/>
    <col min="14" max="15" width="15.75" style="2" customWidth="1"/>
    <col min="16" max="16" width="13.75" style="2" customWidth="1"/>
    <col min="17" max="27" width="15.75" style="2" customWidth="1"/>
    <col min="28" max="28" width="17.75" style="2" customWidth="1"/>
    <col min="29" max="47" width="2.75" style="45" customWidth="1"/>
    <col min="48" max="48" width="2.75" style="45" hidden="1" customWidth="1"/>
    <col min="49" max="52" width="2.75" style="45" customWidth="1"/>
    <col min="53" max="53" width="17.75" style="2" hidden="1" customWidth="1"/>
    <col min="54" max="16384" width="9.125" style="2"/>
  </cols>
  <sheetData>
    <row r="1" spans="1:61" s="114" customFormat="1" ht="24" hidden="1" customHeight="1">
      <c r="A1" s="287"/>
      <c r="B1" s="942"/>
      <c r="C1" s="288" t="str">
        <f>F3</f>
        <v>0.0</v>
      </c>
      <c r="D1" s="396" t="s">
        <v>112</v>
      </c>
      <c r="E1" s="289"/>
      <c r="F1" s="938">
        <f>B1</f>
        <v>0</v>
      </c>
      <c r="G1" s="945"/>
      <c r="H1" s="274"/>
      <c r="I1" s="274"/>
      <c r="J1" s="274"/>
      <c r="K1" s="274"/>
      <c r="L1" s="274"/>
      <c r="M1" s="274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0"/>
      <c r="AC1" s="351"/>
      <c r="AD1" s="351"/>
      <c r="AE1" s="351"/>
      <c r="AF1" s="351"/>
      <c r="AG1" s="351"/>
      <c r="AH1" s="351"/>
      <c r="AI1" s="351"/>
      <c r="AJ1" s="351"/>
      <c r="AK1" s="351"/>
      <c r="AL1" s="351"/>
      <c r="AM1" s="351"/>
      <c r="AN1" s="351"/>
      <c r="AO1" s="351"/>
      <c r="AP1" s="351"/>
      <c r="AQ1" s="351"/>
      <c r="AR1" s="351"/>
      <c r="AS1" s="351"/>
      <c r="AT1" s="351"/>
      <c r="AU1" s="351"/>
      <c r="AV1" s="351"/>
      <c r="AW1" s="351"/>
      <c r="AX1" s="351"/>
      <c r="AY1" s="351"/>
      <c r="AZ1" s="351"/>
      <c r="BA1" s="277" t="s">
        <v>765</v>
      </c>
      <c r="BB1" s="351"/>
      <c r="BC1" s="351"/>
      <c r="BD1" s="278"/>
      <c r="BE1" s="278"/>
      <c r="BF1" s="278"/>
      <c r="BI1" s="212"/>
    </row>
    <row r="2" spans="1:61" s="114" customFormat="1" ht="0.75" hidden="1" customHeight="1">
      <c r="A2" s="287"/>
      <c r="B2" s="943"/>
      <c r="C2" s="288"/>
      <c r="D2" s="397"/>
      <c r="E2" s="289"/>
      <c r="F2" s="939"/>
      <c r="G2" s="941"/>
      <c r="H2" s="274"/>
      <c r="I2" s="274"/>
      <c r="J2" s="274"/>
      <c r="K2" s="274"/>
      <c r="L2" s="274"/>
      <c r="M2" s="274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0"/>
      <c r="AC2" s="351"/>
      <c r="AD2" s="351"/>
      <c r="AE2" s="351"/>
      <c r="AF2" s="351"/>
      <c r="AG2" s="351"/>
      <c r="AH2" s="351"/>
      <c r="AI2" s="351"/>
      <c r="AJ2" s="351"/>
      <c r="AK2" s="351"/>
      <c r="AL2" s="351"/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280"/>
      <c r="BB2" s="351"/>
      <c r="BC2" s="351"/>
      <c r="BD2" s="278"/>
      <c r="BE2" s="278"/>
      <c r="BF2" s="278"/>
      <c r="BI2" s="212"/>
    </row>
    <row r="3" spans="1:61" s="114" customFormat="1" ht="12" hidden="1" customHeight="1">
      <c r="A3" s="287"/>
      <c r="B3" s="943"/>
      <c r="C3" s="946"/>
      <c r="D3" s="286"/>
      <c r="E3" s="282"/>
      <c r="F3" s="283" t="str">
        <f>F1 &amp; ".0"</f>
        <v>0.0</v>
      </c>
      <c r="G3" s="301" t="s">
        <v>136</v>
      </c>
      <c r="H3" s="274"/>
      <c r="I3" s="274"/>
      <c r="J3" s="274"/>
      <c r="K3" s="274"/>
      <c r="L3" s="274"/>
      <c r="M3" s="274"/>
      <c r="N3" s="275"/>
      <c r="O3" s="275"/>
      <c r="P3" s="275"/>
      <c r="Q3" s="275"/>
      <c r="R3" s="275"/>
      <c r="S3" s="275"/>
      <c r="T3" s="275"/>
      <c r="U3" s="275"/>
      <c r="V3" s="275"/>
      <c r="W3" s="275"/>
      <c r="X3" s="275"/>
      <c r="Y3" s="275"/>
      <c r="Z3" s="275"/>
      <c r="AA3" s="275"/>
      <c r="AB3" s="270"/>
      <c r="AC3" s="351"/>
      <c r="AD3" s="351"/>
      <c r="AE3" s="351"/>
      <c r="AF3" s="351"/>
      <c r="AG3" s="351"/>
      <c r="AH3" s="351"/>
      <c r="AI3" s="351"/>
      <c r="AJ3" s="351"/>
      <c r="AK3" s="351"/>
      <c r="AL3" s="351"/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277" t="s">
        <v>21</v>
      </c>
      <c r="BB3" s="351"/>
      <c r="BC3" s="351"/>
      <c r="BD3" s="278"/>
      <c r="BE3" s="278"/>
      <c r="BF3" s="278"/>
      <c r="BI3" s="212"/>
    </row>
    <row r="4" spans="1:61" s="114" customFormat="1" ht="12" hidden="1" customHeight="1">
      <c r="A4" s="287"/>
      <c r="B4" s="943"/>
      <c r="C4" s="947"/>
      <c r="D4" s="286"/>
      <c r="E4" s="282"/>
      <c r="F4" s="283" t="str">
        <f>F1 &amp; ".1"</f>
        <v>0.1</v>
      </c>
      <c r="G4" s="301" t="s">
        <v>137</v>
      </c>
      <c r="H4" s="274"/>
      <c r="I4" s="274"/>
      <c r="J4" s="274"/>
      <c r="K4" s="274"/>
      <c r="L4" s="274"/>
      <c r="M4" s="274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270"/>
      <c r="AC4" s="351"/>
      <c r="AD4" s="351"/>
      <c r="AE4" s="351"/>
      <c r="AF4" s="351"/>
      <c r="AG4" s="351"/>
      <c r="AH4" s="351"/>
      <c r="AI4" s="351"/>
      <c r="AJ4" s="351"/>
      <c r="AK4" s="351"/>
      <c r="AL4" s="351"/>
      <c r="AM4" s="351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280" t="str">
        <f>C1 &amp; "-I"</f>
        <v>0.0-I</v>
      </c>
      <c r="BB4" s="351"/>
      <c r="BC4" s="351"/>
      <c r="BD4" s="278"/>
      <c r="BE4" s="278"/>
      <c r="BF4" s="278"/>
      <c r="BI4" s="212"/>
    </row>
    <row r="5" spans="1:61" s="114" customFormat="1" ht="12" hidden="1" customHeight="1">
      <c r="A5" s="287"/>
      <c r="B5" s="943"/>
      <c r="C5" s="947"/>
      <c r="D5" s="286"/>
      <c r="E5" s="282"/>
      <c r="F5" s="283" t="str">
        <f>F1 &amp; ".2"</f>
        <v>0.2</v>
      </c>
      <c r="G5" s="301" t="s">
        <v>138</v>
      </c>
      <c r="H5" s="274"/>
      <c r="I5" s="274"/>
      <c r="J5" s="274"/>
      <c r="K5" s="274"/>
      <c r="L5" s="274"/>
      <c r="M5" s="274"/>
      <c r="N5" s="275"/>
      <c r="O5" s="275"/>
      <c r="P5" s="275"/>
      <c r="Q5" s="275"/>
      <c r="R5" s="275"/>
      <c r="S5" s="275"/>
      <c r="T5" s="275"/>
      <c r="U5" s="275"/>
      <c r="V5" s="275"/>
      <c r="W5" s="275"/>
      <c r="X5" s="275"/>
      <c r="Y5" s="275"/>
      <c r="Z5" s="275"/>
      <c r="AA5" s="275"/>
      <c r="AB5" s="270"/>
      <c r="AC5" s="351"/>
      <c r="AD5" s="351"/>
      <c r="AE5" s="351"/>
      <c r="AF5" s="351"/>
      <c r="AG5" s="351"/>
      <c r="AH5" s="351"/>
      <c r="AI5" s="351"/>
      <c r="AJ5" s="351"/>
      <c r="AK5" s="351"/>
      <c r="AL5" s="351"/>
      <c r="AM5" s="351"/>
      <c r="AN5" s="351"/>
      <c r="AO5" s="351"/>
      <c r="AP5" s="351"/>
      <c r="AQ5" s="351"/>
      <c r="AR5" s="351"/>
      <c r="AS5" s="351"/>
      <c r="AT5" s="351"/>
      <c r="AU5" s="351"/>
      <c r="AV5" s="351"/>
      <c r="AW5" s="351"/>
      <c r="AX5" s="351"/>
      <c r="AY5" s="351"/>
      <c r="AZ5" s="351"/>
      <c r="BA5" s="280" t="str">
        <f>C1 &amp; "-I"</f>
        <v>0.0-I</v>
      </c>
      <c r="BB5" s="351"/>
      <c r="BC5" s="351"/>
      <c r="BD5" s="278"/>
      <c r="BE5" s="278"/>
      <c r="BF5" s="278"/>
      <c r="BI5" s="212"/>
    </row>
    <row r="6" spans="1:61" s="114" customFormat="1" ht="12" hidden="1" customHeight="1">
      <c r="A6" s="287"/>
      <c r="B6" s="943"/>
      <c r="C6" s="947"/>
      <c r="D6" s="286"/>
      <c r="E6" s="282"/>
      <c r="F6" s="283" t="str">
        <f>F1 &amp; ".3"</f>
        <v>0.3</v>
      </c>
      <c r="G6" s="301" t="s">
        <v>139</v>
      </c>
      <c r="H6" s="274"/>
      <c r="I6" s="274"/>
      <c r="J6" s="274"/>
      <c r="K6" s="274"/>
      <c r="L6" s="274"/>
      <c r="M6" s="274"/>
      <c r="N6" s="275"/>
      <c r="O6" s="275"/>
      <c r="P6" s="275"/>
      <c r="Q6" s="275"/>
      <c r="R6" s="275"/>
      <c r="S6" s="275"/>
      <c r="T6" s="275"/>
      <c r="U6" s="275"/>
      <c r="V6" s="275"/>
      <c r="W6" s="275"/>
      <c r="X6" s="275"/>
      <c r="Y6" s="275"/>
      <c r="Z6" s="275"/>
      <c r="AA6" s="275"/>
      <c r="AB6" s="270"/>
      <c r="AC6" s="351"/>
      <c r="AD6" s="351"/>
      <c r="AE6" s="351"/>
      <c r="AF6" s="351"/>
      <c r="AG6" s="351"/>
      <c r="AH6" s="351"/>
      <c r="AI6" s="351"/>
      <c r="AJ6" s="351"/>
      <c r="AK6" s="351"/>
      <c r="AL6" s="351"/>
      <c r="AM6" s="351"/>
      <c r="AN6" s="351"/>
      <c r="AO6" s="351"/>
      <c r="AP6" s="351"/>
      <c r="AQ6" s="351"/>
      <c r="AR6" s="351"/>
      <c r="AS6" s="351"/>
      <c r="AT6" s="351"/>
      <c r="AU6" s="351"/>
      <c r="AV6" s="351"/>
      <c r="AW6" s="351"/>
      <c r="AX6" s="351"/>
      <c r="AY6" s="351"/>
      <c r="AZ6" s="351"/>
      <c r="BA6" s="280" t="str">
        <f>C1 &amp; "-I"</f>
        <v>0.0-I</v>
      </c>
      <c r="BB6" s="351"/>
      <c r="BC6" s="351"/>
      <c r="BD6" s="278"/>
      <c r="BE6" s="278"/>
      <c r="BF6" s="278"/>
      <c r="BI6" s="212"/>
    </row>
    <row r="7" spans="1:61" s="114" customFormat="1" ht="12" hidden="1" customHeight="1">
      <c r="A7" s="287"/>
      <c r="B7" s="943"/>
      <c r="C7" s="947"/>
      <c r="D7" s="286"/>
      <c r="E7" s="282"/>
      <c r="F7" s="283" t="str">
        <f>F1 &amp; ".4"</f>
        <v>0.4</v>
      </c>
      <c r="G7" s="301" t="s">
        <v>140</v>
      </c>
      <c r="H7" s="274"/>
      <c r="I7" s="274"/>
      <c r="J7" s="274"/>
      <c r="K7" s="274"/>
      <c r="L7" s="274"/>
      <c r="M7" s="274"/>
      <c r="N7" s="275"/>
      <c r="O7" s="275"/>
      <c r="P7" s="275"/>
      <c r="Q7" s="275"/>
      <c r="R7" s="275"/>
      <c r="S7" s="275"/>
      <c r="T7" s="275"/>
      <c r="U7" s="275"/>
      <c r="V7" s="275"/>
      <c r="W7" s="275"/>
      <c r="X7" s="275"/>
      <c r="Y7" s="275"/>
      <c r="Z7" s="275"/>
      <c r="AA7" s="275"/>
      <c r="AB7" s="270"/>
      <c r="AC7" s="351"/>
      <c r="AD7" s="351"/>
      <c r="AE7" s="351"/>
      <c r="AF7" s="351"/>
      <c r="AG7" s="351"/>
      <c r="AH7" s="351"/>
      <c r="AI7" s="351"/>
      <c r="AJ7" s="351"/>
      <c r="AK7" s="351"/>
      <c r="AL7" s="351"/>
      <c r="AM7" s="351"/>
      <c r="AN7" s="351"/>
      <c r="AO7" s="351"/>
      <c r="AP7" s="351"/>
      <c r="AQ7" s="351"/>
      <c r="AR7" s="351"/>
      <c r="AS7" s="351"/>
      <c r="AT7" s="351"/>
      <c r="AU7" s="351"/>
      <c r="AV7" s="351"/>
      <c r="AW7" s="351"/>
      <c r="AX7" s="351"/>
      <c r="AY7" s="351"/>
      <c r="AZ7" s="351"/>
      <c r="BA7" s="280" t="str">
        <f>C1 &amp; "-I"</f>
        <v>0.0-I</v>
      </c>
      <c r="BB7" s="351"/>
      <c r="BC7" s="351"/>
      <c r="BD7" s="278"/>
      <c r="BE7" s="278"/>
      <c r="BF7" s="278"/>
      <c r="BI7" s="212"/>
    </row>
    <row r="8" spans="1:61" s="114" customFormat="1" ht="12" hidden="1" customHeight="1">
      <c r="A8" s="287"/>
      <c r="B8" s="943"/>
      <c r="C8" s="947"/>
      <c r="D8" s="286"/>
      <c r="E8" s="282"/>
      <c r="F8" s="283" t="str">
        <f>F1 &amp; ".5"</f>
        <v>0.5</v>
      </c>
      <c r="G8" s="301" t="s">
        <v>141</v>
      </c>
      <c r="H8" s="274"/>
      <c r="I8" s="274"/>
      <c r="J8" s="274"/>
      <c r="K8" s="274"/>
      <c r="L8" s="274"/>
      <c r="M8" s="274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5"/>
      <c r="Y8" s="275"/>
      <c r="Z8" s="275"/>
      <c r="AA8" s="275"/>
      <c r="AB8" s="270"/>
      <c r="AC8" s="351"/>
      <c r="AD8" s="351"/>
      <c r="AE8" s="351"/>
      <c r="AF8" s="351"/>
      <c r="AG8" s="351"/>
      <c r="AH8" s="351"/>
      <c r="AI8" s="351"/>
      <c r="AJ8" s="351"/>
      <c r="AK8" s="351"/>
      <c r="AL8" s="351"/>
      <c r="AM8" s="351"/>
      <c r="AN8" s="351"/>
      <c r="AO8" s="351"/>
      <c r="AP8" s="351"/>
      <c r="AQ8" s="351"/>
      <c r="AR8" s="351"/>
      <c r="AS8" s="351"/>
      <c r="AT8" s="351"/>
      <c r="AU8" s="351"/>
      <c r="AV8" s="351"/>
      <c r="AW8" s="351"/>
      <c r="AX8" s="351"/>
      <c r="AY8" s="351"/>
      <c r="AZ8" s="351"/>
      <c r="BA8" s="280" t="str">
        <f>C1 &amp; "-I"</f>
        <v>0.0-I</v>
      </c>
      <c r="BB8" s="351"/>
      <c r="BC8" s="351"/>
      <c r="BD8" s="278"/>
      <c r="BE8" s="278"/>
      <c r="BF8" s="278"/>
      <c r="BI8" s="212"/>
    </row>
    <row r="9" spans="1:61" s="114" customFormat="1" ht="12" hidden="1" customHeight="1">
      <c r="A9" s="287"/>
      <c r="B9" s="943"/>
      <c r="C9" s="947"/>
      <c r="D9" s="286"/>
      <c r="E9" s="282"/>
      <c r="F9" s="283" t="str">
        <f>F1 &amp; ".6"</f>
        <v>0.6</v>
      </c>
      <c r="G9" s="301" t="s">
        <v>142</v>
      </c>
      <c r="H9" s="274"/>
      <c r="I9" s="274"/>
      <c r="J9" s="274"/>
      <c r="K9" s="274"/>
      <c r="L9" s="274"/>
      <c r="M9" s="274"/>
      <c r="N9" s="275"/>
      <c r="O9" s="275"/>
      <c r="P9" s="275"/>
      <c r="Q9" s="275"/>
      <c r="R9" s="275"/>
      <c r="S9" s="275"/>
      <c r="T9" s="275"/>
      <c r="U9" s="275"/>
      <c r="V9" s="275"/>
      <c r="W9" s="275"/>
      <c r="X9" s="275"/>
      <c r="Y9" s="275"/>
      <c r="Z9" s="275"/>
      <c r="AA9" s="275"/>
      <c r="AB9" s="270"/>
      <c r="AC9" s="351"/>
      <c r="AD9" s="351"/>
      <c r="AE9" s="351"/>
      <c r="AF9" s="351"/>
      <c r="AG9" s="351"/>
      <c r="AH9" s="351"/>
      <c r="AI9" s="351"/>
      <c r="AJ9" s="351"/>
      <c r="AK9" s="351"/>
      <c r="AL9" s="351"/>
      <c r="AM9" s="351"/>
      <c r="AN9" s="351"/>
      <c r="AO9" s="351"/>
      <c r="AP9" s="351"/>
      <c r="AQ9" s="351"/>
      <c r="AR9" s="351"/>
      <c r="AS9" s="351"/>
      <c r="AT9" s="351"/>
      <c r="AU9" s="351"/>
      <c r="AV9" s="351"/>
      <c r="AW9" s="351"/>
      <c r="AX9" s="351"/>
      <c r="AY9" s="351"/>
      <c r="AZ9" s="351"/>
      <c r="BA9" s="280" t="str">
        <f>C1 &amp; "-I"</f>
        <v>0.0-I</v>
      </c>
      <c r="BB9" s="351"/>
      <c r="BC9" s="351"/>
      <c r="BD9" s="278"/>
      <c r="BE9" s="278"/>
      <c r="BF9" s="278"/>
      <c r="BI9" s="212"/>
    </row>
    <row r="10" spans="1:61" s="114" customFormat="1" ht="12" hidden="1" customHeight="1">
      <c r="A10" s="287"/>
      <c r="B10" s="943"/>
      <c r="C10" s="947"/>
      <c r="D10" s="286"/>
      <c r="E10" s="282"/>
      <c r="F10" s="283" t="str">
        <f>F1 &amp; ".7"</f>
        <v>0.7</v>
      </c>
      <c r="G10" s="301" t="s">
        <v>143</v>
      </c>
      <c r="H10" s="274"/>
      <c r="I10" s="274"/>
      <c r="J10" s="274"/>
      <c r="K10" s="274"/>
      <c r="L10" s="274"/>
      <c r="M10" s="274"/>
      <c r="N10" s="275"/>
      <c r="O10" s="275"/>
      <c r="P10" s="275"/>
      <c r="Q10" s="275"/>
      <c r="R10" s="275"/>
      <c r="S10" s="275"/>
      <c r="T10" s="275"/>
      <c r="U10" s="275"/>
      <c r="V10" s="275"/>
      <c r="W10" s="275"/>
      <c r="X10" s="275"/>
      <c r="Y10" s="275"/>
      <c r="Z10" s="275"/>
      <c r="AA10" s="275"/>
      <c r="AB10" s="270"/>
      <c r="AC10" s="351"/>
      <c r="AD10" s="351"/>
      <c r="AE10" s="351"/>
      <c r="AF10" s="351"/>
      <c r="AG10" s="351"/>
      <c r="AH10" s="351"/>
      <c r="AI10" s="351"/>
      <c r="AJ10" s="351"/>
      <c r="AK10" s="351"/>
      <c r="AL10" s="351"/>
      <c r="AM10" s="351"/>
      <c r="AN10" s="351"/>
      <c r="AO10" s="351"/>
      <c r="AP10" s="351"/>
      <c r="AQ10" s="351"/>
      <c r="AR10" s="351"/>
      <c r="AS10" s="351"/>
      <c r="AT10" s="351"/>
      <c r="AU10" s="351"/>
      <c r="AV10" s="351"/>
      <c r="AW10" s="351"/>
      <c r="AX10" s="351"/>
      <c r="AY10" s="351"/>
      <c r="AZ10" s="351"/>
      <c r="BA10" s="280" t="str">
        <f>C1 &amp; "-II"</f>
        <v>0.0-II</v>
      </c>
      <c r="BB10" s="351"/>
      <c r="BC10" s="351"/>
      <c r="BD10" s="278"/>
      <c r="BE10" s="278"/>
      <c r="BF10" s="278"/>
      <c r="BI10" s="212"/>
    </row>
    <row r="11" spans="1:61" s="114" customFormat="1" ht="12" hidden="1" customHeight="1">
      <c r="A11" s="287"/>
      <c r="B11" s="943"/>
      <c r="C11" s="947"/>
      <c r="D11" s="286"/>
      <c r="E11" s="282"/>
      <c r="F11" s="283" t="str">
        <f>F1 &amp; ".8"</f>
        <v>0.8</v>
      </c>
      <c r="G11" s="301" t="s">
        <v>144</v>
      </c>
      <c r="H11" s="274"/>
      <c r="I11" s="274"/>
      <c r="J11" s="274"/>
      <c r="K11" s="274"/>
      <c r="L11" s="274"/>
      <c r="M11" s="274"/>
      <c r="N11" s="275"/>
      <c r="O11" s="275"/>
      <c r="P11" s="275"/>
      <c r="Q11" s="275"/>
      <c r="R11" s="275"/>
      <c r="S11" s="275"/>
      <c r="T11" s="275"/>
      <c r="U11" s="275"/>
      <c r="V11" s="275"/>
      <c r="W11" s="275"/>
      <c r="X11" s="275"/>
      <c r="Y11" s="275"/>
      <c r="Z11" s="275"/>
      <c r="AA11" s="275"/>
      <c r="AB11" s="270"/>
      <c r="AC11" s="351"/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51"/>
      <c r="AO11" s="351"/>
      <c r="AP11" s="351"/>
      <c r="AQ11" s="351"/>
      <c r="AR11" s="351"/>
      <c r="AS11" s="351"/>
      <c r="AT11" s="351"/>
      <c r="AU11" s="351"/>
      <c r="AV11" s="351"/>
      <c r="AW11" s="351"/>
      <c r="AX11" s="351"/>
      <c r="AY11" s="351"/>
      <c r="AZ11" s="351"/>
      <c r="BA11" s="280" t="str">
        <f>C1 &amp; "-II"</f>
        <v>0.0-II</v>
      </c>
      <c r="BB11" s="351"/>
      <c r="BC11" s="351"/>
      <c r="BD11" s="278"/>
      <c r="BE11" s="278"/>
      <c r="BF11" s="278"/>
      <c r="BI11" s="212"/>
    </row>
    <row r="12" spans="1:61" s="114" customFormat="1" ht="12" hidden="1" customHeight="1">
      <c r="A12" s="287"/>
      <c r="B12" s="943"/>
      <c r="C12" s="947"/>
      <c r="D12" s="286"/>
      <c r="E12" s="282"/>
      <c r="F12" s="283" t="str">
        <f>F1 &amp; ".9"</f>
        <v>0.9</v>
      </c>
      <c r="G12" s="301" t="s">
        <v>145</v>
      </c>
      <c r="H12" s="274"/>
      <c r="I12" s="274"/>
      <c r="J12" s="274"/>
      <c r="K12" s="274"/>
      <c r="L12" s="274"/>
      <c r="M12" s="274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0"/>
      <c r="AC12" s="351"/>
      <c r="AD12" s="351"/>
      <c r="AE12" s="351"/>
      <c r="AF12" s="351"/>
      <c r="AG12" s="351"/>
      <c r="AH12" s="351"/>
      <c r="AI12" s="351"/>
      <c r="AJ12" s="351"/>
      <c r="AK12" s="351"/>
      <c r="AL12" s="351"/>
      <c r="AM12" s="351"/>
      <c r="AN12" s="351"/>
      <c r="AO12" s="351"/>
      <c r="AP12" s="351"/>
      <c r="AQ12" s="351"/>
      <c r="AR12" s="351"/>
      <c r="AS12" s="351"/>
      <c r="AT12" s="351"/>
      <c r="AU12" s="351"/>
      <c r="AV12" s="351"/>
      <c r="AW12" s="351"/>
      <c r="AX12" s="351"/>
      <c r="AY12" s="351"/>
      <c r="AZ12" s="351"/>
      <c r="BA12" s="280" t="str">
        <f>C1 &amp; "-II"</f>
        <v>0.0-II</v>
      </c>
      <c r="BB12" s="351"/>
      <c r="BC12" s="351"/>
      <c r="BD12" s="278"/>
      <c r="BE12" s="278"/>
      <c r="BF12" s="278"/>
      <c r="BI12" s="212"/>
    </row>
    <row r="13" spans="1:61" s="114" customFormat="1" ht="12" hidden="1" customHeight="1">
      <c r="A13" s="287"/>
      <c r="B13" s="943"/>
      <c r="C13" s="947"/>
      <c r="D13" s="286"/>
      <c r="E13" s="282"/>
      <c r="F13" s="283" t="str">
        <f>F1 &amp; ".10"</f>
        <v>0.10</v>
      </c>
      <c r="G13" s="301" t="s">
        <v>146</v>
      </c>
      <c r="H13" s="274"/>
      <c r="I13" s="274"/>
      <c r="J13" s="274"/>
      <c r="K13" s="274"/>
      <c r="L13" s="274"/>
      <c r="M13" s="274"/>
      <c r="N13" s="275"/>
      <c r="O13" s="275"/>
      <c r="P13" s="275"/>
      <c r="Q13" s="275"/>
      <c r="R13" s="275"/>
      <c r="S13" s="275"/>
      <c r="T13" s="275"/>
      <c r="U13" s="275"/>
      <c r="V13" s="275"/>
      <c r="W13" s="275"/>
      <c r="X13" s="275"/>
      <c r="Y13" s="275"/>
      <c r="Z13" s="275"/>
      <c r="AA13" s="275"/>
      <c r="AB13" s="270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1"/>
      <c r="AT13" s="351"/>
      <c r="AU13" s="351"/>
      <c r="AV13" s="351"/>
      <c r="AW13" s="351"/>
      <c r="AX13" s="351"/>
      <c r="AY13" s="351"/>
      <c r="AZ13" s="351"/>
      <c r="BA13" s="280" t="str">
        <f>C1 &amp; "-II"</f>
        <v>0.0-II</v>
      </c>
      <c r="BB13" s="351"/>
      <c r="BC13" s="351"/>
      <c r="BD13" s="278"/>
      <c r="BE13" s="278"/>
      <c r="BF13" s="278"/>
      <c r="BI13" s="212"/>
    </row>
    <row r="14" spans="1:61" s="114" customFormat="1" ht="12" hidden="1" customHeight="1">
      <c r="A14" s="287"/>
      <c r="B14" s="943"/>
      <c r="C14" s="947"/>
      <c r="D14" s="286"/>
      <c r="E14" s="282"/>
      <c r="F14" s="283" t="str">
        <f>F1 &amp; ".11"</f>
        <v>0.11</v>
      </c>
      <c r="G14" s="301" t="s">
        <v>147</v>
      </c>
      <c r="H14" s="274"/>
      <c r="I14" s="274"/>
      <c r="J14" s="274"/>
      <c r="K14" s="274"/>
      <c r="L14" s="274"/>
      <c r="M14" s="274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0"/>
      <c r="AC14" s="351"/>
      <c r="AD14" s="351"/>
      <c r="AE14" s="351"/>
      <c r="AF14" s="351"/>
      <c r="AG14" s="351"/>
      <c r="AH14" s="351"/>
      <c r="AI14" s="351"/>
      <c r="AJ14" s="351"/>
      <c r="AK14" s="351"/>
      <c r="AL14" s="351"/>
      <c r="AM14" s="351"/>
      <c r="AN14" s="351"/>
      <c r="AO14" s="351"/>
      <c r="AP14" s="351"/>
      <c r="AQ14" s="351"/>
      <c r="AR14" s="351"/>
      <c r="AS14" s="351"/>
      <c r="AT14" s="351"/>
      <c r="AU14" s="351"/>
      <c r="AV14" s="351"/>
      <c r="AW14" s="351"/>
      <c r="AX14" s="351"/>
      <c r="AY14" s="351"/>
      <c r="AZ14" s="351"/>
      <c r="BA14" s="280" t="str">
        <f>C1 &amp; "-II"</f>
        <v>0.0-II</v>
      </c>
      <c r="BB14" s="351"/>
      <c r="BC14" s="351"/>
      <c r="BD14" s="278"/>
      <c r="BE14" s="278"/>
      <c r="BF14" s="278"/>
      <c r="BI14" s="212"/>
    </row>
    <row r="15" spans="1:61" s="114" customFormat="1" ht="12" hidden="1" customHeight="1">
      <c r="A15" s="287"/>
      <c r="B15" s="943"/>
      <c r="C15" s="948"/>
      <c r="D15" s="286"/>
      <c r="E15" s="282"/>
      <c r="F15" s="283" t="str">
        <f>F1 &amp; ".12"</f>
        <v>0.12</v>
      </c>
      <c r="G15" s="301" t="s">
        <v>148</v>
      </c>
      <c r="H15" s="274"/>
      <c r="I15" s="274"/>
      <c r="J15" s="274"/>
      <c r="K15" s="274"/>
      <c r="L15" s="274"/>
      <c r="M15" s="274"/>
      <c r="N15" s="275"/>
      <c r="O15" s="275"/>
      <c r="P15" s="275"/>
      <c r="Q15" s="275"/>
      <c r="R15" s="275"/>
      <c r="S15" s="275"/>
      <c r="T15" s="275"/>
      <c r="U15" s="275"/>
      <c r="V15" s="275"/>
      <c r="W15" s="275"/>
      <c r="X15" s="275"/>
      <c r="Y15" s="275"/>
      <c r="Z15" s="275"/>
      <c r="AA15" s="275"/>
      <c r="AB15" s="270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51"/>
      <c r="AS15" s="351"/>
      <c r="AT15" s="351"/>
      <c r="AU15" s="351"/>
      <c r="AV15" s="351"/>
      <c r="AW15" s="351"/>
      <c r="AX15" s="351"/>
      <c r="AY15" s="351"/>
      <c r="AZ15" s="351"/>
      <c r="BA15" s="280" t="str">
        <f>C1 &amp; "-II"</f>
        <v>0.0-II</v>
      </c>
      <c r="BB15" s="351"/>
      <c r="BC15" s="351"/>
      <c r="BD15" s="278"/>
      <c r="BE15" s="278"/>
      <c r="BF15" s="278"/>
      <c r="BI15" s="212"/>
    </row>
    <row r="16" spans="1:61" s="114" customFormat="1" ht="0.75" hidden="1" customHeight="1">
      <c r="A16" s="287"/>
      <c r="B16" s="943"/>
      <c r="C16" s="946"/>
      <c r="D16" s="286"/>
      <c r="E16" s="282"/>
      <c r="F16" s="274"/>
      <c r="G16" s="274"/>
      <c r="H16" s="274"/>
      <c r="I16" s="274"/>
      <c r="J16" s="274"/>
      <c r="K16" s="274"/>
      <c r="L16" s="274"/>
      <c r="M16" s="274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  <c r="Y16" s="275"/>
      <c r="Z16" s="275"/>
      <c r="AA16" s="275"/>
      <c r="AB16" s="270"/>
      <c r="AC16" s="351"/>
      <c r="AD16" s="351"/>
      <c r="AE16" s="351"/>
      <c r="AF16" s="351"/>
      <c r="AG16" s="351"/>
      <c r="AH16" s="351"/>
      <c r="AI16" s="351"/>
      <c r="AJ16" s="351"/>
      <c r="AK16" s="351"/>
      <c r="AL16" s="351"/>
      <c r="AM16" s="351"/>
      <c r="AN16" s="351"/>
      <c r="AO16" s="351"/>
      <c r="AP16" s="351"/>
      <c r="AQ16" s="351"/>
      <c r="AR16" s="351"/>
      <c r="AS16" s="351"/>
      <c r="AT16" s="351"/>
      <c r="AU16" s="351"/>
      <c r="AV16" s="351"/>
      <c r="AW16" s="351"/>
      <c r="AX16" s="351"/>
      <c r="AY16" s="351"/>
      <c r="AZ16" s="351"/>
      <c r="BA16" s="280"/>
      <c r="BB16" s="351"/>
      <c r="BC16" s="351"/>
      <c r="BD16" s="278"/>
      <c r="BE16" s="278"/>
      <c r="BF16" s="278"/>
      <c r="BI16" s="212"/>
    </row>
    <row r="17" spans="1:61" s="114" customFormat="1" ht="0.75" hidden="1" customHeight="1">
      <c r="A17" s="287"/>
      <c r="B17" s="943"/>
      <c r="C17" s="947"/>
      <c r="D17" s="286"/>
      <c r="E17" s="282"/>
      <c r="F17" s="274"/>
      <c r="G17" s="274"/>
      <c r="H17" s="274"/>
      <c r="I17" s="274"/>
      <c r="J17" s="274"/>
      <c r="K17" s="274"/>
      <c r="L17" s="274"/>
      <c r="M17" s="274"/>
      <c r="N17" s="275"/>
      <c r="O17" s="275"/>
      <c r="P17" s="275"/>
      <c r="Q17" s="275"/>
      <c r="R17" s="275"/>
      <c r="S17" s="275"/>
      <c r="T17" s="275"/>
      <c r="U17" s="275"/>
      <c r="V17" s="275"/>
      <c r="W17" s="275"/>
      <c r="X17" s="275"/>
      <c r="Y17" s="275"/>
      <c r="Z17" s="275"/>
      <c r="AA17" s="275"/>
      <c r="AB17" s="270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1"/>
      <c r="AT17" s="351"/>
      <c r="AU17" s="351"/>
      <c r="AV17" s="351"/>
      <c r="AW17" s="351"/>
      <c r="AX17" s="351"/>
      <c r="AY17" s="351"/>
      <c r="AZ17" s="351"/>
      <c r="BA17" s="280"/>
      <c r="BB17" s="351"/>
      <c r="BC17" s="351"/>
      <c r="BD17" s="278"/>
      <c r="BE17" s="278"/>
      <c r="BF17" s="278"/>
      <c r="BI17" s="212"/>
    </row>
    <row r="18" spans="1:61" s="114" customFormat="1" ht="0.75" hidden="1" customHeight="1">
      <c r="A18" s="287"/>
      <c r="B18" s="943"/>
      <c r="C18" s="947"/>
      <c r="D18" s="286"/>
      <c r="E18" s="282"/>
      <c r="F18" s="274"/>
      <c r="G18" s="274"/>
      <c r="H18" s="274"/>
      <c r="I18" s="274"/>
      <c r="J18" s="274"/>
      <c r="K18" s="274"/>
      <c r="L18" s="274"/>
      <c r="M18" s="274"/>
      <c r="N18" s="275"/>
      <c r="O18" s="275"/>
      <c r="P18" s="275"/>
      <c r="Q18" s="275"/>
      <c r="R18" s="275"/>
      <c r="S18" s="275"/>
      <c r="T18" s="275"/>
      <c r="U18" s="275"/>
      <c r="V18" s="275"/>
      <c r="W18" s="275"/>
      <c r="X18" s="275"/>
      <c r="Y18" s="275"/>
      <c r="Z18" s="275"/>
      <c r="AA18" s="275"/>
      <c r="AB18" s="270"/>
      <c r="AC18" s="351"/>
      <c r="AD18" s="351"/>
      <c r="AE18" s="351"/>
      <c r="AF18" s="351"/>
      <c r="AG18" s="351"/>
      <c r="AH18" s="351"/>
      <c r="AI18" s="351"/>
      <c r="AJ18" s="351"/>
      <c r="AK18" s="351"/>
      <c r="AL18" s="351"/>
      <c r="AM18" s="351"/>
      <c r="AN18" s="351"/>
      <c r="AO18" s="351"/>
      <c r="AP18" s="351"/>
      <c r="AQ18" s="351"/>
      <c r="AR18" s="351"/>
      <c r="AS18" s="351"/>
      <c r="AT18" s="351"/>
      <c r="AU18" s="351"/>
      <c r="AV18" s="351"/>
      <c r="AW18" s="351"/>
      <c r="AX18" s="351"/>
      <c r="AY18" s="351"/>
      <c r="AZ18" s="351"/>
      <c r="BA18" s="280"/>
      <c r="BB18" s="351"/>
      <c r="BC18" s="351"/>
      <c r="BD18" s="278"/>
      <c r="BE18" s="278"/>
      <c r="BF18" s="278"/>
      <c r="BI18" s="212"/>
    </row>
    <row r="19" spans="1:61" s="114" customFormat="1" ht="0.75" hidden="1" customHeight="1">
      <c r="A19" s="287"/>
      <c r="B19" s="943"/>
      <c r="C19" s="947"/>
      <c r="D19" s="286"/>
      <c r="E19" s="282"/>
      <c r="F19" s="274"/>
      <c r="G19" s="274"/>
      <c r="H19" s="274"/>
      <c r="I19" s="274"/>
      <c r="J19" s="274"/>
      <c r="K19" s="274"/>
      <c r="L19" s="274"/>
      <c r="M19" s="274"/>
      <c r="N19" s="275"/>
      <c r="O19" s="275"/>
      <c r="P19" s="275"/>
      <c r="Q19" s="275"/>
      <c r="R19" s="275"/>
      <c r="S19" s="275"/>
      <c r="T19" s="275"/>
      <c r="U19" s="275"/>
      <c r="V19" s="275"/>
      <c r="W19" s="275"/>
      <c r="X19" s="275"/>
      <c r="Y19" s="275"/>
      <c r="Z19" s="275"/>
      <c r="AA19" s="275"/>
      <c r="AB19" s="270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51"/>
      <c r="AS19" s="351"/>
      <c r="AT19" s="351"/>
      <c r="AU19" s="351"/>
      <c r="AV19" s="351"/>
      <c r="AW19" s="351"/>
      <c r="AX19" s="351"/>
      <c r="AY19" s="351"/>
      <c r="AZ19" s="351"/>
      <c r="BA19" s="280"/>
      <c r="BB19" s="351"/>
      <c r="BC19" s="351"/>
      <c r="BD19" s="278"/>
      <c r="BE19" s="278"/>
      <c r="BF19" s="278"/>
      <c r="BI19" s="212"/>
    </row>
    <row r="20" spans="1:61" s="114" customFormat="1" ht="0.75" hidden="1" customHeight="1">
      <c r="A20" s="287"/>
      <c r="B20" s="943"/>
      <c r="C20" s="947"/>
      <c r="D20" s="286"/>
      <c r="E20" s="282"/>
      <c r="F20" s="274"/>
      <c r="G20" s="274"/>
      <c r="H20" s="274"/>
      <c r="I20" s="274"/>
      <c r="J20" s="274"/>
      <c r="K20" s="274"/>
      <c r="L20" s="274"/>
      <c r="M20" s="274"/>
      <c r="N20" s="275"/>
      <c r="O20" s="275"/>
      <c r="P20" s="275"/>
      <c r="Q20" s="275"/>
      <c r="R20" s="275"/>
      <c r="S20" s="275"/>
      <c r="T20" s="275"/>
      <c r="U20" s="275"/>
      <c r="V20" s="275"/>
      <c r="W20" s="275"/>
      <c r="X20" s="275"/>
      <c r="Y20" s="275"/>
      <c r="Z20" s="275"/>
      <c r="AA20" s="275"/>
      <c r="AB20" s="270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1"/>
      <c r="AT20" s="351"/>
      <c r="AU20" s="351"/>
      <c r="AV20" s="351"/>
      <c r="AW20" s="351"/>
      <c r="AX20" s="351"/>
      <c r="AY20" s="351"/>
      <c r="AZ20" s="351"/>
      <c r="BA20" s="280"/>
      <c r="BB20" s="351"/>
      <c r="BC20" s="351"/>
      <c r="BD20" s="278"/>
      <c r="BE20" s="278"/>
      <c r="BF20" s="278"/>
      <c r="BI20" s="212"/>
    </row>
    <row r="21" spans="1:61" s="114" customFormat="1" ht="0.75" hidden="1" customHeight="1">
      <c r="A21" s="287"/>
      <c r="B21" s="943"/>
      <c r="C21" s="947"/>
      <c r="D21" s="286"/>
      <c r="E21" s="282"/>
      <c r="F21" s="274"/>
      <c r="G21" s="274"/>
      <c r="H21" s="274"/>
      <c r="I21" s="274"/>
      <c r="J21" s="274"/>
      <c r="K21" s="274"/>
      <c r="L21" s="274"/>
      <c r="M21" s="274"/>
      <c r="N21" s="275"/>
      <c r="O21" s="275"/>
      <c r="P21" s="275"/>
      <c r="Q21" s="275"/>
      <c r="R21" s="275"/>
      <c r="S21" s="275"/>
      <c r="T21" s="275"/>
      <c r="U21" s="275"/>
      <c r="V21" s="275"/>
      <c r="W21" s="275"/>
      <c r="X21" s="275"/>
      <c r="Y21" s="275"/>
      <c r="Z21" s="275"/>
      <c r="AA21" s="275"/>
      <c r="AB21" s="270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1"/>
      <c r="AT21" s="351"/>
      <c r="AU21" s="351"/>
      <c r="AV21" s="351"/>
      <c r="AW21" s="351"/>
      <c r="AX21" s="351"/>
      <c r="AY21" s="351"/>
      <c r="AZ21" s="351"/>
      <c r="BA21" s="280"/>
      <c r="BB21" s="351"/>
      <c r="BC21" s="351"/>
      <c r="BD21" s="278"/>
      <c r="BE21" s="278"/>
      <c r="BF21" s="278"/>
      <c r="BI21" s="212"/>
    </row>
    <row r="22" spans="1:61" s="114" customFormat="1" ht="0.75" hidden="1" customHeight="1">
      <c r="A22" s="287"/>
      <c r="B22" s="943"/>
      <c r="C22" s="947"/>
      <c r="D22" s="286"/>
      <c r="E22" s="282"/>
      <c r="F22" s="274"/>
      <c r="G22" s="274"/>
      <c r="H22" s="274"/>
      <c r="I22" s="274"/>
      <c r="J22" s="274"/>
      <c r="K22" s="274"/>
      <c r="L22" s="274"/>
      <c r="M22" s="274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0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51"/>
      <c r="AS22" s="351"/>
      <c r="AT22" s="351"/>
      <c r="AU22" s="351"/>
      <c r="AV22" s="351"/>
      <c r="AW22" s="351"/>
      <c r="AX22" s="351"/>
      <c r="AY22" s="351"/>
      <c r="AZ22" s="351"/>
      <c r="BA22" s="280"/>
      <c r="BB22" s="351"/>
      <c r="BC22" s="351"/>
      <c r="BD22" s="278"/>
      <c r="BE22" s="278"/>
      <c r="BF22" s="278"/>
      <c r="BI22" s="212"/>
    </row>
    <row r="23" spans="1:61" s="114" customFormat="1" ht="0.75" hidden="1" customHeight="1">
      <c r="A23" s="287"/>
      <c r="B23" s="943"/>
      <c r="C23" s="947"/>
      <c r="D23" s="286"/>
      <c r="E23" s="282"/>
      <c r="F23" s="274"/>
      <c r="G23" s="274"/>
      <c r="H23" s="274"/>
      <c r="I23" s="274"/>
      <c r="J23" s="274"/>
      <c r="K23" s="274"/>
      <c r="L23" s="274"/>
      <c r="M23" s="274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0"/>
      <c r="AC23" s="351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351"/>
      <c r="AQ23" s="351"/>
      <c r="AR23" s="351"/>
      <c r="AS23" s="351"/>
      <c r="AT23" s="351"/>
      <c r="AU23" s="351"/>
      <c r="AV23" s="351"/>
      <c r="AW23" s="351"/>
      <c r="AX23" s="351"/>
      <c r="AY23" s="351"/>
      <c r="AZ23" s="351"/>
      <c r="BA23" s="280"/>
      <c r="BB23" s="351"/>
      <c r="BC23" s="351"/>
      <c r="BD23" s="278"/>
      <c r="BE23" s="278"/>
      <c r="BF23" s="278"/>
      <c r="BI23" s="212"/>
    </row>
    <row r="24" spans="1:61" s="114" customFormat="1" ht="0.75" hidden="1" customHeight="1">
      <c r="A24" s="287"/>
      <c r="B24" s="943"/>
      <c r="C24" s="947"/>
      <c r="D24" s="286"/>
      <c r="E24" s="282"/>
      <c r="F24" s="274"/>
      <c r="G24" s="274"/>
      <c r="H24" s="274"/>
      <c r="I24" s="274"/>
      <c r="J24" s="274"/>
      <c r="K24" s="274"/>
      <c r="L24" s="274"/>
      <c r="M24" s="274"/>
      <c r="N24" s="275"/>
      <c r="O24" s="275"/>
      <c r="P24" s="275"/>
      <c r="Q24" s="275"/>
      <c r="R24" s="275"/>
      <c r="S24" s="275"/>
      <c r="T24" s="275"/>
      <c r="U24" s="275"/>
      <c r="V24" s="275"/>
      <c r="W24" s="275"/>
      <c r="X24" s="275"/>
      <c r="Y24" s="275"/>
      <c r="Z24" s="275"/>
      <c r="AA24" s="275"/>
      <c r="AB24" s="270"/>
      <c r="AC24" s="351"/>
      <c r="AD24" s="351"/>
      <c r="AE24" s="351"/>
      <c r="AF24" s="351"/>
      <c r="AG24" s="351"/>
      <c r="AH24" s="351"/>
      <c r="AI24" s="351"/>
      <c r="AJ24" s="351"/>
      <c r="AK24" s="351"/>
      <c r="AL24" s="351"/>
      <c r="AM24" s="351"/>
      <c r="AN24" s="351"/>
      <c r="AO24" s="351"/>
      <c r="AP24" s="351"/>
      <c r="AQ24" s="351"/>
      <c r="AR24" s="351"/>
      <c r="AS24" s="351"/>
      <c r="AT24" s="351"/>
      <c r="AU24" s="351"/>
      <c r="AV24" s="351"/>
      <c r="AW24" s="351"/>
      <c r="AX24" s="351"/>
      <c r="AY24" s="351"/>
      <c r="AZ24" s="351"/>
      <c r="BA24" s="280"/>
      <c r="BB24" s="351"/>
      <c r="BC24" s="351"/>
      <c r="BD24" s="278"/>
      <c r="BE24" s="278"/>
      <c r="BF24" s="278"/>
      <c r="BI24" s="212"/>
    </row>
    <row r="25" spans="1:61" s="114" customFormat="1" ht="0.75" hidden="1" customHeight="1">
      <c r="A25" s="287"/>
      <c r="B25" s="943"/>
      <c r="C25" s="947"/>
      <c r="D25" s="286"/>
      <c r="E25" s="282"/>
      <c r="F25" s="274"/>
      <c r="G25" s="274"/>
      <c r="H25" s="274"/>
      <c r="I25" s="274"/>
      <c r="J25" s="274"/>
      <c r="K25" s="274"/>
      <c r="L25" s="274"/>
      <c r="M25" s="274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0"/>
      <c r="AC25" s="351"/>
      <c r="AD25" s="351"/>
      <c r="AE25" s="351"/>
      <c r="AF25" s="351"/>
      <c r="AG25" s="351"/>
      <c r="AH25" s="351"/>
      <c r="AI25" s="351"/>
      <c r="AJ25" s="351"/>
      <c r="AK25" s="351"/>
      <c r="AL25" s="351"/>
      <c r="AM25" s="351"/>
      <c r="AN25" s="351"/>
      <c r="AO25" s="351"/>
      <c r="AP25" s="351"/>
      <c r="AQ25" s="351"/>
      <c r="AR25" s="351"/>
      <c r="AS25" s="351"/>
      <c r="AT25" s="351"/>
      <c r="AU25" s="351"/>
      <c r="AV25" s="351"/>
      <c r="AW25" s="351"/>
      <c r="AX25" s="351"/>
      <c r="AY25" s="351"/>
      <c r="AZ25" s="351"/>
      <c r="BA25" s="280"/>
      <c r="BB25" s="351"/>
      <c r="BC25" s="351"/>
      <c r="BD25" s="278"/>
      <c r="BE25" s="278"/>
      <c r="BF25" s="278"/>
      <c r="BI25" s="212"/>
    </row>
    <row r="26" spans="1:61" s="114" customFormat="1" ht="0.75" hidden="1" customHeight="1">
      <c r="A26" s="287"/>
      <c r="B26" s="943"/>
      <c r="C26" s="947"/>
      <c r="D26" s="286"/>
      <c r="E26" s="282"/>
      <c r="F26" s="274"/>
      <c r="G26" s="274"/>
      <c r="H26" s="274"/>
      <c r="I26" s="274"/>
      <c r="J26" s="274"/>
      <c r="K26" s="274"/>
      <c r="L26" s="274"/>
      <c r="M26" s="274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0"/>
      <c r="AC26" s="351"/>
      <c r="AD26" s="351"/>
      <c r="AE26" s="351"/>
      <c r="AF26" s="351"/>
      <c r="AG26" s="351"/>
      <c r="AH26" s="351"/>
      <c r="AI26" s="351"/>
      <c r="AJ26" s="351"/>
      <c r="AK26" s="351"/>
      <c r="AL26" s="351"/>
      <c r="AM26" s="351"/>
      <c r="AN26" s="351"/>
      <c r="AO26" s="351"/>
      <c r="AP26" s="351"/>
      <c r="AQ26" s="351"/>
      <c r="AR26" s="351"/>
      <c r="AS26" s="351"/>
      <c r="AT26" s="351"/>
      <c r="AU26" s="351"/>
      <c r="AV26" s="351"/>
      <c r="AW26" s="351"/>
      <c r="AX26" s="351"/>
      <c r="AY26" s="351"/>
      <c r="AZ26" s="351"/>
      <c r="BA26" s="280"/>
      <c r="BB26" s="351"/>
      <c r="BC26" s="351"/>
      <c r="BD26" s="278"/>
      <c r="BE26" s="278"/>
      <c r="BF26" s="278"/>
      <c r="BI26" s="212"/>
    </row>
    <row r="27" spans="1:61" s="114" customFormat="1" ht="0.75" hidden="1" customHeight="1">
      <c r="A27" s="287"/>
      <c r="B27" s="943"/>
      <c r="C27" s="947"/>
      <c r="D27" s="286"/>
      <c r="E27" s="282"/>
      <c r="F27" s="274"/>
      <c r="G27" s="274"/>
      <c r="H27" s="274"/>
      <c r="I27" s="274"/>
      <c r="J27" s="274"/>
      <c r="K27" s="274"/>
      <c r="L27" s="274"/>
      <c r="M27" s="274"/>
      <c r="N27" s="275"/>
      <c r="O27" s="275"/>
      <c r="P27" s="275"/>
      <c r="Q27" s="275"/>
      <c r="R27" s="275"/>
      <c r="S27" s="275"/>
      <c r="T27" s="275"/>
      <c r="U27" s="275"/>
      <c r="V27" s="275"/>
      <c r="W27" s="275"/>
      <c r="X27" s="275"/>
      <c r="Y27" s="275"/>
      <c r="Z27" s="275"/>
      <c r="AA27" s="275"/>
      <c r="AB27" s="270"/>
      <c r="AC27" s="351"/>
      <c r="AD27" s="351"/>
      <c r="AE27" s="351"/>
      <c r="AF27" s="351"/>
      <c r="AG27" s="351"/>
      <c r="AH27" s="351"/>
      <c r="AI27" s="351"/>
      <c r="AJ27" s="351"/>
      <c r="AK27" s="351"/>
      <c r="AL27" s="351"/>
      <c r="AM27" s="351"/>
      <c r="AN27" s="351"/>
      <c r="AO27" s="351"/>
      <c r="AP27" s="351"/>
      <c r="AQ27" s="351"/>
      <c r="AR27" s="351"/>
      <c r="AS27" s="351"/>
      <c r="AT27" s="351"/>
      <c r="AU27" s="351"/>
      <c r="AV27" s="351"/>
      <c r="AW27" s="351"/>
      <c r="AX27" s="351"/>
      <c r="AY27" s="351"/>
      <c r="AZ27" s="351"/>
      <c r="BA27" s="280"/>
      <c r="BB27" s="351"/>
      <c r="BC27" s="351"/>
      <c r="BD27" s="278"/>
      <c r="BE27" s="278"/>
      <c r="BF27" s="278"/>
      <c r="BI27" s="212"/>
    </row>
    <row r="28" spans="1:61" s="114" customFormat="1" ht="0.75" hidden="1" customHeight="1">
      <c r="A28" s="287"/>
      <c r="B28" s="1022"/>
      <c r="C28" s="1023"/>
      <c r="D28" s="398"/>
      <c r="E28" s="282"/>
      <c r="F28" s="274"/>
      <c r="G28" s="274"/>
      <c r="H28" s="274"/>
      <c r="I28" s="274"/>
      <c r="J28" s="274"/>
      <c r="K28" s="274"/>
      <c r="L28" s="274"/>
      <c r="M28" s="274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0"/>
      <c r="AC28" s="351"/>
      <c r="AD28" s="351"/>
      <c r="AE28" s="351"/>
      <c r="AF28" s="351"/>
      <c r="AG28" s="351"/>
      <c r="AH28" s="351"/>
      <c r="AI28" s="351"/>
      <c r="AJ28" s="351"/>
      <c r="AK28" s="351"/>
      <c r="AL28" s="351"/>
      <c r="AM28" s="351"/>
      <c r="AN28" s="351"/>
      <c r="AO28" s="351"/>
      <c r="AP28" s="351"/>
      <c r="AQ28" s="351"/>
      <c r="AR28" s="351"/>
      <c r="AS28" s="351"/>
      <c r="AT28" s="351"/>
      <c r="AU28" s="351"/>
      <c r="AV28" s="351"/>
      <c r="AW28" s="351"/>
      <c r="AX28" s="351"/>
      <c r="AY28" s="351"/>
      <c r="AZ28" s="351"/>
      <c r="BA28" s="280"/>
      <c r="BB28" s="351"/>
      <c r="BC28" s="351"/>
      <c r="BD28" s="278"/>
      <c r="BE28" s="278"/>
      <c r="BF28" s="278"/>
      <c r="BI28" s="212"/>
    </row>
    <row r="29" spans="1:61" s="114" customFormat="1" ht="24" hidden="1" customHeight="1">
      <c r="A29" s="287" t="s">
        <v>403</v>
      </c>
      <c r="B29" s="942"/>
      <c r="C29" s="288" t="str">
        <f>F31</f>
        <v>0.0</v>
      </c>
      <c r="D29" s="396" t="s">
        <v>112</v>
      </c>
      <c r="E29" s="289"/>
      <c r="F29" s="938">
        <f>B29</f>
        <v>0</v>
      </c>
      <c r="G29" s="945"/>
      <c r="H29" s="290">
        <f>H31</f>
        <v>0</v>
      </c>
      <c r="I29" s="290">
        <f>I31</f>
        <v>0</v>
      </c>
      <c r="J29" s="599" t="str">
        <f>A29</f>
        <v>TBD</v>
      </c>
      <c r="K29" s="290">
        <f t="shared" ref="K29:T29" si="0">K31</f>
        <v>0</v>
      </c>
      <c r="L29" s="290">
        <f t="shared" si="0"/>
        <v>0</v>
      </c>
      <c r="M29" s="290">
        <f t="shared" si="0"/>
        <v>0</v>
      </c>
      <c r="N29" s="290">
        <f t="shared" si="0"/>
        <v>0</v>
      </c>
      <c r="O29" s="290">
        <f t="shared" si="0"/>
        <v>0</v>
      </c>
      <c r="P29" s="290">
        <f t="shared" si="0"/>
        <v>0</v>
      </c>
      <c r="Q29" s="290">
        <f t="shared" si="0"/>
        <v>0</v>
      </c>
      <c r="R29" s="290">
        <f t="shared" si="0"/>
        <v>0</v>
      </c>
      <c r="S29" s="290">
        <f t="shared" si="0"/>
        <v>0</v>
      </c>
      <c r="T29" s="290">
        <f t="shared" si="0"/>
        <v>0</v>
      </c>
      <c r="U29" s="290">
        <f t="shared" ref="U29:AA29" si="1">U31</f>
        <v>0</v>
      </c>
      <c r="V29" s="290">
        <f t="shared" si="1"/>
        <v>0</v>
      </c>
      <c r="W29" s="290">
        <f t="shared" si="1"/>
        <v>0</v>
      </c>
      <c r="X29" s="290">
        <f t="shared" si="1"/>
        <v>0</v>
      </c>
      <c r="Y29" s="290">
        <f t="shared" si="1"/>
        <v>0</v>
      </c>
      <c r="Z29" s="290">
        <f t="shared" si="1"/>
        <v>0</v>
      </c>
      <c r="AA29" s="290">
        <f t="shared" si="1"/>
        <v>0</v>
      </c>
      <c r="AB29" s="240">
        <f>AB31</f>
        <v>0</v>
      </c>
      <c r="AC29" s="351"/>
      <c r="AD29" s="351"/>
      <c r="AE29" s="351"/>
      <c r="AF29" s="351"/>
      <c r="AG29" s="351"/>
      <c r="AH29" s="351"/>
      <c r="AI29" s="351"/>
      <c r="AJ29" s="351"/>
      <c r="AK29" s="351"/>
      <c r="AL29" s="351"/>
      <c r="AM29" s="351"/>
      <c r="AN29" s="351"/>
      <c r="AO29" s="351"/>
      <c r="AP29" s="351"/>
      <c r="AQ29" s="351"/>
      <c r="AR29" s="351"/>
      <c r="AS29" s="351"/>
      <c r="AT29" s="351"/>
      <c r="AU29" s="351"/>
      <c r="AV29" s="351"/>
      <c r="AW29" s="351"/>
      <c r="AX29" s="351"/>
      <c r="AY29" s="351"/>
      <c r="AZ29" s="351"/>
      <c r="BA29" s="277" t="s">
        <v>765</v>
      </c>
      <c r="BB29" s="351"/>
      <c r="BC29" s="351"/>
      <c r="BD29" s="388"/>
      <c r="BE29" s="388"/>
      <c r="BF29" s="278"/>
    </row>
    <row r="30" spans="1:61" s="114" customFormat="1" ht="0.75" hidden="1" customHeight="1">
      <c r="A30" s="287"/>
      <c r="B30" s="943"/>
      <c r="C30" s="288"/>
      <c r="D30" s="397"/>
      <c r="E30" s="289"/>
      <c r="F30" s="939"/>
      <c r="G30" s="941"/>
      <c r="H30" s="274"/>
      <c r="I30" s="274"/>
      <c r="J30" s="275"/>
      <c r="K30" s="274"/>
      <c r="L30" s="275"/>
      <c r="M30" s="275"/>
      <c r="N30" s="275"/>
      <c r="O30" s="275"/>
      <c r="P30" s="275"/>
      <c r="Q30" s="275"/>
      <c r="R30" s="275"/>
      <c r="S30" s="275"/>
      <c r="T30" s="275"/>
      <c r="U30" s="275"/>
      <c r="V30" s="275"/>
      <c r="W30" s="275"/>
      <c r="X30" s="275"/>
      <c r="Y30" s="275"/>
      <c r="Z30" s="275"/>
      <c r="AA30" s="275"/>
      <c r="AB30" s="336"/>
      <c r="AC30" s="351"/>
      <c r="AD30" s="351"/>
      <c r="AE30" s="351"/>
      <c r="AF30" s="351"/>
      <c r="AG30" s="351"/>
      <c r="AH30" s="351"/>
      <c r="AI30" s="351"/>
      <c r="AJ30" s="351"/>
      <c r="AK30" s="351"/>
      <c r="AL30" s="351"/>
      <c r="AM30" s="351"/>
      <c r="AN30" s="351"/>
      <c r="AO30" s="351"/>
      <c r="AP30" s="351"/>
      <c r="AQ30" s="351"/>
      <c r="AR30" s="351"/>
      <c r="AS30" s="351"/>
      <c r="AT30" s="351"/>
      <c r="AU30" s="351"/>
      <c r="AV30" s="351"/>
      <c r="AW30" s="351"/>
      <c r="AX30" s="351"/>
      <c r="AY30" s="351"/>
      <c r="AZ30" s="351"/>
      <c r="BA30" s="280"/>
      <c r="BB30" s="351"/>
      <c r="BC30" s="351"/>
      <c r="BD30" s="388"/>
      <c r="BE30" s="388"/>
      <c r="BF30" s="278"/>
    </row>
    <row r="31" spans="1:61" s="114" customFormat="1" ht="12.75" hidden="1" customHeight="1">
      <c r="A31" s="287"/>
      <c r="B31" s="943"/>
      <c r="C31" s="946"/>
      <c r="D31" s="286"/>
      <c r="E31" s="282"/>
      <c r="F31" s="283" t="str">
        <f>F29 &amp; ".0"</f>
        <v>0.0</v>
      </c>
      <c r="G31" s="301" t="s">
        <v>136</v>
      </c>
      <c r="H31" s="749">
        <f>SUMIF('Список объектов'!$R$15:$R$19,$F31,'Список объектов'!$W$15:$W$19)</f>
        <v>0</v>
      </c>
      <c r="I31" s="292">
        <f>SUMIF('Список объектов'!$R$15:$R$19,$F31,'Список объектов'!$X$15:$X$19)</f>
        <v>0</v>
      </c>
      <c r="J31" s="392" t="str">
        <f>J29</f>
        <v>TBD</v>
      </c>
      <c r="K31" s="293">
        <f>N31+O31</f>
        <v>0</v>
      </c>
      <c r="L31" s="292"/>
      <c r="M31" s="292"/>
      <c r="N31" s="292"/>
      <c r="O31" s="293">
        <f t="shared" ref="O31:T31" si="2">SUM(O32:O43)</f>
        <v>0</v>
      </c>
      <c r="P31" s="293">
        <f t="shared" si="2"/>
        <v>0</v>
      </c>
      <c r="Q31" s="293">
        <f t="shared" si="2"/>
        <v>0</v>
      </c>
      <c r="R31" s="293">
        <f t="shared" si="2"/>
        <v>0</v>
      </c>
      <c r="S31" s="293">
        <f t="shared" si="2"/>
        <v>0</v>
      </c>
      <c r="T31" s="293">
        <f t="shared" si="2"/>
        <v>0</v>
      </c>
      <c r="U31" s="293">
        <f t="shared" ref="U31:AA31" si="3">SUM(U32:U43)</f>
        <v>0</v>
      </c>
      <c r="V31" s="293">
        <f t="shared" si="3"/>
        <v>0</v>
      </c>
      <c r="W31" s="293">
        <f>SUM(W32:W43)</f>
        <v>0</v>
      </c>
      <c r="X31" s="293">
        <f t="shared" si="3"/>
        <v>0</v>
      </c>
      <c r="Y31" s="293">
        <f t="shared" si="3"/>
        <v>0</v>
      </c>
      <c r="Z31" s="293">
        <f>SUM(Z32:Z43)</f>
        <v>0</v>
      </c>
      <c r="AA31" s="293">
        <f t="shared" si="3"/>
        <v>0</v>
      </c>
      <c r="AB31" s="253">
        <f>SUM(AB32:AB43)</f>
        <v>0</v>
      </c>
      <c r="AC31" s="351"/>
      <c r="AD31" s="351"/>
      <c r="AE31" s="351"/>
      <c r="AF31" s="351"/>
      <c r="AG31" s="351"/>
      <c r="AH31" s="351"/>
      <c r="AI31" s="351"/>
      <c r="AJ31" s="351"/>
      <c r="AK31" s="351"/>
      <c r="AL31" s="351"/>
      <c r="AM31" s="351"/>
      <c r="AN31" s="351"/>
      <c r="AO31" s="351"/>
      <c r="AP31" s="351"/>
      <c r="AQ31" s="351"/>
      <c r="AR31" s="351"/>
      <c r="AS31" s="351"/>
      <c r="AT31" s="351"/>
      <c r="AU31" s="351"/>
      <c r="AV31" s="351"/>
      <c r="AW31" s="351"/>
      <c r="AX31" s="351"/>
      <c r="AY31" s="351"/>
      <c r="AZ31" s="351"/>
      <c r="BA31" s="277" t="s">
        <v>21</v>
      </c>
      <c r="BB31" s="351"/>
      <c r="BC31" s="351"/>
      <c r="BD31" s="388"/>
      <c r="BE31" s="388"/>
      <c r="BF31" s="278"/>
    </row>
    <row r="32" spans="1:61" s="114" customFormat="1" ht="12.75" hidden="1" customHeight="1">
      <c r="A32" s="287"/>
      <c r="B32" s="943"/>
      <c r="C32" s="947"/>
      <c r="D32" s="286"/>
      <c r="E32" s="282"/>
      <c r="F32" s="283" t="str">
        <f>F29 &amp; ".1"</f>
        <v>0.1</v>
      </c>
      <c r="G32" s="301" t="s">
        <v>137</v>
      </c>
      <c r="H32" s="275"/>
      <c r="I32" s="275"/>
      <c r="J32" s="602" t="str">
        <f ca="1">IF(OFFSET('Список территорий'!CJ$15,$F29,0)="a","Y","N")</f>
        <v>N</v>
      </c>
      <c r="K32" s="275"/>
      <c r="L32" s="275"/>
      <c r="M32" s="275"/>
      <c r="N32" s="275"/>
      <c r="O32" s="293">
        <f>SUM(P32,Q32,T32,W32,Z32)</f>
        <v>0</v>
      </c>
      <c r="P32" s="292"/>
      <c r="Q32" s="293">
        <f>SUM(R32,S32)</f>
        <v>0</v>
      </c>
      <c r="R32" s="292"/>
      <c r="S32" s="292"/>
      <c r="T32" s="293">
        <f>SUM(U32,V32)</f>
        <v>0</v>
      </c>
      <c r="U32" s="292"/>
      <c r="V32" s="292"/>
      <c r="W32" s="293">
        <f>SUM(X32,Y32)</f>
        <v>0</v>
      </c>
      <c r="X32" s="292"/>
      <c r="Y32" s="292"/>
      <c r="Z32" s="293">
        <f>SUM(AA32,AB32)</f>
        <v>0</v>
      </c>
      <c r="AA32" s="292"/>
      <c r="AB32" s="269"/>
      <c r="AC32" s="351"/>
      <c r="AD32" s="351"/>
      <c r="AE32" s="351"/>
      <c r="AF32" s="351"/>
      <c r="AG32" s="351"/>
      <c r="AH32" s="351"/>
      <c r="AI32" s="351"/>
      <c r="AJ32" s="351"/>
      <c r="AK32" s="351"/>
      <c r="AL32" s="351"/>
      <c r="AM32" s="351"/>
      <c r="AN32" s="351"/>
      <c r="AO32" s="351"/>
      <c r="AP32" s="351"/>
      <c r="AQ32" s="351"/>
      <c r="AR32" s="351"/>
      <c r="AS32" s="351"/>
      <c r="AT32" s="351"/>
      <c r="AU32" s="351"/>
      <c r="AV32" s="351"/>
      <c r="AW32" s="351"/>
      <c r="AX32" s="351"/>
      <c r="AY32" s="351"/>
      <c r="AZ32" s="351"/>
      <c r="BA32" s="280" t="str">
        <f>C29 &amp; "-I"</f>
        <v>0.0-I</v>
      </c>
      <c r="BB32" s="351"/>
      <c r="BC32" s="351"/>
      <c r="BD32" s="388"/>
      <c r="BE32" s="388"/>
      <c r="BF32" s="278"/>
    </row>
    <row r="33" spans="1:61" s="114" customFormat="1" ht="12.75" hidden="1" customHeight="1">
      <c r="A33" s="287"/>
      <c r="B33" s="943"/>
      <c r="C33" s="947"/>
      <c r="D33" s="286"/>
      <c r="E33" s="282"/>
      <c r="F33" s="283" t="str">
        <f>F29 &amp; ".2"</f>
        <v>0.2</v>
      </c>
      <c r="G33" s="301" t="s">
        <v>138</v>
      </c>
      <c r="H33" s="275"/>
      <c r="I33" s="275"/>
      <c r="J33" s="602" t="str">
        <f ca="1">IF(OFFSET('Список территорий'!CK$15,$F29,0)="a","Y","N")</f>
        <v>N</v>
      </c>
      <c r="K33" s="275"/>
      <c r="L33" s="275"/>
      <c r="M33" s="275"/>
      <c r="N33" s="275"/>
      <c r="O33" s="293">
        <f t="shared" ref="O33:O43" si="4">SUM(P33,Q33,T33,W33,Z33)</f>
        <v>0</v>
      </c>
      <c r="P33" s="292"/>
      <c r="Q33" s="293">
        <f t="shared" ref="Q33:Q43" si="5">SUM(R33,S33)</f>
        <v>0</v>
      </c>
      <c r="R33" s="292"/>
      <c r="S33" s="292"/>
      <c r="T33" s="293">
        <f t="shared" ref="T33:T43" si="6">SUM(U33,V33)</f>
        <v>0</v>
      </c>
      <c r="U33" s="292"/>
      <c r="V33" s="292"/>
      <c r="W33" s="293">
        <f t="shared" ref="W33:W43" si="7">SUM(X33,Y33)</f>
        <v>0</v>
      </c>
      <c r="X33" s="292"/>
      <c r="Y33" s="292"/>
      <c r="Z33" s="293">
        <f t="shared" ref="Z33:Z43" si="8">SUM(AA33,AB33)</f>
        <v>0</v>
      </c>
      <c r="AA33" s="292"/>
      <c r="AB33" s="269"/>
      <c r="AC33" s="351"/>
      <c r="AD33" s="351"/>
      <c r="AE33" s="351"/>
      <c r="AF33" s="351"/>
      <c r="AG33" s="351"/>
      <c r="AH33" s="351"/>
      <c r="AI33" s="351"/>
      <c r="AJ33" s="351"/>
      <c r="AK33" s="351"/>
      <c r="AL33" s="351"/>
      <c r="AM33" s="351"/>
      <c r="AN33" s="351"/>
      <c r="AO33" s="351"/>
      <c r="AP33" s="351"/>
      <c r="AQ33" s="351"/>
      <c r="AR33" s="351"/>
      <c r="AS33" s="351"/>
      <c r="AT33" s="351"/>
      <c r="AU33" s="351"/>
      <c r="AV33" s="351"/>
      <c r="AW33" s="351"/>
      <c r="AX33" s="351"/>
      <c r="AY33" s="351"/>
      <c r="AZ33" s="351"/>
      <c r="BA33" s="280" t="str">
        <f>C29 &amp; "-I"</f>
        <v>0.0-I</v>
      </c>
      <c r="BB33" s="351"/>
      <c r="BC33" s="351"/>
      <c r="BD33" s="388"/>
      <c r="BE33" s="388"/>
      <c r="BF33" s="278"/>
    </row>
    <row r="34" spans="1:61" s="114" customFormat="1" ht="12.75" hidden="1" customHeight="1">
      <c r="A34" s="287"/>
      <c r="B34" s="943"/>
      <c r="C34" s="947"/>
      <c r="D34" s="286"/>
      <c r="E34" s="282"/>
      <c r="F34" s="283" t="str">
        <f>F29 &amp; ".3"</f>
        <v>0.3</v>
      </c>
      <c r="G34" s="301" t="s">
        <v>139</v>
      </c>
      <c r="H34" s="275"/>
      <c r="I34" s="275"/>
      <c r="J34" s="602" t="str">
        <f ca="1">IF(OFFSET('Список территорий'!CL$15,$F29,0)="a","Y","N")</f>
        <v>N</v>
      </c>
      <c r="K34" s="275"/>
      <c r="L34" s="275"/>
      <c r="M34" s="275"/>
      <c r="N34" s="275"/>
      <c r="O34" s="293">
        <f t="shared" si="4"/>
        <v>0</v>
      </c>
      <c r="P34" s="292"/>
      <c r="Q34" s="293">
        <f t="shared" si="5"/>
        <v>0</v>
      </c>
      <c r="R34" s="292"/>
      <c r="S34" s="292"/>
      <c r="T34" s="293">
        <f t="shared" si="6"/>
        <v>0</v>
      </c>
      <c r="U34" s="292"/>
      <c r="V34" s="292"/>
      <c r="W34" s="293">
        <f t="shared" si="7"/>
        <v>0</v>
      </c>
      <c r="X34" s="292"/>
      <c r="Y34" s="292"/>
      <c r="Z34" s="293">
        <f t="shared" si="8"/>
        <v>0</v>
      </c>
      <c r="AA34" s="292"/>
      <c r="AB34" s="269"/>
      <c r="AC34" s="351"/>
      <c r="AD34" s="351"/>
      <c r="AE34" s="351"/>
      <c r="AF34" s="351"/>
      <c r="AG34" s="351"/>
      <c r="AH34" s="351"/>
      <c r="AI34" s="351"/>
      <c r="AJ34" s="351"/>
      <c r="AK34" s="351"/>
      <c r="AL34" s="351"/>
      <c r="AM34" s="351"/>
      <c r="AN34" s="351"/>
      <c r="AO34" s="351"/>
      <c r="AP34" s="351"/>
      <c r="AQ34" s="351"/>
      <c r="AR34" s="351"/>
      <c r="AS34" s="351"/>
      <c r="AT34" s="351"/>
      <c r="AU34" s="351"/>
      <c r="AV34" s="351"/>
      <c r="AW34" s="351"/>
      <c r="AX34" s="351"/>
      <c r="AY34" s="351"/>
      <c r="AZ34" s="351"/>
      <c r="BA34" s="280" t="str">
        <f>C29 &amp; "-I"</f>
        <v>0.0-I</v>
      </c>
      <c r="BB34" s="351"/>
      <c r="BC34" s="351"/>
      <c r="BD34" s="388"/>
      <c r="BE34" s="388"/>
      <c r="BF34" s="278"/>
    </row>
    <row r="35" spans="1:61" s="114" customFormat="1" ht="12.75" hidden="1" customHeight="1">
      <c r="A35" s="287"/>
      <c r="B35" s="943"/>
      <c r="C35" s="947"/>
      <c r="D35" s="286"/>
      <c r="E35" s="282"/>
      <c r="F35" s="283" t="str">
        <f>F29 &amp; ".4"</f>
        <v>0.4</v>
      </c>
      <c r="G35" s="301" t="s">
        <v>140</v>
      </c>
      <c r="H35" s="275"/>
      <c r="I35" s="275"/>
      <c r="J35" s="602" t="str">
        <f ca="1">IF(OFFSET('Список территорий'!CM$15,$F29,0)="a","Y","N")</f>
        <v>N</v>
      </c>
      <c r="K35" s="275"/>
      <c r="L35" s="275"/>
      <c r="M35" s="275"/>
      <c r="N35" s="275"/>
      <c r="O35" s="293">
        <f t="shared" si="4"/>
        <v>0</v>
      </c>
      <c r="P35" s="292"/>
      <c r="Q35" s="293">
        <f t="shared" si="5"/>
        <v>0</v>
      </c>
      <c r="R35" s="292"/>
      <c r="S35" s="292"/>
      <c r="T35" s="293">
        <f t="shared" si="6"/>
        <v>0</v>
      </c>
      <c r="U35" s="292"/>
      <c r="V35" s="292"/>
      <c r="W35" s="293">
        <f t="shared" si="7"/>
        <v>0</v>
      </c>
      <c r="X35" s="292"/>
      <c r="Y35" s="292"/>
      <c r="Z35" s="293">
        <f t="shared" si="8"/>
        <v>0</v>
      </c>
      <c r="AA35" s="292"/>
      <c r="AB35" s="269"/>
      <c r="AC35" s="351"/>
      <c r="AD35" s="351"/>
      <c r="AE35" s="351"/>
      <c r="AF35" s="351"/>
      <c r="AG35" s="351"/>
      <c r="AH35" s="351"/>
      <c r="AI35" s="351"/>
      <c r="AJ35" s="351"/>
      <c r="AK35" s="351"/>
      <c r="AL35" s="351"/>
      <c r="AM35" s="351"/>
      <c r="AN35" s="351"/>
      <c r="AO35" s="351"/>
      <c r="AP35" s="351"/>
      <c r="AQ35" s="351"/>
      <c r="AR35" s="351"/>
      <c r="AS35" s="351"/>
      <c r="AT35" s="351"/>
      <c r="AU35" s="351"/>
      <c r="AV35" s="351"/>
      <c r="AW35" s="351"/>
      <c r="AX35" s="351"/>
      <c r="AY35" s="351"/>
      <c r="AZ35" s="351"/>
      <c r="BA35" s="280" t="str">
        <f>C29 &amp; "-I"</f>
        <v>0.0-I</v>
      </c>
      <c r="BB35" s="351"/>
      <c r="BC35" s="351"/>
      <c r="BD35" s="388"/>
      <c r="BE35" s="388"/>
      <c r="BF35" s="278"/>
    </row>
    <row r="36" spans="1:61" s="114" customFormat="1" ht="12.75" hidden="1" customHeight="1">
      <c r="A36" s="287"/>
      <c r="B36" s="943"/>
      <c r="C36" s="947"/>
      <c r="D36" s="286"/>
      <c r="E36" s="282"/>
      <c r="F36" s="283" t="str">
        <f>F29 &amp; ".5"</f>
        <v>0.5</v>
      </c>
      <c r="G36" s="301" t="s">
        <v>141</v>
      </c>
      <c r="H36" s="275"/>
      <c r="I36" s="275"/>
      <c r="J36" s="602" t="str">
        <f ca="1">IF(OFFSET('Список территорий'!CN$15,$F29,0)="a","Y","N")</f>
        <v>N</v>
      </c>
      <c r="K36" s="275"/>
      <c r="L36" s="275"/>
      <c r="M36" s="275"/>
      <c r="N36" s="275"/>
      <c r="O36" s="293">
        <f t="shared" si="4"/>
        <v>0</v>
      </c>
      <c r="P36" s="292"/>
      <c r="Q36" s="293">
        <f t="shared" si="5"/>
        <v>0</v>
      </c>
      <c r="R36" s="292"/>
      <c r="S36" s="292"/>
      <c r="T36" s="293">
        <f t="shared" si="6"/>
        <v>0</v>
      </c>
      <c r="U36" s="292"/>
      <c r="V36" s="292"/>
      <c r="W36" s="293">
        <f t="shared" si="7"/>
        <v>0</v>
      </c>
      <c r="X36" s="292"/>
      <c r="Y36" s="292"/>
      <c r="Z36" s="293">
        <f t="shared" si="8"/>
        <v>0</v>
      </c>
      <c r="AA36" s="292"/>
      <c r="AB36" s="269"/>
      <c r="AC36" s="351"/>
      <c r="AD36" s="351"/>
      <c r="AE36" s="351"/>
      <c r="AF36" s="351"/>
      <c r="AG36" s="351"/>
      <c r="AH36" s="351"/>
      <c r="AI36" s="351"/>
      <c r="AJ36" s="351"/>
      <c r="AK36" s="351"/>
      <c r="AL36" s="351"/>
      <c r="AM36" s="351"/>
      <c r="AN36" s="351"/>
      <c r="AO36" s="351"/>
      <c r="AP36" s="351"/>
      <c r="AQ36" s="351"/>
      <c r="AR36" s="351"/>
      <c r="AS36" s="351"/>
      <c r="AT36" s="351"/>
      <c r="AU36" s="351"/>
      <c r="AV36" s="351"/>
      <c r="AW36" s="351"/>
      <c r="AX36" s="351"/>
      <c r="AY36" s="351"/>
      <c r="AZ36" s="351"/>
      <c r="BA36" s="280" t="str">
        <f>C29 &amp; "-I"</f>
        <v>0.0-I</v>
      </c>
      <c r="BB36" s="351"/>
      <c r="BC36" s="351"/>
      <c r="BD36" s="388"/>
      <c r="BE36" s="388"/>
      <c r="BF36" s="278"/>
    </row>
    <row r="37" spans="1:61" s="114" customFormat="1" ht="12.75" hidden="1" customHeight="1">
      <c r="A37" s="287"/>
      <c r="B37" s="943"/>
      <c r="C37" s="947"/>
      <c r="D37" s="286"/>
      <c r="E37" s="282"/>
      <c r="F37" s="283" t="str">
        <f>F29 &amp; ".6"</f>
        <v>0.6</v>
      </c>
      <c r="G37" s="301" t="s">
        <v>142</v>
      </c>
      <c r="H37" s="275"/>
      <c r="I37" s="275"/>
      <c r="J37" s="602" t="str">
        <f ca="1">IF(OFFSET('Список территорий'!CO$15,$F29,0)="a","Y","N")</f>
        <v>N</v>
      </c>
      <c r="K37" s="275"/>
      <c r="L37" s="275"/>
      <c r="M37" s="275"/>
      <c r="N37" s="275"/>
      <c r="O37" s="293">
        <f t="shared" si="4"/>
        <v>0</v>
      </c>
      <c r="P37" s="292"/>
      <c r="Q37" s="293">
        <f t="shared" si="5"/>
        <v>0</v>
      </c>
      <c r="R37" s="292"/>
      <c r="S37" s="292"/>
      <c r="T37" s="293">
        <f t="shared" si="6"/>
        <v>0</v>
      </c>
      <c r="U37" s="292"/>
      <c r="V37" s="292"/>
      <c r="W37" s="293">
        <f t="shared" si="7"/>
        <v>0</v>
      </c>
      <c r="X37" s="292"/>
      <c r="Y37" s="292"/>
      <c r="Z37" s="293">
        <f t="shared" si="8"/>
        <v>0</v>
      </c>
      <c r="AA37" s="292"/>
      <c r="AB37" s="269"/>
      <c r="AC37" s="351"/>
      <c r="AD37" s="351"/>
      <c r="AE37" s="351"/>
      <c r="AF37" s="351"/>
      <c r="AG37" s="351"/>
      <c r="AH37" s="351"/>
      <c r="AI37" s="351"/>
      <c r="AJ37" s="351"/>
      <c r="AK37" s="351"/>
      <c r="AL37" s="351"/>
      <c r="AM37" s="351"/>
      <c r="AN37" s="351"/>
      <c r="AO37" s="351"/>
      <c r="AP37" s="351"/>
      <c r="AQ37" s="351"/>
      <c r="AR37" s="351"/>
      <c r="AS37" s="351"/>
      <c r="AT37" s="351"/>
      <c r="AU37" s="351"/>
      <c r="AV37" s="351"/>
      <c r="AW37" s="351"/>
      <c r="AX37" s="351"/>
      <c r="AY37" s="351"/>
      <c r="AZ37" s="351"/>
      <c r="BA37" s="280" t="str">
        <f>C29 &amp; "-I"</f>
        <v>0.0-I</v>
      </c>
      <c r="BB37" s="351"/>
      <c r="BC37" s="351"/>
      <c r="BD37" s="388"/>
      <c r="BE37" s="388"/>
      <c r="BF37" s="278"/>
    </row>
    <row r="38" spans="1:61" s="114" customFormat="1" ht="12.75" hidden="1" customHeight="1">
      <c r="A38" s="287"/>
      <c r="B38" s="943"/>
      <c r="C38" s="947"/>
      <c r="D38" s="286"/>
      <c r="E38" s="282"/>
      <c r="F38" s="283" t="str">
        <f>F29 &amp; ".7"</f>
        <v>0.7</v>
      </c>
      <c r="G38" s="301" t="s">
        <v>143</v>
      </c>
      <c r="H38" s="275"/>
      <c r="I38" s="275"/>
      <c r="J38" s="602" t="str">
        <f ca="1">IF(OFFSET('Список территорий'!CP$15,$F29,0)="a","Y","N")</f>
        <v>N</v>
      </c>
      <c r="K38" s="275"/>
      <c r="L38" s="275"/>
      <c r="M38" s="275"/>
      <c r="N38" s="275"/>
      <c r="O38" s="293">
        <f t="shared" si="4"/>
        <v>0</v>
      </c>
      <c r="P38" s="292"/>
      <c r="Q38" s="293">
        <f t="shared" si="5"/>
        <v>0</v>
      </c>
      <c r="R38" s="292"/>
      <c r="S38" s="292"/>
      <c r="T38" s="293">
        <f t="shared" si="6"/>
        <v>0</v>
      </c>
      <c r="U38" s="292"/>
      <c r="V38" s="292"/>
      <c r="W38" s="293">
        <f t="shared" si="7"/>
        <v>0</v>
      </c>
      <c r="X38" s="292"/>
      <c r="Y38" s="292"/>
      <c r="Z38" s="293">
        <f t="shared" si="8"/>
        <v>0</v>
      </c>
      <c r="AA38" s="292"/>
      <c r="AB38" s="269"/>
      <c r="AC38" s="351"/>
      <c r="AD38" s="351"/>
      <c r="AE38" s="351"/>
      <c r="AF38" s="351"/>
      <c r="AG38" s="351"/>
      <c r="AH38" s="351"/>
      <c r="AI38" s="351"/>
      <c r="AJ38" s="351"/>
      <c r="AK38" s="351"/>
      <c r="AL38" s="351"/>
      <c r="AM38" s="351"/>
      <c r="AN38" s="351"/>
      <c r="AO38" s="351"/>
      <c r="AP38" s="351"/>
      <c r="AQ38" s="351"/>
      <c r="AR38" s="351"/>
      <c r="AS38" s="351"/>
      <c r="AT38" s="351"/>
      <c r="AU38" s="351"/>
      <c r="AV38" s="351"/>
      <c r="AW38" s="351"/>
      <c r="AX38" s="351"/>
      <c r="AY38" s="351"/>
      <c r="AZ38" s="351"/>
      <c r="BA38" s="280" t="str">
        <f>C29 &amp; "-II"</f>
        <v>0.0-II</v>
      </c>
      <c r="BB38" s="351"/>
      <c r="BC38" s="351"/>
      <c r="BD38" s="388"/>
      <c r="BE38" s="388"/>
      <c r="BF38" s="278"/>
    </row>
    <row r="39" spans="1:61" s="114" customFormat="1" ht="12.75" hidden="1" customHeight="1">
      <c r="A39" s="287"/>
      <c r="B39" s="943"/>
      <c r="C39" s="947"/>
      <c r="D39" s="286"/>
      <c r="E39" s="282"/>
      <c r="F39" s="283" t="str">
        <f>F29 &amp; ".8"</f>
        <v>0.8</v>
      </c>
      <c r="G39" s="301" t="s">
        <v>144</v>
      </c>
      <c r="H39" s="275"/>
      <c r="I39" s="275"/>
      <c r="J39" s="602" t="str">
        <f ca="1">IF(OFFSET('Список территорий'!CQ$15,$F29,0)="a","Y","N")</f>
        <v>N</v>
      </c>
      <c r="K39" s="275"/>
      <c r="L39" s="275"/>
      <c r="M39" s="275"/>
      <c r="N39" s="275"/>
      <c r="O39" s="293">
        <f t="shared" si="4"/>
        <v>0</v>
      </c>
      <c r="P39" s="292"/>
      <c r="Q39" s="293">
        <f t="shared" si="5"/>
        <v>0</v>
      </c>
      <c r="R39" s="292"/>
      <c r="S39" s="292"/>
      <c r="T39" s="293">
        <f t="shared" si="6"/>
        <v>0</v>
      </c>
      <c r="U39" s="292"/>
      <c r="V39" s="292"/>
      <c r="W39" s="293">
        <f t="shared" si="7"/>
        <v>0</v>
      </c>
      <c r="X39" s="292"/>
      <c r="Y39" s="292"/>
      <c r="Z39" s="293">
        <f t="shared" si="8"/>
        <v>0</v>
      </c>
      <c r="AA39" s="292"/>
      <c r="AB39" s="269"/>
      <c r="AC39" s="351"/>
      <c r="AD39" s="351"/>
      <c r="AE39" s="351"/>
      <c r="AF39" s="351"/>
      <c r="AG39" s="351"/>
      <c r="AH39" s="351"/>
      <c r="AI39" s="351"/>
      <c r="AJ39" s="351"/>
      <c r="AK39" s="351"/>
      <c r="AL39" s="351"/>
      <c r="AM39" s="351"/>
      <c r="AN39" s="351"/>
      <c r="AO39" s="351"/>
      <c r="AP39" s="351"/>
      <c r="AQ39" s="351"/>
      <c r="AR39" s="351"/>
      <c r="AS39" s="351"/>
      <c r="AT39" s="351"/>
      <c r="AU39" s="351"/>
      <c r="AV39" s="351"/>
      <c r="AW39" s="351"/>
      <c r="AX39" s="351"/>
      <c r="AY39" s="351"/>
      <c r="AZ39" s="351"/>
      <c r="BA39" s="280" t="str">
        <f>C29 &amp; "-II"</f>
        <v>0.0-II</v>
      </c>
      <c r="BB39" s="351"/>
      <c r="BC39" s="351"/>
      <c r="BD39" s="388"/>
      <c r="BE39" s="388"/>
      <c r="BF39" s="278"/>
    </row>
    <row r="40" spans="1:61" s="114" customFormat="1" ht="12.75" hidden="1" customHeight="1">
      <c r="A40" s="287"/>
      <c r="B40" s="943"/>
      <c r="C40" s="947"/>
      <c r="D40" s="286"/>
      <c r="E40" s="282"/>
      <c r="F40" s="283" t="str">
        <f>F29 &amp; ".9"</f>
        <v>0.9</v>
      </c>
      <c r="G40" s="301" t="s">
        <v>145</v>
      </c>
      <c r="H40" s="275"/>
      <c r="I40" s="275"/>
      <c r="J40" s="602" t="str">
        <f ca="1">IF(OFFSET('Список территорий'!CR$15,$F29,0)="a","Y","N")</f>
        <v>N</v>
      </c>
      <c r="K40" s="275"/>
      <c r="L40" s="275"/>
      <c r="M40" s="275"/>
      <c r="N40" s="275"/>
      <c r="O40" s="293">
        <f t="shared" si="4"/>
        <v>0</v>
      </c>
      <c r="P40" s="292"/>
      <c r="Q40" s="293">
        <f t="shared" si="5"/>
        <v>0</v>
      </c>
      <c r="R40" s="292"/>
      <c r="S40" s="292"/>
      <c r="T40" s="293">
        <f t="shared" si="6"/>
        <v>0</v>
      </c>
      <c r="U40" s="292"/>
      <c r="V40" s="292"/>
      <c r="W40" s="293">
        <f t="shared" si="7"/>
        <v>0</v>
      </c>
      <c r="X40" s="292"/>
      <c r="Y40" s="292"/>
      <c r="Z40" s="293">
        <f t="shared" si="8"/>
        <v>0</v>
      </c>
      <c r="AA40" s="292"/>
      <c r="AB40" s="269"/>
      <c r="AC40" s="351"/>
      <c r="AD40" s="351"/>
      <c r="AE40" s="351"/>
      <c r="AF40" s="351"/>
      <c r="AG40" s="351"/>
      <c r="AH40" s="351"/>
      <c r="AI40" s="351"/>
      <c r="AJ40" s="351"/>
      <c r="AK40" s="351"/>
      <c r="AL40" s="351"/>
      <c r="AM40" s="351"/>
      <c r="AN40" s="351"/>
      <c r="AO40" s="351"/>
      <c r="AP40" s="351"/>
      <c r="AQ40" s="351"/>
      <c r="AR40" s="351"/>
      <c r="AS40" s="351"/>
      <c r="AT40" s="351"/>
      <c r="AU40" s="351"/>
      <c r="AV40" s="351"/>
      <c r="AW40" s="351"/>
      <c r="AX40" s="351"/>
      <c r="AY40" s="351"/>
      <c r="AZ40" s="351"/>
      <c r="BA40" s="280" t="str">
        <f>C29 &amp; "-II"</f>
        <v>0.0-II</v>
      </c>
      <c r="BB40" s="351"/>
      <c r="BC40" s="351"/>
      <c r="BD40" s="388"/>
      <c r="BE40" s="388"/>
      <c r="BF40" s="278"/>
    </row>
    <row r="41" spans="1:61" s="114" customFormat="1" ht="12.75" hidden="1" customHeight="1">
      <c r="A41" s="287"/>
      <c r="B41" s="943"/>
      <c r="C41" s="947"/>
      <c r="D41" s="286"/>
      <c r="E41" s="282"/>
      <c r="F41" s="283" t="str">
        <f>F29 &amp; ".10"</f>
        <v>0.10</v>
      </c>
      <c r="G41" s="301" t="s">
        <v>146</v>
      </c>
      <c r="H41" s="275"/>
      <c r="I41" s="275"/>
      <c r="J41" s="602" t="str">
        <f ca="1">IF(OFFSET('Список территорий'!CS$15,$F29,0)="a","Y","N")</f>
        <v>N</v>
      </c>
      <c r="K41" s="275"/>
      <c r="L41" s="275"/>
      <c r="M41" s="275"/>
      <c r="N41" s="275"/>
      <c r="O41" s="293">
        <f t="shared" si="4"/>
        <v>0</v>
      </c>
      <c r="P41" s="292"/>
      <c r="Q41" s="293">
        <f t="shared" si="5"/>
        <v>0</v>
      </c>
      <c r="R41" s="292"/>
      <c r="S41" s="292"/>
      <c r="T41" s="293">
        <f t="shared" si="6"/>
        <v>0</v>
      </c>
      <c r="U41" s="292"/>
      <c r="V41" s="292"/>
      <c r="W41" s="293">
        <f t="shared" si="7"/>
        <v>0</v>
      </c>
      <c r="X41" s="292"/>
      <c r="Y41" s="292"/>
      <c r="Z41" s="293">
        <f t="shared" si="8"/>
        <v>0</v>
      </c>
      <c r="AA41" s="292"/>
      <c r="AB41" s="269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1"/>
      <c r="AT41" s="351"/>
      <c r="AU41" s="351"/>
      <c r="AV41" s="351"/>
      <c r="AW41" s="351"/>
      <c r="AX41" s="351"/>
      <c r="AY41" s="351"/>
      <c r="AZ41" s="351"/>
      <c r="BA41" s="280" t="str">
        <f>C29 &amp; "-II"</f>
        <v>0.0-II</v>
      </c>
      <c r="BB41" s="351"/>
      <c r="BC41" s="351"/>
      <c r="BD41" s="388"/>
      <c r="BE41" s="388"/>
      <c r="BF41" s="278"/>
    </row>
    <row r="42" spans="1:61" s="114" customFormat="1" ht="12.75" hidden="1" customHeight="1">
      <c r="A42" s="287"/>
      <c r="B42" s="943"/>
      <c r="C42" s="947"/>
      <c r="D42" s="286"/>
      <c r="E42" s="282"/>
      <c r="F42" s="283" t="str">
        <f>F29 &amp; ".11"</f>
        <v>0.11</v>
      </c>
      <c r="G42" s="301" t="s">
        <v>147</v>
      </c>
      <c r="H42" s="275"/>
      <c r="I42" s="275"/>
      <c r="J42" s="602" t="str">
        <f ca="1">IF(OFFSET('Список территорий'!CT$15,$F29,0)="a","Y","N")</f>
        <v>N</v>
      </c>
      <c r="K42" s="275"/>
      <c r="L42" s="275"/>
      <c r="M42" s="275"/>
      <c r="N42" s="275"/>
      <c r="O42" s="293">
        <f t="shared" si="4"/>
        <v>0</v>
      </c>
      <c r="P42" s="292"/>
      <c r="Q42" s="293">
        <f t="shared" si="5"/>
        <v>0</v>
      </c>
      <c r="R42" s="292"/>
      <c r="S42" s="292"/>
      <c r="T42" s="293">
        <f t="shared" si="6"/>
        <v>0</v>
      </c>
      <c r="U42" s="292"/>
      <c r="V42" s="292"/>
      <c r="W42" s="293">
        <f t="shared" si="7"/>
        <v>0</v>
      </c>
      <c r="X42" s="292"/>
      <c r="Y42" s="292"/>
      <c r="Z42" s="293">
        <f t="shared" si="8"/>
        <v>0</v>
      </c>
      <c r="AA42" s="292"/>
      <c r="AB42" s="269"/>
      <c r="AC42" s="351"/>
      <c r="AD42" s="351"/>
      <c r="AE42" s="351"/>
      <c r="AF42" s="351"/>
      <c r="AG42" s="351"/>
      <c r="AH42" s="351"/>
      <c r="AI42" s="351"/>
      <c r="AJ42" s="351"/>
      <c r="AK42" s="351"/>
      <c r="AL42" s="351"/>
      <c r="AM42" s="351"/>
      <c r="AN42" s="351"/>
      <c r="AO42" s="351"/>
      <c r="AP42" s="351"/>
      <c r="AQ42" s="351"/>
      <c r="AR42" s="351"/>
      <c r="AS42" s="351"/>
      <c r="AT42" s="351"/>
      <c r="AU42" s="351"/>
      <c r="AV42" s="351"/>
      <c r="AW42" s="351"/>
      <c r="AX42" s="351"/>
      <c r="AY42" s="351"/>
      <c r="AZ42" s="351"/>
      <c r="BA42" s="280" t="str">
        <f>C29 &amp; "-II"</f>
        <v>0.0-II</v>
      </c>
      <c r="BB42" s="351"/>
      <c r="BC42" s="351"/>
      <c r="BD42" s="388"/>
      <c r="BE42" s="388"/>
      <c r="BF42" s="278"/>
    </row>
    <row r="43" spans="1:61" s="114" customFormat="1" ht="12.75" hidden="1" customHeight="1">
      <c r="A43" s="287"/>
      <c r="B43" s="943"/>
      <c r="C43" s="948"/>
      <c r="D43" s="286"/>
      <c r="E43" s="282"/>
      <c r="F43" s="283" t="str">
        <f>F29 &amp; ".12"</f>
        <v>0.12</v>
      </c>
      <c r="G43" s="301" t="s">
        <v>148</v>
      </c>
      <c r="H43" s="274"/>
      <c r="I43" s="274"/>
      <c r="J43" s="602" t="str">
        <f ca="1">IF(OFFSET('Список территорий'!CU$15,$F29,0)="a","Y","N")</f>
        <v>N</v>
      </c>
      <c r="K43" s="275"/>
      <c r="L43" s="275"/>
      <c r="M43" s="275"/>
      <c r="N43" s="275"/>
      <c r="O43" s="293">
        <f t="shared" si="4"/>
        <v>0</v>
      </c>
      <c r="P43" s="292"/>
      <c r="Q43" s="293">
        <f t="shared" si="5"/>
        <v>0</v>
      </c>
      <c r="R43" s="292"/>
      <c r="S43" s="292"/>
      <c r="T43" s="293">
        <f t="shared" si="6"/>
        <v>0</v>
      </c>
      <c r="U43" s="292"/>
      <c r="V43" s="292"/>
      <c r="W43" s="293">
        <f t="shared" si="7"/>
        <v>0</v>
      </c>
      <c r="X43" s="292"/>
      <c r="Y43" s="292"/>
      <c r="Z43" s="293">
        <f t="shared" si="8"/>
        <v>0</v>
      </c>
      <c r="AA43" s="292"/>
      <c r="AB43" s="269"/>
      <c r="AC43" s="351"/>
      <c r="AD43" s="351"/>
      <c r="AE43" s="351"/>
      <c r="AF43" s="351"/>
      <c r="AG43" s="351"/>
      <c r="AH43" s="351"/>
      <c r="AI43" s="351"/>
      <c r="AJ43" s="351"/>
      <c r="AK43" s="351"/>
      <c r="AL43" s="351"/>
      <c r="AM43" s="351"/>
      <c r="AN43" s="351"/>
      <c r="AO43" s="351"/>
      <c r="AP43" s="351"/>
      <c r="AQ43" s="351"/>
      <c r="AR43" s="351"/>
      <c r="AS43" s="351"/>
      <c r="AT43" s="351"/>
      <c r="AU43" s="351"/>
      <c r="AV43" s="351"/>
      <c r="AW43" s="351"/>
      <c r="AX43" s="351"/>
      <c r="AY43" s="351"/>
      <c r="AZ43" s="351"/>
      <c r="BA43" s="280" t="str">
        <f>C29 &amp; "-II"</f>
        <v>0.0-II</v>
      </c>
      <c r="BB43" s="351"/>
      <c r="BC43" s="351"/>
      <c r="BD43" s="278"/>
      <c r="BE43" s="278"/>
      <c r="BF43" s="278"/>
      <c r="BI43" s="212"/>
    </row>
    <row r="44" spans="1:61" s="114" customFormat="1" ht="0.75" hidden="1" customHeight="1">
      <c r="A44" s="287"/>
      <c r="B44" s="943"/>
      <c r="C44" s="946"/>
      <c r="D44" s="286"/>
      <c r="E44" s="282"/>
      <c r="F44" s="274"/>
      <c r="G44" s="274"/>
      <c r="H44" s="274"/>
      <c r="I44" s="274"/>
      <c r="J44" s="274"/>
      <c r="K44" s="274"/>
      <c r="L44" s="274"/>
      <c r="M44" s="274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0"/>
      <c r="AC44" s="351"/>
      <c r="AD44" s="351"/>
      <c r="AE44" s="351"/>
      <c r="AF44" s="351"/>
      <c r="AG44" s="351"/>
      <c r="AH44" s="351"/>
      <c r="AI44" s="351"/>
      <c r="AJ44" s="351"/>
      <c r="AK44" s="351"/>
      <c r="AL44" s="351"/>
      <c r="AM44" s="351"/>
      <c r="AN44" s="351"/>
      <c r="AO44" s="351"/>
      <c r="AP44" s="351"/>
      <c r="AQ44" s="351"/>
      <c r="AR44" s="351"/>
      <c r="AS44" s="351"/>
      <c r="AT44" s="351"/>
      <c r="AU44" s="351"/>
      <c r="AV44" s="351"/>
      <c r="AW44" s="351"/>
      <c r="AX44" s="351"/>
      <c r="AY44" s="351"/>
      <c r="AZ44" s="351"/>
      <c r="BA44" s="280"/>
      <c r="BB44" s="351"/>
      <c r="BC44" s="351"/>
      <c r="BD44" s="278"/>
      <c r="BE44" s="278"/>
      <c r="BF44" s="278"/>
      <c r="BI44" s="212"/>
    </row>
    <row r="45" spans="1:61" s="114" customFormat="1" ht="0.75" hidden="1" customHeight="1">
      <c r="A45" s="287"/>
      <c r="B45" s="943"/>
      <c r="C45" s="947"/>
      <c r="D45" s="286"/>
      <c r="E45" s="282"/>
      <c r="F45" s="274"/>
      <c r="G45" s="274"/>
      <c r="H45" s="274"/>
      <c r="I45" s="274"/>
      <c r="J45" s="274"/>
      <c r="K45" s="274"/>
      <c r="L45" s="274"/>
      <c r="M45" s="274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0"/>
      <c r="AC45" s="351"/>
      <c r="AD45" s="351"/>
      <c r="AE45" s="351"/>
      <c r="AF45" s="351"/>
      <c r="AG45" s="351"/>
      <c r="AH45" s="351"/>
      <c r="AI45" s="351"/>
      <c r="AJ45" s="351"/>
      <c r="AK45" s="351"/>
      <c r="AL45" s="351"/>
      <c r="AM45" s="351"/>
      <c r="AN45" s="351"/>
      <c r="AO45" s="351"/>
      <c r="AP45" s="351"/>
      <c r="AQ45" s="351"/>
      <c r="AR45" s="351"/>
      <c r="AS45" s="351"/>
      <c r="AT45" s="351"/>
      <c r="AU45" s="351"/>
      <c r="AV45" s="351"/>
      <c r="AW45" s="351"/>
      <c r="AX45" s="351"/>
      <c r="AY45" s="351"/>
      <c r="AZ45" s="351"/>
      <c r="BA45" s="280"/>
      <c r="BB45" s="351"/>
      <c r="BC45" s="351"/>
      <c r="BD45" s="278"/>
      <c r="BE45" s="278"/>
      <c r="BF45" s="278"/>
      <c r="BI45" s="212"/>
    </row>
    <row r="46" spans="1:61" s="114" customFormat="1" ht="0.75" hidden="1" customHeight="1">
      <c r="A46" s="287"/>
      <c r="B46" s="943"/>
      <c r="C46" s="947"/>
      <c r="D46" s="286"/>
      <c r="E46" s="282"/>
      <c r="F46" s="274"/>
      <c r="G46" s="274"/>
      <c r="H46" s="274"/>
      <c r="I46" s="274"/>
      <c r="J46" s="274"/>
      <c r="K46" s="274"/>
      <c r="L46" s="274"/>
      <c r="M46" s="274"/>
      <c r="N46" s="275"/>
      <c r="O46" s="275"/>
      <c r="P46" s="275"/>
      <c r="Q46" s="275"/>
      <c r="R46" s="275"/>
      <c r="S46" s="275"/>
      <c r="T46" s="275"/>
      <c r="U46" s="275"/>
      <c r="V46" s="275"/>
      <c r="W46" s="275"/>
      <c r="X46" s="275"/>
      <c r="Y46" s="275"/>
      <c r="Z46" s="275"/>
      <c r="AA46" s="275"/>
      <c r="AB46" s="270"/>
      <c r="AC46" s="351"/>
      <c r="AD46" s="351"/>
      <c r="AE46" s="351"/>
      <c r="AF46" s="351"/>
      <c r="AG46" s="351"/>
      <c r="AH46" s="351"/>
      <c r="AI46" s="351"/>
      <c r="AJ46" s="351"/>
      <c r="AK46" s="351"/>
      <c r="AL46" s="351"/>
      <c r="AM46" s="351"/>
      <c r="AN46" s="351"/>
      <c r="AO46" s="351"/>
      <c r="AP46" s="351"/>
      <c r="AQ46" s="351"/>
      <c r="AR46" s="351"/>
      <c r="AS46" s="351"/>
      <c r="AT46" s="351"/>
      <c r="AU46" s="351"/>
      <c r="AV46" s="351"/>
      <c r="AW46" s="351"/>
      <c r="AX46" s="351"/>
      <c r="AY46" s="351"/>
      <c r="AZ46" s="351"/>
      <c r="BA46" s="280"/>
      <c r="BB46" s="351"/>
      <c r="BC46" s="351"/>
      <c r="BD46" s="278"/>
      <c r="BE46" s="278"/>
      <c r="BF46" s="278"/>
      <c r="BI46" s="212"/>
    </row>
    <row r="47" spans="1:61" s="114" customFormat="1" ht="0.75" hidden="1" customHeight="1">
      <c r="A47" s="287"/>
      <c r="B47" s="943"/>
      <c r="C47" s="947"/>
      <c r="D47" s="286"/>
      <c r="E47" s="282"/>
      <c r="F47" s="274"/>
      <c r="G47" s="274"/>
      <c r="H47" s="274"/>
      <c r="I47" s="274"/>
      <c r="J47" s="274"/>
      <c r="K47" s="274"/>
      <c r="L47" s="274"/>
      <c r="M47" s="274"/>
      <c r="N47" s="275"/>
      <c r="O47" s="275"/>
      <c r="P47" s="275"/>
      <c r="Q47" s="275"/>
      <c r="R47" s="275"/>
      <c r="S47" s="275"/>
      <c r="T47" s="275"/>
      <c r="U47" s="275"/>
      <c r="V47" s="275"/>
      <c r="W47" s="275"/>
      <c r="X47" s="275"/>
      <c r="Y47" s="275"/>
      <c r="Z47" s="275"/>
      <c r="AA47" s="275"/>
      <c r="AB47" s="270"/>
      <c r="AC47" s="351"/>
      <c r="AD47" s="351"/>
      <c r="AE47" s="351"/>
      <c r="AF47" s="351"/>
      <c r="AG47" s="351"/>
      <c r="AH47" s="351"/>
      <c r="AI47" s="351"/>
      <c r="AJ47" s="351"/>
      <c r="AK47" s="351"/>
      <c r="AL47" s="351"/>
      <c r="AM47" s="351"/>
      <c r="AN47" s="351"/>
      <c r="AO47" s="351"/>
      <c r="AP47" s="351"/>
      <c r="AQ47" s="351"/>
      <c r="AR47" s="351"/>
      <c r="AS47" s="351"/>
      <c r="AT47" s="351"/>
      <c r="AU47" s="351"/>
      <c r="AV47" s="351"/>
      <c r="AW47" s="351"/>
      <c r="AX47" s="351"/>
      <c r="AY47" s="351"/>
      <c r="AZ47" s="351"/>
      <c r="BA47" s="280"/>
      <c r="BB47" s="351"/>
      <c r="BC47" s="351"/>
      <c r="BD47" s="278"/>
      <c r="BE47" s="278"/>
      <c r="BF47" s="278"/>
      <c r="BI47" s="212"/>
    </row>
    <row r="48" spans="1:61" s="114" customFormat="1" ht="0.75" hidden="1" customHeight="1">
      <c r="A48" s="287"/>
      <c r="B48" s="943"/>
      <c r="C48" s="947"/>
      <c r="D48" s="286"/>
      <c r="E48" s="282"/>
      <c r="F48" s="274"/>
      <c r="G48" s="274"/>
      <c r="H48" s="274"/>
      <c r="I48" s="274"/>
      <c r="J48" s="274"/>
      <c r="K48" s="274"/>
      <c r="L48" s="274"/>
      <c r="M48" s="274"/>
      <c r="N48" s="275"/>
      <c r="O48" s="275"/>
      <c r="P48" s="275"/>
      <c r="Q48" s="275"/>
      <c r="R48" s="275"/>
      <c r="S48" s="275"/>
      <c r="T48" s="275"/>
      <c r="U48" s="275"/>
      <c r="V48" s="275"/>
      <c r="W48" s="275"/>
      <c r="X48" s="275"/>
      <c r="Y48" s="275"/>
      <c r="Z48" s="275"/>
      <c r="AA48" s="275"/>
      <c r="AB48" s="270"/>
      <c r="AC48" s="351"/>
      <c r="AD48" s="351"/>
      <c r="AE48" s="351"/>
      <c r="AF48" s="351"/>
      <c r="AG48" s="351"/>
      <c r="AH48" s="351"/>
      <c r="AI48" s="351"/>
      <c r="AJ48" s="351"/>
      <c r="AK48" s="351"/>
      <c r="AL48" s="351"/>
      <c r="AM48" s="351"/>
      <c r="AN48" s="351"/>
      <c r="AO48" s="351"/>
      <c r="AP48" s="351"/>
      <c r="AQ48" s="351"/>
      <c r="AR48" s="351"/>
      <c r="AS48" s="351"/>
      <c r="AT48" s="351"/>
      <c r="AU48" s="351"/>
      <c r="AV48" s="351"/>
      <c r="AW48" s="351"/>
      <c r="AX48" s="351"/>
      <c r="AY48" s="351"/>
      <c r="AZ48" s="351"/>
      <c r="BA48" s="280"/>
      <c r="BB48" s="351"/>
      <c r="BC48" s="351"/>
      <c r="BD48" s="278"/>
      <c r="BE48" s="278"/>
      <c r="BF48" s="278"/>
      <c r="BI48" s="212"/>
    </row>
    <row r="49" spans="1:61" s="114" customFormat="1" ht="0.75" hidden="1" customHeight="1">
      <c r="A49" s="287"/>
      <c r="B49" s="943"/>
      <c r="C49" s="947"/>
      <c r="D49" s="286"/>
      <c r="E49" s="282"/>
      <c r="F49" s="274"/>
      <c r="G49" s="274"/>
      <c r="H49" s="274"/>
      <c r="I49" s="274"/>
      <c r="J49" s="274"/>
      <c r="K49" s="274"/>
      <c r="L49" s="274"/>
      <c r="M49" s="274"/>
      <c r="N49" s="275"/>
      <c r="O49" s="275"/>
      <c r="P49" s="275"/>
      <c r="Q49" s="275"/>
      <c r="R49" s="275"/>
      <c r="S49" s="275"/>
      <c r="T49" s="275"/>
      <c r="U49" s="275"/>
      <c r="V49" s="275"/>
      <c r="W49" s="275"/>
      <c r="X49" s="275"/>
      <c r="Y49" s="275"/>
      <c r="Z49" s="275"/>
      <c r="AA49" s="275"/>
      <c r="AB49" s="270"/>
      <c r="AC49" s="351"/>
      <c r="AD49" s="351"/>
      <c r="AE49" s="351"/>
      <c r="AF49" s="351"/>
      <c r="AG49" s="351"/>
      <c r="AH49" s="351"/>
      <c r="AI49" s="351"/>
      <c r="AJ49" s="351"/>
      <c r="AK49" s="351"/>
      <c r="AL49" s="351"/>
      <c r="AM49" s="351"/>
      <c r="AN49" s="351"/>
      <c r="AO49" s="351"/>
      <c r="AP49" s="351"/>
      <c r="AQ49" s="351"/>
      <c r="AR49" s="351"/>
      <c r="AS49" s="351"/>
      <c r="AT49" s="351"/>
      <c r="AU49" s="351"/>
      <c r="AV49" s="351"/>
      <c r="AW49" s="351"/>
      <c r="AX49" s="351"/>
      <c r="AY49" s="351"/>
      <c r="AZ49" s="351"/>
      <c r="BA49" s="280"/>
      <c r="BB49" s="351"/>
      <c r="BC49" s="351"/>
      <c r="BD49" s="278"/>
      <c r="BE49" s="278"/>
      <c r="BF49" s="278"/>
      <c r="BI49" s="212"/>
    </row>
    <row r="50" spans="1:61" s="114" customFormat="1" ht="0.75" hidden="1" customHeight="1">
      <c r="A50" s="287"/>
      <c r="B50" s="943"/>
      <c r="C50" s="947"/>
      <c r="D50" s="286"/>
      <c r="E50" s="282"/>
      <c r="F50" s="274"/>
      <c r="G50" s="274"/>
      <c r="H50" s="274"/>
      <c r="I50" s="274"/>
      <c r="J50" s="274"/>
      <c r="K50" s="274"/>
      <c r="L50" s="274"/>
      <c r="M50" s="274"/>
      <c r="N50" s="275"/>
      <c r="O50" s="275"/>
      <c r="P50" s="275"/>
      <c r="Q50" s="275"/>
      <c r="R50" s="275"/>
      <c r="S50" s="275"/>
      <c r="T50" s="275"/>
      <c r="U50" s="275"/>
      <c r="V50" s="275"/>
      <c r="W50" s="275"/>
      <c r="X50" s="275"/>
      <c r="Y50" s="275"/>
      <c r="Z50" s="275"/>
      <c r="AA50" s="275"/>
      <c r="AB50" s="270"/>
      <c r="AC50" s="351"/>
      <c r="AD50" s="351"/>
      <c r="AE50" s="351"/>
      <c r="AF50" s="351"/>
      <c r="AG50" s="351"/>
      <c r="AH50" s="351"/>
      <c r="AI50" s="351"/>
      <c r="AJ50" s="351"/>
      <c r="AK50" s="351"/>
      <c r="AL50" s="351"/>
      <c r="AM50" s="351"/>
      <c r="AN50" s="351"/>
      <c r="AO50" s="351"/>
      <c r="AP50" s="351"/>
      <c r="AQ50" s="351"/>
      <c r="AR50" s="351"/>
      <c r="AS50" s="351"/>
      <c r="AT50" s="351"/>
      <c r="AU50" s="351"/>
      <c r="AV50" s="351"/>
      <c r="AW50" s="351"/>
      <c r="AX50" s="351"/>
      <c r="AY50" s="351"/>
      <c r="AZ50" s="351"/>
      <c r="BA50" s="280"/>
      <c r="BB50" s="351"/>
      <c r="BC50" s="351"/>
      <c r="BD50" s="278"/>
      <c r="BE50" s="278"/>
      <c r="BF50" s="278"/>
      <c r="BI50" s="212"/>
    </row>
    <row r="51" spans="1:61" s="114" customFormat="1" ht="0.75" hidden="1" customHeight="1">
      <c r="A51" s="287"/>
      <c r="B51" s="943"/>
      <c r="C51" s="947"/>
      <c r="D51" s="286"/>
      <c r="E51" s="282"/>
      <c r="F51" s="274"/>
      <c r="G51" s="274"/>
      <c r="H51" s="274"/>
      <c r="I51" s="274"/>
      <c r="J51" s="274"/>
      <c r="K51" s="274"/>
      <c r="L51" s="274"/>
      <c r="M51" s="274"/>
      <c r="N51" s="275"/>
      <c r="O51" s="275"/>
      <c r="P51" s="275"/>
      <c r="Q51" s="275"/>
      <c r="R51" s="275"/>
      <c r="S51" s="275"/>
      <c r="T51" s="275"/>
      <c r="U51" s="275"/>
      <c r="V51" s="275"/>
      <c r="W51" s="275"/>
      <c r="X51" s="275"/>
      <c r="Y51" s="275"/>
      <c r="Z51" s="275"/>
      <c r="AA51" s="275"/>
      <c r="AB51" s="270"/>
      <c r="AC51" s="351"/>
      <c r="AD51" s="351"/>
      <c r="AE51" s="351"/>
      <c r="AF51" s="351"/>
      <c r="AG51" s="351"/>
      <c r="AH51" s="351"/>
      <c r="AI51" s="351"/>
      <c r="AJ51" s="351"/>
      <c r="AK51" s="351"/>
      <c r="AL51" s="351"/>
      <c r="AM51" s="351"/>
      <c r="AN51" s="351"/>
      <c r="AO51" s="351"/>
      <c r="AP51" s="351"/>
      <c r="AQ51" s="351"/>
      <c r="AR51" s="351"/>
      <c r="AS51" s="351"/>
      <c r="AT51" s="351"/>
      <c r="AU51" s="351"/>
      <c r="AV51" s="351"/>
      <c r="AW51" s="351"/>
      <c r="AX51" s="351"/>
      <c r="AY51" s="351"/>
      <c r="AZ51" s="351"/>
      <c r="BA51" s="280"/>
      <c r="BB51" s="351"/>
      <c r="BC51" s="351"/>
      <c r="BD51" s="278"/>
      <c r="BE51" s="278"/>
      <c r="BF51" s="278"/>
      <c r="BI51" s="212"/>
    </row>
    <row r="52" spans="1:61" s="114" customFormat="1" ht="0.75" hidden="1" customHeight="1">
      <c r="A52" s="287"/>
      <c r="B52" s="943"/>
      <c r="C52" s="947"/>
      <c r="D52" s="286"/>
      <c r="E52" s="282"/>
      <c r="F52" s="274"/>
      <c r="G52" s="274"/>
      <c r="H52" s="274"/>
      <c r="I52" s="274"/>
      <c r="J52" s="274"/>
      <c r="K52" s="274"/>
      <c r="L52" s="274"/>
      <c r="M52" s="274"/>
      <c r="N52" s="275"/>
      <c r="O52" s="275"/>
      <c r="P52" s="275"/>
      <c r="Q52" s="275"/>
      <c r="R52" s="275"/>
      <c r="S52" s="275"/>
      <c r="T52" s="275"/>
      <c r="U52" s="275"/>
      <c r="V52" s="275"/>
      <c r="W52" s="275"/>
      <c r="X52" s="275"/>
      <c r="Y52" s="275"/>
      <c r="Z52" s="275"/>
      <c r="AA52" s="275"/>
      <c r="AB52" s="270"/>
      <c r="AC52" s="351"/>
      <c r="AD52" s="351"/>
      <c r="AE52" s="351"/>
      <c r="AF52" s="351"/>
      <c r="AG52" s="351"/>
      <c r="AH52" s="351"/>
      <c r="AI52" s="351"/>
      <c r="AJ52" s="351"/>
      <c r="AK52" s="351"/>
      <c r="AL52" s="351"/>
      <c r="AM52" s="351"/>
      <c r="AN52" s="351"/>
      <c r="AO52" s="351"/>
      <c r="AP52" s="351"/>
      <c r="AQ52" s="351"/>
      <c r="AR52" s="351"/>
      <c r="AS52" s="351"/>
      <c r="AT52" s="351"/>
      <c r="AU52" s="351"/>
      <c r="AV52" s="351"/>
      <c r="AW52" s="351"/>
      <c r="AX52" s="351"/>
      <c r="AY52" s="351"/>
      <c r="AZ52" s="351"/>
      <c r="BA52" s="280"/>
      <c r="BB52" s="351"/>
      <c r="BC52" s="351"/>
      <c r="BD52" s="278"/>
      <c r="BE52" s="278"/>
      <c r="BF52" s="278"/>
      <c r="BI52" s="212"/>
    </row>
    <row r="53" spans="1:61" s="114" customFormat="1" ht="0.75" hidden="1" customHeight="1">
      <c r="A53" s="287"/>
      <c r="B53" s="943"/>
      <c r="C53" s="947"/>
      <c r="D53" s="286"/>
      <c r="E53" s="282"/>
      <c r="F53" s="274"/>
      <c r="G53" s="274"/>
      <c r="H53" s="274"/>
      <c r="I53" s="274"/>
      <c r="J53" s="274"/>
      <c r="K53" s="274"/>
      <c r="L53" s="274"/>
      <c r="M53" s="274"/>
      <c r="N53" s="275"/>
      <c r="O53" s="275"/>
      <c r="P53" s="275"/>
      <c r="Q53" s="275"/>
      <c r="R53" s="275"/>
      <c r="S53" s="275"/>
      <c r="T53" s="275"/>
      <c r="U53" s="275"/>
      <c r="V53" s="275"/>
      <c r="W53" s="275"/>
      <c r="X53" s="275"/>
      <c r="Y53" s="275"/>
      <c r="Z53" s="275"/>
      <c r="AA53" s="275"/>
      <c r="AB53" s="270"/>
      <c r="AC53" s="351"/>
      <c r="AD53" s="351"/>
      <c r="AE53" s="351"/>
      <c r="AF53" s="351"/>
      <c r="AG53" s="351"/>
      <c r="AH53" s="351"/>
      <c r="AI53" s="351"/>
      <c r="AJ53" s="351"/>
      <c r="AK53" s="351"/>
      <c r="AL53" s="351"/>
      <c r="AM53" s="351"/>
      <c r="AN53" s="351"/>
      <c r="AO53" s="351"/>
      <c r="AP53" s="351"/>
      <c r="AQ53" s="351"/>
      <c r="AR53" s="351"/>
      <c r="AS53" s="351"/>
      <c r="AT53" s="351"/>
      <c r="AU53" s="351"/>
      <c r="AV53" s="351"/>
      <c r="AW53" s="351"/>
      <c r="AX53" s="351"/>
      <c r="AY53" s="351"/>
      <c r="AZ53" s="351"/>
      <c r="BA53" s="280"/>
      <c r="BB53" s="351"/>
      <c r="BC53" s="351"/>
      <c r="BD53" s="278"/>
      <c r="BE53" s="278"/>
      <c r="BF53" s="278"/>
      <c r="BI53" s="212"/>
    </row>
    <row r="54" spans="1:61" s="114" customFormat="1" ht="0.75" hidden="1" customHeight="1">
      <c r="A54" s="287"/>
      <c r="B54" s="943"/>
      <c r="C54" s="947"/>
      <c r="D54" s="286"/>
      <c r="E54" s="282"/>
      <c r="F54" s="274"/>
      <c r="G54" s="274"/>
      <c r="H54" s="274"/>
      <c r="I54" s="274"/>
      <c r="J54" s="274"/>
      <c r="K54" s="274"/>
      <c r="L54" s="274"/>
      <c r="M54" s="274"/>
      <c r="N54" s="275"/>
      <c r="O54" s="275"/>
      <c r="P54" s="275"/>
      <c r="Q54" s="275"/>
      <c r="R54" s="275"/>
      <c r="S54" s="275"/>
      <c r="T54" s="275"/>
      <c r="U54" s="275"/>
      <c r="V54" s="275"/>
      <c r="W54" s="275"/>
      <c r="X54" s="275"/>
      <c r="Y54" s="275"/>
      <c r="Z54" s="275"/>
      <c r="AA54" s="275"/>
      <c r="AB54" s="270"/>
      <c r="AC54" s="351"/>
      <c r="AD54" s="351"/>
      <c r="AE54" s="351"/>
      <c r="AF54" s="351"/>
      <c r="AG54" s="351"/>
      <c r="AH54" s="351"/>
      <c r="AI54" s="351"/>
      <c r="AJ54" s="351"/>
      <c r="AK54" s="351"/>
      <c r="AL54" s="351"/>
      <c r="AM54" s="351"/>
      <c r="AN54" s="351"/>
      <c r="AO54" s="351"/>
      <c r="AP54" s="351"/>
      <c r="AQ54" s="351"/>
      <c r="AR54" s="351"/>
      <c r="AS54" s="351"/>
      <c r="AT54" s="351"/>
      <c r="AU54" s="351"/>
      <c r="AV54" s="351"/>
      <c r="AW54" s="351"/>
      <c r="AX54" s="351"/>
      <c r="AY54" s="351"/>
      <c r="AZ54" s="351"/>
      <c r="BA54" s="280"/>
      <c r="BB54" s="351"/>
      <c r="BC54" s="351"/>
      <c r="BD54" s="278"/>
      <c r="BE54" s="278"/>
      <c r="BF54" s="278"/>
      <c r="BI54" s="212"/>
    </row>
    <row r="55" spans="1:61" s="114" customFormat="1" ht="0.75" hidden="1" customHeight="1">
      <c r="A55" s="287"/>
      <c r="B55" s="943"/>
      <c r="C55" s="947"/>
      <c r="D55" s="286"/>
      <c r="E55" s="282"/>
      <c r="F55" s="274"/>
      <c r="G55" s="274"/>
      <c r="H55" s="274"/>
      <c r="I55" s="274"/>
      <c r="J55" s="274"/>
      <c r="K55" s="274"/>
      <c r="L55" s="274"/>
      <c r="M55" s="274"/>
      <c r="N55" s="275"/>
      <c r="O55" s="275"/>
      <c r="P55" s="275"/>
      <c r="Q55" s="275"/>
      <c r="R55" s="275"/>
      <c r="S55" s="275"/>
      <c r="T55" s="275"/>
      <c r="U55" s="275"/>
      <c r="V55" s="275"/>
      <c r="W55" s="275"/>
      <c r="X55" s="275"/>
      <c r="Y55" s="275"/>
      <c r="Z55" s="275"/>
      <c r="AA55" s="275"/>
      <c r="AB55" s="270"/>
      <c r="AC55" s="351"/>
      <c r="AD55" s="351"/>
      <c r="AE55" s="351"/>
      <c r="AF55" s="351"/>
      <c r="AG55" s="351"/>
      <c r="AH55" s="351"/>
      <c r="AI55" s="351"/>
      <c r="AJ55" s="351"/>
      <c r="AK55" s="351"/>
      <c r="AL55" s="351"/>
      <c r="AM55" s="351"/>
      <c r="AN55" s="351"/>
      <c r="AO55" s="351"/>
      <c r="AP55" s="351"/>
      <c r="AQ55" s="351"/>
      <c r="AR55" s="351"/>
      <c r="AS55" s="351"/>
      <c r="AT55" s="351"/>
      <c r="AU55" s="351"/>
      <c r="AV55" s="351"/>
      <c r="AW55" s="351"/>
      <c r="AX55" s="351"/>
      <c r="AY55" s="351"/>
      <c r="AZ55" s="351"/>
      <c r="BA55" s="284"/>
      <c r="BB55" s="351"/>
      <c r="BC55" s="351"/>
      <c r="BD55" s="278"/>
      <c r="BE55" s="278"/>
      <c r="BF55" s="278"/>
      <c r="BI55" s="212"/>
    </row>
    <row r="56" spans="1:61" s="114" customFormat="1" ht="0.75" hidden="1" customHeight="1">
      <c r="A56" s="287"/>
      <c r="B56" s="944"/>
      <c r="C56" s="949"/>
      <c r="D56" s="286"/>
      <c r="E56" s="282"/>
      <c r="F56" s="297"/>
      <c r="G56" s="297"/>
      <c r="H56" s="297"/>
      <c r="I56" s="297"/>
      <c r="J56" s="297"/>
      <c r="K56" s="297"/>
      <c r="L56" s="297"/>
      <c r="M56" s="297"/>
      <c r="N56" s="259"/>
      <c r="O56" s="259"/>
      <c r="P56" s="259"/>
      <c r="Q56" s="259"/>
      <c r="R56" s="259"/>
      <c r="S56" s="259"/>
      <c r="T56" s="259"/>
      <c r="U56" s="259"/>
      <c r="V56" s="259"/>
      <c r="W56" s="259"/>
      <c r="X56" s="259"/>
      <c r="Y56" s="259"/>
      <c r="Z56" s="259"/>
      <c r="AA56" s="259"/>
      <c r="AB56" s="241"/>
      <c r="AC56" s="351"/>
      <c r="AD56" s="351"/>
      <c r="AE56" s="351"/>
      <c r="AF56" s="351"/>
      <c r="AG56" s="351"/>
      <c r="AH56" s="351"/>
      <c r="AI56" s="351"/>
      <c r="AJ56" s="351"/>
      <c r="AK56" s="351"/>
      <c r="AL56" s="351"/>
      <c r="AM56" s="351"/>
      <c r="AN56" s="351"/>
      <c r="AO56" s="351"/>
      <c r="AP56" s="351"/>
      <c r="AQ56" s="351"/>
      <c r="AR56" s="351"/>
      <c r="AS56" s="351"/>
      <c r="AT56" s="351"/>
      <c r="AU56" s="351"/>
      <c r="AV56" s="351"/>
      <c r="AW56" s="351"/>
      <c r="AX56" s="351"/>
      <c r="AY56" s="351"/>
      <c r="AZ56" s="351"/>
      <c r="BA56" s="284"/>
      <c r="BB56" s="351"/>
      <c r="BC56" s="351"/>
      <c r="BD56" s="278"/>
      <c r="BE56" s="278"/>
      <c r="BF56" s="278"/>
      <c r="BI56" s="212"/>
    </row>
    <row r="57" spans="1:61" s="169" customFormat="1" ht="0.75" hidden="1" customHeight="1">
      <c r="D57" s="347"/>
    </row>
    <row r="58" spans="1:61" s="169" customFormat="1" ht="0.75" hidden="1" customHeight="1">
      <c r="D58" s="347"/>
    </row>
    <row r="59" spans="1:61" s="169" customFormat="1" ht="0.75" hidden="1" customHeight="1">
      <c r="D59" s="347"/>
    </row>
    <row r="60" spans="1:61" s="169" customFormat="1" ht="0.75" hidden="1" customHeight="1">
      <c r="D60" s="347"/>
    </row>
    <row r="61" spans="1:61" s="169" customFormat="1" ht="0.75" hidden="1" customHeight="1">
      <c r="D61" s="347"/>
    </row>
    <row r="62" spans="1:61" s="169" customFormat="1" ht="0.75" hidden="1" customHeight="1">
      <c r="D62" s="347"/>
    </row>
    <row r="63" spans="1:61" s="169" customFormat="1" ht="0.75" hidden="1" customHeight="1">
      <c r="D63" s="347"/>
    </row>
    <row r="64" spans="1:61" s="169" customFormat="1" ht="0.75" hidden="1" customHeight="1">
      <c r="D64" s="347"/>
    </row>
    <row r="65" spans="4:4" s="169" customFormat="1" ht="0.75" hidden="1" customHeight="1">
      <c r="D65" s="347"/>
    </row>
    <row r="66" spans="4:4" s="169" customFormat="1" ht="0.75" hidden="1" customHeight="1">
      <c r="D66" s="347"/>
    </row>
    <row r="67" spans="4:4" s="169" customFormat="1" ht="0.75" hidden="1" customHeight="1">
      <c r="D67" s="347"/>
    </row>
    <row r="68" spans="4:4" s="169" customFormat="1" ht="0.75" hidden="1" customHeight="1">
      <c r="D68" s="347"/>
    </row>
    <row r="69" spans="4:4" s="169" customFormat="1" ht="0.75" hidden="1" customHeight="1">
      <c r="D69" s="347"/>
    </row>
    <row r="70" spans="4:4" s="169" customFormat="1" ht="0.75" hidden="1" customHeight="1">
      <c r="D70" s="347"/>
    </row>
    <row r="71" spans="4:4" s="169" customFormat="1" ht="0.75" hidden="1" customHeight="1">
      <c r="D71" s="347"/>
    </row>
    <row r="72" spans="4:4" s="169" customFormat="1" ht="0.75" hidden="1" customHeight="1">
      <c r="D72" s="347"/>
    </row>
    <row r="73" spans="4:4" s="169" customFormat="1" ht="0.75" hidden="1" customHeight="1">
      <c r="D73" s="347"/>
    </row>
    <row r="74" spans="4:4" s="169" customFormat="1" ht="0.75" hidden="1" customHeight="1">
      <c r="D74" s="347"/>
    </row>
    <row r="75" spans="4:4" s="169" customFormat="1" ht="0.75" hidden="1" customHeight="1">
      <c r="D75" s="347"/>
    </row>
    <row r="76" spans="4:4" s="169" customFormat="1" ht="0.75" hidden="1" customHeight="1">
      <c r="D76" s="347"/>
    </row>
    <row r="77" spans="4:4" s="169" customFormat="1" ht="0.75" hidden="1" customHeight="1">
      <c r="D77" s="347"/>
    </row>
    <row r="78" spans="4:4" s="169" customFormat="1" ht="0.75" hidden="1" customHeight="1">
      <c r="D78" s="347"/>
    </row>
    <row r="79" spans="4:4" s="169" customFormat="1" ht="0.75" hidden="1" customHeight="1">
      <c r="D79" s="347"/>
    </row>
    <row r="80" spans="4:4" s="169" customFormat="1" ht="0.75" hidden="1" customHeight="1">
      <c r="D80" s="347"/>
    </row>
    <row r="81" spans="4:4" s="169" customFormat="1" ht="0.75" hidden="1" customHeight="1">
      <c r="D81" s="347"/>
    </row>
    <row r="82" spans="4:4" s="169" customFormat="1" ht="0.75" hidden="1" customHeight="1">
      <c r="D82" s="347"/>
    </row>
    <row r="83" spans="4:4" s="169" customFormat="1" ht="0.75" hidden="1" customHeight="1">
      <c r="D83" s="347"/>
    </row>
    <row r="84" spans="4:4" s="169" customFormat="1" ht="0.75" hidden="1" customHeight="1">
      <c r="D84" s="347"/>
    </row>
    <row r="85" spans="4:4" s="169" customFormat="1" ht="0.75" hidden="1" customHeight="1">
      <c r="D85" s="347"/>
    </row>
    <row r="86" spans="4:4" s="169" customFormat="1" ht="0.75" hidden="1" customHeight="1">
      <c r="D86" s="347"/>
    </row>
    <row r="87" spans="4:4" s="169" customFormat="1" ht="0.75" hidden="1" customHeight="1">
      <c r="D87" s="347"/>
    </row>
    <row r="88" spans="4:4" s="169" customFormat="1" ht="0.75" hidden="1" customHeight="1">
      <c r="D88" s="347"/>
    </row>
    <row r="89" spans="4:4" s="169" customFormat="1" ht="0.75" hidden="1" customHeight="1">
      <c r="D89" s="347"/>
    </row>
    <row r="90" spans="4:4" s="169" customFormat="1" ht="0.75" hidden="1" customHeight="1">
      <c r="D90" s="347"/>
    </row>
    <row r="91" spans="4:4" s="169" customFormat="1" ht="0.75" hidden="1" customHeight="1">
      <c r="D91" s="347"/>
    </row>
    <row r="92" spans="4:4" s="169" customFormat="1" ht="0.75" hidden="1" customHeight="1">
      <c r="D92" s="347"/>
    </row>
    <row r="93" spans="4:4" s="169" customFormat="1" ht="0.75" hidden="1" customHeight="1">
      <c r="D93" s="347"/>
    </row>
    <row r="94" spans="4:4" s="169" customFormat="1" ht="0.75" hidden="1" customHeight="1">
      <c r="D94" s="347"/>
    </row>
    <row r="95" spans="4:4" s="169" customFormat="1" ht="0.75" hidden="1" customHeight="1">
      <c r="D95" s="347"/>
    </row>
    <row r="96" spans="4:4" s="169" customFormat="1" ht="0.75" hidden="1" customHeight="1">
      <c r="D96" s="347"/>
    </row>
    <row r="97" spans="4:4" s="169" customFormat="1" ht="0.75" hidden="1" customHeight="1">
      <c r="D97" s="347"/>
    </row>
    <row r="98" spans="4:4" s="169" customFormat="1" ht="0.75" hidden="1" customHeight="1">
      <c r="D98" s="347"/>
    </row>
    <row r="99" spans="4:4" s="169" customFormat="1" ht="0.75" hidden="1" customHeight="1">
      <c r="D99" s="347"/>
    </row>
    <row r="100" spans="4:4" s="169" customFormat="1" ht="0.75" hidden="1" customHeight="1">
      <c r="D100" s="347"/>
    </row>
    <row r="101" spans="4:4" s="169" customFormat="1" ht="0.75" hidden="1" customHeight="1">
      <c r="D101" s="347"/>
    </row>
    <row r="102" spans="4:4" s="169" customFormat="1" ht="0.75" hidden="1" customHeight="1">
      <c r="D102" s="347"/>
    </row>
    <row r="103" spans="4:4" s="169" customFormat="1" ht="0.75" hidden="1" customHeight="1">
      <c r="D103" s="347"/>
    </row>
    <row r="104" spans="4:4" s="169" customFormat="1" ht="0.75" hidden="1" customHeight="1">
      <c r="D104" s="347"/>
    </row>
    <row r="105" spans="4:4" s="169" customFormat="1" ht="0.75" hidden="1" customHeight="1">
      <c r="D105" s="347"/>
    </row>
    <row r="106" spans="4:4" s="169" customFormat="1" ht="0.75" hidden="1" customHeight="1">
      <c r="D106" s="347"/>
    </row>
    <row r="107" spans="4:4" s="169" customFormat="1" ht="0.75" hidden="1" customHeight="1">
      <c r="D107" s="347"/>
    </row>
    <row r="108" spans="4:4" s="169" customFormat="1" ht="0.75" hidden="1" customHeight="1">
      <c r="D108" s="347"/>
    </row>
    <row r="109" spans="4:4" s="169" customFormat="1" ht="0.75" hidden="1" customHeight="1">
      <c r="D109" s="347"/>
    </row>
    <row r="110" spans="4:4" s="169" customFormat="1" ht="0.75" hidden="1" customHeight="1">
      <c r="D110" s="347"/>
    </row>
    <row r="111" spans="4:4" s="169" customFormat="1" ht="0.75" hidden="1" customHeight="1">
      <c r="D111" s="347"/>
    </row>
    <row r="112" spans="4:4" s="169" customFormat="1" ht="0.75" hidden="1" customHeight="1">
      <c r="D112" s="347"/>
    </row>
    <row r="113" spans="1:58" s="169" customFormat="1" ht="0.75" hidden="1" customHeight="1">
      <c r="D113" s="347"/>
    </row>
    <row r="114" spans="1:58" s="169" customFormat="1" ht="0.75" hidden="1" customHeight="1">
      <c r="D114" s="347"/>
    </row>
    <row r="115" spans="1:58" s="169" customFormat="1" ht="0.75" hidden="1" customHeight="1">
      <c r="D115" s="347"/>
    </row>
    <row r="116" spans="1:58" s="169" customFormat="1" ht="0.75" hidden="1" customHeight="1">
      <c r="D116" s="347"/>
    </row>
    <row r="117" spans="1:58" s="169" customFormat="1" ht="11.25" hidden="1" customHeight="1">
      <c r="D117" s="347"/>
    </row>
    <row r="118" spans="1:58" customFormat="1" ht="12" customHeight="1">
      <c r="D118" s="84"/>
      <c r="F118" s="36"/>
      <c r="G118" s="36"/>
    </row>
    <row r="119" spans="1:58" s="45" customFormat="1" ht="18" customHeight="1">
      <c r="A119" s="9"/>
      <c r="B119" s="57"/>
      <c r="C119" s="56"/>
      <c r="D119" s="87"/>
      <c r="E119" s="38"/>
      <c r="F119" s="119" t="str">
        <f>"Баланс " &amp; TEMPLATE_SPHERE &amp; " (транспортировка)"</f>
        <v>Баланс теплоснабжения (транспортировка)</v>
      </c>
      <c r="G119" s="120"/>
      <c r="BA119"/>
    </row>
    <row r="120" spans="1:58" s="45" customFormat="1" ht="15" customHeight="1">
      <c r="A120" s="9"/>
      <c r="B120" s="24"/>
      <c r="C120" s="2"/>
      <c r="D120" s="86"/>
      <c r="F120" s="439" t="s">
        <v>515</v>
      </c>
      <c r="G120" s="128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BA120"/>
    </row>
    <row r="121" spans="1:58" s="45" customFormat="1" ht="24" customHeight="1">
      <c r="A121" s="2"/>
      <c r="B121" s="24"/>
      <c r="C121" s="2"/>
      <c r="D121" s="84"/>
      <c r="E121" s="124"/>
      <c r="F121" s="925" t="s">
        <v>104</v>
      </c>
      <c r="G121" s="925" t="s">
        <v>150</v>
      </c>
      <c r="H121" s="925" t="s">
        <v>399</v>
      </c>
      <c r="I121" s="925" t="s">
        <v>400</v>
      </c>
      <c r="J121" s="925" t="s">
        <v>775</v>
      </c>
      <c r="K121" s="925" t="s">
        <v>1083</v>
      </c>
      <c r="L121" s="1015" t="s">
        <v>1085</v>
      </c>
      <c r="M121" s="925" t="s">
        <v>1084</v>
      </c>
      <c r="N121" s="925" t="s">
        <v>190</v>
      </c>
      <c r="O121" s="984" t="s">
        <v>1086</v>
      </c>
      <c r="P121" s="984"/>
      <c r="Q121" s="984"/>
      <c r="R121" s="984"/>
      <c r="S121" s="984"/>
      <c r="T121" s="984"/>
      <c r="U121" s="984"/>
      <c r="V121" s="984"/>
      <c r="W121" s="984"/>
      <c r="X121" s="984"/>
      <c r="Y121" s="984"/>
      <c r="Z121" s="984"/>
      <c r="AA121" s="984"/>
      <c r="AB121" s="984"/>
      <c r="BA121"/>
    </row>
    <row r="122" spans="1:58" ht="15" customHeight="1">
      <c r="A122" s="2"/>
      <c r="D122" s="84"/>
      <c r="E122" s="124"/>
      <c r="F122" s="925"/>
      <c r="G122" s="925"/>
      <c r="H122" s="925"/>
      <c r="I122" s="925"/>
      <c r="J122" s="925"/>
      <c r="K122" s="925"/>
      <c r="L122" s="1015"/>
      <c r="M122" s="925"/>
      <c r="N122" s="925"/>
      <c r="O122" s="984" t="s">
        <v>160</v>
      </c>
      <c r="P122" s="984" t="s">
        <v>697</v>
      </c>
      <c r="Q122" s="984" t="s">
        <v>698</v>
      </c>
      <c r="R122" s="984"/>
      <c r="S122" s="984"/>
      <c r="T122" s="984" t="s">
        <v>699</v>
      </c>
      <c r="U122" s="984"/>
      <c r="V122" s="984"/>
      <c r="W122" s="984" t="s">
        <v>700</v>
      </c>
      <c r="X122" s="984"/>
      <c r="Y122" s="984"/>
      <c r="Z122" s="984" t="s">
        <v>701</v>
      </c>
      <c r="AA122" s="984"/>
      <c r="AB122" s="984"/>
      <c r="BA122"/>
    </row>
    <row r="123" spans="1:58" ht="45" customHeight="1">
      <c r="A123" s="2"/>
      <c r="D123" s="84"/>
      <c r="E123" s="124"/>
      <c r="F123" s="925"/>
      <c r="G123" s="925"/>
      <c r="H123" s="925"/>
      <c r="I123" s="925"/>
      <c r="J123" s="925"/>
      <c r="K123" s="925"/>
      <c r="L123" s="1015"/>
      <c r="M123" s="925"/>
      <c r="N123" s="925"/>
      <c r="O123" s="984"/>
      <c r="P123" s="984"/>
      <c r="Q123" s="419" t="s">
        <v>160</v>
      </c>
      <c r="R123" s="419" t="s">
        <v>1076</v>
      </c>
      <c r="S123" s="419" t="s">
        <v>1077</v>
      </c>
      <c r="T123" s="419" t="s">
        <v>160</v>
      </c>
      <c r="U123" s="419" t="s">
        <v>1076</v>
      </c>
      <c r="V123" s="419" t="s">
        <v>1077</v>
      </c>
      <c r="W123" s="419" t="s">
        <v>160</v>
      </c>
      <c r="X123" s="419" t="s">
        <v>1076</v>
      </c>
      <c r="Y123" s="419" t="s">
        <v>1077</v>
      </c>
      <c r="Z123" s="419" t="s">
        <v>160</v>
      </c>
      <c r="AA123" s="419" t="s">
        <v>1076</v>
      </c>
      <c r="AB123" s="419" t="s">
        <v>1077</v>
      </c>
      <c r="BA123"/>
    </row>
    <row r="124" spans="1:58" s="249" customFormat="1" ht="12" customHeight="1">
      <c r="B124" s="299"/>
      <c r="D124" s="286"/>
      <c r="E124" s="352"/>
      <c r="F124" s="353"/>
      <c r="G124" s="354" t="s">
        <v>170</v>
      </c>
      <c r="H124" s="354" t="s">
        <v>637</v>
      </c>
      <c r="I124" s="354" t="s">
        <v>1068</v>
      </c>
      <c r="J124" s="354" t="s">
        <v>101</v>
      </c>
      <c r="K124" s="354">
        <v>1</v>
      </c>
      <c r="L124" s="354" t="s">
        <v>198</v>
      </c>
      <c r="M124" s="354" t="s">
        <v>199</v>
      </c>
      <c r="N124" s="354">
        <v>2</v>
      </c>
      <c r="O124" s="354">
        <v>3</v>
      </c>
      <c r="P124" s="354" t="s">
        <v>171</v>
      </c>
      <c r="Q124" s="354" t="s">
        <v>172</v>
      </c>
      <c r="R124" s="354" t="s">
        <v>514</v>
      </c>
      <c r="S124" s="354" t="s">
        <v>995</v>
      </c>
      <c r="T124" s="354" t="s">
        <v>173</v>
      </c>
      <c r="U124" s="354" t="s">
        <v>1108</v>
      </c>
      <c r="V124" s="354" t="s">
        <v>1109</v>
      </c>
      <c r="W124" s="354" t="s">
        <v>174</v>
      </c>
      <c r="X124" s="354" t="s">
        <v>1110</v>
      </c>
      <c r="Y124" s="354" t="s">
        <v>1111</v>
      </c>
      <c r="Z124" s="354" t="s">
        <v>175</v>
      </c>
      <c r="AA124" s="354" t="s">
        <v>405</v>
      </c>
      <c r="AB124" s="354" t="s">
        <v>406</v>
      </c>
      <c r="AC124" s="352"/>
      <c r="AD124" s="352"/>
      <c r="AE124" s="352"/>
      <c r="AF124" s="352"/>
      <c r="AG124" s="352"/>
      <c r="AH124" s="352"/>
      <c r="AI124" s="352"/>
      <c r="AJ124" s="352"/>
      <c r="AK124" s="352"/>
      <c r="AL124" s="352"/>
      <c r="AM124" s="352"/>
      <c r="AN124" s="352"/>
      <c r="AO124" s="352"/>
      <c r="AP124" s="352"/>
      <c r="AQ124" s="352"/>
      <c r="AR124" s="352"/>
      <c r="AS124" s="352"/>
      <c r="AT124" s="352"/>
      <c r="AU124" s="352"/>
      <c r="AV124" s="352"/>
      <c r="AW124" s="352"/>
      <c r="AX124" s="352"/>
      <c r="AY124" s="352"/>
      <c r="AZ124" s="352"/>
      <c r="BA124" s="310"/>
    </row>
    <row r="125" spans="1:58" s="114" customFormat="1" ht="5.25" hidden="1" customHeight="1">
      <c r="B125" s="8"/>
      <c r="D125" s="286"/>
      <c r="E125" s="352"/>
      <c r="F125" s="355"/>
      <c r="G125" s="340"/>
      <c r="H125" s="340"/>
      <c r="I125" s="340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356"/>
      <c r="W125" s="356"/>
      <c r="X125" s="356"/>
      <c r="Y125" s="356"/>
      <c r="Z125" s="356"/>
      <c r="AA125" s="356"/>
      <c r="AB125" s="357"/>
      <c r="AC125" s="351"/>
      <c r="AD125" s="351"/>
      <c r="AE125" s="351"/>
      <c r="AF125" s="351"/>
      <c r="AG125" s="351"/>
      <c r="AH125" s="351"/>
      <c r="AI125" s="351"/>
      <c r="AJ125" s="351"/>
      <c r="AK125" s="351"/>
      <c r="AL125" s="351"/>
      <c r="AM125" s="351"/>
      <c r="AN125" s="351"/>
      <c r="AO125" s="351"/>
      <c r="AP125" s="351"/>
      <c r="AQ125" s="351"/>
      <c r="AR125" s="351"/>
      <c r="AS125" s="351"/>
      <c r="AT125" s="351"/>
      <c r="AU125" s="351"/>
      <c r="AV125" s="351"/>
      <c r="AW125" s="351"/>
      <c r="AX125" s="351"/>
      <c r="AY125" s="351"/>
      <c r="AZ125" s="351"/>
      <c r="BA125" s="169"/>
    </row>
    <row r="126" spans="1:58" s="114" customFormat="1" ht="24" customHeight="1">
      <c r="B126" s="169"/>
      <c r="C126" s="249"/>
      <c r="D126" s="343" t="s">
        <v>112</v>
      </c>
      <c r="E126" s="358"/>
      <c r="F126" s="317" t="str">
        <f>IF(TEMPLATE_SPHERE_CODE="COLDVSNA","0.1.P","0.1")</f>
        <v>0.1</v>
      </c>
      <c r="G126" s="952" t="s">
        <v>2118</v>
      </c>
      <c r="H126" s="359"/>
      <c r="I126" s="336"/>
      <c r="J126" s="274"/>
      <c r="K126" s="293">
        <f t="shared" ref="K126:AB126" si="9">SUMIF($BA131:$BA132,$BA126,K131:K132)</f>
        <v>0</v>
      </c>
      <c r="L126" s="293">
        <f t="shared" si="9"/>
        <v>0</v>
      </c>
      <c r="M126" s="293">
        <f t="shared" si="9"/>
        <v>0</v>
      </c>
      <c r="N126" s="293">
        <f t="shared" si="9"/>
        <v>0</v>
      </c>
      <c r="O126" s="293">
        <f t="shared" si="9"/>
        <v>0</v>
      </c>
      <c r="P126" s="293">
        <f t="shared" si="9"/>
        <v>0</v>
      </c>
      <c r="Q126" s="253">
        <f t="shared" si="9"/>
        <v>0</v>
      </c>
      <c r="R126" s="253">
        <f t="shared" si="9"/>
        <v>0</v>
      </c>
      <c r="S126" s="253">
        <f t="shared" si="9"/>
        <v>0</v>
      </c>
      <c r="T126" s="253">
        <f t="shared" si="9"/>
        <v>0</v>
      </c>
      <c r="U126" s="253">
        <f t="shared" si="9"/>
        <v>0</v>
      </c>
      <c r="V126" s="253">
        <f t="shared" si="9"/>
        <v>0</v>
      </c>
      <c r="W126" s="253">
        <f t="shared" si="9"/>
        <v>0</v>
      </c>
      <c r="X126" s="253">
        <f t="shared" si="9"/>
        <v>0</v>
      </c>
      <c r="Y126" s="253">
        <f t="shared" si="9"/>
        <v>0</v>
      </c>
      <c r="Z126" s="253">
        <f t="shared" si="9"/>
        <v>0</v>
      </c>
      <c r="AA126" s="253">
        <f t="shared" si="9"/>
        <v>0</v>
      </c>
      <c r="AB126" s="253">
        <f t="shared" si="9"/>
        <v>0</v>
      </c>
      <c r="AC126" s="351"/>
      <c r="AD126" s="351"/>
      <c r="AE126" s="351"/>
      <c r="AF126" s="351"/>
      <c r="AG126" s="351"/>
      <c r="AH126" s="351"/>
      <c r="AI126" s="351"/>
      <c r="AJ126" s="351"/>
      <c r="AK126" s="351"/>
      <c r="AL126" s="351"/>
      <c r="AM126" s="351"/>
      <c r="AN126" s="351"/>
      <c r="AO126" s="351"/>
      <c r="AP126" s="351"/>
      <c r="AQ126" s="351"/>
      <c r="AR126" s="351"/>
      <c r="AS126" s="351"/>
      <c r="AT126" s="170"/>
      <c r="AU126" s="170"/>
      <c r="AV126" s="170"/>
      <c r="AW126" s="170"/>
      <c r="AX126" s="170"/>
      <c r="AY126" s="170"/>
      <c r="AZ126" s="170"/>
      <c r="BA126" s="277" t="s">
        <v>21</v>
      </c>
      <c r="BB126" s="170"/>
      <c r="BC126" s="170"/>
      <c r="BD126" s="170"/>
      <c r="BE126" s="170"/>
      <c r="BF126" s="170"/>
    </row>
    <row r="127" spans="1:58" s="114" customFormat="1" ht="0.75" customHeight="1">
      <c r="B127" s="169"/>
      <c r="D127" s="345"/>
      <c r="E127" s="360"/>
      <c r="F127" s="318" t="str">
        <f>IF(TEMPLATE_SPHERE_CODE="COLDVSNA","0.1.T","")</f>
        <v/>
      </c>
      <c r="G127" s="953"/>
      <c r="H127" s="361"/>
      <c r="I127" s="270"/>
      <c r="J127" s="274"/>
      <c r="K127" s="275"/>
      <c r="L127" s="275"/>
      <c r="M127" s="275"/>
      <c r="N127" s="275"/>
      <c r="O127" s="275"/>
      <c r="P127" s="275"/>
      <c r="Q127" s="275"/>
      <c r="R127" s="275"/>
      <c r="S127" s="275"/>
      <c r="T127" s="275"/>
      <c r="U127" s="275"/>
      <c r="V127" s="275"/>
      <c r="W127" s="275"/>
      <c r="X127" s="275"/>
      <c r="Y127" s="275"/>
      <c r="Z127" s="275"/>
      <c r="AA127" s="275"/>
      <c r="AB127" s="270"/>
      <c r="AC127" s="351"/>
      <c r="AD127" s="351"/>
      <c r="AE127" s="351"/>
      <c r="AF127" s="351"/>
      <c r="AG127" s="351"/>
      <c r="AH127" s="351"/>
      <c r="AI127" s="351"/>
      <c r="AJ127" s="351"/>
      <c r="AK127" s="351"/>
      <c r="AL127" s="351"/>
      <c r="AM127" s="351"/>
      <c r="AN127" s="351"/>
      <c r="AO127" s="351"/>
      <c r="AP127" s="351"/>
      <c r="AQ127" s="351"/>
      <c r="AR127" s="351"/>
      <c r="AS127" s="351"/>
      <c r="AT127" s="170"/>
      <c r="AU127" s="170"/>
      <c r="AV127" s="170"/>
      <c r="AW127" s="170"/>
      <c r="AX127" s="170"/>
      <c r="AY127" s="170"/>
      <c r="AZ127" s="170"/>
      <c r="BA127" s="280"/>
      <c r="BB127" s="170"/>
      <c r="BC127" s="170"/>
      <c r="BD127" s="170"/>
      <c r="BE127" s="170"/>
      <c r="BF127" s="170"/>
    </row>
    <row r="128" spans="1:58" s="114" customFormat="1" ht="0.75" customHeight="1">
      <c r="B128" s="169"/>
      <c r="D128" s="345"/>
      <c r="E128" s="360"/>
      <c r="F128" s="319"/>
      <c r="G128" s="950"/>
      <c r="H128" s="359"/>
      <c r="I128" s="270"/>
      <c r="J128" s="274"/>
      <c r="K128" s="291"/>
      <c r="L128" s="291"/>
      <c r="M128" s="291"/>
      <c r="N128" s="291"/>
      <c r="O128" s="291"/>
      <c r="P128" s="291"/>
      <c r="Q128" s="291"/>
      <c r="R128" s="291"/>
      <c r="S128" s="291"/>
      <c r="T128" s="291"/>
      <c r="U128" s="291"/>
      <c r="V128" s="291"/>
      <c r="W128" s="291"/>
      <c r="X128" s="291"/>
      <c r="Y128" s="291"/>
      <c r="Z128" s="291"/>
      <c r="AA128" s="291"/>
      <c r="AB128" s="362"/>
      <c r="AC128" s="351"/>
      <c r="AD128" s="351"/>
      <c r="AE128" s="351"/>
      <c r="AF128" s="351"/>
      <c r="AG128" s="351"/>
      <c r="AH128" s="351"/>
      <c r="AI128" s="351"/>
      <c r="AJ128" s="351"/>
      <c r="AK128" s="351"/>
      <c r="AL128" s="351"/>
      <c r="AM128" s="351"/>
      <c r="AN128" s="351"/>
      <c r="AO128" s="351"/>
      <c r="AP128" s="351"/>
      <c r="AQ128" s="351"/>
      <c r="AR128" s="351"/>
      <c r="AS128" s="351"/>
      <c r="AT128" s="170"/>
      <c r="AU128" s="170"/>
      <c r="AV128" s="170"/>
      <c r="AW128" s="170"/>
      <c r="AX128" s="170"/>
      <c r="AY128" s="170"/>
      <c r="AZ128" s="170"/>
      <c r="BA128" s="320"/>
      <c r="BB128" s="170"/>
      <c r="BC128" s="170"/>
      <c r="BD128" s="170"/>
      <c r="BE128" s="170"/>
      <c r="BF128" s="170"/>
    </row>
    <row r="129" spans="1:58" s="114" customFormat="1" ht="0.75" customHeight="1">
      <c r="B129" s="169"/>
      <c r="D129" s="345"/>
      <c r="E129" s="360"/>
      <c r="F129" s="321"/>
      <c r="G129" s="951"/>
      <c r="H129" s="361"/>
      <c r="I129" s="270"/>
      <c r="J129" s="274"/>
      <c r="K129" s="274"/>
      <c r="L129" s="274"/>
      <c r="M129" s="274"/>
      <c r="N129" s="275"/>
      <c r="O129" s="275"/>
      <c r="P129" s="275"/>
      <c r="Q129" s="275"/>
      <c r="R129" s="275"/>
      <c r="S129" s="275"/>
      <c r="T129" s="275"/>
      <c r="U129" s="275"/>
      <c r="V129" s="275"/>
      <c r="W129" s="275"/>
      <c r="X129" s="275"/>
      <c r="Y129" s="275"/>
      <c r="Z129" s="275"/>
      <c r="AA129" s="275"/>
      <c r="AB129" s="270"/>
      <c r="AC129" s="351"/>
      <c r="AD129" s="351"/>
      <c r="AE129" s="351"/>
      <c r="AF129" s="351"/>
      <c r="AG129" s="351"/>
      <c r="AH129" s="351"/>
      <c r="AI129" s="351"/>
      <c r="AJ129" s="351"/>
      <c r="AK129" s="351"/>
      <c r="AL129" s="351"/>
      <c r="AM129" s="351"/>
      <c r="AN129" s="351"/>
      <c r="AO129" s="351"/>
      <c r="AP129" s="351"/>
      <c r="AQ129" s="351"/>
      <c r="AR129" s="351"/>
      <c r="AS129" s="351"/>
      <c r="AT129" s="170"/>
      <c r="AU129" s="170"/>
      <c r="AV129" s="170"/>
      <c r="AW129" s="170"/>
      <c r="AX129" s="170"/>
      <c r="AY129" s="170"/>
      <c r="AZ129" s="170"/>
      <c r="BA129" s="280"/>
      <c r="BB129" s="170"/>
      <c r="BC129" s="170"/>
      <c r="BD129" s="170"/>
      <c r="BE129" s="170"/>
      <c r="BF129" s="170"/>
    </row>
    <row r="130" spans="1:58" s="114" customFormat="1" ht="0.75" customHeight="1">
      <c r="B130" s="169"/>
      <c r="D130" s="345"/>
      <c r="E130" s="316"/>
      <c r="F130" s="322"/>
      <c r="G130" s="314"/>
      <c r="H130" s="340"/>
      <c r="I130" s="340"/>
      <c r="J130" s="356"/>
      <c r="K130" s="356"/>
      <c r="L130" s="356"/>
      <c r="M130" s="356"/>
      <c r="N130" s="356"/>
      <c r="O130" s="356"/>
      <c r="P130" s="356"/>
      <c r="Q130" s="356"/>
      <c r="R130" s="356"/>
      <c r="S130" s="356"/>
      <c r="T130" s="356"/>
      <c r="U130" s="356"/>
      <c r="V130" s="356"/>
      <c r="W130" s="356"/>
      <c r="X130" s="356"/>
      <c r="Y130" s="356"/>
      <c r="Z130" s="356"/>
      <c r="AA130" s="356"/>
      <c r="AB130" s="357"/>
      <c r="AC130" s="351"/>
      <c r="AD130" s="351"/>
      <c r="AE130" s="351"/>
      <c r="AF130" s="351"/>
      <c r="AG130" s="351"/>
      <c r="AH130" s="351"/>
      <c r="AI130" s="351"/>
      <c r="AJ130" s="351"/>
      <c r="AK130" s="351"/>
      <c r="AL130" s="351"/>
      <c r="AM130" s="351"/>
      <c r="AN130" s="351"/>
      <c r="AO130" s="351"/>
      <c r="AP130" s="351"/>
      <c r="AQ130" s="351"/>
      <c r="AR130" s="351"/>
      <c r="AS130" s="351"/>
      <c r="AT130" s="170"/>
      <c r="AU130" s="170"/>
      <c r="AV130" s="170"/>
      <c r="AW130" s="170"/>
      <c r="AX130" s="170"/>
      <c r="AY130" s="170"/>
      <c r="AZ130" s="170"/>
      <c r="BA130" s="280"/>
      <c r="BB130" s="170"/>
      <c r="BC130" s="170"/>
      <c r="BD130" s="170"/>
      <c r="BE130" s="170"/>
      <c r="BF130" s="170"/>
    </row>
    <row r="131" spans="1:58" s="249" customFormat="1" ht="0.75" customHeight="1">
      <c r="B131" s="323">
        <v>0</v>
      </c>
      <c r="D131" s="286"/>
      <c r="E131" s="316"/>
      <c r="F131" s="324"/>
      <c r="G131" s="325"/>
      <c r="H131" s="310"/>
      <c r="I131" s="310"/>
      <c r="J131" s="307"/>
      <c r="K131" s="307"/>
      <c r="L131" s="307"/>
      <c r="M131" s="307"/>
      <c r="N131" s="363"/>
      <c r="O131" s="363"/>
      <c r="P131" s="363"/>
      <c r="Q131" s="363"/>
      <c r="R131" s="363"/>
      <c r="S131" s="363"/>
      <c r="T131" s="363"/>
      <c r="U131" s="363"/>
      <c r="V131" s="363"/>
      <c r="W131" s="363"/>
      <c r="X131" s="363"/>
      <c r="Y131" s="363"/>
      <c r="Z131" s="363"/>
      <c r="AA131" s="363"/>
      <c r="AB131" s="363"/>
      <c r="AC131" s="352"/>
      <c r="AD131" s="352"/>
      <c r="AE131" s="352"/>
      <c r="AF131" s="352"/>
      <c r="AG131" s="352"/>
      <c r="AH131" s="352"/>
      <c r="AI131" s="352"/>
      <c r="AJ131" s="352"/>
      <c r="AK131" s="352"/>
      <c r="AL131" s="352"/>
      <c r="AM131" s="352"/>
      <c r="AN131" s="352"/>
      <c r="AO131" s="352"/>
      <c r="AP131" s="352"/>
      <c r="AQ131" s="352"/>
      <c r="AR131" s="352"/>
      <c r="AS131" s="352"/>
      <c r="AT131" s="325"/>
      <c r="AU131" s="325"/>
      <c r="AV131" s="325"/>
      <c r="AW131" s="325"/>
      <c r="AX131" s="325"/>
      <c r="AY131" s="325"/>
      <c r="AZ131" s="325"/>
      <c r="BA131" s="53"/>
      <c r="BB131" s="325"/>
      <c r="BC131" s="325"/>
      <c r="BD131" s="325"/>
      <c r="BE131" s="325"/>
      <c r="BF131" s="325"/>
    </row>
    <row r="132" spans="1:58" s="114" customFormat="1" ht="0.75" customHeight="1">
      <c r="A132" s="249"/>
      <c r="B132" s="169"/>
      <c r="C132" s="249"/>
      <c r="D132" s="286"/>
      <c r="E132" s="316"/>
      <c r="F132" s="198"/>
      <c r="G132" s="329" t="s">
        <v>135</v>
      </c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351"/>
      <c r="AD132" s="351"/>
      <c r="AE132" s="351"/>
      <c r="AF132" s="351"/>
      <c r="AG132" s="351"/>
      <c r="AH132" s="351"/>
      <c r="AI132" s="351"/>
      <c r="AJ132" s="351"/>
      <c r="AK132" s="351"/>
      <c r="AL132" s="351"/>
      <c r="AM132" s="351"/>
      <c r="AN132" s="351"/>
      <c r="AO132" s="351"/>
      <c r="AP132" s="351"/>
      <c r="AQ132" s="351"/>
      <c r="AR132" s="351"/>
      <c r="AS132" s="351"/>
      <c r="AT132" s="170"/>
      <c r="AU132" s="170"/>
      <c r="AV132" s="170"/>
      <c r="AW132" s="170"/>
      <c r="AX132" s="170"/>
      <c r="AY132" s="170"/>
      <c r="AZ132" s="170"/>
      <c r="BA132" s="278"/>
      <c r="BB132" s="170"/>
      <c r="BC132" s="170"/>
      <c r="BD132" s="170"/>
      <c r="BE132" s="170"/>
      <c r="BF132" s="170"/>
    </row>
    <row r="133" spans="1:58" s="114" customFormat="1" ht="12" customHeight="1">
      <c r="A133" s="351"/>
      <c r="B133" s="169"/>
      <c r="C133" s="169"/>
      <c r="D133" s="347"/>
      <c r="E133" s="351"/>
      <c r="F133" s="348"/>
      <c r="G133" s="348"/>
      <c r="H133" s="348"/>
      <c r="I133" s="348"/>
      <c r="J133" s="348"/>
      <c r="K133" s="348"/>
      <c r="L133" s="348"/>
      <c r="M133" s="348"/>
      <c r="N133" s="348"/>
      <c r="O133" s="348"/>
      <c r="P133" s="348"/>
      <c r="Q133" s="348"/>
      <c r="R133" s="348"/>
      <c r="S133" s="348"/>
      <c r="T133" s="348"/>
      <c r="U133" s="348"/>
      <c r="V133" s="348"/>
      <c r="W133" s="348"/>
      <c r="X133" s="348"/>
      <c r="Y133" s="348"/>
      <c r="Z133" s="348"/>
      <c r="AA133" s="348"/>
      <c r="AB133" s="349"/>
      <c r="AC133" s="351"/>
      <c r="AD133" s="351"/>
      <c r="AE133" s="351"/>
      <c r="AF133" s="351"/>
      <c r="AG133" s="351"/>
      <c r="AH133" s="351"/>
      <c r="AI133" s="351"/>
      <c r="AJ133" s="351"/>
      <c r="AK133" s="351"/>
      <c r="AL133" s="351"/>
      <c r="AM133" s="351"/>
      <c r="AN133" s="351"/>
      <c r="AO133" s="351"/>
      <c r="AP133" s="351"/>
      <c r="AQ133" s="351"/>
      <c r="AR133" s="351"/>
      <c r="AS133" s="351"/>
      <c r="AT133" s="170"/>
      <c r="AU133" s="170"/>
      <c r="AV133" s="170"/>
      <c r="AW133" s="170"/>
      <c r="AX133" s="170"/>
      <c r="AY133" s="170"/>
      <c r="AZ133" s="170"/>
      <c r="BA133" s="278"/>
      <c r="BB133" s="170"/>
      <c r="BC133" s="170"/>
      <c r="BD133" s="170"/>
      <c r="BE133" s="170"/>
      <c r="BF133" s="170"/>
    </row>
    <row r="134" spans="1:58" s="45" customFormat="1" ht="12" customHeight="1">
      <c r="B134"/>
      <c r="C134"/>
      <c r="D134" s="84"/>
    </row>
    <row r="135" spans="1:58" s="45" customFormat="1">
      <c r="B135"/>
      <c r="C135"/>
      <c r="D135" s="84"/>
    </row>
  </sheetData>
  <sheetProtection password="D0EA" sheet="1" objects="1" scenarios="1" formatColumns="0" formatRows="0"/>
  <mergeCells count="28">
    <mergeCell ref="B1:B28"/>
    <mergeCell ref="F1:F2"/>
    <mergeCell ref="G1:G2"/>
    <mergeCell ref="C3:C15"/>
    <mergeCell ref="C16:C28"/>
    <mergeCell ref="B29:B56"/>
    <mergeCell ref="F29:F30"/>
    <mergeCell ref="C31:C43"/>
    <mergeCell ref="O121:AB121"/>
    <mergeCell ref="G128:G129"/>
    <mergeCell ref="G126:G127"/>
    <mergeCell ref="G29:G30"/>
    <mergeCell ref="C44:C56"/>
    <mergeCell ref="L121:L123"/>
    <mergeCell ref="M121:M123"/>
    <mergeCell ref="Q122:S122"/>
    <mergeCell ref="F121:F123"/>
    <mergeCell ref="G121:G123"/>
    <mergeCell ref="Z122:AB122"/>
    <mergeCell ref="N121:N123"/>
    <mergeCell ref="O122:O123"/>
    <mergeCell ref="T122:V122"/>
    <mergeCell ref="W122:Y122"/>
    <mergeCell ref="P122:P123"/>
    <mergeCell ref="H121:H123"/>
    <mergeCell ref="I121:I123"/>
    <mergeCell ref="J121:J123"/>
    <mergeCell ref="K121:K123"/>
  </mergeCells>
  <phoneticPr fontId="3" type="noConversion"/>
  <dataValidations count="1">
    <dataValidation allowBlank="1" showInputMessage="1" showErrorMessage="1" sqref="Q122 T122:V122"/>
  </dataValidations>
  <pageMargins left="0.37" right="0.35" top="1" bottom="1" header="0.5" footer="0.5"/>
  <pageSetup paperSize="9" scale="37" orientation="landscape" horizontalDpi="4294967292" verticalDpi="4294967292" r:id="rId1"/>
  <headerFooter alignWithMargins="0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VOTV_CALC">
    <tabColor rgb="FF00B050"/>
    <outlinePr summaryBelow="0"/>
  </sheetPr>
  <dimension ref="A1:AV363"/>
  <sheetViews>
    <sheetView showGridLines="0" topLeftCell="AK9" zoomScale="90" zoomScaleNormal="90" workbookViewId="0">
      <pane xSplit="8" ySplit="14" topLeftCell="AS23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/>
    </sheetView>
  </sheetViews>
  <sheetFormatPr defaultColWidth="8.75" defaultRowHeight="11.4"/>
  <cols>
    <col min="1" max="36" width="2.75" style="45" hidden="1" customWidth="1"/>
    <col min="37" max="37" width="2.75" style="45" customWidth="1"/>
    <col min="38" max="38" width="2.75" style="2" hidden="1" customWidth="1"/>
    <col min="39" max="39" width="13.75" style="26" customWidth="1"/>
    <col min="40" max="40" width="48.75" style="2" customWidth="1"/>
    <col min="41" max="44" width="12.75" style="2" customWidth="1"/>
    <col min="45" max="46" width="0.125" style="2" hidden="1" customWidth="1"/>
    <col min="47" max="47" width="2.75" style="2" customWidth="1"/>
    <col min="48" max="48" width="2.625" style="2" customWidth="1"/>
    <col min="49" max="16384" width="8.75" style="2"/>
  </cols>
  <sheetData>
    <row r="1" spans="1:47" ht="12" hidden="1" customHeight="1">
      <c r="A1" s="2"/>
      <c r="B1" s="2"/>
      <c r="C1" s="2"/>
      <c r="D1" s="2"/>
      <c r="E1" s="2"/>
      <c r="F1" s="2"/>
      <c r="G1" s="2"/>
      <c r="H1" s="2"/>
      <c r="I1" s="2"/>
      <c r="J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0"/>
    </row>
    <row r="2" spans="1:47" ht="12" hidden="1" customHeight="1">
      <c r="A2" s="2"/>
      <c r="B2" s="2"/>
      <c r="C2" s="2"/>
      <c r="D2" s="2"/>
      <c r="E2" s="2"/>
      <c r="F2" s="2"/>
      <c r="G2" s="2"/>
      <c r="H2" s="2"/>
      <c r="I2" s="2"/>
      <c r="J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0"/>
    </row>
    <row r="3" spans="1:47" ht="12" hidden="1" customHeight="1">
      <c r="A3" s="2"/>
      <c r="B3" s="2"/>
      <c r="C3" s="2"/>
      <c r="D3" s="2"/>
      <c r="E3" s="2"/>
      <c r="F3" s="2"/>
      <c r="G3" s="2"/>
      <c r="H3" s="2"/>
      <c r="I3" s="2"/>
      <c r="J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0"/>
    </row>
    <row r="4" spans="1:47" ht="12" hidden="1" customHeight="1">
      <c r="A4" s="2"/>
      <c r="B4" s="2"/>
      <c r="C4" s="2"/>
      <c r="D4" s="2"/>
      <c r="E4" s="2"/>
      <c r="F4" s="2"/>
      <c r="G4" s="2"/>
      <c r="H4" s="2"/>
      <c r="I4" s="2"/>
      <c r="J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0"/>
    </row>
    <row r="5" spans="1:47" ht="12" hidden="1" customHeight="1">
      <c r="A5" s="2"/>
      <c r="B5" s="2"/>
      <c r="C5" s="2"/>
      <c r="D5" s="2"/>
      <c r="E5" s="2"/>
      <c r="F5" s="2"/>
      <c r="G5" s="2"/>
      <c r="H5" s="2"/>
      <c r="I5" s="2"/>
      <c r="J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0"/>
    </row>
    <row r="6" spans="1:47" ht="12" hidden="1" customHeight="1">
      <c r="A6" s="2"/>
      <c r="B6" s="2"/>
      <c r="C6" s="2"/>
      <c r="D6" s="2"/>
      <c r="E6" s="2"/>
      <c r="F6" s="2"/>
      <c r="G6" s="2"/>
      <c r="H6" s="2"/>
      <c r="I6" s="2"/>
      <c r="J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0"/>
      <c r="AP6" s="157">
        <v>12</v>
      </c>
      <c r="AQ6" s="157">
        <v>6</v>
      </c>
      <c r="AR6" s="157">
        <v>6</v>
      </c>
    </row>
    <row r="7" spans="1:47" ht="12" hidden="1" customHeight="1">
      <c r="A7" s="2"/>
      <c r="B7" s="2"/>
      <c r="C7" s="2"/>
      <c r="D7" s="2"/>
      <c r="E7" s="2"/>
      <c r="F7" s="2"/>
      <c r="G7" s="2"/>
      <c r="H7" s="2"/>
      <c r="I7" s="2"/>
      <c r="J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0"/>
      <c r="AP7" s="157"/>
      <c r="AQ7" s="157"/>
      <c r="AR7" s="157"/>
    </row>
    <row r="8" spans="1:47" s="114" customFormat="1" ht="12" hidden="1" customHeight="1">
      <c r="J8" s="169"/>
      <c r="AL8" s="170"/>
      <c r="AM8" s="171"/>
      <c r="AP8" s="172"/>
      <c r="AQ8" s="172"/>
      <c r="AR8" s="172"/>
    </row>
    <row r="9" spans="1:47" s="144" customFormat="1" ht="12" customHeight="1">
      <c r="A9" s="148"/>
      <c r="J9" s="155"/>
      <c r="AL9" s="148"/>
      <c r="AM9" s="156"/>
      <c r="AP9" s="143" t="s">
        <v>275</v>
      </c>
      <c r="AQ9" s="143" t="s">
        <v>194</v>
      </c>
      <c r="AR9" s="143" t="s">
        <v>609</v>
      </c>
    </row>
    <row r="10" spans="1:47" s="144" customFormat="1" ht="12" customHeight="1">
      <c r="J10" s="155"/>
      <c r="AL10" s="148"/>
      <c r="AM10" s="156"/>
      <c r="AP10" s="143"/>
      <c r="AQ10" s="143"/>
      <c r="AR10" s="143"/>
      <c r="AS10" s="144" t="s">
        <v>276</v>
      </c>
      <c r="AT10" s="144" t="s">
        <v>277</v>
      </c>
    </row>
    <row r="11" spans="1:47" s="144" customFormat="1" ht="12" customHeight="1">
      <c r="J11" s="155"/>
      <c r="AL11" s="148"/>
      <c r="AM11" s="156"/>
      <c r="AP11" s="143"/>
      <c r="AQ11" s="143"/>
      <c r="AR11" s="143"/>
    </row>
    <row r="12" spans="1:47" s="144" customFormat="1" ht="12" customHeight="1">
      <c r="J12" s="155"/>
      <c r="AL12" s="148"/>
      <c r="AM12" s="157"/>
      <c r="AN12" s="71" t="s">
        <v>2117</v>
      </c>
      <c r="AO12" s="71"/>
      <c r="AP12" s="143"/>
      <c r="AQ12" s="143"/>
      <c r="AR12" s="143"/>
    </row>
    <row r="13" spans="1:47" ht="27" customHeight="1">
      <c r="A13" s="2" t="s">
        <v>589</v>
      </c>
      <c r="B13" s="2"/>
      <c r="C13" s="2"/>
      <c r="D13" s="2"/>
      <c r="E13" s="2"/>
      <c r="F13" s="2"/>
      <c r="G13" s="2"/>
      <c r="H13" s="2"/>
      <c r="I13" s="2"/>
      <c r="J1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7"/>
      <c r="AL13" s="27"/>
      <c r="AM13" s="998" t="s">
        <v>2135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168"/>
    </row>
    <row r="14" spans="1:47" ht="27" hidden="1" customHeight="1">
      <c r="A14" s="2"/>
      <c r="B14" s="2"/>
      <c r="C14" s="2"/>
      <c r="D14" s="2"/>
      <c r="E14" s="2"/>
      <c r="F14" s="2"/>
      <c r="G14" s="2"/>
      <c r="H14" s="2"/>
      <c r="I14" s="2"/>
      <c r="J1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/>
      <c r="AL14" s="27"/>
      <c r="AM14" s="998"/>
      <c r="AN14" s="999"/>
      <c r="AO14" s="164"/>
      <c r="AP14" s="1000"/>
      <c r="AQ14" s="984"/>
      <c r="AR14" s="984"/>
      <c r="AS14" s="168"/>
      <c r="AT14" s="168"/>
      <c r="AU14" s="9"/>
    </row>
    <row r="15" spans="1:47" ht="12" hidden="1" customHeight="1">
      <c r="A15" s="2"/>
      <c r="B15" s="2"/>
      <c r="C15" s="2"/>
      <c r="D15" s="2"/>
      <c r="E15" s="2"/>
      <c r="F15" s="2"/>
      <c r="G15" s="2"/>
      <c r="H15" s="2"/>
      <c r="I15" s="2"/>
      <c r="J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0"/>
      <c r="AP15" s="167"/>
      <c r="AQ15" s="167"/>
      <c r="AR15" s="167"/>
    </row>
    <row r="16" spans="1:47" s="67" customFormat="1" ht="12" hidden="1" customHeight="1">
      <c r="J16" s="66"/>
      <c r="AL16" s="76"/>
      <c r="AS16" s="65"/>
      <c r="AT16" s="65"/>
      <c r="AU16" s="65"/>
    </row>
    <row r="17" spans="1:48" s="148" customFormat="1" ht="12" hidden="1" customHeight="1"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154"/>
      <c r="AU17" s="151"/>
    </row>
    <row r="18" spans="1:48" ht="12" hidden="1" customHeight="1">
      <c r="A18" s="2"/>
      <c r="B18" s="2"/>
      <c r="C18" s="2"/>
      <c r="D18" s="2"/>
      <c r="E18" s="2"/>
      <c r="F18" s="2"/>
      <c r="G18" s="2"/>
      <c r="H18" s="2"/>
      <c r="I18" s="2"/>
      <c r="J1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146"/>
      <c r="AN18" s="68"/>
      <c r="AO18" s="68"/>
      <c r="AT18" s="2" t="s">
        <v>135</v>
      </c>
    </row>
    <row r="19" spans="1:48" ht="12" customHeight="1">
      <c r="A19" s="2"/>
      <c r="B19" s="2"/>
      <c r="C19" s="2"/>
      <c r="D19" s="2"/>
      <c r="E19" s="2"/>
      <c r="F19" s="2"/>
      <c r="G19" s="2"/>
      <c r="H19" s="2"/>
      <c r="I19" s="2"/>
      <c r="J1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7"/>
      <c r="AL19" s="20"/>
      <c r="AM19" s="925" t="s">
        <v>104</v>
      </c>
      <c r="AN19" s="912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161"/>
      <c r="AU19" s="61"/>
    </row>
    <row r="20" spans="1:48" ht="24" customHeight="1">
      <c r="A20" s="2"/>
      <c r="B20" s="2"/>
      <c r="C20" s="2"/>
      <c r="D20" s="2"/>
      <c r="E20" s="2"/>
      <c r="F20" s="2"/>
      <c r="G20" s="2"/>
      <c r="H20" s="2"/>
      <c r="I20" s="2"/>
      <c r="J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7"/>
      <c r="AL20" s="20"/>
      <c r="AM20" s="925"/>
      <c r="AN20" s="912"/>
      <c r="AO20" s="912"/>
      <c r="AP20" s="1005"/>
      <c r="AQ20" s="1006"/>
      <c r="AR20" s="1006"/>
      <c r="AS20" s="174"/>
      <c r="AT20" s="161"/>
      <c r="AU20" s="61"/>
    </row>
    <row r="21" spans="1:48" ht="11.25" customHeight="1">
      <c r="A21" s="2"/>
      <c r="B21" s="2"/>
      <c r="C21" s="2"/>
      <c r="D21" s="2"/>
      <c r="E21" s="2"/>
      <c r="F21" s="2"/>
      <c r="G21" s="2"/>
      <c r="H21" s="2"/>
      <c r="I21" s="2"/>
      <c r="J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7"/>
      <c r="AL21" s="20"/>
      <c r="AM21" s="218"/>
      <c r="AN21" s="219" t="s">
        <v>197</v>
      </c>
      <c r="AO21" s="219"/>
      <c r="AP21" s="181"/>
      <c r="AQ21" s="182"/>
      <c r="AR21" s="182"/>
      <c r="AS21" s="194"/>
      <c r="AT21" s="161"/>
      <c r="AU21" s="61"/>
    </row>
    <row r="22" spans="1:48" ht="24" customHeight="1">
      <c r="A22" s="2"/>
      <c r="B22" s="2"/>
      <c r="C22" s="2"/>
      <c r="D22" s="2"/>
      <c r="E22" s="2"/>
      <c r="F22" s="2"/>
      <c r="G22" s="2"/>
      <c r="H22" s="2"/>
      <c r="I22" s="2"/>
      <c r="J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7"/>
      <c r="AL22" s="20"/>
      <c r="AM22" s="220"/>
      <c r="AN22" s="192" t="str">
        <f>IF(CALC_IDENTIFIER="","",CALC_IDENTIFIER)</f>
        <v/>
      </c>
      <c r="AO22" s="192"/>
      <c r="AP22" s="181"/>
      <c r="AQ22" s="182"/>
      <c r="AR22" s="182"/>
      <c r="AS22" s="194"/>
      <c r="AT22" s="161"/>
      <c r="AU22" s="61"/>
    </row>
    <row r="23" spans="1:48">
      <c r="AK23" s="2"/>
      <c r="AL23" s="20"/>
      <c r="AM23" s="490" t="s">
        <v>105</v>
      </c>
      <c r="AN23" s="490" t="s">
        <v>839</v>
      </c>
      <c r="AO23" s="420" t="s">
        <v>195</v>
      </c>
      <c r="AP23" s="247">
        <f t="shared" ref="AP23:AR29" si="0">SUMIF($AS$9:$AT$9,AP$9,$AS23:$AT23)</f>
        <v>0</v>
      </c>
      <c r="AQ23" s="247">
        <f t="shared" si="0"/>
        <v>0</v>
      </c>
      <c r="AR23" s="247">
        <f t="shared" si="0"/>
        <v>0</v>
      </c>
      <c r="AS23" s="194"/>
      <c r="AT23" s="194"/>
      <c r="AU23" s="326"/>
      <c r="AV23" s="45"/>
    </row>
    <row r="24" spans="1:48" ht="20.399999999999999">
      <c r="AK24" s="2"/>
      <c r="AL24" s="20"/>
      <c r="AM24" s="509" t="s">
        <v>198</v>
      </c>
      <c r="AN24" s="525" t="s">
        <v>840</v>
      </c>
      <c r="AO24" s="420" t="s">
        <v>195</v>
      </c>
      <c r="AP24" s="247">
        <f t="shared" si="0"/>
        <v>0</v>
      </c>
      <c r="AQ24" s="247">
        <f t="shared" si="0"/>
        <v>0</v>
      </c>
      <c r="AR24" s="247">
        <f t="shared" si="0"/>
        <v>0</v>
      </c>
      <c r="AS24" s="194"/>
      <c r="AT24" s="194"/>
      <c r="AU24" s="326"/>
      <c r="AV24" s="45"/>
    </row>
    <row r="25" spans="1:48">
      <c r="AK25" s="2"/>
      <c r="AL25" s="20"/>
      <c r="AM25" s="509" t="s">
        <v>610</v>
      </c>
      <c r="AN25" s="526" t="s">
        <v>841</v>
      </c>
      <c r="AO25" s="420" t="s">
        <v>195</v>
      </c>
      <c r="AP25" s="247">
        <f t="shared" si="0"/>
        <v>0</v>
      </c>
      <c r="AQ25" s="247">
        <f t="shared" si="0"/>
        <v>0</v>
      </c>
      <c r="AR25" s="247">
        <f t="shared" si="0"/>
        <v>0</v>
      </c>
      <c r="AS25" s="194"/>
      <c r="AT25" s="194"/>
      <c r="AU25" s="326"/>
      <c r="AV25" s="45"/>
    </row>
    <row r="26" spans="1:48">
      <c r="A26" s="2"/>
      <c r="B26" s="2"/>
      <c r="C26" s="2"/>
      <c r="D26" s="2"/>
      <c r="E26" s="2"/>
      <c r="F26" s="2"/>
      <c r="G26" s="2"/>
      <c r="H26" s="2"/>
      <c r="I26" s="2"/>
      <c r="J2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0"/>
      <c r="AM26" s="509" t="s">
        <v>611</v>
      </c>
      <c r="AN26" s="526" t="s">
        <v>843</v>
      </c>
      <c r="AO26" s="420" t="s">
        <v>195</v>
      </c>
      <c r="AP26" s="247">
        <f t="shared" si="0"/>
        <v>0</v>
      </c>
      <c r="AQ26" s="247">
        <f t="shared" si="0"/>
        <v>0</v>
      </c>
      <c r="AR26" s="247">
        <f t="shared" si="0"/>
        <v>0</v>
      </c>
      <c r="AS26" s="194"/>
      <c r="AT26" s="194"/>
      <c r="AU26" s="326"/>
    </row>
    <row r="27" spans="1:48">
      <c r="A27" s="2"/>
      <c r="B27" s="2"/>
      <c r="C27" s="2"/>
      <c r="D27" s="2"/>
      <c r="E27" s="2"/>
      <c r="F27" s="2"/>
      <c r="G27" s="2"/>
      <c r="H27" s="2"/>
      <c r="I27" s="2"/>
      <c r="J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0"/>
      <c r="AM27" s="509" t="s">
        <v>633</v>
      </c>
      <c r="AN27" s="526" t="s">
        <v>844</v>
      </c>
      <c r="AO27" s="420" t="s">
        <v>195</v>
      </c>
      <c r="AP27" s="247">
        <f t="shared" si="0"/>
        <v>0</v>
      </c>
      <c r="AQ27" s="247">
        <f t="shared" si="0"/>
        <v>0</v>
      </c>
      <c r="AR27" s="247">
        <f t="shared" si="0"/>
        <v>0</v>
      </c>
      <c r="AS27" s="194"/>
      <c r="AT27" s="194"/>
      <c r="AU27" s="326"/>
    </row>
    <row r="28" spans="1:48">
      <c r="A28" s="2"/>
      <c r="B28" s="2"/>
      <c r="C28" s="2"/>
      <c r="D28" s="2"/>
      <c r="E28" s="2"/>
      <c r="F28" s="2"/>
      <c r="G28" s="2"/>
      <c r="H28" s="2"/>
      <c r="I28" s="2"/>
      <c r="J28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0"/>
      <c r="AM28" s="509" t="s">
        <v>199</v>
      </c>
      <c r="AN28" s="525" t="s">
        <v>845</v>
      </c>
      <c r="AO28" s="420" t="s">
        <v>195</v>
      </c>
      <c r="AP28" s="247">
        <f t="shared" si="0"/>
        <v>0</v>
      </c>
      <c r="AQ28" s="247">
        <f t="shared" si="0"/>
        <v>0</v>
      </c>
      <c r="AR28" s="247">
        <f t="shared" si="0"/>
        <v>0</v>
      </c>
      <c r="AS28" s="194"/>
      <c r="AT28" s="194"/>
      <c r="AU28" s="326"/>
    </row>
    <row r="29" spans="1:48">
      <c r="A29" s="2"/>
      <c r="B29" s="2"/>
      <c r="C29" s="2"/>
      <c r="D29" s="2"/>
      <c r="E29" s="2"/>
      <c r="F29" s="2"/>
      <c r="G29" s="2"/>
      <c r="H29" s="2"/>
      <c r="I29" s="2"/>
      <c r="J2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0"/>
      <c r="AM29" s="509" t="s">
        <v>200</v>
      </c>
      <c r="AN29" s="526" t="s">
        <v>846</v>
      </c>
      <c r="AO29" s="420" t="s">
        <v>195</v>
      </c>
      <c r="AP29" s="247">
        <f t="shared" si="0"/>
        <v>0</v>
      </c>
      <c r="AQ29" s="247">
        <f t="shared" si="0"/>
        <v>0</v>
      </c>
      <c r="AR29" s="247">
        <f t="shared" si="0"/>
        <v>0</v>
      </c>
      <c r="AS29" s="194"/>
      <c r="AT29" s="194"/>
      <c r="AU29" s="326"/>
    </row>
    <row r="30" spans="1:48">
      <c r="A30" s="2"/>
      <c r="B30" s="2"/>
      <c r="C30" s="2"/>
      <c r="D30" s="2"/>
      <c r="E30" s="2"/>
      <c r="F30" s="2"/>
      <c r="G30" s="2"/>
      <c r="H30" s="2"/>
      <c r="I30" s="2"/>
      <c r="J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0"/>
      <c r="AM30" s="510" t="s">
        <v>847</v>
      </c>
      <c r="AN30" s="527" t="s">
        <v>848</v>
      </c>
      <c r="AO30" s="420"/>
      <c r="AP30" s="142"/>
      <c r="AQ30" s="142"/>
      <c r="AR30" s="142"/>
      <c r="AS30" s="194"/>
      <c r="AT30" s="194"/>
      <c r="AU30" s="326"/>
    </row>
    <row r="31" spans="1:48" ht="20.399999999999999">
      <c r="A31" s="2"/>
      <c r="B31" s="2"/>
      <c r="C31" s="2"/>
      <c r="D31" s="2"/>
      <c r="E31" s="2"/>
      <c r="F31" s="2"/>
      <c r="G31" s="2"/>
      <c r="H31" s="2"/>
      <c r="I31" s="2"/>
      <c r="J3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0"/>
      <c r="AM31" s="510" t="s">
        <v>849</v>
      </c>
      <c r="AN31" s="528" t="s">
        <v>850</v>
      </c>
      <c r="AO31" s="420" t="s">
        <v>284</v>
      </c>
      <c r="AP31" s="247">
        <f t="shared" ref="AP31:AR36" si="1">SUMIF($AS$9:$AT$9,AP$9,$AS31:$AT31)</f>
        <v>0</v>
      </c>
      <c r="AQ31" s="247">
        <f t="shared" si="1"/>
        <v>0</v>
      </c>
      <c r="AR31" s="247">
        <f t="shared" si="1"/>
        <v>0</v>
      </c>
      <c r="AS31" s="194"/>
      <c r="AT31" s="194"/>
      <c r="AU31" s="326"/>
    </row>
    <row r="32" spans="1:48">
      <c r="A32" s="2"/>
      <c r="B32" s="2"/>
      <c r="C32" s="2"/>
      <c r="D32" s="2"/>
      <c r="E32" s="2"/>
      <c r="F32" s="2"/>
      <c r="G32" s="2"/>
      <c r="H32" s="2"/>
      <c r="I32" s="2"/>
      <c r="J3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0"/>
      <c r="AM32" s="510" t="s">
        <v>851</v>
      </c>
      <c r="AN32" s="529" t="s">
        <v>852</v>
      </c>
      <c r="AO32" s="420" t="s">
        <v>284</v>
      </c>
      <c r="AP32" s="247">
        <f t="shared" si="1"/>
        <v>0</v>
      </c>
      <c r="AQ32" s="247">
        <f t="shared" si="1"/>
        <v>0</v>
      </c>
      <c r="AR32" s="247">
        <f t="shared" si="1"/>
        <v>0</v>
      </c>
      <c r="AS32" s="194"/>
      <c r="AT32" s="194"/>
      <c r="AU32" s="326"/>
    </row>
    <row r="33" spans="1:47">
      <c r="A33" s="2"/>
      <c r="B33" s="2"/>
      <c r="C33" s="2"/>
      <c r="D33" s="2"/>
      <c r="E33" s="2"/>
      <c r="F33" s="2"/>
      <c r="G33" s="2"/>
      <c r="H33" s="2"/>
      <c r="I33" s="2"/>
      <c r="J3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0"/>
      <c r="AM33" s="510" t="s">
        <v>853</v>
      </c>
      <c r="AN33" s="529" t="s">
        <v>854</v>
      </c>
      <c r="AO33" s="420" t="s">
        <v>284</v>
      </c>
      <c r="AP33" s="247">
        <f t="shared" si="1"/>
        <v>0</v>
      </c>
      <c r="AQ33" s="247">
        <f t="shared" si="1"/>
        <v>0</v>
      </c>
      <c r="AR33" s="247">
        <f t="shared" si="1"/>
        <v>0</v>
      </c>
      <c r="AS33" s="194"/>
      <c r="AT33" s="194"/>
      <c r="AU33" s="326"/>
    </row>
    <row r="34" spans="1:47">
      <c r="A34" s="2"/>
      <c r="B34" s="2"/>
      <c r="C34" s="2"/>
      <c r="D34" s="2"/>
      <c r="E34" s="2"/>
      <c r="F34" s="2"/>
      <c r="G34" s="2"/>
      <c r="H34" s="2"/>
      <c r="I34" s="2"/>
      <c r="J3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0"/>
      <c r="AM34" s="510" t="s">
        <v>855</v>
      </c>
      <c r="AN34" s="529" t="s">
        <v>856</v>
      </c>
      <c r="AO34" s="420" t="s">
        <v>284</v>
      </c>
      <c r="AP34" s="247">
        <f t="shared" si="1"/>
        <v>0</v>
      </c>
      <c r="AQ34" s="247">
        <f t="shared" si="1"/>
        <v>0</v>
      </c>
      <c r="AR34" s="247">
        <f t="shared" si="1"/>
        <v>0</v>
      </c>
      <c r="AS34" s="194"/>
      <c r="AT34" s="194"/>
      <c r="AU34" s="326"/>
    </row>
    <row r="35" spans="1:47">
      <c r="A35" s="2"/>
      <c r="B35" s="2"/>
      <c r="C35" s="2"/>
      <c r="D35" s="2"/>
      <c r="E35" s="2"/>
      <c r="F35" s="2"/>
      <c r="G35" s="2"/>
      <c r="H35" s="2"/>
      <c r="I35" s="2"/>
      <c r="J3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0"/>
      <c r="AM35" s="510" t="s">
        <v>857</v>
      </c>
      <c r="AN35" s="529" t="s">
        <v>858</v>
      </c>
      <c r="AO35" s="420" t="s">
        <v>284</v>
      </c>
      <c r="AP35" s="247">
        <f t="shared" si="1"/>
        <v>0</v>
      </c>
      <c r="AQ35" s="247">
        <f t="shared" si="1"/>
        <v>0</v>
      </c>
      <c r="AR35" s="247">
        <f t="shared" si="1"/>
        <v>0</v>
      </c>
      <c r="AS35" s="194"/>
      <c r="AT35" s="194"/>
      <c r="AU35" s="326"/>
    </row>
    <row r="36" spans="1:47">
      <c r="A36" s="2"/>
      <c r="B36" s="2"/>
      <c r="C36" s="2"/>
      <c r="D36" s="2"/>
      <c r="E36" s="2"/>
      <c r="F36" s="2"/>
      <c r="G36" s="2"/>
      <c r="H36" s="2"/>
      <c r="I36" s="2"/>
      <c r="J3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0"/>
      <c r="AM36" s="510" t="s">
        <v>859</v>
      </c>
      <c r="AN36" s="529" t="s">
        <v>860</v>
      </c>
      <c r="AO36" s="420" t="s">
        <v>284</v>
      </c>
      <c r="AP36" s="247">
        <f t="shared" si="1"/>
        <v>0</v>
      </c>
      <c r="AQ36" s="247">
        <f t="shared" si="1"/>
        <v>0</v>
      </c>
      <c r="AR36" s="247">
        <f t="shared" si="1"/>
        <v>0</v>
      </c>
      <c r="AS36" s="194"/>
      <c r="AT36" s="194"/>
      <c r="AU36" s="326"/>
    </row>
    <row r="37" spans="1:47" ht="20.399999999999999">
      <c r="A37" s="2"/>
      <c r="B37" s="2"/>
      <c r="C37" s="2"/>
      <c r="D37" s="2"/>
      <c r="E37" s="2"/>
      <c r="F37" s="2"/>
      <c r="G37" s="2"/>
      <c r="H37" s="2"/>
      <c r="I37" s="2"/>
      <c r="J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0"/>
      <c r="AM37" s="510" t="s">
        <v>861</v>
      </c>
      <c r="AN37" s="528" t="s">
        <v>862</v>
      </c>
      <c r="AO37" s="420"/>
      <c r="AP37" s="142"/>
      <c r="AQ37" s="142"/>
      <c r="AR37" s="142"/>
      <c r="AS37" s="194"/>
      <c r="AT37" s="194"/>
      <c r="AU37" s="326"/>
    </row>
    <row r="38" spans="1:47">
      <c r="A38" s="2"/>
      <c r="B38" s="2"/>
      <c r="C38" s="2"/>
      <c r="D38" s="2"/>
      <c r="E38" s="2"/>
      <c r="F38" s="2"/>
      <c r="G38" s="2"/>
      <c r="H38" s="2"/>
      <c r="I38" s="2"/>
      <c r="J3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0"/>
      <c r="AM38" s="510" t="s">
        <v>863</v>
      </c>
      <c r="AN38" s="529" t="s">
        <v>864</v>
      </c>
      <c r="AO38" s="420" t="s">
        <v>865</v>
      </c>
      <c r="AP38" s="247">
        <f t="shared" ref="AP38:AR49" si="2">SUMIF($AS$9:$AT$9,AP$9,$AS38:$AT38)</f>
        <v>0</v>
      </c>
      <c r="AQ38" s="247">
        <f t="shared" si="2"/>
        <v>0</v>
      </c>
      <c r="AR38" s="247">
        <f t="shared" si="2"/>
        <v>0</v>
      </c>
      <c r="AS38" s="194"/>
      <c r="AT38" s="194"/>
      <c r="AU38" s="326"/>
    </row>
    <row r="39" spans="1:47">
      <c r="A39" s="2"/>
      <c r="B39" s="2"/>
      <c r="C39" s="2"/>
      <c r="D39" s="2"/>
      <c r="E39" s="2"/>
      <c r="F39" s="2"/>
      <c r="G39" s="2"/>
      <c r="H39" s="2"/>
      <c r="I39" s="2"/>
      <c r="J3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0"/>
      <c r="AM39" s="510" t="s">
        <v>866</v>
      </c>
      <c r="AN39" s="530" t="s">
        <v>852</v>
      </c>
      <c r="AO39" s="420" t="s">
        <v>865</v>
      </c>
      <c r="AP39" s="247">
        <f t="shared" si="2"/>
        <v>0</v>
      </c>
      <c r="AQ39" s="247">
        <f t="shared" si="2"/>
        <v>0</v>
      </c>
      <c r="AR39" s="247">
        <f t="shared" si="2"/>
        <v>0</v>
      </c>
      <c r="AS39" s="194"/>
      <c r="AT39" s="194"/>
      <c r="AU39" s="326"/>
    </row>
    <row r="40" spans="1:47">
      <c r="A40" s="2"/>
      <c r="B40" s="2"/>
      <c r="C40" s="2"/>
      <c r="D40" s="2"/>
      <c r="E40" s="2"/>
      <c r="F40" s="2"/>
      <c r="G40" s="2"/>
      <c r="H40" s="2"/>
      <c r="I40" s="2"/>
      <c r="J4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0"/>
      <c r="AM40" s="510" t="s">
        <v>867</v>
      </c>
      <c r="AN40" s="530" t="s">
        <v>854</v>
      </c>
      <c r="AO40" s="420" t="s">
        <v>865</v>
      </c>
      <c r="AP40" s="247">
        <f t="shared" si="2"/>
        <v>0</v>
      </c>
      <c r="AQ40" s="247">
        <f t="shared" si="2"/>
        <v>0</v>
      </c>
      <c r="AR40" s="247">
        <f t="shared" si="2"/>
        <v>0</v>
      </c>
      <c r="AS40" s="194"/>
      <c r="AT40" s="194"/>
      <c r="AU40" s="326"/>
    </row>
    <row r="41" spans="1:47">
      <c r="A41" s="2"/>
      <c r="B41" s="2"/>
      <c r="C41" s="2"/>
      <c r="D41" s="2"/>
      <c r="E41" s="2"/>
      <c r="F41" s="2"/>
      <c r="G41" s="2"/>
      <c r="H41" s="2"/>
      <c r="I41" s="2"/>
      <c r="J4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0"/>
      <c r="AM41" s="510" t="s">
        <v>868</v>
      </c>
      <c r="AN41" s="530" t="s">
        <v>856</v>
      </c>
      <c r="AO41" s="420" t="s">
        <v>865</v>
      </c>
      <c r="AP41" s="247">
        <f t="shared" si="2"/>
        <v>0</v>
      </c>
      <c r="AQ41" s="247">
        <f t="shared" si="2"/>
        <v>0</v>
      </c>
      <c r="AR41" s="247">
        <f t="shared" si="2"/>
        <v>0</v>
      </c>
      <c r="AS41" s="194"/>
      <c r="AT41" s="194"/>
      <c r="AU41" s="326"/>
    </row>
    <row r="42" spans="1:47">
      <c r="A42" s="2"/>
      <c r="B42" s="2"/>
      <c r="C42" s="2"/>
      <c r="D42" s="2"/>
      <c r="E42" s="2"/>
      <c r="F42" s="2"/>
      <c r="G42" s="2"/>
      <c r="H42" s="2"/>
      <c r="I42" s="2"/>
      <c r="J4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0"/>
      <c r="AM42" s="510" t="s">
        <v>1128</v>
      </c>
      <c r="AN42" s="530" t="s">
        <v>858</v>
      </c>
      <c r="AO42" s="420" t="s">
        <v>865</v>
      </c>
      <c r="AP42" s="247">
        <f t="shared" si="2"/>
        <v>0</v>
      </c>
      <c r="AQ42" s="247">
        <f t="shared" si="2"/>
        <v>0</v>
      </c>
      <c r="AR42" s="247">
        <f t="shared" si="2"/>
        <v>0</v>
      </c>
      <c r="AS42" s="194"/>
      <c r="AT42" s="194"/>
      <c r="AU42" s="326"/>
    </row>
    <row r="43" spans="1:47">
      <c r="A43" s="2"/>
      <c r="B43" s="2"/>
      <c r="C43" s="2"/>
      <c r="D43" s="2"/>
      <c r="E43" s="2"/>
      <c r="F43" s="2"/>
      <c r="G43" s="2"/>
      <c r="H43" s="2"/>
      <c r="I43" s="2"/>
      <c r="J4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0"/>
      <c r="AM43" s="510" t="s">
        <v>1129</v>
      </c>
      <c r="AN43" s="530" t="s">
        <v>1040</v>
      </c>
      <c r="AO43" s="420" t="s">
        <v>865</v>
      </c>
      <c r="AP43" s="247">
        <f t="shared" si="2"/>
        <v>0</v>
      </c>
      <c r="AQ43" s="247">
        <f t="shared" si="2"/>
        <v>0</v>
      </c>
      <c r="AR43" s="247">
        <f t="shared" si="2"/>
        <v>0</v>
      </c>
      <c r="AS43" s="194"/>
      <c r="AT43" s="194"/>
      <c r="AU43" s="326"/>
    </row>
    <row r="44" spans="1:47">
      <c r="A44" s="2"/>
      <c r="B44" s="2"/>
      <c r="C44" s="2"/>
      <c r="D44" s="2"/>
      <c r="E44" s="2"/>
      <c r="F44" s="2"/>
      <c r="G44" s="2"/>
      <c r="H44" s="2"/>
      <c r="I44" s="2"/>
      <c r="J4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0"/>
      <c r="AM44" s="510" t="s">
        <v>869</v>
      </c>
      <c r="AN44" s="529" t="s">
        <v>870</v>
      </c>
      <c r="AO44" s="420" t="s">
        <v>284</v>
      </c>
      <c r="AP44" s="247">
        <f t="shared" si="2"/>
        <v>0</v>
      </c>
      <c r="AQ44" s="247">
        <f t="shared" si="2"/>
        <v>0</v>
      </c>
      <c r="AR44" s="247">
        <f t="shared" si="2"/>
        <v>0</v>
      </c>
      <c r="AS44" s="194"/>
      <c r="AT44" s="194"/>
      <c r="AU44" s="326"/>
    </row>
    <row r="45" spans="1:47">
      <c r="A45" s="2"/>
      <c r="B45" s="2"/>
      <c r="C45" s="2"/>
      <c r="D45" s="2"/>
      <c r="E45" s="2"/>
      <c r="F45" s="2"/>
      <c r="G45" s="2"/>
      <c r="H45" s="2"/>
      <c r="I45" s="2"/>
      <c r="J4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0"/>
      <c r="AM45" s="510" t="s">
        <v>871</v>
      </c>
      <c r="AN45" s="530" t="s">
        <v>852</v>
      </c>
      <c r="AO45" s="420" t="s">
        <v>284</v>
      </c>
      <c r="AP45" s="247">
        <f t="shared" si="2"/>
        <v>0</v>
      </c>
      <c r="AQ45" s="247">
        <f t="shared" si="2"/>
        <v>0</v>
      </c>
      <c r="AR45" s="247">
        <f t="shared" si="2"/>
        <v>0</v>
      </c>
      <c r="AS45" s="194"/>
      <c r="AT45" s="194"/>
      <c r="AU45" s="326"/>
    </row>
    <row r="46" spans="1:47">
      <c r="A46" s="2"/>
      <c r="B46" s="2"/>
      <c r="C46" s="2"/>
      <c r="D46" s="2"/>
      <c r="E46" s="2"/>
      <c r="F46" s="2"/>
      <c r="G46" s="2"/>
      <c r="H46" s="2"/>
      <c r="I46" s="2"/>
      <c r="J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0"/>
      <c r="AM46" s="510" t="s">
        <v>872</v>
      </c>
      <c r="AN46" s="530" t="s">
        <v>854</v>
      </c>
      <c r="AO46" s="420" t="s">
        <v>284</v>
      </c>
      <c r="AP46" s="247">
        <f t="shared" si="2"/>
        <v>0</v>
      </c>
      <c r="AQ46" s="247">
        <f t="shared" si="2"/>
        <v>0</v>
      </c>
      <c r="AR46" s="247">
        <f t="shared" si="2"/>
        <v>0</v>
      </c>
      <c r="AS46" s="194"/>
      <c r="AT46" s="194"/>
      <c r="AU46" s="326"/>
    </row>
    <row r="47" spans="1:47">
      <c r="A47" s="2"/>
      <c r="B47" s="2"/>
      <c r="C47" s="2"/>
      <c r="D47" s="2"/>
      <c r="E47" s="2"/>
      <c r="F47" s="2"/>
      <c r="G47" s="2"/>
      <c r="H47" s="2"/>
      <c r="I47" s="2"/>
      <c r="J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0"/>
      <c r="AM47" s="510" t="s">
        <v>873</v>
      </c>
      <c r="AN47" s="530" t="s">
        <v>856</v>
      </c>
      <c r="AO47" s="420" t="s">
        <v>284</v>
      </c>
      <c r="AP47" s="247">
        <f t="shared" si="2"/>
        <v>0</v>
      </c>
      <c r="AQ47" s="247">
        <f t="shared" si="2"/>
        <v>0</v>
      </c>
      <c r="AR47" s="247">
        <f t="shared" si="2"/>
        <v>0</v>
      </c>
      <c r="AS47" s="194"/>
      <c r="AT47" s="194"/>
      <c r="AU47" s="326"/>
    </row>
    <row r="48" spans="1:47">
      <c r="A48" s="2"/>
      <c r="B48" s="2"/>
      <c r="C48" s="2"/>
      <c r="D48" s="2"/>
      <c r="E48" s="2"/>
      <c r="F48" s="2"/>
      <c r="G48" s="2"/>
      <c r="H48" s="2"/>
      <c r="I48" s="2"/>
      <c r="J4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0"/>
      <c r="AM48" s="510" t="s">
        <v>874</v>
      </c>
      <c r="AN48" s="530" t="s">
        <v>858</v>
      </c>
      <c r="AO48" s="420" t="s">
        <v>284</v>
      </c>
      <c r="AP48" s="247">
        <f t="shared" si="2"/>
        <v>0</v>
      </c>
      <c r="AQ48" s="247">
        <f t="shared" si="2"/>
        <v>0</v>
      </c>
      <c r="AR48" s="247">
        <f t="shared" si="2"/>
        <v>0</v>
      </c>
      <c r="AS48" s="194"/>
      <c r="AT48" s="194"/>
      <c r="AU48" s="326"/>
    </row>
    <row r="49" spans="1:47">
      <c r="A49" s="2"/>
      <c r="B49" s="2"/>
      <c r="C49" s="2"/>
      <c r="D49" s="2"/>
      <c r="E49" s="2"/>
      <c r="F49" s="2"/>
      <c r="G49" s="2"/>
      <c r="H49" s="2"/>
      <c r="I49" s="2"/>
      <c r="J49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0"/>
      <c r="AM49" s="510" t="s">
        <v>875</v>
      </c>
      <c r="AN49" s="530" t="s">
        <v>1040</v>
      </c>
      <c r="AO49" s="420" t="s">
        <v>284</v>
      </c>
      <c r="AP49" s="247">
        <f t="shared" si="2"/>
        <v>0</v>
      </c>
      <c r="AQ49" s="247">
        <f t="shared" si="2"/>
        <v>0</v>
      </c>
      <c r="AR49" s="247">
        <f t="shared" si="2"/>
        <v>0</v>
      </c>
      <c r="AS49" s="194"/>
      <c r="AT49" s="194"/>
      <c r="AU49" s="326"/>
    </row>
    <row r="50" spans="1:47">
      <c r="A50" s="2"/>
      <c r="B50" s="2"/>
      <c r="C50" s="2"/>
      <c r="D50" s="2"/>
      <c r="E50" s="2"/>
      <c r="F50" s="2"/>
      <c r="G50" s="2"/>
      <c r="H50" s="2"/>
      <c r="I50" s="2"/>
      <c r="J5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0"/>
      <c r="AM50" s="510" t="s">
        <v>876</v>
      </c>
      <c r="AN50" s="527" t="s">
        <v>877</v>
      </c>
      <c r="AO50" s="420"/>
      <c r="AP50" s="142"/>
      <c r="AQ50" s="142"/>
      <c r="AR50" s="142"/>
      <c r="AS50" s="194"/>
      <c r="AT50" s="194"/>
      <c r="AU50" s="326"/>
    </row>
    <row r="51" spans="1:47">
      <c r="A51" s="2"/>
      <c r="B51" s="2"/>
      <c r="C51" s="2"/>
      <c r="D51" s="2"/>
      <c r="E51" s="2"/>
      <c r="F51" s="2"/>
      <c r="G51" s="2"/>
      <c r="H51" s="2"/>
      <c r="I51" s="2"/>
      <c r="J5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0"/>
      <c r="AM51" s="510" t="s">
        <v>878</v>
      </c>
      <c r="AN51" s="528" t="s">
        <v>879</v>
      </c>
      <c r="AO51" s="420"/>
      <c r="AP51" s="142"/>
      <c r="AQ51" s="142"/>
      <c r="AR51" s="142"/>
      <c r="AS51" s="194"/>
      <c r="AT51" s="194"/>
      <c r="AU51" s="326"/>
    </row>
    <row r="52" spans="1:47">
      <c r="A52" s="2"/>
      <c r="B52" s="2"/>
      <c r="C52" s="2"/>
      <c r="D52" s="2"/>
      <c r="E52" s="2"/>
      <c r="F52" s="2"/>
      <c r="G52" s="2"/>
      <c r="H52" s="2"/>
      <c r="I52" s="2"/>
      <c r="J5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0"/>
      <c r="AM52" s="510" t="s">
        <v>880</v>
      </c>
      <c r="AN52" s="529" t="s">
        <v>852</v>
      </c>
      <c r="AO52" s="420" t="s">
        <v>313</v>
      </c>
      <c r="AP52" s="244">
        <f>IF(AP32=0,0,AP72/AP32)</f>
        <v>0</v>
      </c>
      <c r="AQ52" s="244">
        <f>IF(AQ32=0,0,AQ72/AQ32)</f>
        <v>0</v>
      </c>
      <c r="AR52" s="244">
        <f>IF(AR32=0,0,AR72/AR32)</f>
        <v>0</v>
      </c>
      <c r="AS52" s="194"/>
      <c r="AT52" s="194"/>
      <c r="AU52" s="326"/>
    </row>
    <row r="53" spans="1:47">
      <c r="A53" s="2"/>
      <c r="B53" s="2"/>
      <c r="C53" s="2"/>
      <c r="D53" s="2"/>
      <c r="E53" s="2"/>
      <c r="F53" s="2"/>
      <c r="G53" s="2"/>
      <c r="H53" s="2"/>
      <c r="I53" s="2"/>
      <c r="J5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0"/>
      <c r="AM53" s="510" t="s">
        <v>881</v>
      </c>
      <c r="AN53" s="529" t="s">
        <v>854</v>
      </c>
      <c r="AO53" s="420" t="s">
        <v>313</v>
      </c>
      <c r="AP53" s="244">
        <f t="shared" ref="AP53:AR56" si="3">IF(AP33=0,0,AP73/AP33)</f>
        <v>0</v>
      </c>
      <c r="AQ53" s="244">
        <f t="shared" si="3"/>
        <v>0</v>
      </c>
      <c r="AR53" s="244">
        <f t="shared" si="3"/>
        <v>0</v>
      </c>
      <c r="AS53" s="194"/>
      <c r="AT53" s="194"/>
      <c r="AU53" s="326"/>
    </row>
    <row r="54" spans="1:47">
      <c r="A54" s="2"/>
      <c r="B54" s="2"/>
      <c r="C54" s="2"/>
      <c r="D54" s="2"/>
      <c r="E54" s="2"/>
      <c r="F54" s="2"/>
      <c r="G54" s="2"/>
      <c r="H54" s="2"/>
      <c r="I54" s="2"/>
      <c r="J5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0"/>
      <c r="AM54" s="510" t="s">
        <v>882</v>
      </c>
      <c r="AN54" s="529" t="s">
        <v>856</v>
      </c>
      <c r="AO54" s="420" t="s">
        <v>313</v>
      </c>
      <c r="AP54" s="244">
        <f t="shared" si="3"/>
        <v>0</v>
      </c>
      <c r="AQ54" s="244">
        <f t="shared" si="3"/>
        <v>0</v>
      </c>
      <c r="AR54" s="244">
        <f t="shared" si="3"/>
        <v>0</v>
      </c>
      <c r="AS54" s="194"/>
      <c r="AT54" s="194"/>
      <c r="AU54" s="326"/>
    </row>
    <row r="55" spans="1:47">
      <c r="A55" s="2"/>
      <c r="B55" s="2"/>
      <c r="C55" s="2"/>
      <c r="D55" s="2"/>
      <c r="E55" s="2"/>
      <c r="F55" s="2"/>
      <c r="G55" s="2"/>
      <c r="H55" s="2"/>
      <c r="I55" s="2"/>
      <c r="J5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0"/>
      <c r="AM55" s="510" t="s">
        <v>883</v>
      </c>
      <c r="AN55" s="529" t="s">
        <v>858</v>
      </c>
      <c r="AO55" s="420" t="s">
        <v>313</v>
      </c>
      <c r="AP55" s="244">
        <f t="shared" si="3"/>
        <v>0</v>
      </c>
      <c r="AQ55" s="244">
        <f t="shared" si="3"/>
        <v>0</v>
      </c>
      <c r="AR55" s="244">
        <f t="shared" si="3"/>
        <v>0</v>
      </c>
      <c r="AS55" s="194"/>
      <c r="AT55" s="194"/>
      <c r="AU55" s="326"/>
    </row>
    <row r="56" spans="1:47">
      <c r="A56" s="2"/>
      <c r="B56" s="2"/>
      <c r="C56" s="2"/>
      <c r="D56" s="2"/>
      <c r="E56" s="2"/>
      <c r="F56" s="2"/>
      <c r="G56" s="2"/>
      <c r="H56" s="2"/>
      <c r="I56" s="2"/>
      <c r="J5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0"/>
      <c r="AM56" s="510" t="s">
        <v>884</v>
      </c>
      <c r="AN56" s="529" t="s">
        <v>860</v>
      </c>
      <c r="AO56" s="420" t="s">
        <v>313</v>
      </c>
      <c r="AP56" s="244">
        <f t="shared" si="3"/>
        <v>0</v>
      </c>
      <c r="AQ56" s="244">
        <f t="shared" si="3"/>
        <v>0</v>
      </c>
      <c r="AR56" s="244">
        <f t="shared" si="3"/>
        <v>0</v>
      </c>
      <c r="AS56" s="194"/>
      <c r="AT56" s="194"/>
      <c r="AU56" s="326"/>
    </row>
    <row r="57" spans="1:47" ht="20.399999999999999">
      <c r="A57" s="2"/>
      <c r="B57" s="2"/>
      <c r="C57" s="2"/>
      <c r="D57" s="2"/>
      <c r="E57" s="2"/>
      <c r="F57" s="2"/>
      <c r="G57" s="2"/>
      <c r="H57" s="2"/>
      <c r="I57" s="2"/>
      <c r="J5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0"/>
      <c r="AM57" s="510" t="s">
        <v>885</v>
      </c>
      <c r="AN57" s="529" t="s">
        <v>886</v>
      </c>
      <c r="AO57" s="420" t="s">
        <v>313</v>
      </c>
      <c r="AP57" s="244">
        <f>IF(AP31=0,0,AP71/AP31)</f>
        <v>0</v>
      </c>
      <c r="AQ57" s="244">
        <f>IF(AQ31=0,0,AQ71/AQ31)</f>
        <v>0</v>
      </c>
      <c r="AR57" s="244">
        <f>IF(AR31=0,0,AR71/AR31)</f>
        <v>0</v>
      </c>
      <c r="AS57" s="194"/>
      <c r="AT57" s="194"/>
      <c r="AU57" s="326"/>
    </row>
    <row r="58" spans="1:47">
      <c r="A58" s="2"/>
      <c r="B58" s="2"/>
      <c r="C58" s="2"/>
      <c r="D58" s="2"/>
      <c r="E58" s="2"/>
      <c r="F58" s="2"/>
      <c r="G58" s="2"/>
      <c r="H58" s="2"/>
      <c r="I58" s="2"/>
      <c r="J58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0"/>
      <c r="AM58" s="510" t="s">
        <v>887</v>
      </c>
      <c r="AN58" s="528" t="s">
        <v>888</v>
      </c>
      <c r="AO58" s="420"/>
      <c r="AP58" s="142"/>
      <c r="AQ58" s="142"/>
      <c r="AR58" s="142"/>
      <c r="AS58" s="194"/>
      <c r="AT58" s="194"/>
      <c r="AU58" s="326"/>
    </row>
    <row r="59" spans="1:47">
      <c r="A59" s="2"/>
      <c r="B59" s="2"/>
      <c r="C59" s="2"/>
      <c r="D59" s="2"/>
      <c r="E59" s="2"/>
      <c r="F59" s="2"/>
      <c r="G59" s="2"/>
      <c r="H59" s="2"/>
      <c r="I59" s="2"/>
      <c r="J5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0"/>
      <c r="AM59" s="510" t="s">
        <v>889</v>
      </c>
      <c r="AN59" s="529" t="s">
        <v>890</v>
      </c>
      <c r="AO59" s="420" t="s">
        <v>1038</v>
      </c>
      <c r="AP59" s="244">
        <f t="shared" ref="AP59:AR64" si="4">IF(AP38=0,0,AP77*1000/AP38)</f>
        <v>0</v>
      </c>
      <c r="AQ59" s="244">
        <f t="shared" si="4"/>
        <v>0</v>
      </c>
      <c r="AR59" s="244">
        <f t="shared" si="4"/>
        <v>0</v>
      </c>
      <c r="AS59" s="194"/>
      <c r="AT59" s="194"/>
      <c r="AU59" s="326"/>
    </row>
    <row r="60" spans="1:47">
      <c r="A60" s="2"/>
      <c r="B60" s="2"/>
      <c r="C60" s="2"/>
      <c r="D60" s="2"/>
      <c r="E60" s="2"/>
      <c r="F60" s="2"/>
      <c r="G60" s="2"/>
      <c r="H60" s="2"/>
      <c r="I60" s="2"/>
      <c r="J6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0"/>
      <c r="AM60" s="510" t="s">
        <v>891</v>
      </c>
      <c r="AN60" s="530" t="s">
        <v>852</v>
      </c>
      <c r="AO60" s="420" t="s">
        <v>1038</v>
      </c>
      <c r="AP60" s="244">
        <f t="shared" si="4"/>
        <v>0</v>
      </c>
      <c r="AQ60" s="244">
        <f t="shared" si="4"/>
        <v>0</v>
      </c>
      <c r="AR60" s="244">
        <f t="shared" si="4"/>
        <v>0</v>
      </c>
      <c r="AS60" s="194"/>
      <c r="AT60" s="194"/>
      <c r="AU60" s="326"/>
    </row>
    <row r="61" spans="1:47">
      <c r="A61" s="2"/>
      <c r="B61" s="2"/>
      <c r="C61" s="2"/>
      <c r="D61" s="2"/>
      <c r="E61" s="2"/>
      <c r="F61" s="2"/>
      <c r="G61" s="2"/>
      <c r="H61" s="2"/>
      <c r="I61" s="2"/>
      <c r="J6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0"/>
      <c r="AM61" s="510" t="s">
        <v>892</v>
      </c>
      <c r="AN61" s="530" t="s">
        <v>854</v>
      </c>
      <c r="AO61" s="420" t="s">
        <v>1038</v>
      </c>
      <c r="AP61" s="244">
        <f t="shared" si="4"/>
        <v>0</v>
      </c>
      <c r="AQ61" s="244">
        <f t="shared" si="4"/>
        <v>0</v>
      </c>
      <c r="AR61" s="244">
        <f t="shared" si="4"/>
        <v>0</v>
      </c>
      <c r="AS61" s="194"/>
      <c r="AT61" s="194"/>
      <c r="AU61" s="326"/>
    </row>
    <row r="62" spans="1:47">
      <c r="A62" s="2"/>
      <c r="B62" s="2"/>
      <c r="C62" s="2"/>
      <c r="D62" s="2"/>
      <c r="E62" s="2"/>
      <c r="F62" s="2"/>
      <c r="G62" s="2"/>
      <c r="H62" s="2"/>
      <c r="I62" s="2"/>
      <c r="J6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0"/>
      <c r="AM62" s="510" t="s">
        <v>893</v>
      </c>
      <c r="AN62" s="530" t="s">
        <v>856</v>
      </c>
      <c r="AO62" s="420" t="s">
        <v>1038</v>
      </c>
      <c r="AP62" s="244">
        <f t="shared" si="4"/>
        <v>0</v>
      </c>
      <c r="AQ62" s="244">
        <f t="shared" si="4"/>
        <v>0</v>
      </c>
      <c r="AR62" s="244">
        <f t="shared" si="4"/>
        <v>0</v>
      </c>
      <c r="AS62" s="194"/>
      <c r="AT62" s="194"/>
      <c r="AU62" s="326"/>
    </row>
    <row r="63" spans="1:47">
      <c r="A63" s="2"/>
      <c r="B63" s="2"/>
      <c r="C63" s="2"/>
      <c r="D63" s="2"/>
      <c r="E63" s="2"/>
      <c r="F63" s="2"/>
      <c r="G63" s="2"/>
      <c r="H63" s="2"/>
      <c r="I63" s="2"/>
      <c r="J6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0"/>
      <c r="AM63" s="510" t="s">
        <v>894</v>
      </c>
      <c r="AN63" s="530" t="s">
        <v>858</v>
      </c>
      <c r="AO63" s="420" t="s">
        <v>1038</v>
      </c>
      <c r="AP63" s="244">
        <f t="shared" si="4"/>
        <v>0</v>
      </c>
      <c r="AQ63" s="244">
        <f t="shared" si="4"/>
        <v>0</v>
      </c>
      <c r="AR63" s="244">
        <f t="shared" si="4"/>
        <v>0</v>
      </c>
      <c r="AS63" s="194"/>
      <c r="AT63" s="194"/>
      <c r="AU63" s="326"/>
    </row>
    <row r="64" spans="1:47">
      <c r="A64" s="2"/>
      <c r="B64" s="2"/>
      <c r="C64" s="2"/>
      <c r="D64" s="2"/>
      <c r="E64" s="2"/>
      <c r="F64" s="2"/>
      <c r="G64" s="2"/>
      <c r="H64" s="2"/>
      <c r="I64" s="2"/>
      <c r="J6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0"/>
      <c r="AM64" s="510" t="s">
        <v>895</v>
      </c>
      <c r="AN64" s="530" t="s">
        <v>1040</v>
      </c>
      <c r="AO64" s="420" t="s">
        <v>1038</v>
      </c>
      <c r="AP64" s="244">
        <f t="shared" si="4"/>
        <v>0</v>
      </c>
      <c r="AQ64" s="244">
        <f t="shared" si="4"/>
        <v>0</v>
      </c>
      <c r="AR64" s="244">
        <f t="shared" si="4"/>
        <v>0</v>
      </c>
      <c r="AS64" s="194"/>
      <c r="AT64" s="194"/>
      <c r="AU64" s="326"/>
    </row>
    <row r="65" spans="1:47">
      <c r="A65" s="2"/>
      <c r="B65" s="2"/>
      <c r="C65" s="2"/>
      <c r="D65" s="2"/>
      <c r="E65" s="2"/>
      <c r="F65" s="2"/>
      <c r="G65" s="2"/>
      <c r="H65" s="2"/>
      <c r="I65" s="2"/>
      <c r="J6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0"/>
      <c r="AM65" s="510" t="s">
        <v>896</v>
      </c>
      <c r="AN65" s="529" t="s">
        <v>897</v>
      </c>
      <c r="AO65" s="420" t="s">
        <v>313</v>
      </c>
      <c r="AP65" s="244">
        <f>IF(AP44=0,0,AP83/AP44)</f>
        <v>0</v>
      </c>
      <c r="AQ65" s="244">
        <f>IF(AQ44=0,0,AQ83/AQ44)</f>
        <v>0</v>
      </c>
      <c r="AR65" s="244">
        <f>IF(AR44=0,0,AR83/AR44)</f>
        <v>0</v>
      </c>
      <c r="AS65" s="194"/>
      <c r="AT65" s="194"/>
      <c r="AU65" s="326"/>
    </row>
    <row r="66" spans="1:47">
      <c r="A66" s="2"/>
      <c r="B66" s="2"/>
      <c r="C66" s="2"/>
      <c r="D66" s="2"/>
      <c r="E66" s="2"/>
      <c r="F66" s="2"/>
      <c r="G66" s="2"/>
      <c r="H66" s="2"/>
      <c r="I66" s="2"/>
      <c r="J6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0"/>
      <c r="AM66" s="510" t="s">
        <v>898</v>
      </c>
      <c r="AN66" s="530" t="s">
        <v>852</v>
      </c>
      <c r="AO66" s="420" t="s">
        <v>313</v>
      </c>
      <c r="AP66" s="244">
        <f t="shared" ref="AP66:AR70" si="5">IF(AP45=0,0,AP84/AP45)</f>
        <v>0</v>
      </c>
      <c r="AQ66" s="244">
        <f t="shared" si="5"/>
        <v>0</v>
      </c>
      <c r="AR66" s="244">
        <f t="shared" si="5"/>
        <v>0</v>
      </c>
      <c r="AS66" s="194"/>
      <c r="AT66" s="194"/>
      <c r="AU66" s="326"/>
    </row>
    <row r="67" spans="1:47">
      <c r="A67" s="2"/>
      <c r="B67" s="2"/>
      <c r="C67" s="2"/>
      <c r="D67" s="2"/>
      <c r="E67" s="2"/>
      <c r="F67" s="2"/>
      <c r="G67" s="2"/>
      <c r="H67" s="2"/>
      <c r="I67" s="2"/>
      <c r="J6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0"/>
      <c r="AM67" s="510" t="s">
        <v>899</v>
      </c>
      <c r="AN67" s="530" t="s">
        <v>854</v>
      </c>
      <c r="AO67" s="420" t="s">
        <v>313</v>
      </c>
      <c r="AP67" s="244">
        <f t="shared" si="5"/>
        <v>0</v>
      </c>
      <c r="AQ67" s="244">
        <f t="shared" si="5"/>
        <v>0</v>
      </c>
      <c r="AR67" s="244">
        <f t="shared" si="5"/>
        <v>0</v>
      </c>
      <c r="AS67" s="194"/>
      <c r="AT67" s="194"/>
      <c r="AU67" s="326"/>
    </row>
    <row r="68" spans="1:47">
      <c r="A68" s="2"/>
      <c r="B68" s="2"/>
      <c r="C68" s="2"/>
      <c r="D68" s="2"/>
      <c r="E68" s="2"/>
      <c r="F68" s="2"/>
      <c r="G68" s="2"/>
      <c r="H68" s="2"/>
      <c r="I68" s="2"/>
      <c r="J68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0"/>
      <c r="AM68" s="510" t="s">
        <v>900</v>
      </c>
      <c r="AN68" s="530" t="s">
        <v>856</v>
      </c>
      <c r="AO68" s="420" t="s">
        <v>313</v>
      </c>
      <c r="AP68" s="244">
        <f t="shared" si="5"/>
        <v>0</v>
      </c>
      <c r="AQ68" s="244">
        <f t="shared" si="5"/>
        <v>0</v>
      </c>
      <c r="AR68" s="244">
        <f t="shared" si="5"/>
        <v>0</v>
      </c>
      <c r="AS68" s="194"/>
      <c r="AT68" s="194"/>
      <c r="AU68" s="326"/>
    </row>
    <row r="69" spans="1:47">
      <c r="A69" s="2"/>
      <c r="B69" s="2"/>
      <c r="C69" s="2"/>
      <c r="D69" s="2"/>
      <c r="E69" s="2"/>
      <c r="F69" s="2"/>
      <c r="G69" s="2"/>
      <c r="H69" s="2"/>
      <c r="I69" s="2"/>
      <c r="J6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0"/>
      <c r="AM69" s="510" t="s">
        <v>901</v>
      </c>
      <c r="AN69" s="530" t="s">
        <v>858</v>
      </c>
      <c r="AO69" s="420" t="s">
        <v>313</v>
      </c>
      <c r="AP69" s="244">
        <f t="shared" si="5"/>
        <v>0</v>
      </c>
      <c r="AQ69" s="244">
        <f t="shared" si="5"/>
        <v>0</v>
      </c>
      <c r="AR69" s="244">
        <f t="shared" si="5"/>
        <v>0</v>
      </c>
      <c r="AS69" s="194"/>
      <c r="AT69" s="194"/>
      <c r="AU69" s="326"/>
    </row>
    <row r="70" spans="1:47">
      <c r="A70" s="2"/>
      <c r="B70" s="2"/>
      <c r="C70" s="2"/>
      <c r="D70" s="2"/>
      <c r="E70" s="2"/>
      <c r="F70" s="2"/>
      <c r="G70" s="2"/>
      <c r="H70" s="2"/>
      <c r="I70" s="2"/>
      <c r="J7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0"/>
      <c r="AM70" s="510" t="s">
        <v>902</v>
      </c>
      <c r="AN70" s="530" t="s">
        <v>1040</v>
      </c>
      <c r="AO70" s="420" t="s">
        <v>313</v>
      </c>
      <c r="AP70" s="244">
        <f t="shared" si="5"/>
        <v>0</v>
      </c>
      <c r="AQ70" s="244">
        <f t="shared" si="5"/>
        <v>0</v>
      </c>
      <c r="AR70" s="244">
        <f t="shared" si="5"/>
        <v>0</v>
      </c>
      <c r="AS70" s="194"/>
      <c r="AT70" s="194"/>
      <c r="AU70" s="326"/>
    </row>
    <row r="71" spans="1:47" ht="20.399999999999999">
      <c r="A71" s="2"/>
      <c r="B71" s="2"/>
      <c r="C71" s="2"/>
      <c r="D71" s="2"/>
      <c r="E71" s="2"/>
      <c r="F71" s="2"/>
      <c r="G71" s="2"/>
      <c r="H71" s="2"/>
      <c r="I71" s="2"/>
      <c r="J7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0"/>
      <c r="AM71" s="510" t="s">
        <v>903</v>
      </c>
      <c r="AN71" s="527" t="s">
        <v>904</v>
      </c>
      <c r="AO71" s="420" t="s">
        <v>195</v>
      </c>
      <c r="AP71" s="247">
        <f t="shared" ref="AP71:AR91" si="6">SUMIF($AS$9:$AT$9,AP$9,$AS71:$AT71)</f>
        <v>0</v>
      </c>
      <c r="AQ71" s="247">
        <f t="shared" si="6"/>
        <v>0</v>
      </c>
      <c r="AR71" s="247">
        <f t="shared" si="6"/>
        <v>0</v>
      </c>
      <c r="AS71" s="194"/>
      <c r="AT71" s="194"/>
      <c r="AU71" s="326"/>
    </row>
    <row r="72" spans="1:47">
      <c r="A72" s="2"/>
      <c r="B72" s="2"/>
      <c r="C72" s="2"/>
      <c r="D72" s="2"/>
      <c r="E72" s="2"/>
      <c r="F72" s="2"/>
      <c r="G72" s="2"/>
      <c r="H72" s="2"/>
      <c r="I72" s="2"/>
      <c r="J7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0"/>
      <c r="AM72" s="510" t="s">
        <v>1041</v>
      </c>
      <c r="AN72" s="528" t="s">
        <v>852</v>
      </c>
      <c r="AO72" s="420" t="s">
        <v>195</v>
      </c>
      <c r="AP72" s="247">
        <f t="shared" si="6"/>
        <v>0</v>
      </c>
      <c r="AQ72" s="247">
        <f t="shared" si="6"/>
        <v>0</v>
      </c>
      <c r="AR72" s="247">
        <f t="shared" si="6"/>
        <v>0</v>
      </c>
      <c r="AS72" s="194"/>
      <c r="AT72" s="194"/>
      <c r="AU72" s="326"/>
    </row>
    <row r="73" spans="1:47">
      <c r="A73" s="2"/>
      <c r="B73" s="2"/>
      <c r="C73" s="2"/>
      <c r="D73" s="2"/>
      <c r="E73" s="2"/>
      <c r="F73" s="2"/>
      <c r="G73" s="2"/>
      <c r="H73" s="2"/>
      <c r="I73" s="2"/>
      <c r="J7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0"/>
      <c r="AM73" s="510" t="s">
        <v>1042</v>
      </c>
      <c r="AN73" s="528" t="s">
        <v>854</v>
      </c>
      <c r="AO73" s="420" t="s">
        <v>195</v>
      </c>
      <c r="AP73" s="247">
        <f t="shared" si="6"/>
        <v>0</v>
      </c>
      <c r="AQ73" s="247">
        <f t="shared" si="6"/>
        <v>0</v>
      </c>
      <c r="AR73" s="247">
        <f t="shared" si="6"/>
        <v>0</v>
      </c>
      <c r="AS73" s="194"/>
      <c r="AT73" s="194"/>
      <c r="AU73" s="326"/>
    </row>
    <row r="74" spans="1:47">
      <c r="A74" s="2"/>
      <c r="B74" s="2"/>
      <c r="C74" s="2"/>
      <c r="D74" s="2"/>
      <c r="E74" s="2"/>
      <c r="F74" s="2"/>
      <c r="G74" s="2"/>
      <c r="H74" s="2"/>
      <c r="I74" s="2"/>
      <c r="J7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0"/>
      <c r="AM74" s="510" t="s">
        <v>1043</v>
      </c>
      <c r="AN74" s="528" t="s">
        <v>856</v>
      </c>
      <c r="AO74" s="420" t="s">
        <v>195</v>
      </c>
      <c r="AP74" s="247">
        <f t="shared" si="6"/>
        <v>0</v>
      </c>
      <c r="AQ74" s="247">
        <f t="shared" si="6"/>
        <v>0</v>
      </c>
      <c r="AR74" s="247">
        <f t="shared" si="6"/>
        <v>0</v>
      </c>
      <c r="AS74" s="194"/>
      <c r="AT74" s="194"/>
      <c r="AU74" s="326"/>
    </row>
    <row r="75" spans="1:47">
      <c r="A75" s="2"/>
      <c r="B75" s="2"/>
      <c r="C75" s="2"/>
      <c r="D75" s="2"/>
      <c r="E75" s="2"/>
      <c r="F75" s="2"/>
      <c r="G75" s="2"/>
      <c r="H75" s="2"/>
      <c r="I75" s="2"/>
      <c r="J7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0"/>
      <c r="AM75" s="510" t="s">
        <v>1044</v>
      </c>
      <c r="AN75" s="528" t="s">
        <v>858</v>
      </c>
      <c r="AO75" s="420" t="s">
        <v>195</v>
      </c>
      <c r="AP75" s="247">
        <f t="shared" si="6"/>
        <v>0</v>
      </c>
      <c r="AQ75" s="247">
        <f t="shared" si="6"/>
        <v>0</v>
      </c>
      <c r="AR75" s="247">
        <f t="shared" si="6"/>
        <v>0</v>
      </c>
      <c r="AS75" s="194"/>
      <c r="AT75" s="194"/>
      <c r="AU75" s="326"/>
    </row>
    <row r="76" spans="1:47">
      <c r="A76" s="2"/>
      <c r="B76" s="2"/>
      <c r="C76" s="2"/>
      <c r="D76" s="2"/>
      <c r="E76" s="2"/>
      <c r="F76" s="2"/>
      <c r="G76" s="2"/>
      <c r="H76" s="2"/>
      <c r="I76" s="2"/>
      <c r="J7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0"/>
      <c r="AM76" s="510" t="s">
        <v>1045</v>
      </c>
      <c r="AN76" s="528" t="s">
        <v>860</v>
      </c>
      <c r="AO76" s="420" t="s">
        <v>195</v>
      </c>
      <c r="AP76" s="247">
        <f t="shared" si="6"/>
        <v>0</v>
      </c>
      <c r="AQ76" s="247">
        <f t="shared" si="6"/>
        <v>0</v>
      </c>
      <c r="AR76" s="247">
        <f t="shared" si="6"/>
        <v>0</v>
      </c>
      <c r="AS76" s="194"/>
      <c r="AT76" s="194"/>
      <c r="AU76" s="326"/>
    </row>
    <row r="77" spans="1:47" ht="20.399999999999999">
      <c r="A77" s="2"/>
      <c r="B77" s="2"/>
      <c r="C77" s="2"/>
      <c r="D77" s="2"/>
      <c r="E77" s="2"/>
      <c r="F77" s="2"/>
      <c r="G77" s="2"/>
      <c r="H77" s="2"/>
      <c r="I77" s="2"/>
      <c r="J7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0"/>
      <c r="AM77" s="510" t="s">
        <v>905</v>
      </c>
      <c r="AN77" s="527" t="s">
        <v>1039</v>
      </c>
      <c r="AO77" s="420" t="s">
        <v>195</v>
      </c>
      <c r="AP77" s="247">
        <f t="shared" si="6"/>
        <v>0</v>
      </c>
      <c r="AQ77" s="247">
        <f t="shared" si="6"/>
        <v>0</v>
      </c>
      <c r="AR77" s="247">
        <f t="shared" si="6"/>
        <v>0</v>
      </c>
      <c r="AS77" s="194"/>
      <c r="AT77" s="194"/>
      <c r="AU77" s="326"/>
    </row>
    <row r="78" spans="1:47">
      <c r="A78" s="2"/>
      <c r="B78" s="2"/>
      <c r="C78" s="2"/>
      <c r="D78" s="2"/>
      <c r="E78" s="2"/>
      <c r="F78" s="2"/>
      <c r="G78" s="2"/>
      <c r="H78" s="2"/>
      <c r="I78" s="2"/>
      <c r="J7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0"/>
      <c r="AM78" s="510" t="s">
        <v>1046</v>
      </c>
      <c r="AN78" s="528" t="s">
        <v>852</v>
      </c>
      <c r="AO78" s="420" t="s">
        <v>195</v>
      </c>
      <c r="AP78" s="247">
        <f t="shared" si="6"/>
        <v>0</v>
      </c>
      <c r="AQ78" s="247">
        <f t="shared" si="6"/>
        <v>0</v>
      </c>
      <c r="AR78" s="247">
        <f t="shared" si="6"/>
        <v>0</v>
      </c>
      <c r="AS78" s="194"/>
      <c r="AT78" s="194"/>
      <c r="AU78" s="326"/>
    </row>
    <row r="79" spans="1:47">
      <c r="A79" s="2"/>
      <c r="B79" s="2"/>
      <c r="C79" s="2"/>
      <c r="D79" s="2"/>
      <c r="E79" s="2"/>
      <c r="F79" s="2"/>
      <c r="G79" s="2"/>
      <c r="H79" s="2"/>
      <c r="I79" s="2"/>
      <c r="J7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0"/>
      <c r="AM79" s="510" t="s">
        <v>1047</v>
      </c>
      <c r="AN79" s="528" t="s">
        <v>854</v>
      </c>
      <c r="AO79" s="420" t="s">
        <v>195</v>
      </c>
      <c r="AP79" s="247">
        <f t="shared" si="6"/>
        <v>0</v>
      </c>
      <c r="AQ79" s="247">
        <f t="shared" si="6"/>
        <v>0</v>
      </c>
      <c r="AR79" s="247">
        <f t="shared" si="6"/>
        <v>0</v>
      </c>
      <c r="AS79" s="194"/>
      <c r="AT79" s="194"/>
      <c r="AU79" s="326"/>
    </row>
    <row r="80" spans="1:47">
      <c r="A80" s="2"/>
      <c r="B80" s="2"/>
      <c r="C80" s="2"/>
      <c r="D80" s="2"/>
      <c r="E80" s="2"/>
      <c r="F80" s="2"/>
      <c r="G80" s="2"/>
      <c r="H80" s="2"/>
      <c r="I80" s="2"/>
      <c r="J8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0"/>
      <c r="AM80" s="510" t="s">
        <v>1048</v>
      </c>
      <c r="AN80" s="528" t="s">
        <v>856</v>
      </c>
      <c r="AO80" s="420" t="s">
        <v>195</v>
      </c>
      <c r="AP80" s="247">
        <f t="shared" si="6"/>
        <v>0</v>
      </c>
      <c r="AQ80" s="247">
        <f t="shared" si="6"/>
        <v>0</v>
      </c>
      <c r="AR80" s="247">
        <f t="shared" si="6"/>
        <v>0</v>
      </c>
      <c r="AS80" s="194"/>
      <c r="AT80" s="194"/>
      <c r="AU80" s="326"/>
    </row>
    <row r="81" spans="1:47">
      <c r="A81" s="2"/>
      <c r="B81" s="2"/>
      <c r="C81" s="2"/>
      <c r="D81" s="2"/>
      <c r="E81" s="2"/>
      <c r="F81" s="2"/>
      <c r="G81" s="2"/>
      <c r="H81" s="2"/>
      <c r="I81" s="2"/>
      <c r="J8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0"/>
      <c r="AM81" s="510" t="s">
        <v>1049</v>
      </c>
      <c r="AN81" s="528" t="s">
        <v>858</v>
      </c>
      <c r="AO81" s="420" t="s">
        <v>195</v>
      </c>
      <c r="AP81" s="247">
        <f t="shared" si="6"/>
        <v>0</v>
      </c>
      <c r="AQ81" s="247">
        <f t="shared" si="6"/>
        <v>0</v>
      </c>
      <c r="AR81" s="247">
        <f t="shared" si="6"/>
        <v>0</v>
      </c>
      <c r="AS81" s="194"/>
      <c r="AT81" s="194"/>
      <c r="AU81" s="326"/>
    </row>
    <row r="82" spans="1:47">
      <c r="A82" s="2"/>
      <c r="B82" s="2"/>
      <c r="C82" s="2"/>
      <c r="D82" s="2"/>
      <c r="E82" s="2"/>
      <c r="F82" s="2"/>
      <c r="G82" s="2"/>
      <c r="H82" s="2"/>
      <c r="I82" s="2"/>
      <c r="J8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0"/>
      <c r="AM82" s="510" t="s">
        <v>1050</v>
      </c>
      <c r="AN82" s="528" t="s">
        <v>1040</v>
      </c>
      <c r="AO82" s="420" t="s">
        <v>195</v>
      </c>
      <c r="AP82" s="247">
        <f t="shared" si="6"/>
        <v>0</v>
      </c>
      <c r="AQ82" s="247">
        <f t="shared" si="6"/>
        <v>0</v>
      </c>
      <c r="AR82" s="247">
        <f t="shared" si="6"/>
        <v>0</v>
      </c>
      <c r="AS82" s="194"/>
      <c r="AT82" s="194"/>
      <c r="AU82" s="326"/>
    </row>
    <row r="83" spans="1:47" ht="20.399999999999999">
      <c r="A83" s="2"/>
      <c r="B83" s="2"/>
      <c r="C83" s="2"/>
      <c r="D83" s="2"/>
      <c r="E83" s="2"/>
      <c r="F83" s="2"/>
      <c r="G83" s="2"/>
      <c r="H83" s="2"/>
      <c r="I83" s="2"/>
      <c r="J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0"/>
      <c r="AM83" s="510" t="s">
        <v>907</v>
      </c>
      <c r="AN83" s="527" t="s">
        <v>906</v>
      </c>
      <c r="AO83" s="420" t="s">
        <v>195</v>
      </c>
      <c r="AP83" s="247">
        <f t="shared" si="6"/>
        <v>0</v>
      </c>
      <c r="AQ83" s="247">
        <f t="shared" si="6"/>
        <v>0</v>
      </c>
      <c r="AR83" s="247">
        <f t="shared" si="6"/>
        <v>0</v>
      </c>
      <c r="AS83" s="194"/>
      <c r="AT83" s="194"/>
      <c r="AU83" s="326"/>
    </row>
    <row r="84" spans="1:47">
      <c r="A84" s="2"/>
      <c r="B84" s="2"/>
      <c r="C84" s="2"/>
      <c r="D84" s="2"/>
      <c r="E84" s="2"/>
      <c r="F84" s="2"/>
      <c r="G84" s="2"/>
      <c r="H84" s="2"/>
      <c r="I84" s="2"/>
      <c r="J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0"/>
      <c r="AM84" s="510" t="s">
        <v>1051</v>
      </c>
      <c r="AN84" s="528" t="s">
        <v>852</v>
      </c>
      <c r="AO84" s="420" t="s">
        <v>195</v>
      </c>
      <c r="AP84" s="247">
        <f t="shared" si="6"/>
        <v>0</v>
      </c>
      <c r="AQ84" s="247">
        <f t="shared" si="6"/>
        <v>0</v>
      </c>
      <c r="AR84" s="247">
        <f t="shared" si="6"/>
        <v>0</v>
      </c>
      <c r="AS84" s="194"/>
      <c r="AT84" s="194"/>
      <c r="AU84" s="326"/>
    </row>
    <row r="85" spans="1:47">
      <c r="A85" s="2"/>
      <c r="B85" s="2"/>
      <c r="C85" s="2"/>
      <c r="D85" s="2"/>
      <c r="E85" s="2"/>
      <c r="F85" s="2"/>
      <c r="G85" s="2"/>
      <c r="H85" s="2"/>
      <c r="I85" s="2"/>
      <c r="J8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0"/>
      <c r="AM85" s="510" t="s">
        <v>1052</v>
      </c>
      <c r="AN85" s="528" t="s">
        <v>854</v>
      </c>
      <c r="AO85" s="420" t="s">
        <v>195</v>
      </c>
      <c r="AP85" s="247">
        <f t="shared" si="6"/>
        <v>0</v>
      </c>
      <c r="AQ85" s="247">
        <f t="shared" si="6"/>
        <v>0</v>
      </c>
      <c r="AR85" s="247">
        <f t="shared" si="6"/>
        <v>0</v>
      </c>
      <c r="AS85" s="194"/>
      <c r="AT85" s="194"/>
      <c r="AU85" s="326"/>
    </row>
    <row r="86" spans="1:47">
      <c r="A86" s="2"/>
      <c r="B86" s="2"/>
      <c r="C86" s="2"/>
      <c r="D86" s="2"/>
      <c r="E86" s="2"/>
      <c r="F86" s="2"/>
      <c r="G86" s="2"/>
      <c r="H86" s="2"/>
      <c r="I86" s="2"/>
      <c r="J8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0"/>
      <c r="AM86" s="510" t="s">
        <v>1053</v>
      </c>
      <c r="AN86" s="528" t="s">
        <v>856</v>
      </c>
      <c r="AO86" s="420" t="s">
        <v>195</v>
      </c>
      <c r="AP86" s="247">
        <f t="shared" si="6"/>
        <v>0</v>
      </c>
      <c r="AQ86" s="247">
        <f t="shared" si="6"/>
        <v>0</v>
      </c>
      <c r="AR86" s="247">
        <f t="shared" si="6"/>
        <v>0</v>
      </c>
      <c r="AS86" s="194"/>
      <c r="AT86" s="194"/>
      <c r="AU86" s="326"/>
    </row>
    <row r="87" spans="1:47">
      <c r="A87" s="2"/>
      <c r="B87" s="2"/>
      <c r="C87" s="2"/>
      <c r="D87" s="2"/>
      <c r="E87" s="2"/>
      <c r="F87" s="2"/>
      <c r="G87" s="2"/>
      <c r="H87" s="2"/>
      <c r="I87" s="2"/>
      <c r="J8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0"/>
      <c r="AM87" s="510" t="s">
        <v>1054</v>
      </c>
      <c r="AN87" s="528" t="s">
        <v>858</v>
      </c>
      <c r="AO87" s="420" t="s">
        <v>195</v>
      </c>
      <c r="AP87" s="247">
        <f t="shared" si="6"/>
        <v>0</v>
      </c>
      <c r="AQ87" s="247">
        <f t="shared" si="6"/>
        <v>0</v>
      </c>
      <c r="AR87" s="247">
        <f t="shared" si="6"/>
        <v>0</v>
      </c>
      <c r="AS87" s="194"/>
      <c r="AT87" s="194"/>
      <c r="AU87" s="326"/>
    </row>
    <row r="88" spans="1:47">
      <c r="A88" s="2"/>
      <c r="B88" s="2"/>
      <c r="C88" s="2"/>
      <c r="D88" s="2"/>
      <c r="E88" s="2"/>
      <c r="F88" s="2"/>
      <c r="G88" s="2"/>
      <c r="H88" s="2"/>
      <c r="I88" s="2"/>
      <c r="J88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0"/>
      <c r="AM88" s="510" t="s">
        <v>1055</v>
      </c>
      <c r="AN88" s="528" t="s">
        <v>1040</v>
      </c>
      <c r="AO88" s="420" t="s">
        <v>195</v>
      </c>
      <c r="AP88" s="247">
        <f t="shared" si="6"/>
        <v>0</v>
      </c>
      <c r="AQ88" s="247">
        <f t="shared" si="6"/>
        <v>0</v>
      </c>
      <c r="AR88" s="247">
        <f t="shared" si="6"/>
        <v>0</v>
      </c>
      <c r="AS88" s="194"/>
      <c r="AT88" s="194"/>
      <c r="AU88" s="326"/>
    </row>
    <row r="89" spans="1:47">
      <c r="A89" s="2"/>
      <c r="B89" s="2"/>
      <c r="C89" s="2"/>
      <c r="D89" s="2"/>
      <c r="E89" s="2"/>
      <c r="F89" s="2"/>
      <c r="G89" s="2"/>
      <c r="H89" s="2"/>
      <c r="I89" s="2"/>
      <c r="J8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0"/>
      <c r="AM89" s="509" t="s">
        <v>703</v>
      </c>
      <c r="AN89" s="526" t="s">
        <v>908</v>
      </c>
      <c r="AO89" s="420" t="s">
        <v>195</v>
      </c>
      <c r="AP89" s="247">
        <f t="shared" si="6"/>
        <v>0</v>
      </c>
      <c r="AQ89" s="247">
        <f t="shared" si="6"/>
        <v>0</v>
      </c>
      <c r="AR89" s="247">
        <f t="shared" si="6"/>
        <v>0</v>
      </c>
      <c r="AS89" s="194"/>
      <c r="AT89" s="194"/>
      <c r="AU89" s="326"/>
    </row>
    <row r="90" spans="1:47">
      <c r="A90" s="2"/>
      <c r="B90" s="2"/>
      <c r="C90" s="2"/>
      <c r="D90" s="2"/>
      <c r="E90" s="2"/>
      <c r="F90" s="2"/>
      <c r="G90" s="2"/>
      <c r="H90" s="2"/>
      <c r="I90" s="2"/>
      <c r="J90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0"/>
      <c r="AM90" s="509" t="s">
        <v>695</v>
      </c>
      <c r="AN90" s="526" t="s">
        <v>909</v>
      </c>
      <c r="AO90" s="420" t="s">
        <v>195</v>
      </c>
      <c r="AP90" s="247">
        <f t="shared" si="6"/>
        <v>0</v>
      </c>
      <c r="AQ90" s="247">
        <f t="shared" si="6"/>
        <v>0</v>
      </c>
      <c r="AR90" s="247">
        <f t="shared" si="6"/>
        <v>0</v>
      </c>
      <c r="AS90" s="194"/>
      <c r="AT90" s="194"/>
      <c r="AU90" s="326"/>
    </row>
    <row r="91" spans="1:47">
      <c r="A91" s="2"/>
      <c r="B91" s="2"/>
      <c r="C91" s="2"/>
      <c r="D91" s="2"/>
      <c r="E91" s="2"/>
      <c r="F91" s="2"/>
      <c r="G91" s="2"/>
      <c r="H91" s="2"/>
      <c r="I91" s="2"/>
      <c r="J9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0"/>
      <c r="AM91" s="509" t="s">
        <v>696</v>
      </c>
      <c r="AN91" s="526" t="s">
        <v>910</v>
      </c>
      <c r="AO91" s="420" t="s">
        <v>195</v>
      </c>
      <c r="AP91" s="247">
        <f t="shared" si="6"/>
        <v>0</v>
      </c>
      <c r="AQ91" s="247">
        <f t="shared" si="6"/>
        <v>0</v>
      </c>
      <c r="AR91" s="247">
        <f t="shared" si="6"/>
        <v>0</v>
      </c>
      <c r="AS91" s="194"/>
      <c r="AT91" s="194"/>
      <c r="AU91" s="326"/>
    </row>
    <row r="92" spans="1:47" ht="0.75" hidden="1" customHeight="1">
      <c r="AK92" s="2"/>
      <c r="AL92" s="20"/>
      <c r="AM92" s="532"/>
      <c r="AN92" s="533"/>
      <c r="AO92" s="422"/>
      <c r="AP92" s="142"/>
      <c r="AQ92" s="142"/>
      <c r="AR92" s="142"/>
      <c r="AS92" s="194"/>
      <c r="AT92" s="194"/>
    </row>
    <row r="93" spans="1:47" ht="0.75" hidden="1" customHeight="1">
      <c r="AK93" s="2"/>
      <c r="AL93" s="20"/>
      <c r="AM93" s="532"/>
      <c r="AN93" s="533"/>
      <c r="AO93" s="422"/>
      <c r="AP93" s="142"/>
      <c r="AQ93" s="142"/>
      <c r="AR93" s="142"/>
      <c r="AS93" s="194"/>
      <c r="AT93" s="194"/>
    </row>
    <row r="94" spans="1:47" ht="0.75" hidden="1" customHeight="1">
      <c r="AK94" s="2"/>
      <c r="AL94" s="20"/>
      <c r="AM94" s="532"/>
      <c r="AN94" s="533"/>
      <c r="AO94" s="422"/>
      <c r="AP94" s="142"/>
      <c r="AQ94" s="142"/>
      <c r="AR94" s="142"/>
      <c r="AS94" s="194"/>
      <c r="AT94" s="194"/>
    </row>
    <row r="95" spans="1:47" ht="0.75" hidden="1" customHeight="1">
      <c r="AK95" s="2"/>
      <c r="AL95" s="20"/>
      <c r="AM95" s="532"/>
      <c r="AN95" s="533"/>
      <c r="AO95" s="422"/>
      <c r="AP95" s="142"/>
      <c r="AQ95" s="142"/>
      <c r="AR95" s="142"/>
      <c r="AS95" s="194"/>
      <c r="AT95" s="194"/>
    </row>
    <row r="96" spans="1:47">
      <c r="AK96" s="2"/>
      <c r="AL96" s="20"/>
      <c r="AM96" s="509" t="s">
        <v>911</v>
      </c>
      <c r="AN96" s="526" t="s">
        <v>912</v>
      </c>
      <c r="AO96" s="420" t="s">
        <v>195</v>
      </c>
      <c r="AP96" s="247">
        <f>SUMIF($AS$9:$AT$9,AP$9,$AS96:$AT96)</f>
        <v>0</v>
      </c>
      <c r="AQ96" s="247">
        <f>SUMIF($AS$9:$AT$9,AQ$9,$AS96:$AT96)</f>
        <v>0</v>
      </c>
      <c r="AR96" s="247">
        <f>SUMIF($AS$9:$AT$9,AR$9,$AS96:$AT96)</f>
        <v>0</v>
      </c>
      <c r="AS96" s="194"/>
      <c r="AT96" s="194"/>
      <c r="AU96" s="326"/>
    </row>
    <row r="97" spans="1:47">
      <c r="AK97" s="2"/>
      <c r="AL97" s="20"/>
      <c r="AM97" s="509" t="s">
        <v>913</v>
      </c>
      <c r="AN97" s="531" t="s">
        <v>914</v>
      </c>
      <c r="AO97" s="420" t="s">
        <v>397</v>
      </c>
      <c r="AP97" s="247">
        <f>IF(AP98=0,0,AP96/AP98)</f>
        <v>0</v>
      </c>
      <c r="AQ97" s="247">
        <f>IF(AQ98=0,0,AQ96/AQ98)</f>
        <v>0</v>
      </c>
      <c r="AR97" s="247">
        <f>IF(AR98=0,0,AR96/AR98)</f>
        <v>0</v>
      </c>
      <c r="AS97" s="194"/>
      <c r="AT97" s="194"/>
      <c r="AU97" s="326"/>
    </row>
    <row r="98" spans="1:47">
      <c r="AK98" s="2"/>
      <c r="AL98" s="20"/>
      <c r="AM98" s="509" t="s">
        <v>915</v>
      </c>
      <c r="AN98" s="531" t="s">
        <v>283</v>
      </c>
      <c r="AO98" s="417" t="s">
        <v>1026</v>
      </c>
      <c r="AP98" s="247">
        <f>SUMIF($AS$9:$AT$9,AP$9,$AS98:$AT98)</f>
        <v>0</v>
      </c>
      <c r="AQ98" s="247">
        <f>SUMIF($AS$9:$AT$9,AQ$9,$AS98:$AT98)</f>
        <v>0</v>
      </c>
      <c r="AR98" s="247">
        <f>SUMIF($AS$9:$AT$9,AR$9,$AS98:$AT98)</f>
        <v>0</v>
      </c>
      <c r="AS98" s="194"/>
      <c r="AT98" s="194"/>
      <c r="AU98" s="326"/>
    </row>
    <row r="99" spans="1:47" ht="0.75" hidden="1" customHeight="1">
      <c r="AK99" s="2"/>
      <c r="AL99" s="20"/>
      <c r="AM99" s="532"/>
      <c r="AN99" s="533"/>
      <c r="AO99" s="422"/>
      <c r="AP99" s="142"/>
      <c r="AQ99" s="142"/>
      <c r="AR99" s="142"/>
      <c r="AS99" s="194"/>
      <c r="AT99" s="194"/>
    </row>
    <row r="100" spans="1:47" ht="0.75" hidden="1" customHeight="1">
      <c r="AK100" s="2"/>
      <c r="AL100" s="20"/>
      <c r="AM100" s="532"/>
      <c r="AN100" s="533"/>
      <c r="AO100" s="422"/>
      <c r="AP100" s="142"/>
      <c r="AQ100" s="142"/>
      <c r="AR100" s="142"/>
      <c r="AS100" s="194"/>
      <c r="AT100" s="194"/>
    </row>
    <row r="101" spans="1:47" ht="0.75" hidden="1" customHeight="1">
      <c r="AK101" s="2"/>
      <c r="AL101" s="20"/>
      <c r="AM101" s="532"/>
      <c r="AN101" s="533"/>
      <c r="AO101" s="422"/>
      <c r="AP101" s="142"/>
      <c r="AQ101" s="142"/>
      <c r="AR101" s="142"/>
      <c r="AS101" s="194"/>
      <c r="AT101" s="194"/>
    </row>
    <row r="102" spans="1:47" ht="0.75" hidden="1" customHeight="1">
      <c r="AK102" s="2"/>
      <c r="AL102" s="20"/>
      <c r="AM102" s="532"/>
      <c r="AN102" s="533"/>
      <c r="AO102" s="422"/>
      <c r="AP102" s="142"/>
      <c r="AQ102" s="142"/>
      <c r="AR102" s="142"/>
      <c r="AS102" s="194"/>
      <c r="AT102" s="194"/>
    </row>
    <row r="103" spans="1:47" ht="0.75" hidden="1" customHeight="1">
      <c r="AK103" s="2"/>
      <c r="AL103" s="20"/>
      <c r="AM103" s="532"/>
      <c r="AN103" s="533"/>
      <c r="AO103" s="422"/>
      <c r="AP103" s="142"/>
      <c r="AQ103" s="142"/>
      <c r="AR103" s="142"/>
      <c r="AS103" s="194"/>
      <c r="AT103" s="194"/>
    </row>
    <row r="104" spans="1:47" ht="0.75" hidden="1" customHeight="1">
      <c r="AK104" s="2"/>
      <c r="AL104" s="20"/>
      <c r="AM104" s="532"/>
      <c r="AN104" s="533"/>
      <c r="AO104" s="422"/>
      <c r="AP104" s="142"/>
      <c r="AQ104" s="142"/>
      <c r="AR104" s="142"/>
      <c r="AS104" s="194"/>
      <c r="AT104" s="194"/>
    </row>
    <row r="105" spans="1:47" ht="0.75" hidden="1" customHeight="1">
      <c r="AK105" s="2"/>
      <c r="AL105" s="20"/>
      <c r="AM105" s="532"/>
      <c r="AN105" s="533"/>
      <c r="AO105" s="422"/>
      <c r="AP105" s="142"/>
      <c r="AQ105" s="142"/>
      <c r="AR105" s="142"/>
      <c r="AS105" s="194"/>
      <c r="AT105" s="194"/>
    </row>
    <row r="106" spans="1:47" ht="51">
      <c r="A106" s="2"/>
      <c r="B106" s="2"/>
      <c r="C106" s="2"/>
      <c r="D106" s="2"/>
      <c r="E106" s="2"/>
      <c r="F106" s="2"/>
      <c r="G106" s="2"/>
      <c r="H106" s="2"/>
      <c r="I106" s="2"/>
      <c r="J10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0"/>
      <c r="AM106" s="509" t="s">
        <v>705</v>
      </c>
      <c r="AN106" s="525" t="s">
        <v>916</v>
      </c>
      <c r="AO106" s="420" t="s">
        <v>195</v>
      </c>
      <c r="AP106" s="247">
        <f t="shared" ref="AP106:AR109" si="7">SUMIF($AS$9:$AT$9,AP$9,$AS106:$AT106)</f>
        <v>0</v>
      </c>
      <c r="AQ106" s="247">
        <f t="shared" si="7"/>
        <v>0</v>
      </c>
      <c r="AR106" s="247">
        <f t="shared" si="7"/>
        <v>0</v>
      </c>
      <c r="AS106" s="194"/>
      <c r="AT106" s="194"/>
      <c r="AU106" s="326"/>
    </row>
    <row r="107" spans="1:47" ht="30.6">
      <c r="A107" s="2"/>
      <c r="B107" s="2"/>
      <c r="C107" s="2"/>
      <c r="D107" s="2"/>
      <c r="E107" s="2"/>
      <c r="F107" s="2"/>
      <c r="G107" s="2"/>
      <c r="H107" s="2"/>
      <c r="I107" s="2"/>
      <c r="J10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0"/>
      <c r="AM107" s="509" t="s">
        <v>917</v>
      </c>
      <c r="AN107" s="525" t="s">
        <v>918</v>
      </c>
      <c r="AO107" s="420" t="s">
        <v>195</v>
      </c>
      <c r="AP107" s="247">
        <f t="shared" si="7"/>
        <v>0</v>
      </c>
      <c r="AQ107" s="247">
        <f t="shared" si="7"/>
        <v>0</v>
      </c>
      <c r="AR107" s="247">
        <f t="shared" si="7"/>
        <v>0</v>
      </c>
      <c r="AS107" s="194"/>
      <c r="AT107" s="194"/>
      <c r="AU107" s="326"/>
    </row>
    <row r="108" spans="1:47" ht="20.399999999999999">
      <c r="A108" s="2"/>
      <c r="B108" s="2"/>
      <c r="C108" s="2"/>
      <c r="D108" s="2"/>
      <c r="E108" s="2"/>
      <c r="F108" s="2"/>
      <c r="G108" s="2"/>
      <c r="H108" s="2"/>
      <c r="I108" s="2"/>
      <c r="J108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0"/>
      <c r="AM108" s="509" t="s">
        <v>521</v>
      </c>
      <c r="AN108" s="526" t="s">
        <v>919</v>
      </c>
      <c r="AO108" s="420" t="s">
        <v>195</v>
      </c>
      <c r="AP108" s="247">
        <f t="shared" si="7"/>
        <v>0</v>
      </c>
      <c r="AQ108" s="247">
        <f t="shared" si="7"/>
        <v>0</v>
      </c>
      <c r="AR108" s="247">
        <f t="shared" si="7"/>
        <v>0</v>
      </c>
      <c r="AS108" s="194"/>
      <c r="AT108" s="194"/>
      <c r="AU108" s="326"/>
    </row>
    <row r="109" spans="1:47" ht="20.399999999999999">
      <c r="A109" s="2"/>
      <c r="B109" s="2"/>
      <c r="C109" s="2"/>
      <c r="D109" s="2"/>
      <c r="E109" s="2"/>
      <c r="F109" s="2"/>
      <c r="G109" s="2"/>
      <c r="H109" s="2"/>
      <c r="I109" s="2"/>
      <c r="J10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0"/>
      <c r="AM109" s="510" t="s">
        <v>920</v>
      </c>
      <c r="AN109" s="534" t="s">
        <v>921</v>
      </c>
      <c r="AO109" s="420" t="s">
        <v>289</v>
      </c>
      <c r="AP109" s="247">
        <f t="shared" si="7"/>
        <v>0</v>
      </c>
      <c r="AQ109" s="247">
        <f t="shared" si="7"/>
        <v>0</v>
      </c>
      <c r="AR109" s="247">
        <f t="shared" si="7"/>
        <v>0</v>
      </c>
      <c r="AS109" s="142"/>
      <c r="AT109" s="194"/>
    </row>
    <row r="110" spans="1:47" ht="20.399999999999999">
      <c r="A110" s="2"/>
      <c r="B110" s="2"/>
      <c r="C110" s="2"/>
      <c r="D110" s="2"/>
      <c r="E110" s="2"/>
      <c r="F110" s="2"/>
      <c r="G110" s="2"/>
      <c r="H110" s="2"/>
      <c r="I110" s="2"/>
      <c r="J110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0"/>
      <c r="AM110" s="510" t="s">
        <v>922</v>
      </c>
      <c r="AN110" s="535" t="s">
        <v>1031</v>
      </c>
      <c r="AO110" s="420" t="s">
        <v>29</v>
      </c>
      <c r="AP110" s="244">
        <f>IF(AP109=0,0,AP108/AP109*1000/AP$6)</f>
        <v>0</v>
      </c>
      <c r="AQ110" s="244">
        <f>IF(AQ109=0,0,AQ108/AQ109*1000/AQ$6)</f>
        <v>0</v>
      </c>
      <c r="AR110" s="244">
        <f>IF(AR109=0,0,AR108/AR109*1000/AR$6)</f>
        <v>0</v>
      </c>
      <c r="AS110" s="142"/>
      <c r="AT110" s="194"/>
    </row>
    <row r="111" spans="1:47" ht="30.6">
      <c r="A111" s="2"/>
      <c r="B111" s="2"/>
      <c r="C111" s="2"/>
      <c r="D111" s="2"/>
      <c r="E111" s="2"/>
      <c r="F111" s="2"/>
      <c r="G111" s="2"/>
      <c r="H111" s="2"/>
      <c r="I111" s="2"/>
      <c r="J1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0"/>
      <c r="AM111" s="510" t="s">
        <v>923</v>
      </c>
      <c r="AN111" s="536" t="s">
        <v>1033</v>
      </c>
      <c r="AO111" s="420" t="s">
        <v>289</v>
      </c>
      <c r="AP111" s="247">
        <f t="shared" ref="AP111:AR112" si="8">SUMIF($AS$9:$AT$9,AP$9,$AS111:$AT111)</f>
        <v>0</v>
      </c>
      <c r="AQ111" s="247">
        <f t="shared" si="8"/>
        <v>0</v>
      </c>
      <c r="AR111" s="247">
        <f t="shared" si="8"/>
        <v>0</v>
      </c>
      <c r="AS111" s="142"/>
      <c r="AT111" s="194"/>
    </row>
    <row r="112" spans="1:47" ht="30.6">
      <c r="A112" s="2"/>
      <c r="B112" s="2"/>
      <c r="C112" s="2"/>
      <c r="D112" s="2"/>
      <c r="E112" s="2"/>
      <c r="F112" s="2"/>
      <c r="G112" s="2"/>
      <c r="H112" s="2"/>
      <c r="I112" s="2"/>
      <c r="J11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0"/>
      <c r="AM112" s="510" t="s">
        <v>924</v>
      </c>
      <c r="AN112" s="537" t="s">
        <v>1032</v>
      </c>
      <c r="AO112" s="420" t="s">
        <v>289</v>
      </c>
      <c r="AP112" s="247">
        <f t="shared" si="8"/>
        <v>0</v>
      </c>
      <c r="AQ112" s="247">
        <f t="shared" si="8"/>
        <v>0</v>
      </c>
      <c r="AR112" s="247">
        <f t="shared" si="8"/>
        <v>0</v>
      </c>
      <c r="AS112" s="142"/>
      <c r="AT112" s="194"/>
    </row>
    <row r="113" spans="1:47">
      <c r="A113" s="2"/>
      <c r="B113" s="2"/>
      <c r="C113" s="2"/>
      <c r="D113" s="2"/>
      <c r="E113" s="2"/>
      <c r="F113" s="2"/>
      <c r="G113" s="2"/>
      <c r="H113" s="2"/>
      <c r="I113" s="2"/>
      <c r="J1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0"/>
      <c r="AM113" s="510" t="s">
        <v>925</v>
      </c>
      <c r="AN113" s="527" t="s">
        <v>33</v>
      </c>
      <c r="AO113" s="420" t="s">
        <v>29</v>
      </c>
      <c r="AP113" s="142"/>
      <c r="AQ113" s="142"/>
      <c r="AR113" s="142"/>
      <c r="AS113" s="142"/>
      <c r="AT113" s="194"/>
    </row>
    <row r="114" spans="1:47">
      <c r="A114" s="2"/>
      <c r="B114" s="2"/>
      <c r="C114" s="2"/>
      <c r="D114" s="2"/>
      <c r="E114" s="2"/>
      <c r="F114" s="2"/>
      <c r="G114" s="2"/>
      <c r="H114" s="2"/>
      <c r="I114" s="2"/>
      <c r="J11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0"/>
      <c r="AM114" s="510" t="s">
        <v>926</v>
      </c>
      <c r="AN114" s="538" t="s">
        <v>927</v>
      </c>
      <c r="AO114" s="420"/>
      <c r="AP114" s="142"/>
      <c r="AQ114" s="142"/>
      <c r="AR114" s="142"/>
      <c r="AS114" s="142"/>
      <c r="AT114" s="194"/>
    </row>
    <row r="115" spans="1:47" ht="20.399999999999999">
      <c r="A115" s="2"/>
      <c r="B115" s="2"/>
      <c r="C115" s="2"/>
      <c r="D115" s="2"/>
      <c r="E115" s="2"/>
      <c r="F115" s="2"/>
      <c r="G115" s="2"/>
      <c r="H115" s="2"/>
      <c r="I115" s="2"/>
      <c r="J11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0"/>
      <c r="AM115" s="510" t="s">
        <v>928</v>
      </c>
      <c r="AN115" s="527" t="s">
        <v>929</v>
      </c>
      <c r="AO115" s="420" t="s">
        <v>29</v>
      </c>
      <c r="AP115" s="142"/>
      <c r="AQ115" s="142"/>
      <c r="AR115" s="142"/>
      <c r="AS115" s="142"/>
      <c r="AT115" s="194"/>
    </row>
    <row r="116" spans="1:47">
      <c r="A116" s="2"/>
      <c r="B116" s="2"/>
      <c r="C116" s="2"/>
      <c r="D116" s="2"/>
      <c r="E116" s="2"/>
      <c r="F116" s="2"/>
      <c r="G116" s="2"/>
      <c r="H116" s="2"/>
      <c r="I116" s="2"/>
      <c r="J11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0"/>
      <c r="AM116" s="510" t="s">
        <v>930</v>
      </c>
      <c r="AN116" s="539" t="s">
        <v>931</v>
      </c>
      <c r="AO116" s="420"/>
      <c r="AP116" s="142"/>
      <c r="AQ116" s="142"/>
      <c r="AR116" s="142"/>
      <c r="AS116" s="142"/>
      <c r="AT116" s="194"/>
    </row>
    <row r="117" spans="1:47">
      <c r="A117" s="2"/>
      <c r="B117" s="2"/>
      <c r="C117" s="2"/>
      <c r="D117" s="2"/>
      <c r="E117" s="2"/>
      <c r="F117" s="2"/>
      <c r="G117" s="2"/>
      <c r="H117" s="2"/>
      <c r="I117" s="2"/>
      <c r="J11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0"/>
      <c r="AM117" s="510" t="s">
        <v>932</v>
      </c>
      <c r="AN117" s="540" t="s">
        <v>933</v>
      </c>
      <c r="AO117" s="420" t="s">
        <v>29</v>
      </c>
      <c r="AP117" s="142"/>
      <c r="AQ117" s="142"/>
      <c r="AR117" s="142"/>
      <c r="AS117" s="142"/>
      <c r="AT117" s="194"/>
    </row>
    <row r="118" spans="1:47" ht="20.399999999999999">
      <c r="A118" s="2"/>
      <c r="B118" s="2"/>
      <c r="C118" s="2"/>
      <c r="D118" s="2"/>
      <c r="E118" s="2"/>
      <c r="F118" s="2"/>
      <c r="G118" s="2"/>
      <c r="H118" s="2"/>
      <c r="I118" s="2"/>
      <c r="J118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0"/>
      <c r="AM118" s="510" t="s">
        <v>934</v>
      </c>
      <c r="AN118" s="541" t="s">
        <v>935</v>
      </c>
      <c r="AO118" s="420" t="s">
        <v>29</v>
      </c>
      <c r="AP118" s="142"/>
      <c r="AQ118" s="142"/>
      <c r="AR118" s="142"/>
      <c r="AS118" s="142"/>
      <c r="AT118" s="194"/>
    </row>
    <row r="119" spans="1:47" ht="20.399999999999999">
      <c r="A119" s="2"/>
      <c r="B119" s="2"/>
      <c r="C119" s="2"/>
      <c r="D119" s="2"/>
      <c r="E119" s="2"/>
      <c r="F119" s="2"/>
      <c r="G119" s="2"/>
      <c r="H119" s="2"/>
      <c r="I119" s="2"/>
      <c r="J11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0"/>
      <c r="AM119" s="509" t="s">
        <v>522</v>
      </c>
      <c r="AN119" s="542" t="s">
        <v>936</v>
      </c>
      <c r="AO119" s="420" t="s">
        <v>195</v>
      </c>
      <c r="AP119" s="247">
        <f t="shared" ref="AP119:AR125" si="9">SUMIF($AS$9:$AT$9,AP$9,$AS119:$AT119)</f>
        <v>0</v>
      </c>
      <c r="AQ119" s="247">
        <f t="shared" si="9"/>
        <v>0</v>
      </c>
      <c r="AR119" s="247">
        <f t="shared" si="9"/>
        <v>0</v>
      </c>
      <c r="AS119" s="194"/>
      <c r="AT119" s="194"/>
      <c r="AU119" s="326"/>
    </row>
    <row r="120" spans="1:47" ht="30.6">
      <c r="A120" s="2"/>
      <c r="B120" s="2"/>
      <c r="C120" s="2"/>
      <c r="D120" s="2"/>
      <c r="E120" s="2"/>
      <c r="F120" s="2"/>
      <c r="G120" s="2"/>
      <c r="H120" s="2"/>
      <c r="I120" s="2"/>
      <c r="J120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0"/>
      <c r="AM120" s="509" t="s">
        <v>937</v>
      </c>
      <c r="AN120" s="543" t="s">
        <v>1901</v>
      </c>
      <c r="AO120" s="420" t="s">
        <v>195</v>
      </c>
      <c r="AP120" s="247">
        <f t="shared" si="9"/>
        <v>0</v>
      </c>
      <c r="AQ120" s="247">
        <f t="shared" si="9"/>
        <v>0</v>
      </c>
      <c r="AR120" s="247">
        <f t="shared" si="9"/>
        <v>0</v>
      </c>
      <c r="AS120" s="194"/>
      <c r="AT120" s="194"/>
      <c r="AU120" s="326"/>
    </row>
    <row r="121" spans="1:47">
      <c r="A121" s="2"/>
      <c r="B121" s="2"/>
      <c r="C121" s="2"/>
      <c r="D121" s="2"/>
      <c r="E121" s="2"/>
      <c r="F121" s="2"/>
      <c r="G121" s="2"/>
      <c r="H121" s="2"/>
      <c r="I121" s="2"/>
      <c r="J12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0"/>
      <c r="AM121" s="509" t="s">
        <v>938</v>
      </c>
      <c r="AN121" s="523" t="s">
        <v>939</v>
      </c>
      <c r="AO121" s="420" t="s">
        <v>195</v>
      </c>
      <c r="AP121" s="247">
        <f t="shared" si="9"/>
        <v>0</v>
      </c>
      <c r="AQ121" s="247">
        <f t="shared" si="9"/>
        <v>0</v>
      </c>
      <c r="AR121" s="247">
        <f t="shared" si="9"/>
        <v>0</v>
      </c>
      <c r="AS121" s="194"/>
      <c r="AT121" s="194"/>
      <c r="AU121" s="326"/>
    </row>
    <row r="122" spans="1:47">
      <c r="A122" s="2"/>
      <c r="B122" s="2"/>
      <c r="C122" s="2"/>
      <c r="D122" s="2"/>
      <c r="E122" s="2"/>
      <c r="F122" s="2"/>
      <c r="G122" s="2"/>
      <c r="H122" s="2"/>
      <c r="I122" s="2"/>
      <c r="J1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0"/>
      <c r="AM122" s="509" t="s">
        <v>940</v>
      </c>
      <c r="AN122" s="523" t="s">
        <v>941</v>
      </c>
      <c r="AO122" s="420" t="s">
        <v>195</v>
      </c>
      <c r="AP122" s="247">
        <f t="shared" si="9"/>
        <v>0</v>
      </c>
      <c r="AQ122" s="247">
        <f t="shared" si="9"/>
        <v>0</v>
      </c>
      <c r="AR122" s="247">
        <f t="shared" si="9"/>
        <v>0</v>
      </c>
      <c r="AS122" s="194"/>
      <c r="AT122" s="194"/>
      <c r="AU122" s="326"/>
    </row>
    <row r="123" spans="1:47">
      <c r="A123" s="2"/>
      <c r="B123" s="2"/>
      <c r="C123" s="2"/>
      <c r="D123" s="2"/>
      <c r="E123" s="2"/>
      <c r="F123" s="2"/>
      <c r="G123" s="2"/>
      <c r="H123" s="2"/>
      <c r="I123" s="2"/>
      <c r="J12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0"/>
      <c r="AM123" s="509" t="s">
        <v>942</v>
      </c>
      <c r="AN123" s="544" t="s">
        <v>943</v>
      </c>
      <c r="AO123" s="420" t="s">
        <v>195</v>
      </c>
      <c r="AP123" s="247">
        <f t="shared" si="9"/>
        <v>0</v>
      </c>
      <c r="AQ123" s="247">
        <f t="shared" si="9"/>
        <v>0</v>
      </c>
      <c r="AR123" s="247">
        <f t="shared" si="9"/>
        <v>0</v>
      </c>
      <c r="AS123" s="194"/>
      <c r="AT123" s="194"/>
      <c r="AU123" s="326"/>
    </row>
    <row r="124" spans="1:47">
      <c r="A124" s="2"/>
      <c r="B124" s="2"/>
      <c r="C124" s="2"/>
      <c r="D124" s="2"/>
      <c r="E124" s="2"/>
      <c r="F124" s="2"/>
      <c r="G124" s="2"/>
      <c r="H124" s="2"/>
      <c r="I124" s="2"/>
      <c r="J12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0"/>
      <c r="AM124" s="510" t="str">
        <f>IF(TEMPLATE_SPHERE_CODE="COLDVSNA","1.7.2",IF(TEMPLATE_SPHERE_CODE="VOTV","1.7.2",""))</f>
        <v/>
      </c>
      <c r="AN124" s="545" t="str">
        <f>IF(TEMPLATE_SPHERE_CODE="COLDVSNA","Контроль качества воды",IF(TEMPLATE_SPHERE_CODE="VOTV","Контроль сточных вод",""))</f>
        <v/>
      </c>
      <c r="AO124" s="420" t="s">
        <v>195</v>
      </c>
      <c r="AP124" s="247">
        <f t="shared" si="9"/>
        <v>0</v>
      </c>
      <c r="AQ124" s="247">
        <f t="shared" si="9"/>
        <v>0</v>
      </c>
      <c r="AR124" s="247">
        <f t="shared" si="9"/>
        <v>0</v>
      </c>
      <c r="AS124" s="194"/>
      <c r="AT124" s="194"/>
      <c r="AU124" s="326"/>
    </row>
    <row r="125" spans="1:47">
      <c r="A125" s="2"/>
      <c r="B125" s="2"/>
      <c r="C125" s="2"/>
      <c r="D125" s="2"/>
      <c r="E125" s="2"/>
      <c r="F125" s="2"/>
      <c r="G125" s="2"/>
      <c r="H125" s="2"/>
      <c r="I125" s="2"/>
      <c r="J1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0"/>
      <c r="AM125" s="509" t="s">
        <v>944</v>
      </c>
      <c r="AN125" s="544" t="s">
        <v>945</v>
      </c>
      <c r="AO125" s="420" t="s">
        <v>195</v>
      </c>
      <c r="AP125" s="247">
        <f t="shared" si="9"/>
        <v>0</v>
      </c>
      <c r="AQ125" s="247">
        <f t="shared" si="9"/>
        <v>0</v>
      </c>
      <c r="AR125" s="247">
        <f t="shared" si="9"/>
        <v>0</v>
      </c>
      <c r="AS125" s="194"/>
      <c r="AT125" s="194"/>
      <c r="AU125" s="326"/>
    </row>
    <row r="126" spans="1:47" ht="11.25" customHeight="1">
      <c r="A126" s="2"/>
      <c r="B126" s="2"/>
      <c r="C126" s="2"/>
      <c r="D126" s="2"/>
      <c r="E126" s="2"/>
      <c r="F126" s="2"/>
      <c r="G126" s="2"/>
      <c r="H126" s="2"/>
      <c r="I126" s="2"/>
      <c r="J12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0"/>
      <c r="AM126" s="510" t="str">
        <f>IF(TEMPLATE_SPHERE_CODE="COLDVSNA","",IF(TEMPLATE_SPHERE_CODE="VOTV","1.7.4",""))</f>
        <v/>
      </c>
      <c r="AN126" s="545" t="str">
        <f>IF(TEMPLATE_SPHERE_CODE="COLDVSNA","",IF(TEMPLATE_SPHERE_CODE="VOTV","Услуги по обращению с осадком сточных вод",""))</f>
        <v/>
      </c>
      <c r="AO126" s="162" t="str">
        <f>IF(TEMPLATE_SPHERE_CODE="COLDVSNA","",IF(TEMPLATE_SPHERE_CODE="VOTV","тыс.руб.",""))</f>
        <v/>
      </c>
      <c r="AP126" s="247">
        <f>IF(TEMPLATE_SPHERE_CODE="COLDVSNA","",SUMIF($AS$9:$AT$9,AP$9,$AS126:$AT126))</f>
        <v>0</v>
      </c>
      <c r="AQ126" s="247">
        <f>IF(TEMPLATE_SPHERE_CODE="COLDVSNA","",SUMIF($AS$9:$AT$9,AQ$9,$AS126:$AT126))</f>
        <v>0</v>
      </c>
      <c r="AR126" s="247">
        <f>IF(TEMPLATE_SPHERE_CODE="COLDVSNA","",SUMIF($AS$9:$AT$9,AR$9,$AS126:$AT126))</f>
        <v>0</v>
      </c>
      <c r="AS126" s="194"/>
      <c r="AT126" s="194"/>
      <c r="AU126" s="326"/>
    </row>
    <row r="127" spans="1:47">
      <c r="A127" s="2"/>
      <c r="B127" s="2"/>
      <c r="C127" s="2"/>
      <c r="D127" s="2"/>
      <c r="E127" s="2"/>
      <c r="F127" s="2"/>
      <c r="G127" s="2"/>
      <c r="H127" s="2"/>
      <c r="I127" s="2"/>
      <c r="J12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0"/>
      <c r="AM127" s="509" t="s">
        <v>946</v>
      </c>
      <c r="AN127" s="546" t="s">
        <v>947</v>
      </c>
      <c r="AO127" s="420" t="s">
        <v>195</v>
      </c>
      <c r="AP127" s="247">
        <f t="shared" ref="AP127:AR139" si="10">SUMIF($AS$9:$AT$9,AP$9,$AS127:$AT127)</f>
        <v>0</v>
      </c>
      <c r="AQ127" s="247">
        <f t="shared" si="10"/>
        <v>0</v>
      </c>
      <c r="AR127" s="247">
        <f t="shared" si="10"/>
        <v>0</v>
      </c>
      <c r="AS127" s="194"/>
      <c r="AT127" s="194"/>
      <c r="AU127" s="326"/>
    </row>
    <row r="128" spans="1:47">
      <c r="A128" s="2"/>
      <c r="B128" s="2"/>
      <c r="C128" s="2"/>
      <c r="D128" s="2"/>
      <c r="E128" s="2"/>
      <c r="F128" s="2"/>
      <c r="G128" s="2"/>
      <c r="H128" s="2"/>
      <c r="I128" s="2"/>
      <c r="J128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0"/>
      <c r="AM128" s="509" t="s">
        <v>948</v>
      </c>
      <c r="AN128" s="526" t="s">
        <v>949</v>
      </c>
      <c r="AO128" s="420" t="s">
        <v>195</v>
      </c>
      <c r="AP128" s="247">
        <f t="shared" si="10"/>
        <v>0</v>
      </c>
      <c r="AQ128" s="247">
        <f t="shared" si="10"/>
        <v>0</v>
      </c>
      <c r="AR128" s="247">
        <f t="shared" si="10"/>
        <v>0</v>
      </c>
      <c r="AS128" s="194"/>
      <c r="AT128" s="194"/>
      <c r="AU128" s="326"/>
    </row>
    <row r="129" spans="1:47" ht="20.399999999999999">
      <c r="A129" s="2"/>
      <c r="B129" s="2"/>
      <c r="C129" s="2"/>
      <c r="D129" s="2"/>
      <c r="E129" s="2"/>
      <c r="F129" s="2"/>
      <c r="G129" s="2"/>
      <c r="H129" s="2"/>
      <c r="I129" s="2"/>
      <c r="J12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0"/>
      <c r="AM129" s="509" t="s">
        <v>950</v>
      </c>
      <c r="AN129" s="542" t="s">
        <v>951</v>
      </c>
      <c r="AO129" s="420" t="s">
        <v>195</v>
      </c>
      <c r="AP129" s="247">
        <f t="shared" si="10"/>
        <v>0</v>
      </c>
      <c r="AQ129" s="247">
        <f t="shared" si="10"/>
        <v>0</v>
      </c>
      <c r="AR129" s="247">
        <f t="shared" si="10"/>
        <v>0</v>
      </c>
      <c r="AS129" s="194"/>
      <c r="AT129" s="194"/>
      <c r="AU129" s="326"/>
    </row>
    <row r="130" spans="1:47">
      <c r="A130" s="2"/>
      <c r="B130" s="2"/>
      <c r="C130" s="2"/>
      <c r="D130" s="2"/>
      <c r="E130" s="2"/>
      <c r="F130" s="2"/>
      <c r="G130" s="2"/>
      <c r="H130" s="2"/>
      <c r="I130" s="2"/>
      <c r="J130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0"/>
      <c r="AM130" s="509" t="s">
        <v>952</v>
      </c>
      <c r="AN130" s="544" t="s">
        <v>953</v>
      </c>
      <c r="AO130" s="420" t="s">
        <v>195</v>
      </c>
      <c r="AP130" s="247">
        <f t="shared" si="10"/>
        <v>0</v>
      </c>
      <c r="AQ130" s="247">
        <f t="shared" si="10"/>
        <v>0</v>
      </c>
      <c r="AR130" s="247">
        <f t="shared" si="10"/>
        <v>0</v>
      </c>
      <c r="AS130" s="194"/>
      <c r="AT130" s="194"/>
      <c r="AU130" s="326"/>
    </row>
    <row r="131" spans="1:47">
      <c r="A131" s="2"/>
      <c r="B131" s="2"/>
      <c r="C131" s="2"/>
      <c r="D131" s="2"/>
      <c r="E131" s="2"/>
      <c r="F131" s="2"/>
      <c r="G131" s="2"/>
      <c r="H131" s="2"/>
      <c r="I131" s="2"/>
      <c r="J13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0"/>
      <c r="AM131" s="509" t="s">
        <v>954</v>
      </c>
      <c r="AN131" s="544" t="s">
        <v>169</v>
      </c>
      <c r="AO131" s="420" t="s">
        <v>195</v>
      </c>
      <c r="AP131" s="247">
        <f t="shared" si="10"/>
        <v>0</v>
      </c>
      <c r="AQ131" s="247">
        <f t="shared" si="10"/>
        <v>0</v>
      </c>
      <c r="AR131" s="247">
        <f t="shared" si="10"/>
        <v>0</v>
      </c>
      <c r="AS131" s="194"/>
      <c r="AT131" s="194"/>
      <c r="AU131" s="326"/>
    </row>
    <row r="132" spans="1:47">
      <c r="A132" s="2"/>
      <c r="B132" s="2"/>
      <c r="C132" s="2"/>
      <c r="D132" s="2"/>
      <c r="E132" s="2"/>
      <c r="F132" s="2"/>
      <c r="G132" s="2"/>
      <c r="H132" s="2"/>
      <c r="I132" s="2"/>
      <c r="J13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0"/>
      <c r="AM132" s="490" t="s">
        <v>164</v>
      </c>
      <c r="AN132" s="490" t="s">
        <v>955</v>
      </c>
      <c r="AO132" s="420" t="s">
        <v>195</v>
      </c>
      <c r="AP132" s="247">
        <f t="shared" si="10"/>
        <v>0</v>
      </c>
      <c r="AQ132" s="247">
        <f t="shared" si="10"/>
        <v>0</v>
      </c>
      <c r="AR132" s="247">
        <f t="shared" si="10"/>
        <v>0</v>
      </c>
      <c r="AS132" s="194"/>
      <c r="AT132" s="194"/>
      <c r="AU132" s="326"/>
    </row>
    <row r="133" spans="1:47" ht="30.6">
      <c r="A133" s="2"/>
      <c r="B133" s="2"/>
      <c r="C133" s="2"/>
      <c r="D133" s="2"/>
      <c r="E133" s="2"/>
      <c r="F133" s="2"/>
      <c r="G133" s="2"/>
      <c r="H133" s="2"/>
      <c r="I133" s="2"/>
      <c r="J13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0"/>
      <c r="AM133" s="509" t="s">
        <v>706</v>
      </c>
      <c r="AN133" s="546" t="s">
        <v>956</v>
      </c>
      <c r="AO133" s="420" t="s">
        <v>195</v>
      </c>
      <c r="AP133" s="247">
        <f t="shared" si="10"/>
        <v>0</v>
      </c>
      <c r="AQ133" s="247">
        <f t="shared" si="10"/>
        <v>0</v>
      </c>
      <c r="AR133" s="247">
        <f t="shared" si="10"/>
        <v>0</v>
      </c>
      <c r="AS133" s="194"/>
      <c r="AT133" s="194"/>
      <c r="AU133" s="326"/>
    </row>
    <row r="134" spans="1:47" ht="30.6">
      <c r="A134" s="2"/>
      <c r="B134" s="2"/>
      <c r="C134" s="2"/>
      <c r="D134" s="2"/>
      <c r="E134" s="2"/>
      <c r="F134" s="2"/>
      <c r="G134" s="2"/>
      <c r="H134" s="2"/>
      <c r="I134" s="2"/>
      <c r="J13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0"/>
      <c r="AM134" s="509" t="s">
        <v>102</v>
      </c>
      <c r="AN134" s="547" t="s">
        <v>1904</v>
      </c>
      <c r="AO134" s="420" t="s">
        <v>195</v>
      </c>
      <c r="AP134" s="247">
        <f t="shared" si="10"/>
        <v>0</v>
      </c>
      <c r="AQ134" s="247">
        <f t="shared" si="10"/>
        <v>0</v>
      </c>
      <c r="AR134" s="247">
        <f t="shared" si="10"/>
        <v>0</v>
      </c>
      <c r="AS134" s="194"/>
      <c r="AT134" s="194"/>
      <c r="AU134" s="326"/>
    </row>
    <row r="135" spans="1:47" ht="30.6">
      <c r="A135" s="2"/>
      <c r="B135" s="2"/>
      <c r="C135" s="2"/>
      <c r="D135" s="2"/>
      <c r="E135" s="2"/>
      <c r="F135" s="2"/>
      <c r="G135" s="2"/>
      <c r="H135" s="2"/>
      <c r="I135" s="2"/>
      <c r="J13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0"/>
      <c r="AM135" s="509" t="s">
        <v>708</v>
      </c>
      <c r="AN135" s="546" t="s">
        <v>957</v>
      </c>
      <c r="AO135" s="420" t="s">
        <v>195</v>
      </c>
      <c r="AP135" s="247">
        <f t="shared" si="10"/>
        <v>0</v>
      </c>
      <c r="AQ135" s="247">
        <f t="shared" si="10"/>
        <v>0</v>
      </c>
      <c r="AR135" s="247">
        <f t="shared" si="10"/>
        <v>0</v>
      </c>
      <c r="AS135" s="194"/>
      <c r="AT135" s="194"/>
      <c r="AU135" s="326"/>
    </row>
    <row r="136" spans="1:47" ht="30.6">
      <c r="A136" s="2"/>
      <c r="B136" s="2"/>
      <c r="C136" s="2"/>
      <c r="D136" s="2"/>
      <c r="E136" s="2"/>
      <c r="F136" s="2"/>
      <c r="G136" s="2"/>
      <c r="H136" s="2"/>
      <c r="I136" s="2"/>
      <c r="J136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0"/>
      <c r="AM136" s="509" t="s">
        <v>103</v>
      </c>
      <c r="AN136" s="547" t="s">
        <v>1905</v>
      </c>
      <c r="AO136" s="420" t="s">
        <v>195</v>
      </c>
      <c r="AP136" s="247">
        <f t="shared" si="10"/>
        <v>0</v>
      </c>
      <c r="AQ136" s="247">
        <f t="shared" si="10"/>
        <v>0</v>
      </c>
      <c r="AR136" s="247">
        <f t="shared" si="10"/>
        <v>0</v>
      </c>
      <c r="AS136" s="194"/>
      <c r="AT136" s="194"/>
      <c r="AU136" s="326"/>
    </row>
    <row r="137" spans="1:47" ht="21" customHeight="1">
      <c r="A137" s="2"/>
      <c r="B137" s="2"/>
      <c r="C137" s="2"/>
      <c r="D137" s="2"/>
      <c r="E137" s="2"/>
      <c r="F137" s="2"/>
      <c r="G137" s="2"/>
      <c r="H137" s="2"/>
      <c r="I137" s="2"/>
      <c r="J13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0"/>
      <c r="AM137" s="509" t="s">
        <v>710</v>
      </c>
      <c r="AN137" s="546" t="s">
        <v>958</v>
      </c>
      <c r="AO137" s="420" t="s">
        <v>195</v>
      </c>
      <c r="AP137" s="247">
        <f t="shared" si="10"/>
        <v>0</v>
      </c>
      <c r="AQ137" s="247">
        <f t="shared" si="10"/>
        <v>0</v>
      </c>
      <c r="AR137" s="247">
        <f t="shared" si="10"/>
        <v>0</v>
      </c>
      <c r="AS137" s="194"/>
      <c r="AT137" s="194"/>
      <c r="AU137" s="326"/>
    </row>
    <row r="138" spans="1:47">
      <c r="A138" s="2"/>
      <c r="B138" s="2"/>
      <c r="C138" s="2"/>
      <c r="D138" s="2"/>
      <c r="E138" s="2"/>
      <c r="F138" s="2"/>
      <c r="G138" s="2"/>
      <c r="H138" s="2"/>
      <c r="I138" s="2"/>
      <c r="J13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0"/>
      <c r="AM138" s="509" t="s">
        <v>554</v>
      </c>
      <c r="AN138" s="544" t="s">
        <v>959</v>
      </c>
      <c r="AO138" s="420" t="s">
        <v>195</v>
      </c>
      <c r="AP138" s="247">
        <f t="shared" si="10"/>
        <v>0</v>
      </c>
      <c r="AQ138" s="247">
        <f t="shared" si="10"/>
        <v>0</v>
      </c>
      <c r="AR138" s="247">
        <f t="shared" si="10"/>
        <v>0</v>
      </c>
      <c r="AS138" s="194"/>
      <c r="AT138" s="194"/>
      <c r="AU138" s="326"/>
    </row>
    <row r="139" spans="1:47" ht="20.399999999999999">
      <c r="A139" s="2"/>
      <c r="B139" s="2"/>
      <c r="C139" s="2"/>
      <c r="D139" s="2"/>
      <c r="E139" s="2"/>
      <c r="F139" s="2"/>
      <c r="G139" s="2"/>
      <c r="H139" s="2"/>
      <c r="I139" s="2"/>
      <c r="J13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0"/>
      <c r="AM139" s="510" t="s">
        <v>960</v>
      </c>
      <c r="AN139" s="534" t="s">
        <v>921</v>
      </c>
      <c r="AO139" s="420" t="s">
        <v>289</v>
      </c>
      <c r="AP139" s="247">
        <f t="shared" si="10"/>
        <v>0</v>
      </c>
      <c r="AQ139" s="247">
        <f t="shared" si="10"/>
        <v>0</v>
      </c>
      <c r="AR139" s="247">
        <f t="shared" si="10"/>
        <v>0</v>
      </c>
      <c r="AS139" s="142"/>
      <c r="AT139" s="194"/>
    </row>
    <row r="140" spans="1:47" ht="11.25" customHeight="1">
      <c r="A140" s="2"/>
      <c r="B140" s="2"/>
      <c r="C140" s="2"/>
      <c r="D140" s="2"/>
      <c r="E140" s="2"/>
      <c r="F140" s="2"/>
      <c r="G140" s="2"/>
      <c r="H140" s="2"/>
      <c r="I140" s="2"/>
      <c r="J14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0"/>
      <c r="AM140" s="510" t="s">
        <v>961</v>
      </c>
      <c r="AN140" s="548" t="s">
        <v>1035</v>
      </c>
      <c r="AO140" s="420" t="s">
        <v>29</v>
      </c>
      <c r="AP140" s="244">
        <f>IF(AP139=0,0,AP138/AP139*1000/AP$6)</f>
        <v>0</v>
      </c>
      <c r="AQ140" s="244">
        <f>IF(AQ139=0,0,AQ138/AQ139*1000/AQ$6)</f>
        <v>0</v>
      </c>
      <c r="AR140" s="244">
        <f>IF(AR139=0,0,AR138/AR139*1000/AR$6)</f>
        <v>0</v>
      </c>
      <c r="AS140" s="142"/>
      <c r="AT140" s="194"/>
    </row>
    <row r="141" spans="1:47" ht="20.399999999999999">
      <c r="A141" s="2"/>
      <c r="B141" s="2"/>
      <c r="C141" s="2"/>
      <c r="D141" s="2"/>
      <c r="E141" s="2"/>
      <c r="F141" s="2"/>
      <c r="G141" s="2"/>
      <c r="H141" s="2"/>
      <c r="I141" s="2"/>
      <c r="J14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0"/>
      <c r="AM141" s="510" t="s">
        <v>962</v>
      </c>
      <c r="AN141" s="549" t="s">
        <v>1034</v>
      </c>
      <c r="AO141" s="420" t="s">
        <v>289</v>
      </c>
      <c r="AP141" s="247">
        <f t="shared" ref="AP141:AR142" si="11">SUMIF($AS$9:$AT$9,AP$9,$AS141:$AT141)</f>
        <v>0</v>
      </c>
      <c r="AQ141" s="247">
        <f t="shared" si="11"/>
        <v>0</v>
      </c>
      <c r="AR141" s="247">
        <f t="shared" si="11"/>
        <v>0</v>
      </c>
      <c r="AS141" s="142"/>
      <c r="AT141" s="194"/>
    </row>
    <row r="142" spans="1:47" ht="30.6">
      <c r="A142" s="2"/>
      <c r="B142" s="2"/>
      <c r="C142" s="2"/>
      <c r="D142" s="2"/>
      <c r="E142" s="2"/>
      <c r="F142" s="2"/>
      <c r="G142" s="2"/>
      <c r="H142" s="2"/>
      <c r="I142" s="2"/>
      <c r="J14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0"/>
      <c r="AM142" s="510" t="s">
        <v>963</v>
      </c>
      <c r="AN142" s="537" t="s">
        <v>1036</v>
      </c>
      <c r="AO142" s="420" t="s">
        <v>289</v>
      </c>
      <c r="AP142" s="247">
        <f t="shared" si="11"/>
        <v>0</v>
      </c>
      <c r="AQ142" s="247">
        <f t="shared" si="11"/>
        <v>0</v>
      </c>
      <c r="AR142" s="247">
        <f t="shared" si="11"/>
        <v>0</v>
      </c>
      <c r="AS142" s="142"/>
      <c r="AT142" s="194"/>
    </row>
    <row r="143" spans="1:47">
      <c r="A143" s="2"/>
      <c r="B143" s="2"/>
      <c r="C143" s="2"/>
      <c r="D143" s="2"/>
      <c r="E143" s="2"/>
      <c r="F143" s="2"/>
      <c r="G143" s="2"/>
      <c r="H143" s="2"/>
      <c r="I143" s="2"/>
      <c r="J14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0"/>
      <c r="AM143" s="510" t="s">
        <v>964</v>
      </c>
      <c r="AN143" s="527" t="s">
        <v>33</v>
      </c>
      <c r="AO143" s="420" t="s">
        <v>29</v>
      </c>
      <c r="AP143" s="142"/>
      <c r="AQ143" s="142"/>
      <c r="AR143" s="142"/>
      <c r="AS143" s="142"/>
      <c r="AT143" s="194"/>
    </row>
    <row r="144" spans="1:47">
      <c r="A144" s="2"/>
      <c r="B144" s="2"/>
      <c r="C144" s="2"/>
      <c r="D144" s="2"/>
      <c r="E144" s="2"/>
      <c r="F144" s="2"/>
      <c r="G144" s="2"/>
      <c r="H144" s="2"/>
      <c r="I144" s="2"/>
      <c r="J14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0"/>
      <c r="AM144" s="510" t="s">
        <v>965</v>
      </c>
      <c r="AN144" s="550" t="s">
        <v>927</v>
      </c>
      <c r="AO144" s="420"/>
      <c r="AP144" s="142"/>
      <c r="AQ144" s="142"/>
      <c r="AR144" s="142"/>
      <c r="AS144" s="142"/>
      <c r="AT144" s="194"/>
    </row>
    <row r="145" spans="1:47" ht="20.399999999999999">
      <c r="A145" s="2"/>
      <c r="B145" s="2"/>
      <c r="C145" s="2"/>
      <c r="D145" s="2"/>
      <c r="E145" s="2"/>
      <c r="F145" s="2"/>
      <c r="G145" s="2"/>
      <c r="H145" s="2"/>
      <c r="I145" s="2"/>
      <c r="J14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0"/>
      <c r="AM145" s="510" t="s">
        <v>966</v>
      </c>
      <c r="AN145" s="527" t="s">
        <v>929</v>
      </c>
      <c r="AO145" s="420" t="s">
        <v>29</v>
      </c>
      <c r="AP145" s="142"/>
      <c r="AQ145" s="142"/>
      <c r="AR145" s="142"/>
      <c r="AS145" s="142"/>
      <c r="AT145" s="194"/>
    </row>
    <row r="146" spans="1:47">
      <c r="A146" s="2"/>
      <c r="B146" s="2"/>
      <c r="C146" s="2"/>
      <c r="D146" s="2"/>
      <c r="E146" s="2"/>
      <c r="F146" s="2"/>
      <c r="G146" s="2"/>
      <c r="H146" s="2"/>
      <c r="I146" s="2"/>
      <c r="J146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0"/>
      <c r="AM146" s="510" t="s">
        <v>967</v>
      </c>
      <c r="AN146" s="551" t="s">
        <v>931</v>
      </c>
      <c r="AO146" s="420"/>
      <c r="AP146" s="142"/>
      <c r="AQ146" s="142"/>
      <c r="AR146" s="142"/>
      <c r="AS146" s="142"/>
      <c r="AT146" s="194"/>
    </row>
    <row r="147" spans="1:47">
      <c r="A147" s="2"/>
      <c r="B147" s="2"/>
      <c r="C147" s="2"/>
      <c r="D147" s="2"/>
      <c r="E147" s="2"/>
      <c r="F147" s="2"/>
      <c r="G147" s="2"/>
      <c r="H147" s="2"/>
      <c r="I147" s="2"/>
      <c r="J14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0"/>
      <c r="AM147" s="510" t="s">
        <v>968</v>
      </c>
      <c r="AN147" s="552" t="s">
        <v>933</v>
      </c>
      <c r="AO147" s="420" t="s">
        <v>29</v>
      </c>
      <c r="AP147" s="142"/>
      <c r="AQ147" s="142"/>
      <c r="AR147" s="142"/>
      <c r="AS147" s="142"/>
      <c r="AT147" s="194"/>
    </row>
    <row r="148" spans="1:47" ht="20.399999999999999">
      <c r="A148" s="2"/>
      <c r="B148" s="2"/>
      <c r="C148" s="2"/>
      <c r="D148" s="2"/>
      <c r="E148" s="2"/>
      <c r="F148" s="2"/>
      <c r="G148" s="2"/>
      <c r="H148" s="2"/>
      <c r="I148" s="2"/>
      <c r="J148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0"/>
      <c r="AM148" s="510" t="s">
        <v>969</v>
      </c>
      <c r="AN148" s="553" t="s">
        <v>935</v>
      </c>
      <c r="AO148" s="420" t="s">
        <v>29</v>
      </c>
      <c r="AP148" s="142"/>
      <c r="AQ148" s="142"/>
      <c r="AR148" s="142"/>
      <c r="AS148" s="142"/>
      <c r="AT148" s="194"/>
    </row>
    <row r="149" spans="1:47" ht="20.399999999999999">
      <c r="A149" s="2"/>
      <c r="B149" s="2"/>
      <c r="C149" s="2"/>
      <c r="D149" s="2"/>
      <c r="E149" s="2"/>
      <c r="F149" s="2"/>
      <c r="G149" s="2"/>
      <c r="H149" s="2"/>
      <c r="I149" s="2"/>
      <c r="J1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0"/>
      <c r="AM149" s="509" t="s">
        <v>555</v>
      </c>
      <c r="AN149" s="542" t="s">
        <v>970</v>
      </c>
      <c r="AO149" s="420" t="s">
        <v>195</v>
      </c>
      <c r="AP149" s="247">
        <f t="shared" ref="AP149:AR160" si="12">SUMIF($AS$9:$AT$9,AP$9,$AS149:$AT149)</f>
        <v>0</v>
      </c>
      <c r="AQ149" s="247">
        <f t="shared" si="12"/>
        <v>0</v>
      </c>
      <c r="AR149" s="247">
        <f t="shared" si="12"/>
        <v>0</v>
      </c>
      <c r="AS149" s="194"/>
      <c r="AT149" s="194"/>
      <c r="AU149" s="326"/>
    </row>
    <row r="150" spans="1:47">
      <c r="A150" s="2"/>
      <c r="B150" s="2"/>
      <c r="C150" s="2"/>
      <c r="D150" s="2"/>
      <c r="E150" s="2"/>
      <c r="F150" s="2"/>
      <c r="G150" s="2"/>
      <c r="H150" s="2"/>
      <c r="I150" s="2"/>
      <c r="J150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0"/>
      <c r="AM150" s="490">
        <v>3</v>
      </c>
      <c r="AN150" s="490" t="s">
        <v>971</v>
      </c>
      <c r="AO150" s="420" t="s">
        <v>195</v>
      </c>
      <c r="AP150" s="247">
        <f t="shared" si="12"/>
        <v>0</v>
      </c>
      <c r="AQ150" s="247">
        <f t="shared" si="12"/>
        <v>0</v>
      </c>
      <c r="AR150" s="247">
        <f t="shared" si="12"/>
        <v>0</v>
      </c>
      <c r="AS150" s="194"/>
      <c r="AT150" s="194"/>
      <c r="AU150" s="326"/>
    </row>
    <row r="151" spans="1:47" ht="20.399999999999999">
      <c r="A151" s="2"/>
      <c r="B151" s="2"/>
      <c r="C151" s="2"/>
      <c r="D151" s="2"/>
      <c r="E151" s="2"/>
      <c r="F151" s="2"/>
      <c r="G151" s="2"/>
      <c r="H151" s="2"/>
      <c r="I151" s="2"/>
      <c r="J15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0"/>
      <c r="AM151" s="509" t="s">
        <v>171</v>
      </c>
      <c r="AN151" s="546" t="s">
        <v>972</v>
      </c>
      <c r="AO151" s="420" t="s">
        <v>195</v>
      </c>
      <c r="AP151" s="247">
        <f t="shared" si="12"/>
        <v>0</v>
      </c>
      <c r="AQ151" s="247">
        <f t="shared" si="12"/>
        <v>0</v>
      </c>
      <c r="AR151" s="247">
        <f t="shared" si="12"/>
        <v>0</v>
      </c>
      <c r="AS151" s="194"/>
      <c r="AT151" s="194"/>
      <c r="AU151" s="326"/>
    </row>
    <row r="152" spans="1:47">
      <c r="A152" s="2"/>
      <c r="B152" s="2"/>
      <c r="C152" s="2"/>
      <c r="D152" s="2"/>
      <c r="E152" s="2"/>
      <c r="F152" s="2"/>
      <c r="G152" s="2"/>
      <c r="H152" s="2"/>
      <c r="I152" s="2"/>
      <c r="J15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0"/>
      <c r="AM152" s="509" t="s">
        <v>556</v>
      </c>
      <c r="AN152" s="544" t="s">
        <v>973</v>
      </c>
      <c r="AO152" s="420" t="s">
        <v>195</v>
      </c>
      <c r="AP152" s="247">
        <f t="shared" si="12"/>
        <v>0</v>
      </c>
      <c r="AQ152" s="247">
        <f t="shared" si="12"/>
        <v>0</v>
      </c>
      <c r="AR152" s="247">
        <f t="shared" si="12"/>
        <v>0</v>
      </c>
      <c r="AS152" s="194"/>
      <c r="AT152" s="194"/>
      <c r="AU152" s="326"/>
    </row>
    <row r="153" spans="1:47">
      <c r="A153" s="2"/>
      <c r="B153" s="2"/>
      <c r="C153" s="2"/>
      <c r="D153" s="2"/>
      <c r="E153" s="2"/>
      <c r="F153" s="2"/>
      <c r="G153" s="2"/>
      <c r="H153" s="2"/>
      <c r="I153" s="2"/>
      <c r="J15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0"/>
      <c r="AM153" s="509" t="s">
        <v>566</v>
      </c>
      <c r="AN153" s="544" t="s">
        <v>974</v>
      </c>
      <c r="AO153" s="420" t="s">
        <v>195</v>
      </c>
      <c r="AP153" s="247">
        <f t="shared" si="12"/>
        <v>0</v>
      </c>
      <c r="AQ153" s="247">
        <f t="shared" si="12"/>
        <v>0</v>
      </c>
      <c r="AR153" s="247">
        <f t="shared" si="12"/>
        <v>0</v>
      </c>
      <c r="AS153" s="194"/>
      <c r="AT153" s="194"/>
      <c r="AU153" s="326"/>
    </row>
    <row r="154" spans="1:47">
      <c r="A154" s="2"/>
      <c r="B154" s="2"/>
      <c r="C154" s="2"/>
      <c r="D154" s="2"/>
      <c r="E154" s="2"/>
      <c r="F154" s="2"/>
      <c r="G154" s="2"/>
      <c r="H154" s="2"/>
      <c r="I154" s="2"/>
      <c r="J15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0"/>
      <c r="AM154" s="509" t="s">
        <v>975</v>
      </c>
      <c r="AN154" s="544" t="s">
        <v>976</v>
      </c>
      <c r="AO154" s="420" t="s">
        <v>195</v>
      </c>
      <c r="AP154" s="247">
        <f t="shared" si="12"/>
        <v>0</v>
      </c>
      <c r="AQ154" s="247">
        <f t="shared" si="12"/>
        <v>0</v>
      </c>
      <c r="AR154" s="247">
        <f t="shared" si="12"/>
        <v>0</v>
      </c>
      <c r="AS154" s="194"/>
      <c r="AT154" s="194"/>
      <c r="AU154" s="326"/>
    </row>
    <row r="155" spans="1:47">
      <c r="A155" s="2"/>
      <c r="B155" s="2"/>
      <c r="C155" s="2"/>
      <c r="D155" s="2"/>
      <c r="E155" s="2"/>
      <c r="F155" s="2"/>
      <c r="G155" s="2"/>
      <c r="H155" s="2"/>
      <c r="I155" s="2"/>
      <c r="J15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0"/>
      <c r="AM155" s="509" t="s">
        <v>977</v>
      </c>
      <c r="AN155" s="544" t="s">
        <v>978</v>
      </c>
      <c r="AO155" s="420" t="s">
        <v>195</v>
      </c>
      <c r="AP155" s="247">
        <f t="shared" si="12"/>
        <v>0</v>
      </c>
      <c r="AQ155" s="247">
        <f t="shared" si="12"/>
        <v>0</v>
      </c>
      <c r="AR155" s="247">
        <f t="shared" si="12"/>
        <v>0</v>
      </c>
      <c r="AS155" s="194"/>
      <c r="AT155" s="194"/>
      <c r="AU155" s="326"/>
    </row>
    <row r="156" spans="1:47" ht="20.399999999999999">
      <c r="A156" s="2"/>
      <c r="B156" s="2"/>
      <c r="C156" s="2"/>
      <c r="D156" s="2"/>
      <c r="E156" s="2"/>
      <c r="F156" s="2"/>
      <c r="G156" s="2"/>
      <c r="H156" s="2"/>
      <c r="I156" s="2"/>
      <c r="J156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0"/>
      <c r="AM156" s="509" t="s">
        <v>979</v>
      </c>
      <c r="AN156" s="544" t="s">
        <v>980</v>
      </c>
      <c r="AO156" s="420" t="s">
        <v>195</v>
      </c>
      <c r="AP156" s="247">
        <f t="shared" si="12"/>
        <v>0</v>
      </c>
      <c r="AQ156" s="247">
        <f t="shared" si="12"/>
        <v>0</v>
      </c>
      <c r="AR156" s="247">
        <f t="shared" si="12"/>
        <v>0</v>
      </c>
      <c r="AS156" s="194"/>
      <c r="AT156" s="194"/>
      <c r="AU156" s="326"/>
    </row>
    <row r="157" spans="1:47">
      <c r="A157" s="2"/>
      <c r="B157" s="2"/>
      <c r="C157" s="2"/>
      <c r="D157" s="2"/>
      <c r="E157" s="2"/>
      <c r="F157" s="2"/>
      <c r="G157" s="2"/>
      <c r="H157" s="2"/>
      <c r="I157" s="2"/>
      <c r="J15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0"/>
      <c r="AM157" s="509" t="s">
        <v>981</v>
      </c>
      <c r="AN157" s="544" t="s">
        <v>982</v>
      </c>
      <c r="AO157" s="420" t="s">
        <v>195</v>
      </c>
      <c r="AP157" s="247">
        <f t="shared" si="12"/>
        <v>0</v>
      </c>
      <c r="AQ157" s="247">
        <f t="shared" si="12"/>
        <v>0</v>
      </c>
      <c r="AR157" s="247">
        <f t="shared" si="12"/>
        <v>0</v>
      </c>
      <c r="AS157" s="194"/>
      <c r="AT157" s="194"/>
      <c r="AU157" s="326"/>
    </row>
    <row r="158" spans="1:47" ht="30.6">
      <c r="A158" s="2"/>
      <c r="B158" s="2"/>
      <c r="C158" s="2"/>
      <c r="D158" s="2"/>
      <c r="E158" s="2"/>
      <c r="F158" s="2"/>
      <c r="G158" s="2"/>
      <c r="H158" s="2"/>
      <c r="I158" s="2"/>
      <c r="J158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0"/>
      <c r="AM158" s="509" t="s">
        <v>172</v>
      </c>
      <c r="AN158" s="546" t="s">
        <v>983</v>
      </c>
      <c r="AO158" s="420" t="s">
        <v>195</v>
      </c>
      <c r="AP158" s="247">
        <f t="shared" si="12"/>
        <v>0</v>
      </c>
      <c r="AQ158" s="247">
        <f t="shared" si="12"/>
        <v>0</v>
      </c>
      <c r="AR158" s="247">
        <f t="shared" si="12"/>
        <v>0</v>
      </c>
      <c r="AS158" s="194"/>
      <c r="AT158" s="194"/>
      <c r="AU158" s="326"/>
    </row>
    <row r="159" spans="1:47" ht="20.399999999999999">
      <c r="A159" s="2"/>
      <c r="B159" s="2"/>
      <c r="C159" s="2"/>
      <c r="D159" s="2"/>
      <c r="E159" s="2"/>
      <c r="F159" s="2"/>
      <c r="G159" s="2"/>
      <c r="H159" s="2"/>
      <c r="I159" s="2"/>
      <c r="J15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0"/>
      <c r="AM159" s="509" t="s">
        <v>514</v>
      </c>
      <c r="AN159" s="544" t="s">
        <v>984</v>
      </c>
      <c r="AO159" s="420" t="s">
        <v>195</v>
      </c>
      <c r="AP159" s="247">
        <f t="shared" si="12"/>
        <v>0</v>
      </c>
      <c r="AQ159" s="247">
        <f t="shared" si="12"/>
        <v>0</v>
      </c>
      <c r="AR159" s="247">
        <f t="shared" si="12"/>
        <v>0</v>
      </c>
      <c r="AS159" s="194"/>
      <c r="AT159" s="194"/>
      <c r="AU159" s="326"/>
    </row>
    <row r="160" spans="1:47" ht="20.399999999999999">
      <c r="A160" s="2"/>
      <c r="B160" s="2"/>
      <c r="C160" s="2"/>
      <c r="D160" s="2"/>
      <c r="E160" s="2"/>
      <c r="F160" s="2"/>
      <c r="G160" s="2"/>
      <c r="H160" s="2"/>
      <c r="I160" s="2"/>
      <c r="J160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0"/>
      <c r="AM160" s="510" t="s">
        <v>985</v>
      </c>
      <c r="AN160" s="534" t="s">
        <v>921</v>
      </c>
      <c r="AO160" s="420" t="s">
        <v>289</v>
      </c>
      <c r="AP160" s="247">
        <f t="shared" si="12"/>
        <v>0</v>
      </c>
      <c r="AQ160" s="247">
        <f t="shared" si="12"/>
        <v>0</v>
      </c>
      <c r="AR160" s="247">
        <f t="shared" si="12"/>
        <v>0</v>
      </c>
      <c r="AS160" s="194"/>
      <c r="AT160" s="194"/>
    </row>
    <row r="161" spans="1:47" ht="20.399999999999999">
      <c r="A161" s="2"/>
      <c r="B161" s="2"/>
      <c r="C161" s="2"/>
      <c r="D161" s="2"/>
      <c r="E161" s="2"/>
      <c r="F161" s="2"/>
      <c r="G161" s="2"/>
      <c r="H161" s="2"/>
      <c r="I161" s="2"/>
      <c r="J16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0"/>
      <c r="AM161" s="510" t="s">
        <v>986</v>
      </c>
      <c r="AN161" s="548" t="s">
        <v>1037</v>
      </c>
      <c r="AO161" s="420" t="s">
        <v>29</v>
      </c>
      <c r="AP161" s="244">
        <f>IF(AP160=0,0,AP159/AP160*1000/AP$6)</f>
        <v>0</v>
      </c>
      <c r="AQ161" s="244">
        <f>IF(AQ160=0,0,AQ159/AQ160*1000/AQ$6)</f>
        <v>0</v>
      </c>
      <c r="AR161" s="244">
        <f>IF(AR160=0,0,AR159/AR160*1000/AR$6)</f>
        <v>0</v>
      </c>
      <c r="AS161" s="142"/>
      <c r="AT161" s="194"/>
    </row>
    <row r="162" spans="1:47" ht="30.6">
      <c r="A162" s="2"/>
      <c r="B162" s="2"/>
      <c r="C162" s="2"/>
      <c r="D162" s="2"/>
      <c r="E162" s="2"/>
      <c r="F162" s="2"/>
      <c r="G162" s="2"/>
      <c r="H162" s="2"/>
      <c r="I162" s="2"/>
      <c r="J16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0"/>
      <c r="AM162" s="510" t="s">
        <v>987</v>
      </c>
      <c r="AN162" s="549" t="s">
        <v>1198</v>
      </c>
      <c r="AO162" s="420" t="s">
        <v>289</v>
      </c>
      <c r="AP162" s="247">
        <f t="shared" ref="AP162:AR163" si="13">SUMIF($AS$9:$AT$9,AP$9,$AS162:$AT162)</f>
        <v>0</v>
      </c>
      <c r="AQ162" s="247">
        <f t="shared" si="13"/>
        <v>0</v>
      </c>
      <c r="AR162" s="247">
        <f t="shared" si="13"/>
        <v>0</v>
      </c>
      <c r="AS162" s="194"/>
      <c r="AT162" s="194"/>
    </row>
    <row r="163" spans="1:47" ht="30.6">
      <c r="A163" s="2"/>
      <c r="B163" s="2"/>
      <c r="C163" s="2"/>
      <c r="D163" s="2"/>
      <c r="E163" s="2"/>
      <c r="F163" s="2"/>
      <c r="G163" s="2"/>
      <c r="H163" s="2"/>
      <c r="I163" s="2"/>
      <c r="J16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0"/>
      <c r="AM163" s="510" t="s">
        <v>988</v>
      </c>
      <c r="AN163" s="537" t="s">
        <v>1199</v>
      </c>
      <c r="AO163" s="420" t="s">
        <v>289</v>
      </c>
      <c r="AP163" s="247">
        <f t="shared" si="13"/>
        <v>0</v>
      </c>
      <c r="AQ163" s="247">
        <f t="shared" si="13"/>
        <v>0</v>
      </c>
      <c r="AR163" s="247">
        <f t="shared" si="13"/>
        <v>0</v>
      </c>
      <c r="AS163" s="194"/>
      <c r="AT163" s="194"/>
    </row>
    <row r="164" spans="1:47">
      <c r="A164" s="2"/>
      <c r="B164" s="2"/>
      <c r="C164" s="2"/>
      <c r="D164" s="2"/>
      <c r="E164" s="2"/>
      <c r="F164" s="2"/>
      <c r="G164" s="2"/>
      <c r="H164" s="2"/>
      <c r="I164" s="2"/>
      <c r="J16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0"/>
      <c r="AM164" s="510" t="s">
        <v>989</v>
      </c>
      <c r="AN164" s="527" t="s">
        <v>33</v>
      </c>
      <c r="AO164" s="420" t="s">
        <v>29</v>
      </c>
      <c r="AP164" s="142"/>
      <c r="AQ164" s="142"/>
      <c r="AR164" s="142"/>
      <c r="AS164" s="142"/>
      <c r="AT164" s="194"/>
    </row>
    <row r="165" spans="1:47">
      <c r="A165" s="2"/>
      <c r="B165" s="2"/>
      <c r="C165" s="2"/>
      <c r="D165" s="2"/>
      <c r="E165" s="2"/>
      <c r="F165" s="2"/>
      <c r="G165" s="2"/>
      <c r="H165" s="2"/>
      <c r="I165" s="2"/>
      <c r="J16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0"/>
      <c r="AM165" s="510" t="s">
        <v>990</v>
      </c>
      <c r="AN165" s="550" t="s">
        <v>927</v>
      </c>
      <c r="AO165" s="420"/>
      <c r="AP165" s="142"/>
      <c r="AQ165" s="142"/>
      <c r="AR165" s="142"/>
      <c r="AS165" s="142"/>
      <c r="AT165" s="194"/>
    </row>
    <row r="166" spans="1:47" ht="20.399999999999999">
      <c r="A166" s="2"/>
      <c r="B166" s="2"/>
      <c r="C166" s="2"/>
      <c r="D166" s="2"/>
      <c r="E166" s="2"/>
      <c r="F166" s="2"/>
      <c r="G166" s="2"/>
      <c r="H166" s="2"/>
      <c r="I166" s="2"/>
      <c r="J16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0"/>
      <c r="AM166" s="510" t="s">
        <v>991</v>
      </c>
      <c r="AN166" s="527" t="s">
        <v>929</v>
      </c>
      <c r="AO166" s="420" t="s">
        <v>29</v>
      </c>
      <c r="AP166" s="142"/>
      <c r="AQ166" s="142"/>
      <c r="AR166" s="142"/>
      <c r="AS166" s="142"/>
      <c r="AT166" s="194"/>
    </row>
    <row r="167" spans="1:47">
      <c r="A167" s="2"/>
      <c r="B167" s="2"/>
      <c r="C167" s="2"/>
      <c r="D167" s="2"/>
      <c r="E167" s="2"/>
      <c r="F167" s="2"/>
      <c r="G167" s="2"/>
      <c r="H167" s="2"/>
      <c r="I167" s="2"/>
      <c r="J16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0"/>
      <c r="AM167" s="510" t="s">
        <v>992</v>
      </c>
      <c r="AN167" s="551" t="s">
        <v>931</v>
      </c>
      <c r="AO167" s="420"/>
      <c r="AP167" s="142"/>
      <c r="AQ167" s="142"/>
      <c r="AR167" s="142"/>
      <c r="AS167" s="142"/>
      <c r="AT167" s="194"/>
    </row>
    <row r="168" spans="1:47">
      <c r="A168" s="2"/>
      <c r="B168" s="2"/>
      <c r="C168" s="2"/>
      <c r="D168" s="2"/>
      <c r="E168" s="2"/>
      <c r="F168" s="2"/>
      <c r="G168" s="2"/>
      <c r="H168" s="2"/>
      <c r="I168" s="2"/>
      <c r="J168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0"/>
      <c r="AM168" s="510" t="s">
        <v>993</v>
      </c>
      <c r="AN168" s="552" t="s">
        <v>933</v>
      </c>
      <c r="AO168" s="420" t="s">
        <v>29</v>
      </c>
      <c r="AP168" s="142"/>
      <c r="AQ168" s="142"/>
      <c r="AR168" s="142"/>
      <c r="AS168" s="142"/>
      <c r="AT168" s="194"/>
    </row>
    <row r="169" spans="1:47" ht="20.399999999999999">
      <c r="A169" s="2"/>
      <c r="B169" s="2"/>
      <c r="C169" s="2"/>
      <c r="D169" s="2"/>
      <c r="E169" s="2"/>
      <c r="F169" s="2"/>
      <c r="G169" s="2"/>
      <c r="H169" s="2"/>
      <c r="I169" s="2"/>
      <c r="J16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0"/>
      <c r="AM169" s="510" t="s">
        <v>994</v>
      </c>
      <c r="AN169" s="553" t="s">
        <v>935</v>
      </c>
      <c r="AO169" s="420" t="s">
        <v>29</v>
      </c>
      <c r="AP169" s="142"/>
      <c r="AQ169" s="142"/>
      <c r="AR169" s="142"/>
      <c r="AS169" s="142"/>
      <c r="AT169" s="194"/>
    </row>
    <row r="170" spans="1:47" ht="30.6">
      <c r="A170" s="2"/>
      <c r="B170" s="2"/>
      <c r="C170" s="2"/>
      <c r="D170" s="2"/>
      <c r="E170" s="2"/>
      <c r="F170" s="2"/>
      <c r="G170" s="2"/>
      <c r="H170" s="2"/>
      <c r="I170" s="2"/>
      <c r="J170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0"/>
      <c r="AM170" s="509" t="s">
        <v>995</v>
      </c>
      <c r="AN170" s="542" t="s">
        <v>996</v>
      </c>
      <c r="AO170" s="420" t="s">
        <v>195</v>
      </c>
      <c r="AP170" s="247">
        <f t="shared" ref="AP170:AR201" si="14">SUMIF($AS$9:$AT$9,AP$9,$AS170:$AT170)</f>
        <v>0</v>
      </c>
      <c r="AQ170" s="247">
        <f t="shared" si="14"/>
        <v>0</v>
      </c>
      <c r="AR170" s="247">
        <f t="shared" si="14"/>
        <v>0</v>
      </c>
      <c r="AS170" s="194"/>
      <c r="AT170" s="194"/>
      <c r="AU170" s="326"/>
    </row>
    <row r="171" spans="1:47" ht="40.799999999999997">
      <c r="A171" s="2"/>
      <c r="B171" s="2"/>
      <c r="C171" s="2"/>
      <c r="D171" s="2"/>
      <c r="E171" s="2"/>
      <c r="F171" s="2"/>
      <c r="G171" s="2"/>
      <c r="H171" s="2"/>
      <c r="I171" s="2"/>
      <c r="J17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0"/>
      <c r="AM171" s="509" t="s">
        <v>173</v>
      </c>
      <c r="AN171" s="546" t="s">
        <v>997</v>
      </c>
      <c r="AO171" s="420" t="s">
        <v>195</v>
      </c>
      <c r="AP171" s="247">
        <f t="shared" si="14"/>
        <v>0</v>
      </c>
      <c r="AQ171" s="247">
        <f t="shared" si="14"/>
        <v>0</v>
      </c>
      <c r="AR171" s="247">
        <f t="shared" si="14"/>
        <v>0</v>
      </c>
      <c r="AS171" s="194"/>
      <c r="AT171" s="194"/>
      <c r="AU171" s="326"/>
    </row>
    <row r="172" spans="1:47">
      <c r="A172" s="2"/>
      <c r="B172" s="2"/>
      <c r="C172" s="2"/>
      <c r="D172" s="2"/>
      <c r="E172" s="2"/>
      <c r="F172" s="2"/>
      <c r="G172" s="2"/>
      <c r="H172" s="2"/>
      <c r="I172" s="2"/>
      <c r="J17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0"/>
      <c r="AM172" s="509" t="s">
        <v>174</v>
      </c>
      <c r="AN172" s="546" t="s">
        <v>998</v>
      </c>
      <c r="AO172" s="420" t="s">
        <v>195</v>
      </c>
      <c r="AP172" s="247">
        <f t="shared" si="14"/>
        <v>0</v>
      </c>
      <c r="AQ172" s="247">
        <f t="shared" si="14"/>
        <v>0</v>
      </c>
      <c r="AR172" s="247">
        <f t="shared" si="14"/>
        <v>0</v>
      </c>
      <c r="AS172" s="194"/>
      <c r="AT172" s="194"/>
      <c r="AU172" s="326"/>
    </row>
    <row r="173" spans="1:47">
      <c r="A173" s="2"/>
      <c r="B173" s="2"/>
      <c r="C173" s="2"/>
      <c r="D173" s="2"/>
      <c r="E173" s="2"/>
      <c r="F173" s="2"/>
      <c r="G173" s="2"/>
      <c r="H173" s="2"/>
      <c r="I173" s="2"/>
      <c r="J17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0"/>
      <c r="AM173" s="509" t="s">
        <v>175</v>
      </c>
      <c r="AN173" s="546" t="s">
        <v>999</v>
      </c>
      <c r="AO173" s="420" t="s">
        <v>195</v>
      </c>
      <c r="AP173" s="247">
        <f t="shared" si="14"/>
        <v>0</v>
      </c>
      <c r="AQ173" s="247">
        <f t="shared" si="14"/>
        <v>0</v>
      </c>
      <c r="AR173" s="247">
        <f t="shared" si="14"/>
        <v>0</v>
      </c>
      <c r="AS173" s="194"/>
      <c r="AT173" s="194"/>
      <c r="AU173" s="326"/>
    </row>
    <row r="174" spans="1:47">
      <c r="A174" s="2"/>
      <c r="B174" s="2"/>
      <c r="C174" s="2"/>
      <c r="D174" s="2"/>
      <c r="E174" s="2"/>
      <c r="F174" s="2"/>
      <c r="G174" s="2"/>
      <c r="H174" s="2"/>
      <c r="I174" s="2"/>
      <c r="J17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0"/>
      <c r="AM174" s="509" t="s">
        <v>176</v>
      </c>
      <c r="AN174" s="546" t="s">
        <v>1000</v>
      </c>
      <c r="AO174" s="420" t="s">
        <v>195</v>
      </c>
      <c r="AP174" s="247">
        <f t="shared" si="14"/>
        <v>0</v>
      </c>
      <c r="AQ174" s="247">
        <f t="shared" si="14"/>
        <v>0</v>
      </c>
      <c r="AR174" s="247">
        <f t="shared" si="14"/>
        <v>0</v>
      </c>
      <c r="AS174" s="194"/>
      <c r="AT174" s="194"/>
      <c r="AU174" s="326"/>
    </row>
    <row r="175" spans="1:47">
      <c r="A175" s="2"/>
      <c r="B175" s="2"/>
      <c r="C175" s="2"/>
      <c r="D175" s="2"/>
      <c r="E175" s="2"/>
      <c r="F175" s="2"/>
      <c r="G175" s="2"/>
      <c r="H175" s="2"/>
      <c r="I175" s="2"/>
      <c r="J17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0"/>
      <c r="AM175" s="509" t="s">
        <v>1001</v>
      </c>
      <c r="AN175" s="546" t="s">
        <v>1002</v>
      </c>
      <c r="AO175" s="420" t="s">
        <v>195</v>
      </c>
      <c r="AP175" s="247">
        <f t="shared" si="14"/>
        <v>0</v>
      </c>
      <c r="AQ175" s="247">
        <f t="shared" si="14"/>
        <v>0</v>
      </c>
      <c r="AR175" s="247">
        <f t="shared" si="14"/>
        <v>0</v>
      </c>
      <c r="AS175" s="194"/>
      <c r="AT175" s="194"/>
      <c r="AU175" s="326"/>
    </row>
    <row r="176" spans="1:47" ht="11.25" customHeight="1">
      <c r="A176" s="2"/>
      <c r="B176" s="2"/>
      <c r="C176" s="2"/>
      <c r="D176" s="2"/>
      <c r="E176" s="2"/>
      <c r="F176" s="2"/>
      <c r="G176" s="2"/>
      <c r="H176" s="2"/>
      <c r="I176" s="2"/>
      <c r="J176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0"/>
      <c r="AM176" s="509" t="s">
        <v>1003</v>
      </c>
      <c r="AN176" s="544" t="s">
        <v>1004</v>
      </c>
      <c r="AO176" s="420" t="s">
        <v>195</v>
      </c>
      <c r="AP176" s="247">
        <f t="shared" si="14"/>
        <v>0</v>
      </c>
      <c r="AQ176" s="247">
        <f t="shared" si="14"/>
        <v>0</v>
      </c>
      <c r="AR176" s="247">
        <f t="shared" si="14"/>
        <v>0</v>
      </c>
      <c r="AS176" s="194"/>
      <c r="AT176" s="194"/>
      <c r="AU176" s="326"/>
    </row>
    <row r="177" spans="1:47">
      <c r="A177" s="2"/>
      <c r="B177" s="2"/>
      <c r="C177" s="2"/>
      <c r="D177" s="2"/>
      <c r="E177" s="2"/>
      <c r="F177" s="2"/>
      <c r="G177" s="2"/>
      <c r="H177" s="2"/>
      <c r="I177" s="2"/>
      <c r="J17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0"/>
      <c r="AM177" s="509" t="s">
        <v>1005</v>
      </c>
      <c r="AN177" s="544" t="s">
        <v>1006</v>
      </c>
      <c r="AO177" s="420" t="s">
        <v>195</v>
      </c>
      <c r="AP177" s="247">
        <f t="shared" si="14"/>
        <v>0</v>
      </c>
      <c r="AQ177" s="247">
        <f t="shared" si="14"/>
        <v>0</v>
      </c>
      <c r="AR177" s="247">
        <f t="shared" si="14"/>
        <v>0</v>
      </c>
      <c r="AS177" s="194"/>
      <c r="AT177" s="194"/>
      <c r="AU177" s="326"/>
    </row>
    <row r="178" spans="1:47">
      <c r="A178" s="2"/>
      <c r="B178" s="2"/>
      <c r="C178" s="2"/>
      <c r="D178" s="2"/>
      <c r="E178" s="2"/>
      <c r="F178" s="2"/>
      <c r="G178" s="2"/>
      <c r="H178" s="2"/>
      <c r="I178" s="2"/>
      <c r="J178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0"/>
      <c r="AM178" s="490">
        <v>4</v>
      </c>
      <c r="AN178" s="490" t="s">
        <v>1007</v>
      </c>
      <c r="AO178" s="420" t="s">
        <v>195</v>
      </c>
      <c r="AP178" s="247">
        <f t="shared" si="14"/>
        <v>0</v>
      </c>
      <c r="AQ178" s="247">
        <f t="shared" si="14"/>
        <v>0</v>
      </c>
      <c r="AR178" s="247">
        <f t="shared" si="14"/>
        <v>0</v>
      </c>
      <c r="AS178" s="194"/>
      <c r="AT178" s="194"/>
      <c r="AU178" s="326"/>
    </row>
    <row r="179" spans="1:47" ht="20.399999999999999">
      <c r="A179" s="2"/>
      <c r="B179" s="2"/>
      <c r="C179" s="2"/>
      <c r="D179" s="2"/>
      <c r="E179" s="2"/>
      <c r="F179" s="2"/>
      <c r="G179" s="2"/>
      <c r="H179" s="2"/>
      <c r="I179" s="2"/>
      <c r="J17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0"/>
      <c r="AM179" s="509" t="s">
        <v>177</v>
      </c>
      <c r="AN179" s="546" t="s">
        <v>1008</v>
      </c>
      <c r="AO179" s="420" t="s">
        <v>195</v>
      </c>
      <c r="AP179" s="247">
        <f t="shared" si="14"/>
        <v>0</v>
      </c>
      <c r="AQ179" s="247">
        <f t="shared" si="14"/>
        <v>0</v>
      </c>
      <c r="AR179" s="247">
        <f t="shared" si="14"/>
        <v>0</v>
      </c>
      <c r="AS179" s="194"/>
      <c r="AT179" s="194"/>
      <c r="AU179" s="326"/>
    </row>
    <row r="180" spans="1:47">
      <c r="A180" s="2"/>
      <c r="B180" s="2"/>
      <c r="C180" s="2"/>
      <c r="D180" s="2"/>
      <c r="E180" s="2"/>
      <c r="F180" s="2"/>
      <c r="G180" s="2"/>
      <c r="H180" s="2"/>
      <c r="I180" s="2"/>
      <c r="J180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0"/>
      <c r="AM180" s="490">
        <v>5</v>
      </c>
      <c r="AN180" s="490" t="s">
        <v>604</v>
      </c>
      <c r="AO180" s="420" t="s">
        <v>195</v>
      </c>
      <c r="AP180" s="247">
        <f t="shared" si="14"/>
        <v>0</v>
      </c>
      <c r="AQ180" s="247">
        <f t="shared" si="14"/>
        <v>0</v>
      </c>
      <c r="AR180" s="247">
        <f t="shared" si="14"/>
        <v>0</v>
      </c>
      <c r="AS180" s="194"/>
      <c r="AT180" s="194"/>
      <c r="AU180" s="326"/>
    </row>
    <row r="181" spans="1:47" ht="30.6">
      <c r="A181" s="2"/>
      <c r="B181" s="2"/>
      <c r="C181" s="2"/>
      <c r="D181" s="2"/>
      <c r="E181" s="2"/>
      <c r="F181" s="2"/>
      <c r="G181" s="2"/>
      <c r="H181" s="2"/>
      <c r="I181" s="2"/>
      <c r="J18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0"/>
      <c r="AM181" s="509" t="s">
        <v>181</v>
      </c>
      <c r="AN181" s="546" t="s">
        <v>1009</v>
      </c>
      <c r="AO181" s="420" t="s">
        <v>195</v>
      </c>
      <c r="AP181" s="247">
        <f t="shared" si="14"/>
        <v>0</v>
      </c>
      <c r="AQ181" s="247">
        <f t="shared" si="14"/>
        <v>0</v>
      </c>
      <c r="AR181" s="247">
        <f t="shared" si="14"/>
        <v>0</v>
      </c>
      <c r="AS181" s="194"/>
      <c r="AT181" s="194"/>
      <c r="AU181" s="326"/>
    </row>
    <row r="182" spans="1:47" ht="51">
      <c r="A182" s="2"/>
      <c r="B182" s="2"/>
      <c r="C182" s="2"/>
      <c r="D182" s="2"/>
      <c r="E182" s="2"/>
      <c r="F182" s="2"/>
      <c r="G182" s="2"/>
      <c r="H182" s="2"/>
      <c r="I182" s="2"/>
      <c r="J18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0"/>
      <c r="AM182" s="490">
        <v>6</v>
      </c>
      <c r="AN182" s="490" t="s">
        <v>1902</v>
      </c>
      <c r="AO182" s="420" t="s">
        <v>195</v>
      </c>
      <c r="AP182" s="247">
        <f t="shared" si="14"/>
        <v>0</v>
      </c>
      <c r="AQ182" s="247">
        <f t="shared" si="14"/>
        <v>0</v>
      </c>
      <c r="AR182" s="247">
        <f t="shared" si="14"/>
        <v>0</v>
      </c>
      <c r="AS182" s="194"/>
      <c r="AT182" s="194"/>
      <c r="AU182" s="326"/>
    </row>
    <row r="183" spans="1:47">
      <c r="A183" s="2"/>
      <c r="B183" s="2"/>
      <c r="C183" s="2"/>
      <c r="D183" s="2"/>
      <c r="E183" s="2"/>
      <c r="F183" s="2"/>
      <c r="G183" s="2"/>
      <c r="H183" s="2"/>
      <c r="I183" s="2"/>
      <c r="J18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0"/>
      <c r="AM183" s="509" t="s">
        <v>711</v>
      </c>
      <c r="AN183" s="546" t="s">
        <v>1010</v>
      </c>
      <c r="AO183" s="420" t="s">
        <v>195</v>
      </c>
      <c r="AP183" s="247">
        <f t="shared" si="14"/>
        <v>0</v>
      </c>
      <c r="AQ183" s="247">
        <f t="shared" si="14"/>
        <v>0</v>
      </c>
      <c r="AR183" s="247">
        <f t="shared" si="14"/>
        <v>0</v>
      </c>
      <c r="AS183" s="194"/>
      <c r="AT183" s="194"/>
      <c r="AU183" s="326"/>
    </row>
    <row r="184" spans="1:47">
      <c r="A184" s="2"/>
      <c r="B184" s="2"/>
      <c r="C184" s="2"/>
      <c r="D184" s="2"/>
      <c r="E184" s="2"/>
      <c r="F184" s="2"/>
      <c r="G184" s="2"/>
      <c r="H184" s="2"/>
      <c r="I184" s="2"/>
      <c r="J18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0"/>
      <c r="AM184" s="509" t="s">
        <v>574</v>
      </c>
      <c r="AN184" s="544" t="s">
        <v>2100</v>
      </c>
      <c r="AO184" s="420" t="s">
        <v>195</v>
      </c>
      <c r="AP184" s="247">
        <f t="shared" si="14"/>
        <v>0</v>
      </c>
      <c r="AQ184" s="247">
        <f t="shared" si="14"/>
        <v>0</v>
      </c>
      <c r="AR184" s="247">
        <f t="shared" si="14"/>
        <v>0</v>
      </c>
      <c r="AS184" s="194"/>
      <c r="AT184" s="194"/>
      <c r="AU184" s="326"/>
    </row>
    <row r="185" spans="1:47">
      <c r="A185" s="2"/>
      <c r="B185" s="2"/>
      <c r="C185" s="2"/>
      <c r="D185" s="2"/>
      <c r="E185" s="2"/>
      <c r="F185" s="2"/>
      <c r="G185" s="2"/>
      <c r="H185" s="2"/>
      <c r="I185" s="2"/>
      <c r="J18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0"/>
      <c r="AM185" s="509" t="s">
        <v>575</v>
      </c>
      <c r="AN185" s="544" t="s">
        <v>2101</v>
      </c>
      <c r="AO185" s="420" t="s">
        <v>195</v>
      </c>
      <c r="AP185" s="247">
        <f t="shared" si="14"/>
        <v>0</v>
      </c>
      <c r="AQ185" s="247">
        <f t="shared" si="14"/>
        <v>0</v>
      </c>
      <c r="AR185" s="247">
        <f t="shared" si="14"/>
        <v>0</v>
      </c>
      <c r="AS185" s="194"/>
      <c r="AT185" s="194"/>
      <c r="AU185" s="326"/>
    </row>
    <row r="186" spans="1:47">
      <c r="A186" s="2"/>
      <c r="B186" s="2"/>
      <c r="C186" s="2"/>
      <c r="D186" s="2"/>
      <c r="E186" s="2"/>
      <c r="F186" s="2"/>
      <c r="G186" s="2"/>
      <c r="H186" s="2"/>
      <c r="I186" s="2"/>
      <c r="J186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0"/>
      <c r="AM186" s="509" t="s">
        <v>745</v>
      </c>
      <c r="AN186" s="544" t="s">
        <v>1025</v>
      </c>
      <c r="AO186" s="420" t="s">
        <v>195</v>
      </c>
      <c r="AP186" s="247">
        <f t="shared" si="14"/>
        <v>0</v>
      </c>
      <c r="AQ186" s="247">
        <f t="shared" si="14"/>
        <v>0</v>
      </c>
      <c r="AR186" s="247">
        <f t="shared" si="14"/>
        <v>0</v>
      </c>
      <c r="AS186" s="194"/>
      <c r="AT186" s="194"/>
      <c r="AU186" s="326"/>
    </row>
    <row r="187" spans="1:47">
      <c r="A187" s="2"/>
      <c r="B187" s="2"/>
      <c r="C187" s="2"/>
      <c r="D187" s="2"/>
      <c r="E187" s="2"/>
      <c r="F187" s="2"/>
      <c r="G187" s="2"/>
      <c r="H187" s="2"/>
      <c r="I187" s="2"/>
      <c r="J18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0"/>
      <c r="AM187" s="509" t="s">
        <v>704</v>
      </c>
      <c r="AN187" s="546" t="s">
        <v>1011</v>
      </c>
      <c r="AO187" s="420" t="s">
        <v>195</v>
      </c>
      <c r="AP187" s="247">
        <f t="shared" si="14"/>
        <v>0</v>
      </c>
      <c r="AQ187" s="247">
        <f t="shared" si="14"/>
        <v>0</v>
      </c>
      <c r="AR187" s="247">
        <f t="shared" si="14"/>
        <v>0</v>
      </c>
      <c r="AS187" s="194"/>
      <c r="AT187" s="194"/>
      <c r="AU187" s="326"/>
    </row>
    <row r="188" spans="1:47">
      <c r="A188" s="2"/>
      <c r="B188" s="2"/>
      <c r="C188" s="2"/>
      <c r="D188" s="2"/>
      <c r="E188" s="2"/>
      <c r="F188" s="2"/>
      <c r="G188" s="2"/>
      <c r="H188" s="2"/>
      <c r="I188" s="2"/>
      <c r="J188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0"/>
      <c r="AM188" s="509" t="s">
        <v>707</v>
      </c>
      <c r="AN188" s="546" t="s">
        <v>1012</v>
      </c>
      <c r="AO188" s="420" t="s">
        <v>195</v>
      </c>
      <c r="AP188" s="247">
        <f t="shared" si="14"/>
        <v>0</v>
      </c>
      <c r="AQ188" s="247">
        <f t="shared" si="14"/>
        <v>0</v>
      </c>
      <c r="AR188" s="247">
        <f t="shared" si="14"/>
        <v>0</v>
      </c>
      <c r="AS188" s="194"/>
      <c r="AT188" s="194"/>
      <c r="AU188" s="326"/>
    </row>
    <row r="189" spans="1:47">
      <c r="A189" s="2"/>
      <c r="B189" s="2"/>
      <c r="C189" s="2"/>
      <c r="D189" s="2"/>
      <c r="E189" s="2"/>
      <c r="F189" s="2"/>
      <c r="G189" s="2"/>
      <c r="H189" s="2"/>
      <c r="I189" s="2"/>
      <c r="J18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0"/>
      <c r="AM189" s="509" t="s">
        <v>582</v>
      </c>
      <c r="AN189" s="546" t="s">
        <v>1013</v>
      </c>
      <c r="AO189" s="420" t="s">
        <v>195</v>
      </c>
      <c r="AP189" s="247">
        <f t="shared" si="14"/>
        <v>0</v>
      </c>
      <c r="AQ189" s="247">
        <f t="shared" si="14"/>
        <v>0</v>
      </c>
      <c r="AR189" s="247">
        <f t="shared" si="14"/>
        <v>0</v>
      </c>
      <c r="AS189" s="194"/>
      <c r="AT189" s="194"/>
      <c r="AU189" s="326"/>
    </row>
    <row r="190" spans="1:47">
      <c r="A190" s="2"/>
      <c r="B190" s="2"/>
      <c r="C190" s="2"/>
      <c r="D190" s="2"/>
      <c r="E190" s="2"/>
      <c r="F190" s="2"/>
      <c r="G190" s="2"/>
      <c r="H190" s="2"/>
      <c r="I190" s="2"/>
      <c r="J190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0"/>
      <c r="AM190" s="509" t="s">
        <v>586</v>
      </c>
      <c r="AN190" s="546" t="s">
        <v>1014</v>
      </c>
      <c r="AO190" s="420" t="s">
        <v>195</v>
      </c>
      <c r="AP190" s="247">
        <f t="shared" si="14"/>
        <v>0</v>
      </c>
      <c r="AQ190" s="247">
        <f t="shared" si="14"/>
        <v>0</v>
      </c>
      <c r="AR190" s="247">
        <f t="shared" si="14"/>
        <v>0</v>
      </c>
      <c r="AS190" s="194"/>
      <c r="AT190" s="194"/>
      <c r="AU190" s="326"/>
    </row>
    <row r="191" spans="1:47" ht="40.799999999999997">
      <c r="A191" s="2"/>
      <c r="B191" s="2"/>
      <c r="C191" s="2"/>
      <c r="D191" s="2"/>
      <c r="E191" s="2"/>
      <c r="F191" s="2"/>
      <c r="G191" s="2"/>
      <c r="H191" s="2"/>
      <c r="I191" s="2"/>
      <c r="J19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0"/>
      <c r="AM191" s="490">
        <v>7</v>
      </c>
      <c r="AN191" s="490" t="s">
        <v>1903</v>
      </c>
      <c r="AO191" s="420" t="s">
        <v>195</v>
      </c>
      <c r="AP191" s="247">
        <f t="shared" si="14"/>
        <v>0</v>
      </c>
      <c r="AQ191" s="247">
        <f t="shared" si="14"/>
        <v>0</v>
      </c>
      <c r="AR191" s="247">
        <f t="shared" si="14"/>
        <v>0</v>
      </c>
      <c r="AS191" s="194"/>
      <c r="AT191" s="194"/>
      <c r="AU191" s="326"/>
    </row>
    <row r="192" spans="1:47">
      <c r="A192" s="2"/>
      <c r="B192" s="2"/>
      <c r="C192" s="2"/>
      <c r="D192" s="2"/>
      <c r="E192" s="2"/>
      <c r="F192" s="2"/>
      <c r="G192" s="2"/>
      <c r="H192" s="2"/>
      <c r="I192" s="2"/>
      <c r="J19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0"/>
      <c r="AM192" s="509" t="s">
        <v>525</v>
      </c>
      <c r="AN192" s="546" t="s">
        <v>1015</v>
      </c>
      <c r="AO192" s="420" t="s">
        <v>195</v>
      </c>
      <c r="AP192" s="247">
        <f t="shared" si="14"/>
        <v>0</v>
      </c>
      <c r="AQ192" s="247">
        <f t="shared" si="14"/>
        <v>0</v>
      </c>
      <c r="AR192" s="247">
        <f t="shared" si="14"/>
        <v>0</v>
      </c>
      <c r="AS192" s="194"/>
      <c r="AT192" s="194"/>
      <c r="AU192" s="326"/>
    </row>
    <row r="193" spans="1:47">
      <c r="A193" s="2"/>
      <c r="B193" s="2"/>
      <c r="C193" s="2"/>
      <c r="D193" s="2"/>
      <c r="E193" s="2"/>
      <c r="F193" s="2"/>
      <c r="G193" s="2"/>
      <c r="H193" s="2"/>
      <c r="I193" s="2"/>
      <c r="J19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0"/>
      <c r="AM193" s="509" t="s">
        <v>527</v>
      </c>
      <c r="AN193" s="546" t="s">
        <v>1016</v>
      </c>
      <c r="AO193" s="420" t="s">
        <v>195</v>
      </c>
      <c r="AP193" s="247">
        <f t="shared" si="14"/>
        <v>0</v>
      </c>
      <c r="AQ193" s="247">
        <f t="shared" si="14"/>
        <v>0</v>
      </c>
      <c r="AR193" s="247">
        <f t="shared" si="14"/>
        <v>0</v>
      </c>
      <c r="AS193" s="194"/>
      <c r="AT193" s="194"/>
      <c r="AU193" s="326"/>
    </row>
    <row r="194" spans="1:47" ht="11.25" customHeight="1">
      <c r="A194" s="2"/>
      <c r="B194" s="2"/>
      <c r="C194" s="2"/>
      <c r="D194" s="2"/>
      <c r="E194" s="2"/>
      <c r="F194" s="2"/>
      <c r="G194" s="2"/>
      <c r="H194" s="2"/>
      <c r="I194" s="2"/>
      <c r="J19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0"/>
      <c r="AM194" s="509" t="s">
        <v>530</v>
      </c>
      <c r="AN194" s="546" t="s">
        <v>1017</v>
      </c>
      <c r="AO194" s="420" t="s">
        <v>195</v>
      </c>
      <c r="AP194" s="247">
        <f t="shared" si="14"/>
        <v>0</v>
      </c>
      <c r="AQ194" s="247">
        <f t="shared" si="14"/>
        <v>0</v>
      </c>
      <c r="AR194" s="247">
        <f t="shared" si="14"/>
        <v>0</v>
      </c>
      <c r="AS194" s="194"/>
      <c r="AT194" s="194"/>
      <c r="AU194" s="326"/>
    </row>
    <row r="195" spans="1:47">
      <c r="A195" s="2"/>
      <c r="B195" s="2"/>
      <c r="C195" s="2"/>
      <c r="D195" s="2"/>
      <c r="E195" s="2"/>
      <c r="F195" s="2"/>
      <c r="G195" s="2"/>
      <c r="H195" s="2"/>
      <c r="I195" s="2"/>
      <c r="J19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0"/>
      <c r="AM195" s="509" t="s">
        <v>532</v>
      </c>
      <c r="AN195" s="546" t="s">
        <v>1018</v>
      </c>
      <c r="AO195" s="420" t="s">
        <v>195</v>
      </c>
      <c r="AP195" s="247">
        <f t="shared" si="14"/>
        <v>0</v>
      </c>
      <c r="AQ195" s="247">
        <f t="shared" si="14"/>
        <v>0</v>
      </c>
      <c r="AR195" s="247">
        <f t="shared" si="14"/>
        <v>0</v>
      </c>
      <c r="AS195" s="194"/>
      <c r="AT195" s="194"/>
      <c r="AU195" s="326"/>
    </row>
    <row r="196" spans="1:47">
      <c r="A196" s="2"/>
      <c r="B196" s="2"/>
      <c r="C196" s="2"/>
      <c r="D196" s="2"/>
      <c r="E196" s="2"/>
      <c r="F196" s="2"/>
      <c r="G196" s="2"/>
      <c r="H196" s="2"/>
      <c r="I196" s="2"/>
      <c r="J196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0"/>
      <c r="AM196" s="509" t="s">
        <v>534</v>
      </c>
      <c r="AN196" s="546" t="s">
        <v>1019</v>
      </c>
      <c r="AO196" s="420" t="s">
        <v>195</v>
      </c>
      <c r="AP196" s="247">
        <f t="shared" si="14"/>
        <v>0</v>
      </c>
      <c r="AQ196" s="247">
        <f t="shared" si="14"/>
        <v>0</v>
      </c>
      <c r="AR196" s="247">
        <f t="shared" si="14"/>
        <v>0</v>
      </c>
      <c r="AS196" s="194"/>
      <c r="AT196" s="194"/>
      <c r="AU196" s="326"/>
    </row>
    <row r="197" spans="1:47">
      <c r="A197" s="2"/>
      <c r="B197" s="2"/>
      <c r="C197" s="2"/>
      <c r="D197" s="2"/>
      <c r="E197" s="2"/>
      <c r="F197" s="2"/>
      <c r="G197" s="2"/>
      <c r="H197" s="2"/>
      <c r="I197" s="2"/>
      <c r="J19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0"/>
      <c r="AM197" s="509" t="s">
        <v>1020</v>
      </c>
      <c r="AN197" s="546" t="s">
        <v>1021</v>
      </c>
      <c r="AO197" s="420" t="s">
        <v>195</v>
      </c>
      <c r="AP197" s="247">
        <f t="shared" si="14"/>
        <v>0</v>
      </c>
      <c r="AQ197" s="247">
        <f t="shared" si="14"/>
        <v>0</v>
      </c>
      <c r="AR197" s="247">
        <f t="shared" si="14"/>
        <v>0</v>
      </c>
      <c r="AS197" s="194"/>
      <c r="AT197" s="194"/>
      <c r="AU197" s="326"/>
    </row>
    <row r="198" spans="1:47" ht="40.799999999999997">
      <c r="A198" s="2"/>
      <c r="B198" s="2"/>
      <c r="C198" s="2"/>
      <c r="D198" s="2"/>
      <c r="E198" s="2"/>
      <c r="F198" s="2"/>
      <c r="G198" s="2"/>
      <c r="H198" s="2"/>
      <c r="I198" s="2"/>
      <c r="J198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0"/>
      <c r="AM198" s="509" t="s">
        <v>1022</v>
      </c>
      <c r="AN198" s="546" t="s">
        <v>1023</v>
      </c>
      <c r="AO198" s="420" t="s">
        <v>195</v>
      </c>
      <c r="AP198" s="247">
        <f t="shared" si="14"/>
        <v>0</v>
      </c>
      <c r="AQ198" s="247">
        <f t="shared" si="14"/>
        <v>0</v>
      </c>
      <c r="AR198" s="247">
        <f t="shared" si="14"/>
        <v>0</v>
      </c>
      <c r="AS198" s="194"/>
      <c r="AT198" s="194"/>
      <c r="AU198" s="326"/>
    </row>
    <row r="199" spans="1:47" ht="30.6">
      <c r="A199" s="2"/>
      <c r="B199" s="2"/>
      <c r="C199" s="2"/>
      <c r="D199" s="2"/>
      <c r="E199" s="2"/>
      <c r="F199" s="2"/>
      <c r="G199" s="2"/>
      <c r="H199" s="2"/>
      <c r="I199" s="2"/>
      <c r="J19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0"/>
      <c r="AM199" s="490" t="s">
        <v>536</v>
      </c>
      <c r="AN199" s="490" t="s">
        <v>1024</v>
      </c>
      <c r="AO199" s="420" t="s">
        <v>195</v>
      </c>
      <c r="AP199" s="247">
        <f t="shared" si="14"/>
        <v>0</v>
      </c>
      <c r="AQ199" s="247">
        <f t="shared" si="14"/>
        <v>0</v>
      </c>
      <c r="AR199" s="247">
        <f t="shared" si="14"/>
        <v>0</v>
      </c>
      <c r="AS199" s="194"/>
      <c r="AT199" s="194"/>
      <c r="AU199" s="326"/>
    </row>
    <row r="200" spans="1:47">
      <c r="A200" s="2"/>
      <c r="B200" s="2"/>
      <c r="C200" s="2"/>
      <c r="D200" s="2"/>
      <c r="E200" s="2"/>
      <c r="F200" s="2"/>
      <c r="G200" s="2"/>
      <c r="H200" s="2"/>
      <c r="I200" s="2"/>
      <c r="J200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0"/>
      <c r="AM200" s="490" t="s">
        <v>538</v>
      </c>
      <c r="AN200" s="490" t="s">
        <v>1133</v>
      </c>
      <c r="AO200" s="420" t="s">
        <v>195</v>
      </c>
      <c r="AP200" s="247">
        <f t="shared" si="14"/>
        <v>0</v>
      </c>
      <c r="AQ200" s="247">
        <f t="shared" si="14"/>
        <v>0</v>
      </c>
      <c r="AR200" s="247">
        <f t="shared" si="14"/>
        <v>0</v>
      </c>
      <c r="AS200" s="194"/>
      <c r="AT200" s="194"/>
      <c r="AU200" s="326"/>
    </row>
    <row r="201" spans="1:47">
      <c r="A201" s="2"/>
      <c r="B201" s="2"/>
      <c r="C201" s="2"/>
      <c r="D201" s="2"/>
      <c r="E201" s="2"/>
      <c r="F201" s="2"/>
      <c r="G201" s="2"/>
      <c r="H201" s="2"/>
      <c r="I201" s="2"/>
      <c r="J20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0"/>
      <c r="AM201" s="490" t="s">
        <v>542</v>
      </c>
      <c r="AN201" s="490" t="s">
        <v>1134</v>
      </c>
      <c r="AO201" s="420" t="s">
        <v>195</v>
      </c>
      <c r="AP201" s="247">
        <f t="shared" si="14"/>
        <v>0</v>
      </c>
      <c r="AQ201" s="247">
        <f t="shared" si="14"/>
        <v>0</v>
      </c>
      <c r="AR201" s="247">
        <f t="shared" si="14"/>
        <v>0</v>
      </c>
      <c r="AS201" s="194"/>
      <c r="AT201" s="194"/>
      <c r="AU201" s="326"/>
    </row>
    <row r="202" spans="1:47" ht="0.75" hidden="1" customHeight="1">
      <c r="A202" s="2"/>
      <c r="B202" s="2"/>
      <c r="C202" s="2"/>
      <c r="D202" s="2"/>
      <c r="E202" s="2"/>
      <c r="F202" s="2"/>
      <c r="G202" s="2"/>
      <c r="H202" s="2"/>
      <c r="I202" s="2"/>
      <c r="J20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0"/>
      <c r="AM202" s="532"/>
      <c r="AN202" s="533"/>
      <c r="AO202" s="422"/>
      <c r="AP202" s="142"/>
      <c r="AQ202" s="142"/>
      <c r="AR202" s="142"/>
      <c r="AS202" s="194"/>
      <c r="AT202" s="194"/>
    </row>
    <row r="203" spans="1:47" ht="23.25" customHeight="1">
      <c r="A203" s="2"/>
      <c r="B203" s="2"/>
      <c r="C203" s="2"/>
      <c r="D203" s="2"/>
      <c r="E203" s="2"/>
      <c r="F203" s="2"/>
      <c r="G203" s="2"/>
      <c r="H203" s="2"/>
      <c r="I203" s="2"/>
      <c r="J20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0"/>
      <c r="AM203" s="570" t="s">
        <v>2124</v>
      </c>
      <c r="AN203" s="490" t="s">
        <v>545</v>
      </c>
      <c r="AO203" s="420" t="s">
        <v>195</v>
      </c>
      <c r="AP203" s="247">
        <f>SUMIF($AS$9:$AT$9,AP$9,$AS203:$AT203)</f>
        <v>0</v>
      </c>
      <c r="AQ203" s="247">
        <f>SUMIF($AS$9:$AT$9,AQ$9,$AS203:$AT203)</f>
        <v>0</v>
      </c>
      <c r="AR203" s="247">
        <f>SUMIF($AS$9:$AT$9,AR$9,$AS203:$AT203)</f>
        <v>0</v>
      </c>
      <c r="AS203" s="194"/>
      <c r="AT203" s="194"/>
      <c r="AU203" s="326"/>
    </row>
    <row r="204" spans="1:47" ht="0.75" hidden="1" customHeight="1">
      <c r="A204" s="2"/>
      <c r="B204" s="2"/>
      <c r="C204" s="2"/>
      <c r="D204" s="2"/>
      <c r="E204" s="2"/>
      <c r="F204" s="2"/>
      <c r="G204" s="2"/>
      <c r="H204" s="2"/>
      <c r="I204" s="2"/>
      <c r="J20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0"/>
      <c r="AM204" s="532"/>
      <c r="AN204" s="533"/>
      <c r="AO204" s="422"/>
      <c r="AP204" s="142"/>
      <c r="AQ204" s="142"/>
      <c r="AR204" s="142"/>
      <c r="AS204" s="194"/>
      <c r="AT204" s="194"/>
    </row>
    <row r="205" spans="1:47" ht="24" customHeight="1">
      <c r="A205" s="2"/>
      <c r="B205" s="2"/>
      <c r="C205" s="2"/>
      <c r="D205" s="2"/>
      <c r="E205" s="2"/>
      <c r="F205" s="2"/>
      <c r="G205" s="2"/>
      <c r="H205" s="2"/>
      <c r="I205" s="2"/>
      <c r="J20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150"/>
      <c r="AM205" s="570" t="s">
        <v>2123</v>
      </c>
      <c r="AN205" s="494" t="s">
        <v>2122</v>
      </c>
      <c r="AO205" s="163" t="s">
        <v>195</v>
      </c>
      <c r="AP205" s="247">
        <f>SUMIF($AS$9:$AT$9,AP$9,$AS205:$AT205)</f>
        <v>0</v>
      </c>
      <c r="AQ205" s="247">
        <f>SUMIF($AS$9:$AT$9,AQ$9,$AS205:$AT205)</f>
        <v>0</v>
      </c>
      <c r="AR205" s="247">
        <f>SUMIF($AS$9:$AT$9,AR$9,$AS205:$AT205)</f>
        <v>0</v>
      </c>
      <c r="AS205" s="194"/>
      <c r="AT205" s="194"/>
      <c r="AU205" s="326"/>
    </row>
    <row r="206" spans="1:47" ht="0.75" hidden="1" customHeight="1">
      <c r="A206" s="2"/>
      <c r="B206" s="2"/>
      <c r="C206" s="2"/>
      <c r="D206" s="2"/>
      <c r="E206" s="2"/>
      <c r="F206" s="2"/>
      <c r="G206" s="2"/>
      <c r="H206" s="2"/>
      <c r="I206" s="2"/>
      <c r="J206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150"/>
      <c r="AM206" s="508"/>
      <c r="AN206" s="472"/>
      <c r="AO206" s="166"/>
      <c r="AP206" s="261"/>
      <c r="AQ206" s="261"/>
      <c r="AR206" s="261"/>
      <c r="AS206" s="194"/>
      <c r="AT206" s="194"/>
      <c r="AU206" s="114"/>
    </row>
    <row r="207" spans="1:47" ht="24" customHeight="1">
      <c r="A207" s="2"/>
      <c r="B207" s="2"/>
      <c r="C207" s="2"/>
      <c r="D207" s="2"/>
      <c r="E207" s="2"/>
      <c r="F207" s="2"/>
      <c r="G207" s="2"/>
      <c r="H207" s="2"/>
      <c r="I207" s="2"/>
      <c r="J20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150"/>
      <c r="AM207" s="513" t="s">
        <v>2119</v>
      </c>
      <c r="AN207" s="513" t="s">
        <v>2131</v>
      </c>
      <c r="AO207" s="443" t="s">
        <v>195</v>
      </c>
      <c r="AP207" s="247">
        <f t="shared" ref="AP207:AR208" si="15">SUMIF($AS$9:$AT$9,AP$9,$AS207:$AT207)</f>
        <v>0</v>
      </c>
      <c r="AQ207" s="247">
        <f t="shared" si="15"/>
        <v>0</v>
      </c>
      <c r="AR207" s="247">
        <f t="shared" si="15"/>
        <v>0</v>
      </c>
      <c r="AS207" s="194"/>
      <c r="AT207" s="194"/>
      <c r="AU207" s="326"/>
    </row>
    <row r="208" spans="1:47" ht="24" customHeight="1">
      <c r="A208" s="2"/>
      <c r="B208" s="2"/>
      <c r="C208" s="2"/>
      <c r="D208" s="2"/>
      <c r="E208" s="2"/>
      <c r="F208" s="2"/>
      <c r="G208" s="2"/>
      <c r="H208" s="2"/>
      <c r="I208" s="2"/>
      <c r="J20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150"/>
      <c r="AM208" s="514" t="s">
        <v>641</v>
      </c>
      <c r="AN208" s="515" t="s">
        <v>598</v>
      </c>
      <c r="AO208" s="443" t="s">
        <v>195</v>
      </c>
      <c r="AP208" s="247">
        <f t="shared" si="15"/>
        <v>0</v>
      </c>
      <c r="AQ208" s="247">
        <f t="shared" si="15"/>
        <v>0</v>
      </c>
      <c r="AR208" s="247">
        <f t="shared" si="15"/>
        <v>0</v>
      </c>
      <c r="AS208" s="194"/>
      <c r="AT208" s="194"/>
      <c r="AU208" s="326"/>
    </row>
    <row r="209" spans="1:47" ht="0.75" hidden="1" customHeight="1">
      <c r="A209" s="2"/>
      <c r="B209" s="2"/>
      <c r="C209" s="2"/>
      <c r="D209" s="2"/>
      <c r="E209" s="2"/>
      <c r="F209" s="2"/>
      <c r="G209" s="2"/>
      <c r="H209" s="2"/>
      <c r="I209" s="2"/>
      <c r="J20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150"/>
      <c r="AM209" s="508"/>
      <c r="AN209" s="472"/>
      <c r="AO209" s="166"/>
      <c r="AP209" s="261"/>
      <c r="AQ209" s="261"/>
      <c r="AR209" s="261"/>
      <c r="AS209" s="194"/>
      <c r="AT209" s="194"/>
      <c r="AU209" s="114"/>
    </row>
    <row r="210" spans="1:47" ht="20.399999999999999">
      <c r="A210" s="2"/>
      <c r="B210" s="2"/>
      <c r="C210" s="2"/>
      <c r="D210" s="2"/>
      <c r="E210" s="2"/>
      <c r="F210" s="2"/>
      <c r="G210" s="2"/>
      <c r="H210" s="2"/>
      <c r="I210" s="2"/>
      <c r="J210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150"/>
      <c r="AM210" s="558" t="s">
        <v>2127</v>
      </c>
      <c r="AN210" s="467" t="s">
        <v>547</v>
      </c>
      <c r="AO210" s="445" t="s">
        <v>195</v>
      </c>
      <c r="AP210" s="247">
        <f t="shared" ref="AP210:AR213" si="16">SUMIF($AS$9:$AT$9,AP$9,$AS210:$AT210)</f>
        <v>0</v>
      </c>
      <c r="AQ210" s="247">
        <f t="shared" si="16"/>
        <v>0</v>
      </c>
      <c r="AR210" s="247">
        <f t="shared" si="16"/>
        <v>0</v>
      </c>
      <c r="AS210" s="194"/>
      <c r="AT210" s="194"/>
      <c r="AU210" s="326"/>
    </row>
    <row r="211" spans="1:47">
      <c r="A211" s="2"/>
      <c r="B211" s="2"/>
      <c r="C211" s="2"/>
      <c r="D211" s="2"/>
      <c r="E211" s="2"/>
      <c r="F211" s="2"/>
      <c r="G211" s="2"/>
      <c r="H211" s="2"/>
      <c r="I211" s="2"/>
      <c r="J2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150"/>
      <c r="AM211" s="558" t="s">
        <v>2128</v>
      </c>
      <c r="AN211" s="467" t="s">
        <v>548</v>
      </c>
      <c r="AO211" s="445" t="s">
        <v>195</v>
      </c>
      <c r="AP211" s="247">
        <f t="shared" si="16"/>
        <v>0</v>
      </c>
      <c r="AQ211" s="247">
        <f t="shared" si="16"/>
        <v>0</v>
      </c>
      <c r="AR211" s="247">
        <f t="shared" si="16"/>
        <v>0</v>
      </c>
      <c r="AS211" s="194"/>
      <c r="AT211" s="194"/>
      <c r="AU211" s="326"/>
    </row>
    <row r="212" spans="1:47">
      <c r="A212" s="2"/>
      <c r="B212" s="2"/>
      <c r="C212" s="2"/>
      <c r="D212" s="2"/>
      <c r="E212" s="2"/>
      <c r="F212" s="2"/>
      <c r="G212" s="2"/>
      <c r="H212" s="2"/>
      <c r="I212" s="2"/>
      <c r="J21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150"/>
      <c r="AM212" s="558" t="s">
        <v>2129</v>
      </c>
      <c r="AN212" s="467" t="s">
        <v>549</v>
      </c>
      <c r="AO212" s="445" t="s">
        <v>195</v>
      </c>
      <c r="AP212" s="247">
        <f t="shared" si="16"/>
        <v>0</v>
      </c>
      <c r="AQ212" s="247">
        <f t="shared" si="16"/>
        <v>0</v>
      </c>
      <c r="AR212" s="247">
        <f t="shared" si="16"/>
        <v>0</v>
      </c>
      <c r="AS212" s="194"/>
      <c r="AT212" s="194"/>
      <c r="AU212" s="326"/>
    </row>
    <row r="213" spans="1:47">
      <c r="A213" s="2"/>
      <c r="B213" s="2"/>
      <c r="C213" s="2"/>
      <c r="D213" s="2"/>
      <c r="E213" s="2"/>
      <c r="F213" s="2"/>
      <c r="G213" s="2"/>
      <c r="H213" s="2"/>
      <c r="I213" s="2"/>
      <c r="J2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150"/>
      <c r="AM213" s="558" t="s">
        <v>2130</v>
      </c>
      <c r="AN213" s="467" t="s">
        <v>550</v>
      </c>
      <c r="AO213" s="445" t="s">
        <v>195</v>
      </c>
      <c r="AP213" s="247">
        <f t="shared" si="16"/>
        <v>0</v>
      </c>
      <c r="AQ213" s="247">
        <f t="shared" si="16"/>
        <v>0</v>
      </c>
      <c r="AR213" s="247">
        <f t="shared" si="16"/>
        <v>0</v>
      </c>
      <c r="AS213" s="194"/>
      <c r="AT213" s="194"/>
      <c r="AU213" s="326"/>
    </row>
    <row r="214" spans="1:47" ht="0.75" hidden="1" customHeight="1">
      <c r="A214" s="2"/>
      <c r="B214" s="2"/>
      <c r="C214" s="2"/>
      <c r="D214" s="2"/>
      <c r="E214" s="2"/>
      <c r="F214" s="2"/>
      <c r="G214" s="2"/>
      <c r="H214" s="2"/>
      <c r="I214" s="2"/>
      <c r="J21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0"/>
      <c r="AM214" s="508"/>
      <c r="AN214" s="522"/>
      <c r="AO214" s="166"/>
      <c r="AP214" s="261"/>
      <c r="AQ214" s="261"/>
      <c r="AR214" s="261"/>
      <c r="AS214" s="194"/>
      <c r="AT214" s="194"/>
      <c r="AU214" s="114"/>
    </row>
    <row r="215" spans="1:47" ht="0.75" hidden="1" customHeight="1">
      <c r="A215" s="2"/>
      <c r="B215" s="2"/>
      <c r="C215" s="2"/>
      <c r="D215" s="2"/>
      <c r="E215" s="2"/>
      <c r="F215" s="2"/>
      <c r="G215" s="2"/>
      <c r="H215" s="2"/>
      <c r="I215" s="2"/>
      <c r="J21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0"/>
      <c r="AM215" s="508"/>
      <c r="AN215" s="522"/>
      <c r="AO215" s="166"/>
      <c r="AP215" s="261"/>
      <c r="AQ215" s="261"/>
      <c r="AR215" s="261"/>
      <c r="AS215" s="194"/>
      <c r="AT215" s="194"/>
      <c r="AU215" s="114"/>
    </row>
    <row r="216" spans="1:47" ht="0.75" hidden="1" customHeight="1">
      <c r="A216" s="2"/>
      <c r="B216" s="2"/>
      <c r="C216" s="2"/>
      <c r="D216" s="2"/>
      <c r="E216" s="2"/>
      <c r="F216" s="2"/>
      <c r="G216" s="2"/>
      <c r="H216" s="2"/>
      <c r="I216" s="2"/>
      <c r="J21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0"/>
      <c r="AM216" s="508"/>
      <c r="AN216" s="522"/>
      <c r="AO216" s="166"/>
      <c r="AP216" s="261"/>
      <c r="AQ216" s="261"/>
      <c r="AR216" s="261"/>
      <c r="AS216" s="194"/>
      <c r="AT216" s="194"/>
      <c r="AU216" s="114"/>
    </row>
    <row r="217" spans="1:47" ht="0.75" hidden="1" customHeight="1">
      <c r="A217" s="2"/>
      <c r="B217" s="2"/>
      <c r="C217" s="2"/>
      <c r="D217" s="2"/>
      <c r="E217" s="2"/>
      <c r="F217" s="2"/>
      <c r="G217" s="2"/>
      <c r="H217" s="2"/>
      <c r="I217" s="2"/>
      <c r="J21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0"/>
      <c r="AM217" s="508"/>
      <c r="AN217" s="522"/>
      <c r="AO217" s="166"/>
      <c r="AP217" s="261"/>
      <c r="AQ217" s="261"/>
      <c r="AR217" s="261"/>
      <c r="AS217" s="194"/>
      <c r="AT217" s="194"/>
      <c r="AU217" s="114"/>
    </row>
    <row r="218" spans="1:47" ht="0.75" hidden="1" customHeight="1">
      <c r="A218" s="2"/>
      <c r="B218" s="2"/>
      <c r="C218" s="2"/>
      <c r="D218" s="2"/>
      <c r="E218" s="2"/>
      <c r="F218" s="2"/>
      <c r="G218" s="2"/>
      <c r="H218" s="2"/>
      <c r="I218" s="2"/>
      <c r="J218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0"/>
      <c r="AM218" s="508"/>
      <c r="AN218" s="522"/>
      <c r="AO218" s="166"/>
      <c r="AP218" s="261"/>
      <c r="AQ218" s="261"/>
      <c r="AR218" s="261"/>
      <c r="AS218" s="194"/>
      <c r="AT218" s="194"/>
      <c r="AU218" s="114"/>
    </row>
    <row r="219" spans="1:47" ht="0.75" hidden="1" customHeight="1">
      <c r="A219" s="2"/>
      <c r="B219" s="2"/>
      <c r="C219" s="2"/>
      <c r="D219" s="2"/>
      <c r="E219" s="2"/>
      <c r="F219" s="2"/>
      <c r="G219" s="2"/>
      <c r="H219" s="2"/>
      <c r="I219" s="2"/>
      <c r="J21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0"/>
      <c r="AM219" s="508"/>
      <c r="AN219" s="522"/>
      <c r="AO219" s="166"/>
      <c r="AP219" s="261"/>
      <c r="AQ219" s="261"/>
      <c r="AR219" s="261"/>
      <c r="AS219" s="194"/>
      <c r="AT219" s="194"/>
      <c r="AU219" s="114"/>
    </row>
    <row r="220" spans="1:47" ht="0.75" hidden="1" customHeight="1">
      <c r="A220" s="2"/>
      <c r="B220" s="2"/>
      <c r="C220" s="2"/>
      <c r="D220" s="2"/>
      <c r="E220" s="2"/>
      <c r="F220" s="2"/>
      <c r="G220" s="2"/>
      <c r="H220" s="2"/>
      <c r="I220" s="2"/>
      <c r="J220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0"/>
      <c r="AM220" s="508"/>
      <c r="AN220" s="522"/>
      <c r="AO220" s="166"/>
      <c r="AP220" s="261"/>
      <c r="AQ220" s="261"/>
      <c r="AR220" s="261"/>
      <c r="AS220" s="194"/>
      <c r="AT220" s="194"/>
      <c r="AU220" s="114"/>
    </row>
    <row r="221" spans="1:47" ht="0.75" hidden="1" customHeight="1">
      <c r="A221" s="2"/>
      <c r="B221" s="2"/>
      <c r="C221" s="2"/>
      <c r="D221" s="2"/>
      <c r="E221" s="2"/>
      <c r="F221" s="2"/>
      <c r="G221" s="2"/>
      <c r="H221" s="2"/>
      <c r="I221" s="2"/>
      <c r="J22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0"/>
      <c r="AM221" s="508"/>
      <c r="AN221" s="522"/>
      <c r="AO221" s="166"/>
      <c r="AP221" s="261"/>
      <c r="AQ221" s="261"/>
      <c r="AR221" s="261"/>
      <c r="AS221" s="194"/>
      <c r="AT221" s="194"/>
      <c r="AU221" s="114"/>
    </row>
    <row r="222" spans="1:47" ht="24" customHeight="1">
      <c r="A222" s="2"/>
      <c r="B222" s="2"/>
      <c r="C222" s="2"/>
      <c r="D222" s="2"/>
      <c r="E222" s="2"/>
      <c r="F222" s="2"/>
      <c r="G222" s="2"/>
      <c r="H222" s="2"/>
      <c r="I222" s="2"/>
      <c r="J2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150"/>
      <c r="AM222" s="570" t="s">
        <v>2132</v>
      </c>
      <c r="AN222" s="494" t="s">
        <v>2133</v>
      </c>
      <c r="AO222" s="163" t="s">
        <v>195</v>
      </c>
      <c r="AP222" s="247">
        <f>SUMIF($AS$9:$AT$9,AP$9,$AS222:$AT222)</f>
        <v>0</v>
      </c>
      <c r="AQ222" s="247">
        <f>SUMIF($AS$9:$AT$9,AQ$9,$AS222:$AT222)</f>
        <v>0</v>
      </c>
      <c r="AR222" s="247">
        <f>SUMIF($AS$9:$AT$9,AR$9,$AS222:$AT222)</f>
        <v>0</v>
      </c>
      <c r="AS222" s="194"/>
      <c r="AT222" s="194"/>
      <c r="AU222" s="326"/>
    </row>
    <row r="223" spans="1:47" ht="0.75" hidden="1" customHeight="1">
      <c r="A223" s="2"/>
      <c r="B223" s="2"/>
      <c r="C223" s="2"/>
      <c r="D223" s="2"/>
      <c r="E223" s="2"/>
      <c r="F223" s="2"/>
      <c r="G223" s="2"/>
      <c r="H223" s="2"/>
      <c r="I223" s="2"/>
      <c r="J22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0"/>
      <c r="AM223" s="508"/>
      <c r="AN223" s="522"/>
      <c r="AO223" s="166"/>
      <c r="AP223" s="261"/>
      <c r="AQ223" s="261"/>
      <c r="AR223" s="261"/>
      <c r="AS223" s="194"/>
      <c r="AT223" s="194"/>
      <c r="AU223" s="114"/>
    </row>
    <row r="224" spans="1:47" ht="0.75" hidden="1" customHeight="1">
      <c r="A224" s="2"/>
      <c r="B224" s="2"/>
      <c r="C224" s="2"/>
      <c r="D224" s="2"/>
      <c r="E224" s="2"/>
      <c r="F224" s="2"/>
      <c r="G224" s="2"/>
      <c r="H224" s="2"/>
      <c r="I224" s="2"/>
      <c r="J22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0"/>
      <c r="AM224" s="508"/>
      <c r="AN224" s="522"/>
      <c r="AO224" s="166"/>
      <c r="AP224" s="261"/>
      <c r="AQ224" s="261"/>
      <c r="AR224" s="261"/>
      <c r="AS224" s="194"/>
      <c r="AT224" s="194"/>
      <c r="AU224" s="114"/>
    </row>
    <row r="225" spans="1:48" ht="0.75" hidden="1" customHeight="1">
      <c r="A225" s="2"/>
      <c r="B225" s="2"/>
      <c r="C225" s="2"/>
      <c r="D225" s="2"/>
      <c r="E225" s="2"/>
      <c r="F225" s="2"/>
      <c r="G225" s="2"/>
      <c r="H225" s="2"/>
      <c r="I225" s="2"/>
      <c r="J2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0"/>
      <c r="AM225" s="508"/>
      <c r="AN225" s="522"/>
      <c r="AO225" s="166"/>
      <c r="AP225" s="261"/>
      <c r="AQ225" s="261"/>
      <c r="AR225" s="261"/>
      <c r="AS225" s="194"/>
      <c r="AT225" s="194"/>
      <c r="AU225" s="114"/>
    </row>
    <row r="226" spans="1:48" ht="0.75" hidden="1" customHeight="1">
      <c r="A226" s="2"/>
      <c r="B226" s="2"/>
      <c r="C226" s="2"/>
      <c r="D226" s="2"/>
      <c r="E226" s="2"/>
      <c r="F226" s="2"/>
      <c r="G226" s="2"/>
      <c r="H226" s="2"/>
      <c r="I226" s="2"/>
      <c r="J226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0"/>
      <c r="AM226" s="508"/>
      <c r="AN226" s="522"/>
      <c r="AO226" s="166"/>
      <c r="AP226" s="261"/>
      <c r="AQ226" s="261"/>
      <c r="AR226" s="261"/>
      <c r="AS226" s="194"/>
      <c r="AT226" s="194"/>
      <c r="AU226" s="114"/>
    </row>
    <row r="227" spans="1:48" ht="0.75" hidden="1" customHeight="1">
      <c r="A227" s="2"/>
      <c r="B227" s="2"/>
      <c r="C227" s="2"/>
      <c r="D227" s="2"/>
      <c r="E227" s="2"/>
      <c r="F227" s="2"/>
      <c r="G227" s="2"/>
      <c r="H227" s="2"/>
      <c r="I227" s="2"/>
      <c r="J22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0"/>
      <c r="AM227" s="508"/>
      <c r="AN227" s="522"/>
      <c r="AO227" s="166"/>
      <c r="AP227" s="261"/>
      <c r="AQ227" s="261"/>
      <c r="AR227" s="261"/>
      <c r="AS227" s="194"/>
      <c r="AT227" s="194"/>
      <c r="AU227" s="114"/>
    </row>
    <row r="228" spans="1:48" ht="0.75" hidden="1" customHeight="1">
      <c r="A228" s="2"/>
      <c r="B228" s="2"/>
      <c r="C228" s="2"/>
      <c r="D228" s="2"/>
      <c r="E228" s="2"/>
      <c r="F228" s="2"/>
      <c r="G228" s="2"/>
      <c r="H228" s="2"/>
      <c r="I228" s="2"/>
      <c r="J228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0"/>
      <c r="AM228" s="508"/>
      <c r="AN228" s="522"/>
      <c r="AO228" s="166"/>
      <c r="AP228" s="261"/>
      <c r="AQ228" s="261"/>
      <c r="AR228" s="261"/>
      <c r="AS228" s="194"/>
      <c r="AT228" s="194"/>
      <c r="AU228" s="114"/>
    </row>
    <row r="229" spans="1:48" ht="0.75" hidden="1" customHeight="1">
      <c r="A229" s="2"/>
      <c r="B229" s="2"/>
      <c r="C229" s="2"/>
      <c r="D229" s="2"/>
      <c r="E229" s="2"/>
      <c r="F229" s="2"/>
      <c r="G229" s="2"/>
      <c r="H229" s="2"/>
      <c r="I229" s="2"/>
      <c r="J22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0"/>
      <c r="AM229" s="508"/>
      <c r="AN229" s="522"/>
      <c r="AO229" s="166"/>
      <c r="AP229" s="261"/>
      <c r="AQ229" s="261"/>
      <c r="AR229" s="261"/>
      <c r="AS229" s="194"/>
      <c r="AT229" s="194"/>
      <c r="AU229" s="114"/>
    </row>
    <row r="230" spans="1:48" ht="0.75" hidden="1" customHeight="1">
      <c r="A230" s="2"/>
      <c r="B230" s="2"/>
      <c r="C230" s="2"/>
      <c r="D230" s="2"/>
      <c r="E230" s="2"/>
      <c r="F230" s="2"/>
      <c r="G230" s="2"/>
      <c r="H230" s="2"/>
      <c r="I230" s="2"/>
      <c r="J230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0"/>
      <c r="AM230" s="508"/>
      <c r="AN230" s="522"/>
      <c r="AO230" s="166"/>
      <c r="AP230" s="261"/>
      <c r="AQ230" s="261"/>
      <c r="AR230" s="261"/>
      <c r="AS230" s="194"/>
      <c r="AT230" s="194"/>
      <c r="AU230" s="114"/>
    </row>
    <row r="231" spans="1:48" ht="0.75" hidden="1" customHeight="1">
      <c r="A231" s="2"/>
      <c r="B231" s="2"/>
      <c r="C231" s="2"/>
      <c r="D231" s="2"/>
      <c r="E231" s="2"/>
      <c r="F231" s="2"/>
      <c r="G231" s="2"/>
      <c r="H231" s="2"/>
      <c r="I231" s="2"/>
      <c r="J23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0"/>
      <c r="AM231" s="508"/>
      <c r="AN231" s="522"/>
      <c r="AO231" s="166"/>
      <c r="AP231" s="261"/>
      <c r="AQ231" s="261"/>
      <c r="AR231" s="261"/>
      <c r="AS231" s="194"/>
      <c r="AT231" s="194"/>
      <c r="AU231" s="114"/>
    </row>
    <row r="232" spans="1:48" ht="0.75" hidden="1" customHeight="1">
      <c r="A232" s="2"/>
      <c r="B232" s="2"/>
      <c r="C232" s="2"/>
      <c r="D232" s="2"/>
      <c r="E232" s="2"/>
      <c r="F232" s="2"/>
      <c r="G232" s="2"/>
      <c r="H232" s="2"/>
      <c r="I232" s="2"/>
      <c r="J23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0"/>
      <c r="AM232" s="508"/>
      <c r="AN232" s="522"/>
      <c r="AO232" s="166"/>
      <c r="AP232" s="261"/>
      <c r="AQ232" s="261"/>
      <c r="AR232" s="261"/>
      <c r="AS232" s="194"/>
      <c r="AT232" s="194"/>
      <c r="AU232" s="114"/>
    </row>
    <row r="233" spans="1:48" ht="0.75" hidden="1" customHeight="1">
      <c r="A233" s="2"/>
      <c r="B233" s="2"/>
      <c r="C233" s="2"/>
      <c r="D233" s="2"/>
      <c r="E233" s="2"/>
      <c r="F233" s="2"/>
      <c r="G233" s="2"/>
      <c r="H233" s="2"/>
      <c r="I233" s="2"/>
      <c r="J23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0"/>
      <c r="AM233" s="508"/>
      <c r="AN233" s="522"/>
      <c r="AO233" s="166"/>
      <c r="AP233" s="261"/>
      <c r="AQ233" s="261"/>
      <c r="AR233" s="261"/>
      <c r="AS233" s="194"/>
      <c r="AT233" s="194"/>
      <c r="AU233" s="114"/>
    </row>
    <row r="234" spans="1:48" ht="0.75" hidden="1" customHeight="1">
      <c r="A234" s="2"/>
      <c r="B234" s="2"/>
      <c r="C234" s="2"/>
      <c r="D234" s="2"/>
      <c r="E234" s="2"/>
      <c r="F234" s="2"/>
      <c r="G234" s="2"/>
      <c r="H234" s="2"/>
      <c r="I234" s="2"/>
      <c r="J23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0"/>
      <c r="AM234" s="508"/>
      <c r="AN234" s="522"/>
      <c r="AO234" s="166"/>
      <c r="AP234" s="261"/>
      <c r="AQ234" s="261"/>
      <c r="AR234" s="261"/>
      <c r="AS234" s="194"/>
      <c r="AT234" s="194"/>
      <c r="AU234" s="114"/>
    </row>
    <row r="235" spans="1:48" ht="0.75" hidden="1" customHeight="1">
      <c r="A235" s="2"/>
      <c r="B235" s="2"/>
      <c r="C235" s="2"/>
      <c r="D235" s="2"/>
      <c r="E235" s="2"/>
      <c r="F235" s="2"/>
      <c r="G235" s="2"/>
      <c r="H235" s="2"/>
      <c r="I235" s="2"/>
      <c r="J23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0"/>
      <c r="AM235" s="508"/>
      <c r="AN235" s="522"/>
      <c r="AO235" s="166"/>
      <c r="AP235" s="261"/>
      <c r="AQ235" s="261"/>
      <c r="AR235" s="261"/>
      <c r="AS235" s="194"/>
      <c r="AT235" s="194"/>
      <c r="AU235" s="114"/>
    </row>
    <row r="236" spans="1:48" ht="0.75" hidden="1" customHeight="1">
      <c r="A236" s="2"/>
      <c r="B236" s="2"/>
      <c r="C236" s="2"/>
      <c r="D236" s="2"/>
      <c r="E236" s="2"/>
      <c r="F236" s="2"/>
      <c r="G236" s="2"/>
      <c r="H236" s="2"/>
      <c r="I236" s="2"/>
      <c r="J236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0"/>
      <c r="AM236" s="508"/>
      <c r="AN236" s="522"/>
      <c r="AO236" s="166"/>
      <c r="AP236" s="261"/>
      <c r="AQ236" s="261"/>
      <c r="AR236" s="261"/>
      <c r="AS236" s="194"/>
      <c r="AT236" s="194"/>
      <c r="AU236" s="114"/>
    </row>
    <row r="237" spans="1:48" ht="0.75" hidden="1" customHeight="1">
      <c r="A237" s="2"/>
      <c r="B237" s="2"/>
      <c r="C237" s="2"/>
      <c r="D237" s="2"/>
      <c r="E237" s="2"/>
      <c r="F237" s="2"/>
      <c r="G237" s="2"/>
      <c r="H237" s="2"/>
      <c r="I237" s="2"/>
      <c r="J23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0"/>
      <c r="AM237" s="508"/>
      <c r="AN237" s="522"/>
      <c r="AO237" s="166"/>
      <c r="AP237" s="261"/>
      <c r="AQ237" s="261"/>
      <c r="AR237" s="261"/>
      <c r="AS237" s="194"/>
      <c r="AT237" s="194"/>
      <c r="AU237" s="114"/>
    </row>
    <row r="238" spans="1:48" ht="0.75" hidden="1" customHeight="1">
      <c r="A238" s="2"/>
      <c r="B238" s="2"/>
      <c r="C238" s="2"/>
      <c r="D238" s="2"/>
      <c r="E238" s="2"/>
      <c r="F238" s="2"/>
      <c r="G238" s="2"/>
      <c r="H238" s="2"/>
      <c r="I238" s="2"/>
      <c r="J238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0"/>
      <c r="AM238" s="508"/>
      <c r="AN238" s="522"/>
      <c r="AO238" s="166"/>
      <c r="AP238" s="261"/>
      <c r="AQ238" s="261"/>
      <c r="AR238" s="261"/>
      <c r="AS238" s="194"/>
      <c r="AT238" s="194"/>
      <c r="AU238" s="114"/>
    </row>
    <row r="239" spans="1:48" ht="0.75" hidden="1" customHeight="1">
      <c r="A239" s="2"/>
      <c r="B239" s="2"/>
      <c r="C239" s="2"/>
      <c r="D239" s="2"/>
      <c r="E239" s="2"/>
      <c r="F239" s="2"/>
      <c r="G239" s="2"/>
      <c r="H239" s="2"/>
      <c r="I239" s="2"/>
      <c r="J23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0"/>
      <c r="AM239" s="508"/>
      <c r="AN239" s="522"/>
      <c r="AO239" s="166"/>
      <c r="AP239" s="261"/>
      <c r="AQ239" s="261"/>
      <c r="AR239" s="261"/>
      <c r="AS239" s="194"/>
      <c r="AT239" s="194"/>
      <c r="AU239" s="114"/>
    </row>
    <row r="240" spans="1:48" ht="42" customHeight="1">
      <c r="AK240" s="2"/>
      <c r="AL240" s="20"/>
      <c r="AM240" s="516" t="s">
        <v>1056</v>
      </c>
      <c r="AN240" s="489" t="s">
        <v>2140</v>
      </c>
      <c r="AO240" s="163" t="s">
        <v>1026</v>
      </c>
      <c r="AP240" s="247">
        <f t="shared" ref="AP240:AR241" si="17">SUMIF($AS$9:$AT$9,AP$9,$AS240:$AT240)</f>
        <v>0</v>
      </c>
      <c r="AQ240" s="247">
        <f t="shared" si="17"/>
        <v>0</v>
      </c>
      <c r="AR240" s="247">
        <f t="shared" si="17"/>
        <v>0</v>
      </c>
      <c r="AS240" s="194"/>
      <c r="AT240" s="194"/>
      <c r="AU240" s="326"/>
      <c r="AV240" s="45"/>
    </row>
    <row r="241" spans="1:48" ht="42" customHeight="1">
      <c r="AK241" s="2"/>
      <c r="AL241" s="20"/>
      <c r="AM241" s="516" t="s">
        <v>1057</v>
      </c>
      <c r="AN241" s="554" t="s">
        <v>2141</v>
      </c>
      <c r="AO241" s="163" t="s">
        <v>1026</v>
      </c>
      <c r="AP241" s="247">
        <f t="shared" si="17"/>
        <v>0</v>
      </c>
      <c r="AQ241" s="247">
        <f t="shared" si="17"/>
        <v>0</v>
      </c>
      <c r="AR241" s="247">
        <f t="shared" si="17"/>
        <v>0</v>
      </c>
      <c r="AS241" s="194"/>
      <c r="AT241" s="194"/>
      <c r="AU241" s="326"/>
      <c r="AV241" s="45"/>
    </row>
    <row r="242" spans="1:48">
      <c r="AK242" s="2"/>
      <c r="AL242" s="20"/>
      <c r="AM242" s="516" t="s">
        <v>1058</v>
      </c>
      <c r="AN242" s="554" t="s">
        <v>312</v>
      </c>
      <c r="AO242" s="163"/>
      <c r="AP242" s="247">
        <f>IF(AP240=0,0,AP241/AP240)</f>
        <v>0</v>
      </c>
      <c r="AQ242" s="247">
        <f>IF(AQ240=0,0,AQ241/AQ240)</f>
        <v>0</v>
      </c>
      <c r="AR242" s="247">
        <f>IF(AR240=0,0,AR241/AR240)</f>
        <v>0</v>
      </c>
      <c r="AS242" s="194"/>
      <c r="AT242" s="161"/>
      <c r="AU242" s="351"/>
      <c r="AV242" s="45"/>
    </row>
    <row r="243" spans="1:48" ht="42" customHeight="1">
      <c r="AK243" s="2"/>
      <c r="AL243" s="20"/>
      <c r="AM243" s="516" t="s">
        <v>1059</v>
      </c>
      <c r="AN243" s="554" t="s">
        <v>2142</v>
      </c>
      <c r="AO243" s="163" t="s">
        <v>1026</v>
      </c>
      <c r="AP243" s="247">
        <f>SUMIF($AS$9:$AT$9,AP$9,$AS243:$AT243)</f>
        <v>0</v>
      </c>
      <c r="AQ243" s="247">
        <f>SUMIF($AS$9:$AT$9,AQ$9,$AS243:$AT243)</f>
        <v>0</v>
      </c>
      <c r="AR243" s="247">
        <f>SUMIF($AS$9:$AT$9,AR$9,$AS243:$AT243)</f>
        <v>0</v>
      </c>
      <c r="AS243" s="194"/>
      <c r="AT243" s="194"/>
      <c r="AU243" s="326"/>
      <c r="AV243" s="45"/>
    </row>
    <row r="244" spans="1:48" s="45" customFormat="1" ht="0.75" hidden="1" customHeight="1">
      <c r="AK244" s="2"/>
      <c r="AL244" s="20"/>
      <c r="AM244" s="532"/>
      <c r="AN244" s="533"/>
      <c r="AO244" s="422"/>
      <c r="AP244" s="142"/>
      <c r="AQ244" s="142"/>
      <c r="AR244" s="142"/>
      <c r="AS244" s="194"/>
      <c r="AT244" s="194"/>
      <c r="AU244" s="2"/>
      <c r="AV244" s="2"/>
    </row>
    <row r="245" spans="1:48" s="45" customFormat="1" ht="0.75" customHeight="1">
      <c r="AK245" s="2"/>
      <c r="AL245" s="20"/>
      <c r="AM245" s="516" t="s">
        <v>1142</v>
      </c>
      <c r="AN245" s="503" t="str">
        <f>IF(TEMPLATE_SPHERE_CODE="COLDVSNA","Объём отпуска воды",IF(TEMPLATE_SPHERE_CODE="VOTV","Объём сточных вод",""))</f>
        <v/>
      </c>
      <c r="AO245" s="163" t="s">
        <v>1026</v>
      </c>
      <c r="AP245" s="247">
        <f>SUMIF($AS$9:$AT$9,AP$9,$AS245:$AT245)</f>
        <v>0</v>
      </c>
      <c r="AQ245" s="247">
        <f>SUMIF($AS$9:$AT$9,AQ$9,$AS245:$AT245)</f>
        <v>0</v>
      </c>
      <c r="AR245" s="247">
        <f>SUMIF($AS$9:$AT$9,AR$9,$AS245:$AT245)</f>
        <v>0</v>
      </c>
      <c r="AS245" s="194"/>
      <c r="AT245" s="194"/>
      <c r="AU245" s="2"/>
      <c r="AV245" s="2"/>
    </row>
    <row r="246" spans="1:48" ht="0.75" hidden="1" customHeight="1">
      <c r="A246" s="2"/>
      <c r="B246" s="2"/>
      <c r="C246" s="2"/>
      <c r="D246" s="2"/>
      <c r="E246" s="2"/>
      <c r="F246" s="2"/>
      <c r="G246" s="2"/>
      <c r="H246" s="2"/>
      <c r="I246" s="2"/>
      <c r="J246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0"/>
      <c r="AM246" s="532"/>
      <c r="AN246" s="533"/>
      <c r="AO246" s="422"/>
      <c r="AP246" s="142"/>
      <c r="AQ246" s="142"/>
      <c r="AR246" s="142"/>
      <c r="AS246" s="194"/>
      <c r="AT246" s="194"/>
    </row>
    <row r="247" spans="1:48" s="45" customFormat="1">
      <c r="AK247" s="2"/>
      <c r="AL247" s="20"/>
      <c r="AM247" s="516" t="s">
        <v>1143</v>
      </c>
      <c r="AN247" s="490" t="s">
        <v>629</v>
      </c>
      <c r="AO247" s="163" t="s">
        <v>755</v>
      </c>
      <c r="AP247" s="414">
        <f>IF(AP203=0,0,AP218/AP203*100)</f>
        <v>0</v>
      </c>
      <c r="AQ247" s="414">
        <f>IF(AQ203=0,0,AQ218/AQ203*100)</f>
        <v>0</v>
      </c>
      <c r="AR247" s="414">
        <f>IF(AR203=0,0,AR218/AR203*100)</f>
        <v>0</v>
      </c>
      <c r="AS247" s="194"/>
      <c r="AT247" s="194"/>
      <c r="AU247" s="2"/>
      <c r="AV247" s="2"/>
    </row>
    <row r="248" spans="1:48" customFormat="1" ht="0.75" hidden="1" customHeight="1">
      <c r="A248" s="2"/>
      <c r="B248" s="2"/>
      <c r="C248" s="2"/>
      <c r="D248" s="2"/>
      <c r="E248" s="2"/>
      <c r="F248" s="2"/>
      <c r="G248" s="2"/>
      <c r="H248" s="2"/>
      <c r="I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150"/>
      <c r="AM248" s="511"/>
      <c r="AN248" s="512"/>
      <c r="AO248" s="446"/>
      <c r="AP248" s="261"/>
      <c r="AQ248" s="261"/>
      <c r="AR248" s="261"/>
      <c r="AS248" s="194"/>
      <c r="AT248" s="194"/>
      <c r="AU248" s="114"/>
      <c r="AV248" s="2"/>
    </row>
    <row r="249" spans="1:48" customFormat="1" ht="35.25" customHeight="1">
      <c r="A249" s="2"/>
      <c r="B249" s="2"/>
      <c r="C249" s="2"/>
      <c r="D249" s="2"/>
      <c r="E249" s="2"/>
      <c r="F249" s="2"/>
      <c r="G249" s="2"/>
      <c r="H249" s="2"/>
      <c r="I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150"/>
      <c r="AM249" s="516" t="s">
        <v>2491</v>
      </c>
      <c r="AN249" s="494" t="s">
        <v>2481</v>
      </c>
      <c r="AO249" s="163" t="s">
        <v>195</v>
      </c>
      <c r="AP249" s="247">
        <f t="shared" ref="AP249:AP264" si="18">AQ249+AR249</f>
        <v>0</v>
      </c>
      <c r="AQ249" s="247">
        <f>SUM(AQ250,AQ251,AQ254,AQ258,AQ263,AQ264)</f>
        <v>0</v>
      </c>
      <c r="AR249" s="247">
        <f>SUM(AR250,AR251,AR254,AR258,AR263,AR264)</f>
        <v>0</v>
      </c>
      <c r="AS249" s="194"/>
      <c r="AT249" s="194"/>
      <c r="AU249" s="114"/>
      <c r="AV249" s="2"/>
    </row>
    <row r="250" spans="1:48" customFormat="1" ht="24" customHeight="1">
      <c r="A250" s="2"/>
      <c r="B250" s="2"/>
      <c r="C250" s="2"/>
      <c r="D250" s="2"/>
      <c r="E250" s="2"/>
      <c r="F250" s="2"/>
      <c r="G250" s="2"/>
      <c r="H250" s="2"/>
      <c r="I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150"/>
      <c r="AM250" s="516" t="s">
        <v>2496</v>
      </c>
      <c r="AN250" s="657" t="s">
        <v>2482</v>
      </c>
      <c r="AO250" s="163" t="s">
        <v>195</v>
      </c>
      <c r="AP250" s="247">
        <f t="shared" si="18"/>
        <v>0</v>
      </c>
      <c r="AQ250" s="245"/>
      <c r="AR250" s="245"/>
      <c r="AS250" s="194"/>
      <c r="AT250" s="194"/>
      <c r="AU250" s="114"/>
      <c r="AV250" s="2"/>
    </row>
    <row r="251" spans="1:48" customFormat="1">
      <c r="A251" s="2"/>
      <c r="B251" s="2"/>
      <c r="C251" s="2"/>
      <c r="D251" s="2"/>
      <c r="E251" s="2"/>
      <c r="F251" s="2"/>
      <c r="G251" s="2"/>
      <c r="H251" s="2"/>
      <c r="I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150"/>
      <c r="AM251" s="516" t="s">
        <v>2497</v>
      </c>
      <c r="AN251" s="657" t="s">
        <v>2483</v>
      </c>
      <c r="AO251" s="163" t="s">
        <v>195</v>
      </c>
      <c r="AP251" s="247">
        <f t="shared" si="18"/>
        <v>0</v>
      </c>
      <c r="AQ251" s="247">
        <f>SUM(AQ252:AQ253)</f>
        <v>0</v>
      </c>
      <c r="AR251" s="247">
        <f>SUM(AR252:AR253)</f>
        <v>0</v>
      </c>
      <c r="AS251" s="194"/>
      <c r="AT251" s="194"/>
      <c r="AU251" s="114"/>
      <c r="AV251" s="2"/>
    </row>
    <row r="252" spans="1:48" customFormat="1" ht="24" customHeight="1">
      <c r="A252" s="2"/>
      <c r="B252" s="2"/>
      <c r="C252" s="2"/>
      <c r="D252" s="2"/>
      <c r="E252" s="2"/>
      <c r="F252" s="2"/>
      <c r="G252" s="2"/>
      <c r="H252" s="2"/>
      <c r="I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150"/>
      <c r="AM252" s="516" t="s">
        <v>2499</v>
      </c>
      <c r="AN252" s="655" t="s">
        <v>2484</v>
      </c>
      <c r="AO252" s="163" t="s">
        <v>195</v>
      </c>
      <c r="AP252" s="247">
        <f t="shared" si="18"/>
        <v>0</v>
      </c>
      <c r="AQ252" s="245"/>
      <c r="AR252" s="245"/>
      <c r="AS252" s="194"/>
      <c r="AT252" s="194"/>
      <c r="AU252" s="114"/>
      <c r="AV252" s="2"/>
    </row>
    <row r="253" spans="1:48" customFormat="1" ht="45" customHeight="1">
      <c r="A253" s="2"/>
      <c r="B253" s="2"/>
      <c r="C253" s="2"/>
      <c r="D253" s="2"/>
      <c r="E253" s="2"/>
      <c r="F253" s="2"/>
      <c r="G253" s="2"/>
      <c r="H253" s="2"/>
      <c r="I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150"/>
      <c r="AM253" s="516" t="s">
        <v>2500</v>
      </c>
      <c r="AN253" s="655" t="s">
        <v>2485</v>
      </c>
      <c r="AO253" s="163" t="s">
        <v>195</v>
      </c>
      <c r="AP253" s="247">
        <f t="shared" si="18"/>
        <v>0</v>
      </c>
      <c r="AQ253" s="245"/>
      <c r="AR253" s="245"/>
      <c r="AS253" s="194"/>
      <c r="AT253" s="194"/>
      <c r="AU253" s="114"/>
      <c r="AV253" s="2"/>
    </row>
    <row r="254" spans="1:48" customFormat="1" ht="24" customHeight="1">
      <c r="A254" s="2"/>
      <c r="B254" s="2"/>
      <c r="C254" s="2"/>
      <c r="D254" s="2"/>
      <c r="E254" s="2"/>
      <c r="F254" s="2"/>
      <c r="G254" s="2"/>
      <c r="H254" s="2"/>
      <c r="I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150"/>
      <c r="AM254" s="516" t="s">
        <v>2498</v>
      </c>
      <c r="AN254" s="657" t="s">
        <v>2486</v>
      </c>
      <c r="AO254" s="163" t="s">
        <v>195</v>
      </c>
      <c r="AP254" s="247">
        <f t="shared" si="18"/>
        <v>0</v>
      </c>
      <c r="AQ254" s="247">
        <f>SUM(AQ255:AQ257)</f>
        <v>0</v>
      </c>
      <c r="AR254" s="247">
        <f>SUM(AR255:AR257)</f>
        <v>0</v>
      </c>
      <c r="AS254" s="194"/>
      <c r="AT254" s="194"/>
      <c r="AU254" s="114"/>
      <c r="AV254" s="2"/>
    </row>
    <row r="255" spans="1:48" customFormat="1">
      <c r="A255" s="2"/>
      <c r="B255" s="2"/>
      <c r="C255" s="2"/>
      <c r="D255" s="2"/>
      <c r="E255" s="2"/>
      <c r="F255" s="2"/>
      <c r="G255" s="2"/>
      <c r="H255" s="2"/>
      <c r="I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150"/>
      <c r="AM255" s="516" t="s">
        <v>2501</v>
      </c>
      <c r="AN255" s="655" t="s">
        <v>2337</v>
      </c>
      <c r="AO255" s="163" t="s">
        <v>195</v>
      </c>
      <c r="AP255" s="247">
        <f t="shared" si="18"/>
        <v>0</v>
      </c>
      <c r="AQ255" s="245"/>
      <c r="AR255" s="245"/>
      <c r="AS255" s="194"/>
      <c r="AT255" s="194"/>
      <c r="AU255" s="114"/>
      <c r="AV255" s="2"/>
    </row>
    <row r="256" spans="1:48" customFormat="1">
      <c r="A256" s="2"/>
      <c r="B256" s="2"/>
      <c r="C256" s="2"/>
      <c r="D256" s="2"/>
      <c r="E256" s="2"/>
      <c r="F256" s="2"/>
      <c r="G256" s="2"/>
      <c r="H256" s="2"/>
      <c r="I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150"/>
      <c r="AM256" s="516" t="s">
        <v>2502</v>
      </c>
      <c r="AN256" s="655" t="s">
        <v>2487</v>
      </c>
      <c r="AO256" s="163" t="s">
        <v>195</v>
      </c>
      <c r="AP256" s="247">
        <f t="shared" si="18"/>
        <v>0</v>
      </c>
      <c r="AQ256" s="245"/>
      <c r="AR256" s="245"/>
      <c r="AS256" s="194"/>
      <c r="AT256" s="194"/>
      <c r="AU256" s="114"/>
      <c r="AV256" s="2"/>
    </row>
    <row r="257" spans="1:48" customFormat="1">
      <c r="A257" s="2"/>
      <c r="B257" s="2"/>
      <c r="C257" s="2"/>
      <c r="D257" s="2"/>
      <c r="E257" s="2"/>
      <c r="F257" s="2"/>
      <c r="G257" s="2"/>
      <c r="H257" s="2"/>
      <c r="I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150"/>
      <c r="AM257" s="516" t="s">
        <v>2503</v>
      </c>
      <c r="AN257" s="655" t="s">
        <v>2488</v>
      </c>
      <c r="AO257" s="163" t="s">
        <v>195</v>
      </c>
      <c r="AP257" s="247">
        <f t="shared" si="18"/>
        <v>0</v>
      </c>
      <c r="AQ257" s="245"/>
      <c r="AR257" s="245"/>
      <c r="AS257" s="194"/>
      <c r="AT257" s="194"/>
      <c r="AU257" s="114"/>
      <c r="AV257" s="2"/>
    </row>
    <row r="258" spans="1:48" customFormat="1" ht="24" customHeight="1">
      <c r="A258" s="2"/>
      <c r="B258" s="2"/>
      <c r="C258" s="2"/>
      <c r="D258" s="2"/>
      <c r="E258" s="2"/>
      <c r="F258" s="2"/>
      <c r="G258" s="2"/>
      <c r="H258" s="2"/>
      <c r="I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150"/>
      <c r="AM258" s="516" t="s">
        <v>2504</v>
      </c>
      <c r="AN258" s="657" t="s">
        <v>2494</v>
      </c>
      <c r="AO258" s="163" t="s">
        <v>195</v>
      </c>
      <c r="AP258" s="247">
        <f t="shared" si="18"/>
        <v>0</v>
      </c>
      <c r="AQ258" s="247">
        <f>SUM(AQ259:AQ262)</f>
        <v>0</v>
      </c>
      <c r="AR258" s="247">
        <f>SUM(AR259:AR262)</f>
        <v>0</v>
      </c>
      <c r="AS258" s="194"/>
      <c r="AT258" s="194"/>
      <c r="AU258" s="114"/>
      <c r="AV258" s="2"/>
    </row>
    <row r="259" spans="1:48" customFormat="1">
      <c r="A259" s="2"/>
      <c r="B259" s="2"/>
      <c r="C259" s="2"/>
      <c r="D259" s="2"/>
      <c r="E259" s="2"/>
      <c r="F259" s="2"/>
      <c r="G259" s="2"/>
      <c r="H259" s="2"/>
      <c r="I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150"/>
      <c r="AM259" s="516" t="s">
        <v>2505</v>
      </c>
      <c r="AN259" s="655" t="s">
        <v>2340</v>
      </c>
      <c r="AO259" s="163" t="s">
        <v>195</v>
      </c>
      <c r="AP259" s="247">
        <f t="shared" si="18"/>
        <v>0</v>
      </c>
      <c r="AQ259" s="245"/>
      <c r="AR259" s="245"/>
      <c r="AS259" s="194"/>
      <c r="AT259" s="194"/>
      <c r="AU259" s="114"/>
      <c r="AV259" s="2"/>
    </row>
    <row r="260" spans="1:48" customFormat="1">
      <c r="A260" s="2"/>
      <c r="B260" s="2"/>
      <c r="C260" s="2"/>
      <c r="D260" s="2"/>
      <c r="E260" s="2"/>
      <c r="F260" s="2"/>
      <c r="G260" s="2"/>
      <c r="H260" s="2"/>
      <c r="I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150"/>
      <c r="AM260" s="516" t="s">
        <v>2506</v>
      </c>
      <c r="AN260" s="655" t="s">
        <v>2339</v>
      </c>
      <c r="AO260" s="163" t="s">
        <v>195</v>
      </c>
      <c r="AP260" s="247">
        <f t="shared" si="18"/>
        <v>0</v>
      </c>
      <c r="AQ260" s="245"/>
      <c r="AR260" s="245"/>
      <c r="AS260" s="194"/>
      <c r="AT260" s="194"/>
      <c r="AU260" s="114"/>
      <c r="AV260" s="2"/>
    </row>
    <row r="261" spans="1:48" customFormat="1">
      <c r="A261" s="2"/>
      <c r="B261" s="2"/>
      <c r="C261" s="2"/>
      <c r="D261" s="2"/>
      <c r="E261" s="2"/>
      <c r="F261" s="2"/>
      <c r="G261" s="2"/>
      <c r="H261" s="2"/>
      <c r="I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150"/>
      <c r="AM261" s="516" t="s">
        <v>2507</v>
      </c>
      <c r="AN261" s="655" t="s">
        <v>2495</v>
      </c>
      <c r="AO261" s="163" t="s">
        <v>195</v>
      </c>
      <c r="AP261" s="247">
        <f t="shared" si="18"/>
        <v>0</v>
      </c>
      <c r="AQ261" s="245"/>
      <c r="AR261" s="245"/>
      <c r="AS261" s="194"/>
      <c r="AT261" s="194"/>
      <c r="AU261" s="114"/>
      <c r="AV261" s="2"/>
    </row>
    <row r="262" spans="1:48" customFormat="1">
      <c r="A262" s="2"/>
      <c r="B262" s="2"/>
      <c r="C262" s="2"/>
      <c r="D262" s="2"/>
      <c r="E262" s="2"/>
      <c r="F262" s="2"/>
      <c r="G262" s="2"/>
      <c r="H262" s="2"/>
      <c r="I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150"/>
      <c r="AM262" s="516" t="s">
        <v>2508</v>
      </c>
      <c r="AN262" s="656" t="s">
        <v>2489</v>
      </c>
      <c r="AO262" s="163" t="s">
        <v>195</v>
      </c>
      <c r="AP262" s="247">
        <f t="shared" si="18"/>
        <v>0</v>
      </c>
      <c r="AQ262" s="245"/>
      <c r="AR262" s="245"/>
      <c r="AS262" s="194"/>
      <c r="AT262" s="194"/>
      <c r="AU262" s="114"/>
      <c r="AV262" s="2"/>
    </row>
    <row r="263" spans="1:48" customFormat="1">
      <c r="A263" s="2"/>
      <c r="B263" s="2"/>
      <c r="C263" s="2"/>
      <c r="D263" s="2"/>
      <c r="E263" s="2"/>
      <c r="F263" s="2"/>
      <c r="G263" s="2"/>
      <c r="H263" s="2"/>
      <c r="I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150"/>
      <c r="AM263" s="516" t="s">
        <v>2509</v>
      </c>
      <c r="AN263" s="654" t="s">
        <v>2490</v>
      </c>
      <c r="AO263" s="163" t="s">
        <v>195</v>
      </c>
      <c r="AP263" s="247">
        <f t="shared" si="18"/>
        <v>0</v>
      </c>
      <c r="AQ263" s="245"/>
      <c r="AR263" s="245"/>
      <c r="AS263" s="194"/>
      <c r="AT263" s="194"/>
      <c r="AU263" s="114"/>
      <c r="AV263" s="2"/>
    </row>
    <row r="264" spans="1:48" customFormat="1">
      <c r="A264" s="2"/>
      <c r="B264" s="2"/>
      <c r="C264" s="2"/>
      <c r="D264" s="2"/>
      <c r="E264" s="2"/>
      <c r="F264" s="2"/>
      <c r="G264" s="2"/>
      <c r="H264" s="2"/>
      <c r="I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150"/>
      <c r="AM264" s="516" t="s">
        <v>2510</v>
      </c>
      <c r="AN264" s="658" t="s">
        <v>1025</v>
      </c>
      <c r="AO264" s="163" t="s">
        <v>195</v>
      </c>
      <c r="AP264" s="247">
        <f t="shared" si="18"/>
        <v>0</v>
      </c>
      <c r="AQ264" s="245"/>
      <c r="AR264" s="245"/>
      <c r="AS264" s="194"/>
      <c r="AT264" s="194"/>
      <c r="AU264" s="114"/>
      <c r="AV264" s="2"/>
    </row>
    <row r="265" spans="1:48" customFormat="1" ht="0.75" hidden="1" customHeight="1">
      <c r="A265" s="2"/>
      <c r="B265" s="2"/>
      <c r="C265" s="2"/>
      <c r="D265" s="2"/>
      <c r="E265" s="2"/>
      <c r="F265" s="2"/>
      <c r="G265" s="2"/>
      <c r="H265" s="2"/>
      <c r="I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150"/>
      <c r="AM265" s="511"/>
      <c r="AN265" s="512"/>
      <c r="AO265" s="446"/>
      <c r="AP265" s="261"/>
      <c r="AQ265" s="261"/>
      <c r="AR265" s="261"/>
      <c r="AS265" s="194"/>
      <c r="AT265" s="194"/>
      <c r="AU265" s="114"/>
      <c r="AV265" s="2"/>
    </row>
    <row r="266" spans="1:48" customFormat="1" ht="48.75" customHeight="1">
      <c r="A266" s="2"/>
      <c r="B266" s="2"/>
      <c r="C266" s="2"/>
      <c r="D266" s="2"/>
      <c r="E266" s="2"/>
      <c r="F266" s="2"/>
      <c r="G266" s="2"/>
      <c r="H266" s="2"/>
      <c r="I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150"/>
      <c r="AM266" s="516" t="s">
        <v>2526</v>
      </c>
      <c r="AN266" s="659" t="str">
        <f>AN249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(за исключением ИП, которые утверждены в соответствии с КС): по данным мониторинга SUMMARY.INV.WARM.12.2024</v>
      </c>
      <c r="AO266" s="163" t="s">
        <v>195</v>
      </c>
      <c r="AP266" s="590"/>
      <c r="AQ266" s="241"/>
      <c r="AR266" s="241"/>
      <c r="AS266" s="194"/>
      <c r="AT266" s="194"/>
      <c r="AU266" s="114"/>
      <c r="AV266" s="2"/>
    </row>
    <row r="267" spans="1:48" customFormat="1" ht="0.75" hidden="1" customHeight="1">
      <c r="A267" s="2"/>
      <c r="B267" s="2"/>
      <c r="C267" s="2"/>
      <c r="D267" s="2"/>
      <c r="E267" s="2"/>
      <c r="F267" s="2"/>
      <c r="G267" s="2"/>
      <c r="H267" s="2"/>
      <c r="I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150"/>
      <c r="AM267" s="511"/>
      <c r="AN267" s="512"/>
      <c r="AO267" s="446"/>
      <c r="AP267" s="261"/>
      <c r="AQ267" s="261"/>
      <c r="AR267" s="261"/>
      <c r="AS267" s="194"/>
      <c r="AT267" s="194"/>
      <c r="AU267" s="114"/>
      <c r="AV267" s="2"/>
    </row>
    <row r="268" spans="1:48" customFormat="1" ht="0.75" hidden="1" customHeight="1">
      <c r="A268" s="2"/>
      <c r="B268" s="2"/>
      <c r="C268" s="2"/>
      <c r="D268" s="2"/>
      <c r="E268" s="2"/>
      <c r="F268" s="2"/>
      <c r="G268" s="2"/>
      <c r="H268" s="2"/>
      <c r="I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150"/>
      <c r="AM268" s="511"/>
      <c r="AN268" s="512"/>
      <c r="AO268" s="446"/>
      <c r="AP268" s="261"/>
      <c r="AQ268" s="261"/>
      <c r="AR268" s="261"/>
      <c r="AS268" s="194"/>
      <c r="AT268" s="194"/>
      <c r="AU268" s="114"/>
      <c r="AV268" s="2"/>
    </row>
    <row r="269" spans="1:48" customFormat="1" ht="35.25" customHeight="1">
      <c r="A269" s="2"/>
      <c r="B269" s="2"/>
      <c r="C269" s="2"/>
      <c r="D269" s="2"/>
      <c r="E269" s="2"/>
      <c r="F269" s="2"/>
      <c r="G269" s="2"/>
      <c r="H269" s="2"/>
      <c r="I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150"/>
      <c r="AM269" s="516" t="s">
        <v>2492</v>
      </c>
      <c r="AN269" s="494" t="s">
        <v>2493</v>
      </c>
      <c r="AO269" s="163" t="s">
        <v>195</v>
      </c>
      <c r="AP269" s="247">
        <f t="shared" ref="AP269:AP284" si="19">AQ269+AR269</f>
        <v>0</v>
      </c>
      <c r="AQ269" s="247">
        <f>SUM(AQ270,AQ271,AQ274,AQ278,AQ283,AQ284)</f>
        <v>0</v>
      </c>
      <c r="AR269" s="247">
        <f>SUM(AR270,AR271,AR274,AR278,AR283,AR284)</f>
        <v>0</v>
      </c>
      <c r="AS269" s="194"/>
      <c r="AT269" s="194"/>
      <c r="AU269" s="114"/>
      <c r="AV269" s="2"/>
    </row>
    <row r="270" spans="1:48" customFormat="1" ht="24" customHeight="1">
      <c r="A270" s="2"/>
      <c r="B270" s="2"/>
      <c r="C270" s="2"/>
      <c r="D270" s="2"/>
      <c r="E270" s="2"/>
      <c r="F270" s="2"/>
      <c r="G270" s="2"/>
      <c r="H270" s="2"/>
      <c r="I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150"/>
      <c r="AM270" s="516" t="s">
        <v>2511</v>
      </c>
      <c r="AN270" s="657" t="s">
        <v>2482</v>
      </c>
      <c r="AO270" s="163" t="s">
        <v>195</v>
      </c>
      <c r="AP270" s="247">
        <f t="shared" si="19"/>
        <v>0</v>
      </c>
      <c r="AQ270" s="245"/>
      <c r="AR270" s="245"/>
      <c r="AS270" s="194"/>
      <c r="AT270" s="194"/>
      <c r="AU270" s="114"/>
      <c r="AV270" s="2"/>
    </row>
    <row r="271" spans="1:48" customFormat="1">
      <c r="A271" s="2"/>
      <c r="B271" s="2"/>
      <c r="C271" s="2"/>
      <c r="D271" s="2"/>
      <c r="E271" s="2"/>
      <c r="F271" s="2"/>
      <c r="G271" s="2"/>
      <c r="H271" s="2"/>
      <c r="I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150"/>
      <c r="AM271" s="516" t="s">
        <v>2512</v>
      </c>
      <c r="AN271" s="657" t="s">
        <v>2483</v>
      </c>
      <c r="AO271" s="163" t="s">
        <v>195</v>
      </c>
      <c r="AP271" s="247">
        <f t="shared" si="19"/>
        <v>0</v>
      </c>
      <c r="AQ271" s="247">
        <f>SUM(AQ272:AQ273)</f>
        <v>0</v>
      </c>
      <c r="AR271" s="247">
        <f>SUM(AR272:AR273)</f>
        <v>0</v>
      </c>
      <c r="AS271" s="194"/>
      <c r="AT271" s="194"/>
      <c r="AU271" s="114"/>
      <c r="AV271" s="2"/>
    </row>
    <row r="272" spans="1:48" customFormat="1" ht="24" customHeight="1">
      <c r="A272" s="2"/>
      <c r="B272" s="2"/>
      <c r="C272" s="2"/>
      <c r="D272" s="2"/>
      <c r="E272" s="2"/>
      <c r="F272" s="2"/>
      <c r="G272" s="2"/>
      <c r="H272" s="2"/>
      <c r="I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150"/>
      <c r="AM272" s="516" t="s">
        <v>2513</v>
      </c>
      <c r="AN272" s="655" t="s">
        <v>2484</v>
      </c>
      <c r="AO272" s="163" t="s">
        <v>195</v>
      </c>
      <c r="AP272" s="247">
        <f t="shared" si="19"/>
        <v>0</v>
      </c>
      <c r="AQ272" s="245"/>
      <c r="AR272" s="245"/>
      <c r="AS272" s="194"/>
      <c r="AT272" s="194"/>
      <c r="AU272" s="114"/>
      <c r="AV272" s="2"/>
    </row>
    <row r="273" spans="1:48" customFormat="1" ht="45" customHeight="1">
      <c r="A273" s="2"/>
      <c r="B273" s="2"/>
      <c r="C273" s="2"/>
      <c r="D273" s="2"/>
      <c r="E273" s="2"/>
      <c r="F273" s="2"/>
      <c r="G273" s="2"/>
      <c r="H273" s="2"/>
      <c r="I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150"/>
      <c r="AM273" s="516" t="s">
        <v>2514</v>
      </c>
      <c r="AN273" s="655" t="s">
        <v>2485</v>
      </c>
      <c r="AO273" s="163" t="s">
        <v>195</v>
      </c>
      <c r="AP273" s="247">
        <f t="shared" si="19"/>
        <v>0</v>
      </c>
      <c r="AQ273" s="245"/>
      <c r="AR273" s="245"/>
      <c r="AS273" s="194"/>
      <c r="AT273" s="194"/>
      <c r="AU273" s="114"/>
      <c r="AV273" s="2"/>
    </row>
    <row r="274" spans="1:48" customFormat="1" ht="24" customHeight="1">
      <c r="A274" s="2"/>
      <c r="B274" s="2"/>
      <c r="C274" s="2"/>
      <c r="D274" s="2"/>
      <c r="E274" s="2"/>
      <c r="F274" s="2"/>
      <c r="G274" s="2"/>
      <c r="H274" s="2"/>
      <c r="I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150"/>
      <c r="AM274" s="516" t="s">
        <v>2515</v>
      </c>
      <c r="AN274" s="657" t="s">
        <v>2486</v>
      </c>
      <c r="AO274" s="163" t="s">
        <v>195</v>
      </c>
      <c r="AP274" s="247">
        <f t="shared" si="19"/>
        <v>0</v>
      </c>
      <c r="AQ274" s="247">
        <f>SUM(AQ275:AQ277)</f>
        <v>0</v>
      </c>
      <c r="AR274" s="247">
        <f>SUM(AR275:AR277)</f>
        <v>0</v>
      </c>
      <c r="AS274" s="194"/>
      <c r="AT274" s="194"/>
      <c r="AU274" s="114"/>
      <c r="AV274" s="2"/>
    </row>
    <row r="275" spans="1:48" customFormat="1">
      <c r="A275" s="2"/>
      <c r="B275" s="2"/>
      <c r="C275" s="2"/>
      <c r="D275" s="2"/>
      <c r="E275" s="2"/>
      <c r="F275" s="2"/>
      <c r="G275" s="2"/>
      <c r="H275" s="2"/>
      <c r="I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150"/>
      <c r="AM275" s="516" t="s">
        <v>2516</v>
      </c>
      <c r="AN275" s="655" t="s">
        <v>2337</v>
      </c>
      <c r="AO275" s="163" t="s">
        <v>195</v>
      </c>
      <c r="AP275" s="247">
        <f t="shared" si="19"/>
        <v>0</v>
      </c>
      <c r="AQ275" s="245"/>
      <c r="AR275" s="245"/>
      <c r="AS275" s="194"/>
      <c r="AT275" s="194"/>
      <c r="AU275" s="114"/>
      <c r="AV275" s="2"/>
    </row>
    <row r="276" spans="1:48" customFormat="1">
      <c r="A276" s="2"/>
      <c r="B276" s="2"/>
      <c r="C276" s="2"/>
      <c r="D276" s="2"/>
      <c r="E276" s="2"/>
      <c r="F276" s="2"/>
      <c r="G276" s="2"/>
      <c r="H276" s="2"/>
      <c r="I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150"/>
      <c r="AM276" s="516" t="s">
        <v>2517</v>
      </c>
      <c r="AN276" s="655" t="s">
        <v>2487</v>
      </c>
      <c r="AO276" s="163" t="s">
        <v>195</v>
      </c>
      <c r="AP276" s="247">
        <f t="shared" si="19"/>
        <v>0</v>
      </c>
      <c r="AQ276" s="245"/>
      <c r="AR276" s="245"/>
      <c r="AS276" s="194"/>
      <c r="AT276" s="194"/>
      <c r="AU276" s="114"/>
      <c r="AV276" s="2"/>
    </row>
    <row r="277" spans="1:48" customFormat="1">
      <c r="A277" s="2"/>
      <c r="B277" s="2"/>
      <c r="C277" s="2"/>
      <c r="D277" s="2"/>
      <c r="E277" s="2"/>
      <c r="F277" s="2"/>
      <c r="G277" s="2"/>
      <c r="H277" s="2"/>
      <c r="I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150"/>
      <c r="AM277" s="516" t="s">
        <v>2518</v>
      </c>
      <c r="AN277" s="655" t="s">
        <v>2488</v>
      </c>
      <c r="AO277" s="163" t="s">
        <v>195</v>
      </c>
      <c r="AP277" s="247">
        <f t="shared" si="19"/>
        <v>0</v>
      </c>
      <c r="AQ277" s="245"/>
      <c r="AR277" s="245"/>
      <c r="AS277" s="194"/>
      <c r="AT277" s="194"/>
      <c r="AU277" s="114"/>
      <c r="AV277" s="2"/>
    </row>
    <row r="278" spans="1:48" customFormat="1" ht="24" customHeight="1">
      <c r="A278" s="2"/>
      <c r="B278" s="2"/>
      <c r="C278" s="2"/>
      <c r="D278" s="2"/>
      <c r="E278" s="2"/>
      <c r="F278" s="2"/>
      <c r="G278" s="2"/>
      <c r="H278" s="2"/>
      <c r="I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150"/>
      <c r="AM278" s="516" t="s">
        <v>2519</v>
      </c>
      <c r="AN278" s="657" t="s">
        <v>2494</v>
      </c>
      <c r="AO278" s="163" t="s">
        <v>195</v>
      </c>
      <c r="AP278" s="247">
        <f t="shared" si="19"/>
        <v>0</v>
      </c>
      <c r="AQ278" s="247">
        <f>SUM(AQ279:AQ282)</f>
        <v>0</v>
      </c>
      <c r="AR278" s="247">
        <f>SUM(AR279:AR282)</f>
        <v>0</v>
      </c>
      <c r="AS278" s="194"/>
      <c r="AT278" s="194"/>
      <c r="AU278" s="114"/>
      <c r="AV278" s="2"/>
    </row>
    <row r="279" spans="1:48" customFormat="1">
      <c r="A279" s="2"/>
      <c r="B279" s="2"/>
      <c r="C279" s="2"/>
      <c r="D279" s="2"/>
      <c r="E279" s="2"/>
      <c r="F279" s="2"/>
      <c r="G279" s="2"/>
      <c r="H279" s="2"/>
      <c r="I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150"/>
      <c r="AM279" s="516" t="s">
        <v>2520</v>
      </c>
      <c r="AN279" s="655" t="s">
        <v>2340</v>
      </c>
      <c r="AO279" s="163" t="s">
        <v>195</v>
      </c>
      <c r="AP279" s="247">
        <f t="shared" si="19"/>
        <v>0</v>
      </c>
      <c r="AQ279" s="245"/>
      <c r="AR279" s="245"/>
      <c r="AS279" s="194"/>
      <c r="AT279" s="194"/>
      <c r="AU279" s="114"/>
      <c r="AV279" s="2"/>
    </row>
    <row r="280" spans="1:48" customFormat="1">
      <c r="A280" s="2"/>
      <c r="B280" s="2"/>
      <c r="C280" s="2"/>
      <c r="D280" s="2"/>
      <c r="E280" s="2"/>
      <c r="F280" s="2"/>
      <c r="G280" s="2"/>
      <c r="H280" s="2"/>
      <c r="I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150"/>
      <c r="AM280" s="516" t="s">
        <v>2521</v>
      </c>
      <c r="AN280" s="655" t="s">
        <v>2339</v>
      </c>
      <c r="AO280" s="163" t="s">
        <v>195</v>
      </c>
      <c r="AP280" s="247">
        <f t="shared" si="19"/>
        <v>0</v>
      </c>
      <c r="AQ280" s="245"/>
      <c r="AR280" s="245"/>
      <c r="AS280" s="194"/>
      <c r="AT280" s="194"/>
      <c r="AU280" s="114"/>
      <c r="AV280" s="2"/>
    </row>
    <row r="281" spans="1:48" customFormat="1">
      <c r="A281" s="2"/>
      <c r="B281" s="2"/>
      <c r="C281" s="2"/>
      <c r="D281" s="2"/>
      <c r="E281" s="2"/>
      <c r="F281" s="2"/>
      <c r="G281" s="2"/>
      <c r="H281" s="2"/>
      <c r="I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150"/>
      <c r="AM281" s="516" t="s">
        <v>2522</v>
      </c>
      <c r="AN281" s="655" t="s">
        <v>2495</v>
      </c>
      <c r="AO281" s="163" t="s">
        <v>195</v>
      </c>
      <c r="AP281" s="247">
        <f t="shared" si="19"/>
        <v>0</v>
      </c>
      <c r="AQ281" s="245"/>
      <c r="AR281" s="245"/>
      <c r="AS281" s="194"/>
      <c r="AT281" s="194"/>
      <c r="AU281" s="114"/>
      <c r="AV281" s="2"/>
    </row>
    <row r="282" spans="1:48" customFormat="1">
      <c r="A282" s="2"/>
      <c r="B282" s="2"/>
      <c r="C282" s="2"/>
      <c r="D282" s="2"/>
      <c r="E282" s="2"/>
      <c r="F282" s="2"/>
      <c r="G282" s="2"/>
      <c r="H282" s="2"/>
      <c r="I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150"/>
      <c r="AM282" s="516" t="s">
        <v>2523</v>
      </c>
      <c r="AN282" s="656" t="s">
        <v>2489</v>
      </c>
      <c r="AO282" s="163" t="s">
        <v>195</v>
      </c>
      <c r="AP282" s="247">
        <f t="shared" si="19"/>
        <v>0</v>
      </c>
      <c r="AQ282" s="245"/>
      <c r="AR282" s="245"/>
      <c r="AS282" s="194"/>
      <c r="AT282" s="194"/>
      <c r="AU282" s="114"/>
      <c r="AV282" s="2"/>
    </row>
    <row r="283" spans="1:48" customFormat="1">
      <c r="A283" s="2"/>
      <c r="B283" s="2"/>
      <c r="C283" s="2"/>
      <c r="D283" s="2"/>
      <c r="E283" s="2"/>
      <c r="F283" s="2"/>
      <c r="G283" s="2"/>
      <c r="H283" s="2"/>
      <c r="I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150"/>
      <c r="AM283" s="516" t="s">
        <v>2524</v>
      </c>
      <c r="AN283" s="654" t="s">
        <v>2490</v>
      </c>
      <c r="AO283" s="163" t="s">
        <v>195</v>
      </c>
      <c r="AP283" s="247">
        <f t="shared" si="19"/>
        <v>0</v>
      </c>
      <c r="AQ283" s="245"/>
      <c r="AR283" s="245"/>
      <c r="AS283" s="194"/>
      <c r="AT283" s="194"/>
      <c r="AU283" s="114"/>
      <c r="AV283" s="2"/>
    </row>
    <row r="284" spans="1:48" customFormat="1">
      <c r="A284" s="2"/>
      <c r="B284" s="2"/>
      <c r="C284" s="2"/>
      <c r="D284" s="2"/>
      <c r="E284" s="2"/>
      <c r="F284" s="2"/>
      <c r="G284" s="2"/>
      <c r="H284" s="2"/>
      <c r="I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150"/>
      <c r="AM284" s="516" t="s">
        <v>2525</v>
      </c>
      <c r="AN284" s="658" t="s">
        <v>1025</v>
      </c>
      <c r="AO284" s="163" t="s">
        <v>195</v>
      </c>
      <c r="AP284" s="247">
        <f t="shared" si="19"/>
        <v>0</v>
      </c>
      <c r="AQ284" s="245"/>
      <c r="AR284" s="245"/>
      <c r="AS284" s="194"/>
      <c r="AT284" s="194"/>
      <c r="AU284" s="114"/>
      <c r="AV284" s="2"/>
    </row>
    <row r="285" spans="1:48" customFormat="1" ht="0.75" hidden="1" customHeight="1">
      <c r="A285" s="2"/>
      <c r="B285" s="2"/>
      <c r="C285" s="2"/>
      <c r="D285" s="2"/>
      <c r="E285" s="2"/>
      <c r="F285" s="2"/>
      <c r="G285" s="2"/>
      <c r="H285" s="2"/>
      <c r="I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150"/>
      <c r="AM285" s="511"/>
      <c r="AN285" s="512"/>
      <c r="AO285" s="446"/>
      <c r="AP285" s="261"/>
      <c r="AQ285" s="261"/>
      <c r="AR285" s="261"/>
      <c r="AS285" s="194"/>
      <c r="AT285" s="194"/>
      <c r="AU285" s="114"/>
      <c r="AV285" s="2"/>
    </row>
    <row r="286" spans="1:48" customFormat="1" ht="48.75" customHeight="1">
      <c r="A286" s="2"/>
      <c r="B286" s="2"/>
      <c r="C286" s="2"/>
      <c r="D286" s="2"/>
      <c r="E286" s="2"/>
      <c r="F286" s="2"/>
      <c r="G286" s="2"/>
      <c r="H286" s="2"/>
      <c r="I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150"/>
      <c r="AM286" s="516" t="s">
        <v>2527</v>
      </c>
      <c r="AN286" s="659" t="str">
        <f>AN269 &amp; " по данным мониторинга SUMMARY.INV." &amp; IF(TEMPLATE_SPHERE_CODE="HEAT","WARM",IF(TEMPLATE_SPHERE_CODE="COLDVSNA","VSNA",IF(TEMPLATE_SPHERE_CODE="VOTV","VOTV","xxxx"))) &amp; ".12.2024"</f>
        <v>Расходы на финансирование капитальных вложений в соответствии с ИП (ИП, которые утверждены в соответствии с КС): по данным мониторинга SUMMARY.INV.WARM.12.2024</v>
      </c>
      <c r="AO286" s="163" t="s">
        <v>195</v>
      </c>
      <c r="AP286" s="590"/>
      <c r="AQ286" s="241"/>
      <c r="AR286" s="241"/>
      <c r="AS286" s="194"/>
      <c r="AT286" s="194"/>
      <c r="AU286" s="114"/>
      <c r="AV286" s="2"/>
    </row>
    <row r="287" spans="1:48" customFormat="1" ht="0.75" hidden="1" customHeight="1">
      <c r="A287" s="2"/>
      <c r="B287" s="2"/>
      <c r="C287" s="2"/>
      <c r="D287" s="2"/>
      <c r="E287" s="2"/>
      <c r="F287" s="2"/>
      <c r="G287" s="2"/>
      <c r="H287" s="2"/>
      <c r="I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150"/>
      <c r="AM287" s="511"/>
      <c r="AN287" s="512"/>
      <c r="AO287" s="446"/>
      <c r="AP287" s="261"/>
      <c r="AQ287" s="261"/>
      <c r="AR287" s="261"/>
      <c r="AS287" s="194"/>
      <c r="AT287" s="194"/>
      <c r="AU287" s="114"/>
      <c r="AV287" s="2"/>
    </row>
    <row r="288" spans="1:48" customFormat="1" ht="0.75" hidden="1" customHeight="1">
      <c r="A288" s="2"/>
      <c r="B288" s="2"/>
      <c r="C288" s="2"/>
      <c r="D288" s="2"/>
      <c r="E288" s="2"/>
      <c r="F288" s="2"/>
      <c r="G288" s="2"/>
      <c r="H288" s="2"/>
      <c r="I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150"/>
      <c r="AM288" s="511"/>
      <c r="AN288" s="512"/>
      <c r="AO288" s="446"/>
      <c r="AP288" s="261"/>
      <c r="AQ288" s="261"/>
      <c r="AR288" s="261"/>
      <c r="AS288" s="194"/>
      <c r="AT288" s="194"/>
      <c r="AU288" s="114"/>
      <c r="AV288" s="2"/>
    </row>
    <row r="289" spans="1:48" ht="18" customHeight="1">
      <c r="A289" s="2"/>
      <c r="B289" s="2"/>
      <c r="C289" s="2"/>
      <c r="D289" s="2"/>
      <c r="E289" s="2"/>
      <c r="F289" s="2"/>
      <c r="G289" s="2"/>
      <c r="H289" s="2"/>
      <c r="I289" s="2"/>
      <c r="J28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150"/>
      <c r="AM289" s="501"/>
      <c r="AN289" s="633" t="s">
        <v>2295</v>
      </c>
      <c r="AO289" s="632" t="s">
        <v>1300</v>
      </c>
      <c r="AP289" s="261"/>
      <c r="AQ289" s="261"/>
      <c r="AR289" s="261"/>
      <c r="AS289" s="194"/>
      <c r="AT289" s="194"/>
      <c r="AU289" s="114"/>
    </row>
    <row r="290" spans="1:48" ht="20.399999999999999">
      <c r="AK290" s="2"/>
      <c r="AL290" s="20"/>
      <c r="AM290" s="466" t="s">
        <v>1144</v>
      </c>
      <c r="AN290" s="490" t="s">
        <v>2125</v>
      </c>
      <c r="AO290" s="163" t="s">
        <v>195</v>
      </c>
      <c r="AP290" s="247">
        <f t="shared" ref="AP290:AR293" si="20">SUMIF($AS$9:$AT$9,AP$9,$AS290:$AT290)</f>
        <v>0</v>
      </c>
      <c r="AQ290" s="247">
        <f t="shared" si="20"/>
        <v>0</v>
      </c>
      <c r="AR290" s="247">
        <f t="shared" si="20"/>
        <v>0</v>
      </c>
      <c r="AS290" s="194"/>
      <c r="AT290" s="194"/>
      <c r="AU290" s="326"/>
    </row>
    <row r="291" spans="1:48" s="45" customFormat="1" ht="20.399999999999999">
      <c r="AK291" s="2"/>
      <c r="AL291" s="20"/>
      <c r="AM291" s="555" t="str">
        <f>AM290 &amp; ".0.1"</f>
        <v>D.0.1</v>
      </c>
      <c r="AN291" s="490" t="s">
        <v>2120</v>
      </c>
      <c r="AO291" s="163" t="s">
        <v>195</v>
      </c>
      <c r="AP291" s="247">
        <f t="shared" si="20"/>
        <v>0</v>
      </c>
      <c r="AQ291" s="247">
        <f t="shared" si="20"/>
        <v>0</v>
      </c>
      <c r="AR291" s="247">
        <f t="shared" si="20"/>
        <v>0</v>
      </c>
      <c r="AS291" s="194"/>
      <c r="AT291" s="194"/>
      <c r="AU291" s="326"/>
      <c r="AV291" s="2"/>
    </row>
    <row r="292" spans="1:48" s="45" customFormat="1" ht="11.25" customHeight="1">
      <c r="AK292" s="2"/>
      <c r="AL292" s="20"/>
      <c r="AM292" s="555" t="str">
        <f>AM290 &amp; ".0.2"</f>
        <v>D.0.2</v>
      </c>
      <c r="AN292" s="593" t="s">
        <v>44</v>
      </c>
      <c r="AO292" s="162" t="s">
        <v>1026</v>
      </c>
      <c r="AP292" s="247">
        <f t="shared" si="20"/>
        <v>0</v>
      </c>
      <c r="AQ292" s="247">
        <f t="shared" si="20"/>
        <v>0</v>
      </c>
      <c r="AR292" s="247">
        <f t="shared" si="20"/>
        <v>0</v>
      </c>
      <c r="AS292" s="194"/>
      <c r="AT292" s="194"/>
      <c r="AU292" s="2"/>
      <c r="AV292" s="2"/>
    </row>
    <row r="293" spans="1:48" s="45" customFormat="1">
      <c r="AK293" s="2"/>
      <c r="AL293" s="20"/>
      <c r="AM293" s="555" t="str">
        <f>AM290 &amp; ".1"</f>
        <v>D.1</v>
      </c>
      <c r="AN293" s="556" t="s">
        <v>602</v>
      </c>
      <c r="AO293" s="163" t="s">
        <v>195</v>
      </c>
      <c r="AP293" s="247">
        <f t="shared" si="20"/>
        <v>0</v>
      </c>
      <c r="AQ293" s="247">
        <f t="shared" si="20"/>
        <v>0</v>
      </c>
      <c r="AR293" s="247">
        <f t="shared" si="20"/>
        <v>0</v>
      </c>
      <c r="AS293" s="194"/>
      <c r="AT293" s="194"/>
      <c r="AU293" s="2"/>
      <c r="AV293" s="2"/>
    </row>
    <row r="294" spans="1:48" s="45" customFormat="1">
      <c r="AK294" s="2"/>
      <c r="AL294" s="20"/>
      <c r="AM294" s="466" t="str">
        <f>AM293 &amp; ".1"</f>
        <v>D.1.1</v>
      </c>
      <c r="AN294" s="557" t="s">
        <v>398</v>
      </c>
      <c r="AO294" s="162" t="s">
        <v>397</v>
      </c>
      <c r="AP294" s="244">
        <f>IF(AP295=0,0,AP293/AP295)</f>
        <v>0</v>
      </c>
      <c r="AQ294" s="244">
        <f>IF(AQ295=0,0,AQ293/AQ295)</f>
        <v>0</v>
      </c>
      <c r="AR294" s="244">
        <f>IF(AR295=0,0,AR293/AR295)</f>
        <v>0</v>
      </c>
      <c r="AS294" s="194"/>
      <c r="AT294" s="194"/>
      <c r="AU294" s="2"/>
      <c r="AV294" s="2"/>
    </row>
    <row r="295" spans="1:48" s="45" customFormat="1">
      <c r="AK295" s="2"/>
      <c r="AL295" s="20"/>
      <c r="AM295" s="466" t="str">
        <f>AM293 &amp; ".2"</f>
        <v>D.1.2</v>
      </c>
      <c r="AN295" s="557" t="s">
        <v>283</v>
      </c>
      <c r="AO295" s="162" t="s">
        <v>1026</v>
      </c>
      <c r="AP295" s="247">
        <f t="shared" ref="AP295:AR296" si="21">SUMIF($AS$9:$AT$9,AP$9,$AS295:$AT295)</f>
        <v>0</v>
      </c>
      <c r="AQ295" s="247">
        <f t="shared" si="21"/>
        <v>0</v>
      </c>
      <c r="AR295" s="247">
        <f t="shared" si="21"/>
        <v>0</v>
      </c>
      <c r="AS295" s="194"/>
      <c r="AT295" s="194"/>
      <c r="AU295" s="2"/>
      <c r="AV295" s="2"/>
    </row>
    <row r="296" spans="1:48" s="45" customFormat="1">
      <c r="AK296" s="2"/>
      <c r="AL296" s="20"/>
      <c r="AM296" s="555" t="str">
        <f>AM290 &amp; ".2"</f>
        <v>D.2</v>
      </c>
      <c r="AN296" s="556" t="s">
        <v>161</v>
      </c>
      <c r="AO296" s="163" t="s">
        <v>195</v>
      </c>
      <c r="AP296" s="247">
        <f t="shared" si="21"/>
        <v>0</v>
      </c>
      <c r="AQ296" s="247">
        <f t="shared" si="21"/>
        <v>0</v>
      </c>
      <c r="AR296" s="247">
        <f t="shared" si="21"/>
        <v>0</v>
      </c>
      <c r="AS296" s="194"/>
      <c r="AT296" s="194"/>
      <c r="AU296" s="2"/>
      <c r="AV296" s="2"/>
    </row>
    <row r="297" spans="1:48">
      <c r="AK297" s="2"/>
      <c r="AL297" s="20"/>
      <c r="AM297" s="466" t="str">
        <f>AM296 &amp; ".1"</f>
        <v>D.2.1</v>
      </c>
      <c r="AN297" s="557" t="s">
        <v>398</v>
      </c>
      <c r="AO297" s="162" t="s">
        <v>397</v>
      </c>
      <c r="AP297" s="244">
        <f>IF(AP298=0,0,AP296/AP298)</f>
        <v>0</v>
      </c>
      <c r="AQ297" s="244">
        <f>IF(AQ298=0,0,AQ296/AQ298)</f>
        <v>0</v>
      </c>
      <c r="AR297" s="244">
        <f>IF(AR298=0,0,AR296/AR298)</f>
        <v>0</v>
      </c>
      <c r="AS297" s="194"/>
      <c r="AT297" s="194"/>
    </row>
    <row r="298" spans="1:48" s="45" customFormat="1">
      <c r="AK298" s="2"/>
      <c r="AL298" s="20"/>
      <c r="AM298" s="466" t="str">
        <f>AM296 &amp; ".2"</f>
        <v>D.2.2</v>
      </c>
      <c r="AN298" s="557" t="s">
        <v>283</v>
      </c>
      <c r="AO298" s="162" t="s">
        <v>1026</v>
      </c>
      <c r="AP298" s="247">
        <f t="shared" ref="AP298:AR299" si="22">SUMIF($AS$9:$AT$9,AP$9,$AS298:$AT298)</f>
        <v>0</v>
      </c>
      <c r="AQ298" s="247">
        <f t="shared" si="22"/>
        <v>0</v>
      </c>
      <c r="AR298" s="247">
        <f t="shared" si="22"/>
        <v>0</v>
      </c>
      <c r="AS298" s="194"/>
      <c r="AT298" s="194"/>
      <c r="AU298" s="2"/>
      <c r="AV298" s="2"/>
    </row>
    <row r="299" spans="1:48" s="45" customFormat="1">
      <c r="AK299" s="2"/>
      <c r="AL299" s="20"/>
      <c r="AM299" s="555" t="str">
        <f>AM290 &amp; ".3"</f>
        <v>D.3</v>
      </c>
      <c r="AN299" s="556" t="s">
        <v>162</v>
      </c>
      <c r="AO299" s="163" t="s">
        <v>195</v>
      </c>
      <c r="AP299" s="247">
        <f t="shared" si="22"/>
        <v>0</v>
      </c>
      <c r="AQ299" s="247">
        <f t="shared" si="22"/>
        <v>0</v>
      </c>
      <c r="AR299" s="247">
        <f t="shared" si="22"/>
        <v>0</v>
      </c>
      <c r="AS299" s="194"/>
      <c r="AT299" s="194"/>
      <c r="AU299" s="2"/>
      <c r="AV299" s="2"/>
    </row>
    <row r="300" spans="1:48">
      <c r="AK300" s="2"/>
      <c r="AL300" s="20"/>
      <c r="AM300" s="466" t="str">
        <f>AM299 &amp; ".1"</f>
        <v>D.3.1</v>
      </c>
      <c r="AN300" s="557" t="s">
        <v>398</v>
      </c>
      <c r="AO300" s="162" t="s">
        <v>397</v>
      </c>
      <c r="AP300" s="244">
        <f>IF(AP301=0,0,AP299/AP301)</f>
        <v>0</v>
      </c>
      <c r="AQ300" s="244">
        <f>IF(AQ301=0,0,AQ299/AQ301)</f>
        <v>0</v>
      </c>
      <c r="AR300" s="244">
        <f>IF(AR301=0,0,AR299/AR301)</f>
        <v>0</v>
      </c>
      <c r="AS300" s="194"/>
      <c r="AT300" s="194"/>
      <c r="AV300" s="45"/>
    </row>
    <row r="301" spans="1:48">
      <c r="AK301" s="2"/>
      <c r="AL301" s="20"/>
      <c r="AM301" s="466" t="str">
        <f>AM299 &amp; ".2"</f>
        <v>D.3.2</v>
      </c>
      <c r="AN301" s="557" t="s">
        <v>283</v>
      </c>
      <c r="AO301" s="162" t="s">
        <v>1026</v>
      </c>
      <c r="AP301" s="247">
        <f t="shared" ref="AP301:AR302" si="23">SUMIF($AS$9:$AT$9,AP$9,$AS301:$AT301)</f>
        <v>0</v>
      </c>
      <c r="AQ301" s="247">
        <f t="shared" si="23"/>
        <v>0</v>
      </c>
      <c r="AR301" s="247">
        <f t="shared" si="23"/>
        <v>0</v>
      </c>
      <c r="AS301" s="194"/>
      <c r="AT301" s="194"/>
      <c r="AV301" s="45"/>
    </row>
    <row r="302" spans="1:48">
      <c r="AK302" s="2"/>
      <c r="AL302" s="20"/>
      <c r="AM302" s="555" t="str">
        <f>AM290 &amp; ".4"</f>
        <v>D.4</v>
      </c>
      <c r="AN302" s="556" t="s">
        <v>169</v>
      </c>
      <c r="AO302" s="163" t="s">
        <v>195</v>
      </c>
      <c r="AP302" s="247">
        <f t="shared" si="23"/>
        <v>0</v>
      </c>
      <c r="AQ302" s="247">
        <f t="shared" si="23"/>
        <v>0</v>
      </c>
      <c r="AR302" s="247">
        <f t="shared" si="23"/>
        <v>0</v>
      </c>
      <c r="AS302" s="194"/>
      <c r="AT302" s="194"/>
      <c r="AV302" s="45"/>
    </row>
    <row r="303" spans="1:48">
      <c r="A303" s="2"/>
      <c r="B303" s="2"/>
      <c r="C303" s="2"/>
      <c r="D303" s="2"/>
      <c r="E303" s="2"/>
      <c r="F303" s="2"/>
      <c r="G303" s="2"/>
      <c r="H303" s="2"/>
      <c r="I303" s="2"/>
      <c r="J30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0"/>
      <c r="AM303" s="466" t="str">
        <f>AM302 &amp; ".1"</f>
        <v>D.4.1</v>
      </c>
      <c r="AN303" s="557" t="s">
        <v>398</v>
      </c>
      <c r="AO303" s="162" t="s">
        <v>397</v>
      </c>
      <c r="AP303" s="244">
        <f>IF(AP304=0,0,AP302/AP304)</f>
        <v>0</v>
      </c>
      <c r="AQ303" s="244">
        <f>IF(AQ304=0,0,AQ302/AQ304)</f>
        <v>0</v>
      </c>
      <c r="AR303" s="244">
        <f>IF(AR304=0,0,AR302/AR304)</f>
        <v>0</v>
      </c>
      <c r="AS303" s="194"/>
      <c r="AT303" s="194"/>
    </row>
    <row r="304" spans="1:48">
      <c r="A304" s="2"/>
      <c r="B304" s="2"/>
      <c r="C304" s="2"/>
      <c r="D304" s="2"/>
      <c r="E304" s="2"/>
      <c r="F304" s="2"/>
      <c r="G304" s="2"/>
      <c r="H304" s="2"/>
      <c r="I304" s="2"/>
      <c r="J30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0"/>
      <c r="AM304" s="466" t="str">
        <f>AM302 &amp; ".2"</f>
        <v>D.4.2</v>
      </c>
      <c r="AN304" s="557" t="s">
        <v>283</v>
      </c>
      <c r="AO304" s="162" t="s">
        <v>1026</v>
      </c>
      <c r="AP304" s="247">
        <f t="shared" ref="AP304:AR306" si="24">SUMIF($AS$9:$AT$9,AP$9,$AS304:$AT304)</f>
        <v>0</v>
      </c>
      <c r="AQ304" s="247">
        <f t="shared" si="24"/>
        <v>0</v>
      </c>
      <c r="AR304" s="247">
        <f t="shared" si="24"/>
        <v>0</v>
      </c>
      <c r="AS304" s="194"/>
      <c r="AT304" s="194"/>
    </row>
    <row r="305" spans="1:46">
      <c r="A305" s="2"/>
      <c r="B305" s="2"/>
      <c r="C305" s="2"/>
      <c r="D305" s="2"/>
      <c r="E305" s="2"/>
      <c r="F305" s="2"/>
      <c r="G305" s="2"/>
      <c r="H305" s="2"/>
      <c r="I305" s="2"/>
      <c r="J30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150"/>
      <c r="AM305" s="503" t="str">
        <f>AM290 &amp; ".5"</f>
        <v>D.5</v>
      </c>
      <c r="AN305" s="497" t="s">
        <v>2121</v>
      </c>
      <c r="AO305" s="163" t="s">
        <v>195</v>
      </c>
      <c r="AP305" s="247">
        <f t="shared" si="24"/>
        <v>0</v>
      </c>
      <c r="AQ305" s="247">
        <f t="shared" si="24"/>
        <v>0</v>
      </c>
      <c r="AR305" s="247">
        <f t="shared" si="24"/>
        <v>0</v>
      </c>
      <c r="AS305" s="194"/>
      <c r="AT305" s="194"/>
    </row>
    <row r="306" spans="1:46" ht="20.399999999999999">
      <c r="A306" s="2"/>
      <c r="B306" s="2"/>
      <c r="C306" s="2"/>
      <c r="D306" s="2"/>
      <c r="E306" s="2"/>
      <c r="F306" s="2"/>
      <c r="G306" s="2"/>
      <c r="H306" s="2"/>
      <c r="I306" s="2"/>
      <c r="J306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150"/>
      <c r="AM306" s="620" t="str">
        <f>AM290 &amp; ".6"</f>
        <v>D.6</v>
      </c>
      <c r="AN306" s="621" t="s">
        <v>2175</v>
      </c>
      <c r="AO306" s="616" t="s">
        <v>195</v>
      </c>
      <c r="AP306" s="253">
        <f t="shared" si="24"/>
        <v>0</v>
      </c>
      <c r="AQ306" s="253">
        <f t="shared" si="24"/>
        <v>0</v>
      </c>
      <c r="AR306" s="253">
        <f t="shared" si="24"/>
        <v>0</v>
      </c>
      <c r="AS306" s="194"/>
      <c r="AT306" s="194"/>
    </row>
    <row r="307" spans="1:46" ht="0.75" hidden="1" customHeight="1">
      <c r="A307" s="2"/>
      <c r="B307" s="2"/>
      <c r="C307" s="2"/>
      <c r="D307" s="2"/>
      <c r="E307" s="2"/>
      <c r="F307" s="2"/>
      <c r="G307" s="2"/>
      <c r="H307" s="2"/>
      <c r="I307" s="2"/>
      <c r="J30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150"/>
      <c r="AM307" s="500"/>
      <c r="AN307" s="622"/>
      <c r="AO307" s="166"/>
      <c r="AP307" s="242"/>
      <c r="AQ307" s="242"/>
      <c r="AR307" s="242"/>
      <c r="AS307" s="223"/>
      <c r="AT307" s="194"/>
    </row>
    <row r="308" spans="1:46" ht="0.75" hidden="1" customHeight="1">
      <c r="A308" s="2"/>
      <c r="B308" s="2"/>
      <c r="C308" s="2"/>
      <c r="D308" s="2"/>
      <c r="E308" s="2"/>
      <c r="F308" s="2"/>
      <c r="G308" s="2"/>
      <c r="H308" s="2"/>
      <c r="I308" s="2"/>
      <c r="J308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150"/>
      <c r="AM308" s="500"/>
      <c r="AN308" s="622"/>
      <c r="AO308" s="166"/>
      <c r="AP308" s="242"/>
      <c r="AQ308" s="242"/>
      <c r="AR308" s="242"/>
      <c r="AS308" s="223"/>
      <c r="AT308" s="194"/>
    </row>
    <row r="309" spans="1:46" ht="0.75" hidden="1" customHeight="1">
      <c r="A309" s="2"/>
      <c r="B309" s="2"/>
      <c r="C309" s="2"/>
      <c r="D309" s="2"/>
      <c r="E309" s="2"/>
      <c r="F309" s="2"/>
      <c r="G309" s="2"/>
      <c r="H309" s="2"/>
      <c r="I309" s="2"/>
      <c r="J30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150"/>
      <c r="AM309" s="500"/>
      <c r="AN309" s="622"/>
      <c r="AO309" s="166"/>
      <c r="AP309" s="242"/>
      <c r="AQ309" s="242"/>
      <c r="AR309" s="242"/>
      <c r="AS309" s="223"/>
      <c r="AT309" s="194"/>
    </row>
    <row r="310" spans="1:46" ht="0.75" hidden="1" customHeight="1">
      <c r="A310" s="2"/>
      <c r="B310" s="2"/>
      <c r="C310" s="2"/>
      <c r="D310" s="2"/>
      <c r="E310" s="2"/>
      <c r="F310" s="2"/>
      <c r="G310" s="2"/>
      <c r="H310" s="2"/>
      <c r="I310" s="2"/>
      <c r="J310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150"/>
      <c r="AM310" s="500"/>
      <c r="AN310" s="622"/>
      <c r="AO310" s="166"/>
      <c r="AP310" s="242"/>
      <c r="AQ310" s="242"/>
      <c r="AR310" s="242"/>
      <c r="AS310" s="223"/>
      <c r="AT310" s="194"/>
    </row>
    <row r="311" spans="1:46" ht="0.75" hidden="1" customHeight="1">
      <c r="A311" s="2"/>
      <c r="B311" s="2"/>
      <c r="C311" s="2"/>
      <c r="D311" s="2"/>
      <c r="E311" s="2"/>
      <c r="F311" s="2"/>
      <c r="G311" s="2"/>
      <c r="H311" s="2"/>
      <c r="I311" s="2"/>
      <c r="J3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150"/>
      <c r="AM311" s="500"/>
      <c r="AN311" s="622"/>
      <c r="AO311" s="166"/>
      <c r="AP311" s="242"/>
      <c r="AQ311" s="242"/>
      <c r="AR311" s="242"/>
      <c r="AS311" s="223"/>
      <c r="AT311" s="194"/>
    </row>
    <row r="312" spans="1:46" ht="0.75" hidden="1" customHeight="1">
      <c r="A312" s="2"/>
      <c r="B312" s="2"/>
      <c r="C312" s="2"/>
      <c r="D312" s="2"/>
      <c r="E312" s="2"/>
      <c r="F312" s="2"/>
      <c r="G312" s="2"/>
      <c r="H312" s="2"/>
      <c r="I312" s="2"/>
      <c r="J31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150"/>
      <c r="AM312" s="500"/>
      <c r="AN312" s="622"/>
      <c r="AO312" s="166"/>
      <c r="AP312" s="242"/>
      <c r="AQ312" s="242"/>
      <c r="AR312" s="242"/>
      <c r="AS312" s="223"/>
      <c r="AT312" s="194"/>
    </row>
    <row r="313" spans="1:46">
      <c r="A313" s="2"/>
      <c r="B313" s="2"/>
      <c r="C313" s="2"/>
      <c r="D313" s="2"/>
      <c r="E313" s="2"/>
      <c r="F313" s="2"/>
      <c r="G313" s="2"/>
      <c r="H313" s="2"/>
      <c r="I313" s="2"/>
      <c r="J3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150"/>
      <c r="AM313" s="623"/>
      <c r="AN313" s="627" t="s">
        <v>2261</v>
      </c>
      <c r="AO313" s="166"/>
      <c r="AP313" s="261"/>
      <c r="AQ313" s="261"/>
      <c r="AR313" s="261"/>
      <c r="AS313" s="223"/>
      <c r="AT313" s="194"/>
    </row>
    <row r="314" spans="1:46">
      <c r="A314" s="2"/>
      <c r="B314" s="2"/>
      <c r="C314" s="2"/>
      <c r="D314" s="2"/>
      <c r="E314" s="2"/>
      <c r="F314" s="2"/>
      <c r="G314" s="2"/>
      <c r="H314" s="2"/>
      <c r="I314" s="2"/>
      <c r="J31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150"/>
      <c r="AM314" s="623"/>
      <c r="AN314" s="627" t="s">
        <v>787</v>
      </c>
      <c r="AO314" s="166"/>
      <c r="AP314" s="261"/>
      <c r="AQ314" s="261"/>
      <c r="AR314" s="261"/>
      <c r="AS314" s="223"/>
      <c r="AT314" s="194"/>
    </row>
    <row r="315" spans="1:46" ht="20.399999999999999">
      <c r="A315" s="2"/>
      <c r="B315" s="2"/>
      <c r="C315" s="2"/>
      <c r="D315" s="2"/>
      <c r="E315" s="2"/>
      <c r="F315" s="2"/>
      <c r="G315" s="2"/>
      <c r="H315" s="2"/>
      <c r="I315" s="2"/>
      <c r="J31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150"/>
      <c r="AM315" s="624"/>
      <c r="AN315" s="503" t="str">
        <f>"Стоимость основных средств, относимых на источники производства (приём) " &amp; RESOURCE_IDENTIFIER</f>
        <v>Стоимость основных средств, относимых на источники производства (приём) ТЭ</v>
      </c>
      <c r="AO315" s="163" t="s">
        <v>195</v>
      </c>
      <c r="AP315" s="245"/>
      <c r="AQ315" s="261"/>
      <c r="AR315" s="261"/>
      <c r="AS315" s="223"/>
      <c r="AT315" s="194"/>
    </row>
    <row r="316" spans="1:46">
      <c r="A316" s="2"/>
      <c r="B316" s="2"/>
      <c r="C316" s="2"/>
      <c r="D316" s="2"/>
      <c r="E316" s="2"/>
      <c r="F316" s="2"/>
      <c r="G316" s="2"/>
      <c r="H316" s="2"/>
      <c r="I316" s="2"/>
      <c r="J316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150"/>
      <c r="AM316" s="624"/>
      <c r="AN316" s="503" t="str">
        <f>"Количество " &amp; TEMPLATE_SPHERE_OKK_SOURCE</f>
        <v>Количество ТИ</v>
      </c>
      <c r="AO316" s="163" t="s">
        <v>289</v>
      </c>
      <c r="AP316" s="625"/>
      <c r="AQ316" s="261"/>
      <c r="AR316" s="261"/>
      <c r="AS316" s="223"/>
      <c r="AT316" s="194"/>
    </row>
    <row r="317" spans="1:46">
      <c r="A317" s="2"/>
      <c r="B317" s="2"/>
      <c r="C317" s="2"/>
      <c r="D317" s="2"/>
      <c r="E317" s="2"/>
      <c r="F317" s="2"/>
      <c r="G317" s="2"/>
      <c r="H317" s="2"/>
      <c r="I317" s="2"/>
      <c r="J31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150"/>
      <c r="AM317" s="624"/>
      <c r="AN317" s="503" t="s">
        <v>2262</v>
      </c>
      <c r="AO317" s="163" t="s">
        <v>755</v>
      </c>
      <c r="AP317" s="245"/>
      <c r="AQ317" s="261"/>
      <c r="AR317" s="261"/>
      <c r="AS317" s="223"/>
      <c r="AT317" s="194"/>
    </row>
    <row r="318" spans="1:46">
      <c r="A318" s="2"/>
      <c r="B318" s="2"/>
      <c r="C318" s="2"/>
      <c r="D318" s="2"/>
      <c r="E318" s="2"/>
      <c r="F318" s="2"/>
      <c r="G318" s="2"/>
      <c r="H318" s="2"/>
      <c r="I318" s="2"/>
      <c r="J318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150"/>
      <c r="AM318" s="623"/>
      <c r="AN318" s="627" t="s">
        <v>2263</v>
      </c>
      <c r="AO318" s="166"/>
      <c r="AP318" s="261"/>
      <c r="AQ318" s="261"/>
      <c r="AR318" s="261"/>
      <c r="AS318" s="223"/>
      <c r="AT318" s="194"/>
    </row>
    <row r="319" spans="1:46" ht="20.399999999999999">
      <c r="A319" s="2"/>
      <c r="B319" s="2"/>
      <c r="C319" s="2"/>
      <c r="D319" s="2"/>
      <c r="E319" s="2"/>
      <c r="F319" s="2"/>
      <c r="G319" s="2"/>
      <c r="H319" s="2"/>
      <c r="I319" s="2"/>
      <c r="J31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150"/>
      <c r="AM319" s="624"/>
      <c r="AN319" s="503" t="str">
        <f>"Стоимость основных средств, относимых на системы / сооружения для очистки " &amp; RESOURCE_IDENTIFIER</f>
        <v>Стоимость основных средств, относимых на системы / сооружения для очистки ТЭ</v>
      </c>
      <c r="AO319" s="163" t="s">
        <v>195</v>
      </c>
      <c r="AP319" s="245"/>
      <c r="AQ319" s="261"/>
      <c r="AR319" s="261"/>
      <c r="AS319" s="223"/>
      <c r="AT319" s="194"/>
    </row>
    <row r="320" spans="1:46" ht="0.75" hidden="1" customHeight="1">
      <c r="A320" s="2"/>
      <c r="B320" s="2"/>
      <c r="C320" s="2"/>
      <c r="D320" s="2"/>
      <c r="E320" s="2"/>
      <c r="F320" s="2"/>
      <c r="G320" s="2"/>
      <c r="H320" s="2"/>
      <c r="I320" s="2"/>
      <c r="J320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150"/>
      <c r="AM320" s="626"/>
      <c r="AN320" s="495"/>
      <c r="AO320" s="166"/>
      <c r="AP320" s="261"/>
      <c r="AQ320" s="261"/>
      <c r="AR320" s="261"/>
      <c r="AS320" s="223"/>
      <c r="AT320" s="194"/>
    </row>
    <row r="321" spans="1:46" ht="0.75" hidden="1" customHeight="1">
      <c r="A321" s="2"/>
      <c r="B321" s="2"/>
      <c r="C321" s="2"/>
      <c r="D321" s="2"/>
      <c r="E321" s="2"/>
      <c r="F321" s="2"/>
      <c r="G321" s="2"/>
      <c r="H321" s="2"/>
      <c r="I321" s="2"/>
      <c r="J32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150"/>
      <c r="AM321" s="626"/>
      <c r="AN321" s="495"/>
      <c r="AO321" s="166"/>
      <c r="AP321" s="261"/>
      <c r="AQ321" s="261"/>
      <c r="AR321" s="261"/>
      <c r="AS321" s="223"/>
      <c r="AT321" s="194"/>
    </row>
    <row r="322" spans="1:46">
      <c r="A322" s="2"/>
      <c r="B322" s="2"/>
      <c r="C322" s="2"/>
      <c r="D322" s="2"/>
      <c r="E322" s="2"/>
      <c r="F322" s="2"/>
      <c r="G322" s="2"/>
      <c r="H322" s="2"/>
      <c r="I322" s="2"/>
      <c r="J3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150"/>
      <c r="AM322" s="624"/>
      <c r="AN322" s="503" t="s">
        <v>2262</v>
      </c>
      <c r="AO322" s="163" t="s">
        <v>755</v>
      </c>
      <c r="AP322" s="245"/>
      <c r="AQ322" s="261"/>
      <c r="AR322" s="261"/>
      <c r="AS322" s="223"/>
      <c r="AT322" s="194"/>
    </row>
    <row r="323" spans="1:46">
      <c r="A323" s="2"/>
      <c r="B323" s="2"/>
      <c r="C323" s="2"/>
      <c r="D323" s="2"/>
      <c r="E323" s="2"/>
      <c r="F323" s="2"/>
      <c r="G323" s="2"/>
      <c r="H323" s="2"/>
      <c r="I323" s="2"/>
      <c r="J32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150"/>
      <c r="AM323" s="623"/>
      <c r="AN323" s="627" t="s">
        <v>2264</v>
      </c>
      <c r="AO323" s="166"/>
      <c r="AP323" s="261"/>
      <c r="AQ323" s="261"/>
      <c r="AR323" s="261"/>
      <c r="AS323" s="223"/>
      <c r="AT323" s="194"/>
    </row>
    <row r="324" spans="1:46" ht="20.399999999999999">
      <c r="A324" s="2"/>
      <c r="B324" s="2"/>
      <c r="C324" s="2"/>
      <c r="D324" s="2"/>
      <c r="E324" s="2"/>
      <c r="F324" s="2"/>
      <c r="G324" s="2"/>
      <c r="H324" s="2"/>
      <c r="I324" s="2"/>
      <c r="J32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150"/>
      <c r="AM324" s="624"/>
      <c r="AN324" s="503" t="s">
        <v>2265</v>
      </c>
      <c r="AO324" s="163" t="s">
        <v>195</v>
      </c>
      <c r="AP324" s="245"/>
      <c r="AQ324" s="261"/>
      <c r="AR324" s="261"/>
      <c r="AS324" s="223"/>
      <c r="AT324" s="194"/>
    </row>
    <row r="325" spans="1:46">
      <c r="A325" s="2"/>
      <c r="B325" s="2"/>
      <c r="C325" s="2"/>
      <c r="D325" s="2"/>
      <c r="E325" s="2"/>
      <c r="F325" s="2"/>
      <c r="G325" s="2"/>
      <c r="H325" s="2"/>
      <c r="I325" s="2"/>
      <c r="J3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150"/>
      <c r="AM325" s="624"/>
      <c r="AN325" s="503" t="s">
        <v>2266</v>
      </c>
      <c r="AO325" s="163" t="s">
        <v>2267</v>
      </c>
      <c r="AP325" s="245"/>
      <c r="AQ325" s="261"/>
      <c r="AR325" s="261"/>
      <c r="AS325" s="223"/>
      <c r="AT325" s="194"/>
    </row>
    <row r="326" spans="1:46">
      <c r="A326" s="2"/>
      <c r="B326" s="2"/>
      <c r="C326" s="2"/>
      <c r="D326" s="2"/>
      <c r="E326" s="2"/>
      <c r="F326" s="2"/>
      <c r="G326" s="2"/>
      <c r="H326" s="2"/>
      <c r="I326" s="2"/>
      <c r="J326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150"/>
      <c r="AM326" s="624"/>
      <c r="AN326" s="503" t="s">
        <v>2268</v>
      </c>
      <c r="AO326" s="163" t="s">
        <v>2267</v>
      </c>
      <c r="AP326" s="245"/>
      <c r="AQ326" s="261"/>
      <c r="AR326" s="261"/>
      <c r="AS326" s="223"/>
      <c r="AT326" s="194"/>
    </row>
    <row r="327" spans="1:46">
      <c r="A327" s="2"/>
      <c r="B327" s="2"/>
      <c r="C327" s="2"/>
      <c r="D327" s="2"/>
      <c r="E327" s="2"/>
      <c r="F327" s="2"/>
      <c r="G327" s="2"/>
      <c r="H327" s="2"/>
      <c r="I327" s="2"/>
      <c r="J32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150"/>
      <c r="AM327" s="623"/>
      <c r="AN327" s="627" t="s">
        <v>788</v>
      </c>
      <c r="AO327" s="166"/>
      <c r="AP327" s="261"/>
      <c r="AQ327" s="261"/>
      <c r="AR327" s="261"/>
      <c r="AS327" s="223"/>
      <c r="AT327" s="194"/>
    </row>
    <row r="328" spans="1:46" ht="20.399999999999999">
      <c r="A328" s="2"/>
      <c r="B328" s="2"/>
      <c r="C328" s="2"/>
      <c r="D328" s="2"/>
      <c r="E328" s="2"/>
      <c r="F328" s="2"/>
      <c r="G328" s="2"/>
      <c r="H328" s="2"/>
      <c r="I328" s="2"/>
      <c r="J328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150"/>
      <c r="AM328" s="624"/>
      <c r="AN328" s="503" t="s">
        <v>2269</v>
      </c>
      <c r="AO328" s="162" t="s">
        <v>1026</v>
      </c>
      <c r="AP328" s="245"/>
      <c r="AQ328" s="261"/>
      <c r="AR328" s="261"/>
      <c r="AS328" s="223"/>
      <c r="AT328" s="194"/>
    </row>
    <row r="329" spans="1:46">
      <c r="A329" s="2"/>
      <c r="B329" s="2"/>
      <c r="C329" s="2"/>
      <c r="D329" s="2"/>
      <c r="E329" s="2"/>
      <c r="F329" s="2"/>
      <c r="G329" s="2"/>
      <c r="H329" s="2"/>
      <c r="I329" s="2"/>
      <c r="J32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150"/>
      <c r="AM329" s="624"/>
      <c r="AN329" s="503" t="s">
        <v>2270</v>
      </c>
      <c r="AO329" s="163" t="s">
        <v>2271</v>
      </c>
      <c r="AP329" s="625"/>
      <c r="AQ329" s="261"/>
      <c r="AR329" s="261"/>
      <c r="AS329" s="223"/>
      <c r="AT329" s="194"/>
    </row>
    <row r="330" spans="1:46">
      <c r="A330" s="2"/>
      <c r="B330" s="2"/>
      <c r="C330" s="2"/>
      <c r="D330" s="2"/>
      <c r="E330" s="2"/>
      <c r="F330" s="2"/>
      <c r="G330" s="2"/>
      <c r="H330" s="2"/>
      <c r="I330" s="2"/>
      <c r="J330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150"/>
      <c r="AM330" s="624"/>
      <c r="AN330" s="503" t="s">
        <v>2272</v>
      </c>
      <c r="AO330" s="163" t="s">
        <v>2273</v>
      </c>
      <c r="AP330" s="625"/>
      <c r="AQ330" s="261"/>
      <c r="AR330" s="261"/>
      <c r="AS330" s="223"/>
      <c r="AT330" s="194"/>
    </row>
    <row r="331" spans="1:46" ht="0.75" hidden="1" customHeight="1">
      <c r="A331" s="2"/>
      <c r="B331" s="2"/>
      <c r="C331" s="2"/>
      <c r="D331" s="2"/>
      <c r="E331" s="2"/>
      <c r="F331" s="2"/>
      <c r="G331" s="2"/>
      <c r="H331" s="2"/>
      <c r="I331" s="2"/>
      <c r="J33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150"/>
      <c r="AM331" s="500"/>
      <c r="AN331" s="622"/>
      <c r="AO331" s="166"/>
      <c r="AP331" s="242"/>
      <c r="AQ331" s="242"/>
      <c r="AR331" s="242"/>
      <c r="AS331" s="223"/>
      <c r="AT331" s="194"/>
    </row>
    <row r="332" spans="1:46" ht="0.75" hidden="1" customHeight="1">
      <c r="A332" s="2"/>
      <c r="B332" s="2"/>
      <c r="C332" s="2"/>
      <c r="D332" s="2"/>
      <c r="E332" s="2"/>
      <c r="F332" s="2"/>
      <c r="G332" s="2"/>
      <c r="H332" s="2"/>
      <c r="I332" s="2"/>
      <c r="J33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150"/>
      <c r="AM332" s="500"/>
      <c r="AN332" s="622"/>
      <c r="AO332" s="166"/>
      <c r="AP332" s="242"/>
      <c r="AQ332" s="242"/>
      <c r="AR332" s="242"/>
      <c r="AS332" s="223"/>
      <c r="AT332" s="194"/>
    </row>
    <row r="333" spans="1:46" ht="11.25" customHeight="1">
      <c r="A333" s="2"/>
      <c r="B333" s="2"/>
      <c r="C333" s="2"/>
      <c r="D333" s="2"/>
      <c r="E333" s="2"/>
      <c r="F333" s="2"/>
      <c r="G333" s="2"/>
      <c r="H333" s="2"/>
      <c r="I333" s="2"/>
      <c r="J33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150"/>
      <c r="AM333" s="509" t="s">
        <v>3002</v>
      </c>
      <c r="AN333" s="740" t="s">
        <v>3003</v>
      </c>
      <c r="AO333" s="443" t="s">
        <v>195</v>
      </c>
      <c r="AP333" s="253">
        <f t="shared" ref="AP333:AR335" si="25">SUMIF($AS$9:$AT$9,AP$9,$AS333:$AT333)</f>
        <v>0</v>
      </c>
      <c r="AQ333" s="253">
        <f t="shared" si="25"/>
        <v>0</v>
      </c>
      <c r="AR333" s="253">
        <f t="shared" si="25"/>
        <v>0</v>
      </c>
      <c r="AS333" s="223"/>
      <c r="AT333" s="194"/>
    </row>
    <row r="334" spans="1:46" ht="11.25" customHeight="1">
      <c r="A334" s="2"/>
      <c r="B334" s="2"/>
      <c r="C334" s="2"/>
      <c r="D334" s="2"/>
      <c r="E334" s="2"/>
      <c r="F334" s="2"/>
      <c r="G334" s="2"/>
      <c r="H334" s="2"/>
      <c r="I334" s="2"/>
      <c r="J33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150"/>
      <c r="AM334" s="510" t="str">
        <f>AM333 &amp; ".1"</f>
        <v>Э.1.1.1</v>
      </c>
      <c r="AN334" s="742" t="s">
        <v>3004</v>
      </c>
      <c r="AO334" s="443" t="s">
        <v>195</v>
      </c>
      <c r="AP334" s="253">
        <f t="shared" si="25"/>
        <v>0</v>
      </c>
      <c r="AQ334" s="253">
        <f t="shared" si="25"/>
        <v>0</v>
      </c>
      <c r="AR334" s="253">
        <f t="shared" si="25"/>
        <v>0</v>
      </c>
      <c r="AS334" s="223"/>
      <c r="AT334" s="194"/>
    </row>
    <row r="335" spans="1:46" ht="11.25" customHeight="1">
      <c r="A335" s="2"/>
      <c r="B335" s="2"/>
      <c r="C335" s="2"/>
      <c r="D335" s="2"/>
      <c r="E335" s="2"/>
      <c r="F335" s="2"/>
      <c r="G335" s="2"/>
      <c r="H335" s="2"/>
      <c r="I335" s="2"/>
      <c r="J33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150"/>
      <c r="AM335" s="509" t="s">
        <v>3005</v>
      </c>
      <c r="AN335" s="740" t="s">
        <v>3006</v>
      </c>
      <c r="AO335" s="443" t="s">
        <v>195</v>
      </c>
      <c r="AP335" s="253">
        <f t="shared" si="25"/>
        <v>0</v>
      </c>
      <c r="AQ335" s="253">
        <f t="shared" si="25"/>
        <v>0</v>
      </c>
      <c r="AR335" s="253">
        <f t="shared" si="25"/>
        <v>0</v>
      </c>
      <c r="AS335" s="223"/>
      <c r="AT335" s="194"/>
    </row>
    <row r="336" spans="1:46" ht="0.75" hidden="1" customHeight="1">
      <c r="A336" s="2"/>
      <c r="B336" s="2"/>
      <c r="C336" s="2"/>
      <c r="D336" s="2"/>
      <c r="E336" s="2"/>
      <c r="F336" s="2"/>
      <c r="G336" s="2"/>
      <c r="H336" s="2"/>
      <c r="I336" s="2"/>
      <c r="J336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150"/>
      <c r="AM336" s="743"/>
      <c r="AN336" s="744"/>
      <c r="AO336" s="442"/>
      <c r="AP336" s="242"/>
      <c r="AQ336" s="242"/>
      <c r="AR336" s="242"/>
      <c r="AS336" s="223"/>
      <c r="AT336" s="194"/>
    </row>
    <row r="337" spans="1:46" ht="11.25" customHeight="1">
      <c r="A337" s="2"/>
      <c r="B337" s="2"/>
      <c r="C337" s="2"/>
      <c r="D337" s="2"/>
      <c r="E337" s="2"/>
      <c r="F337" s="2"/>
      <c r="G337" s="2"/>
      <c r="H337" s="2"/>
      <c r="I337" s="2"/>
      <c r="J33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150"/>
      <c r="AM337" s="509" t="s">
        <v>3007</v>
      </c>
      <c r="AN337" s="740" t="s">
        <v>3008</v>
      </c>
      <c r="AO337" s="687" t="s">
        <v>195</v>
      </c>
      <c r="AP337" s="253">
        <f t="shared" ref="AP337:AR352" si="26">SUMIF($AS$9:$AT$9,AP$9,$AS337:$AT337)</f>
        <v>0</v>
      </c>
      <c r="AQ337" s="253">
        <f t="shared" si="26"/>
        <v>0</v>
      </c>
      <c r="AR337" s="253">
        <f t="shared" si="26"/>
        <v>0</v>
      </c>
      <c r="AS337" s="223"/>
      <c r="AT337" s="194"/>
    </row>
    <row r="338" spans="1:46" ht="11.25" customHeight="1">
      <c r="A338" s="2"/>
      <c r="B338" s="2"/>
      <c r="C338" s="2"/>
      <c r="D338" s="2"/>
      <c r="E338" s="2"/>
      <c r="F338" s="2"/>
      <c r="G338" s="2"/>
      <c r="H338" s="2"/>
      <c r="I338" s="2"/>
      <c r="J338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150"/>
      <c r="AM338" s="510" t="str">
        <f>AM337 &amp; ".1"</f>
        <v>Э.1.3.1</v>
      </c>
      <c r="AN338" s="742" t="s">
        <v>3004</v>
      </c>
      <c r="AO338" s="687" t="s">
        <v>195</v>
      </c>
      <c r="AP338" s="253">
        <f t="shared" si="26"/>
        <v>0</v>
      </c>
      <c r="AQ338" s="253">
        <f t="shared" si="26"/>
        <v>0</v>
      </c>
      <c r="AR338" s="253">
        <f t="shared" si="26"/>
        <v>0</v>
      </c>
      <c r="AS338" s="223"/>
      <c r="AT338" s="194"/>
    </row>
    <row r="339" spans="1:46" ht="11.25" customHeight="1">
      <c r="A339" s="2"/>
      <c r="B339" s="2"/>
      <c r="C339" s="2"/>
      <c r="D339" s="2"/>
      <c r="E339" s="2"/>
      <c r="F339" s="2"/>
      <c r="G339" s="2"/>
      <c r="H339" s="2"/>
      <c r="I339" s="2"/>
      <c r="J33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150"/>
      <c r="AM339" s="509" t="s">
        <v>3009</v>
      </c>
      <c r="AN339" s="740" t="s">
        <v>3010</v>
      </c>
      <c r="AO339" s="687" t="s">
        <v>195</v>
      </c>
      <c r="AP339" s="253">
        <f t="shared" si="26"/>
        <v>0</v>
      </c>
      <c r="AQ339" s="253">
        <f t="shared" si="26"/>
        <v>0</v>
      </c>
      <c r="AR339" s="253">
        <f t="shared" si="26"/>
        <v>0</v>
      </c>
      <c r="AS339" s="223"/>
      <c r="AT339" s="194"/>
    </row>
    <row r="340" spans="1:46" ht="11.25" customHeight="1">
      <c r="A340" s="2"/>
      <c r="B340" s="2"/>
      <c r="C340" s="2"/>
      <c r="D340" s="2"/>
      <c r="E340" s="2"/>
      <c r="F340" s="2"/>
      <c r="G340" s="2"/>
      <c r="H340" s="2"/>
      <c r="I340" s="2"/>
      <c r="J340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150"/>
      <c r="AM340" s="510" t="str">
        <f>AM339 &amp; ".1"</f>
        <v>Э.1.4.1</v>
      </c>
      <c r="AN340" s="742" t="s">
        <v>3004</v>
      </c>
      <c r="AO340" s="687" t="s">
        <v>195</v>
      </c>
      <c r="AP340" s="253">
        <f t="shared" si="26"/>
        <v>0</v>
      </c>
      <c r="AQ340" s="253">
        <f t="shared" si="26"/>
        <v>0</v>
      </c>
      <c r="AR340" s="253">
        <f t="shared" si="26"/>
        <v>0</v>
      </c>
      <c r="AS340" s="223"/>
      <c r="AT340" s="194"/>
    </row>
    <row r="341" spans="1:46" ht="11.25" customHeight="1">
      <c r="A341" s="2"/>
      <c r="B341" s="2"/>
      <c r="C341" s="2"/>
      <c r="D341" s="2"/>
      <c r="E341" s="2"/>
      <c r="F341" s="2"/>
      <c r="G341" s="2"/>
      <c r="H341" s="2"/>
      <c r="I341" s="2"/>
      <c r="J34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150"/>
      <c r="AM341" s="509" t="s">
        <v>3011</v>
      </c>
      <c r="AN341" s="740" t="s">
        <v>3012</v>
      </c>
      <c r="AO341" s="687" t="s">
        <v>195</v>
      </c>
      <c r="AP341" s="253">
        <f t="shared" si="26"/>
        <v>0</v>
      </c>
      <c r="AQ341" s="253">
        <f t="shared" si="26"/>
        <v>0</v>
      </c>
      <c r="AR341" s="253">
        <f t="shared" si="26"/>
        <v>0</v>
      </c>
      <c r="AS341" s="223"/>
      <c r="AT341" s="194"/>
    </row>
    <row r="342" spans="1:46" ht="11.25" customHeight="1">
      <c r="A342" s="2"/>
      <c r="B342" s="2"/>
      <c r="C342" s="2"/>
      <c r="D342" s="2"/>
      <c r="E342" s="2"/>
      <c r="F342" s="2"/>
      <c r="G342" s="2"/>
      <c r="H342" s="2"/>
      <c r="I342" s="2"/>
      <c r="J34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150"/>
      <c r="AM342" s="510" t="str">
        <f>AM341 &amp; ".1"</f>
        <v>Э.1.5.1</v>
      </c>
      <c r="AN342" s="742" t="s">
        <v>3004</v>
      </c>
      <c r="AO342" s="687" t="s">
        <v>195</v>
      </c>
      <c r="AP342" s="253">
        <f t="shared" si="26"/>
        <v>0</v>
      </c>
      <c r="AQ342" s="253">
        <f t="shared" si="26"/>
        <v>0</v>
      </c>
      <c r="AR342" s="253">
        <f t="shared" si="26"/>
        <v>0</v>
      </c>
      <c r="AS342" s="223"/>
      <c r="AT342" s="194"/>
    </row>
    <row r="343" spans="1:46" ht="11.25" customHeight="1">
      <c r="A343" s="2"/>
      <c r="B343" s="2"/>
      <c r="C343" s="2"/>
      <c r="D343" s="2"/>
      <c r="E343" s="2"/>
      <c r="F343" s="2"/>
      <c r="G343" s="2"/>
      <c r="H343" s="2"/>
      <c r="I343" s="2"/>
      <c r="J34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150"/>
      <c r="AM343" s="509" t="s">
        <v>3013</v>
      </c>
      <c r="AN343" s="740" t="s">
        <v>3014</v>
      </c>
      <c r="AO343" s="687" t="s">
        <v>195</v>
      </c>
      <c r="AP343" s="253">
        <f t="shared" si="26"/>
        <v>0</v>
      </c>
      <c r="AQ343" s="253">
        <f t="shared" si="26"/>
        <v>0</v>
      </c>
      <c r="AR343" s="253">
        <f t="shared" si="26"/>
        <v>0</v>
      </c>
      <c r="AS343" s="223"/>
      <c r="AT343" s="194"/>
    </row>
    <row r="344" spans="1:46" ht="11.25" customHeight="1">
      <c r="A344" s="2"/>
      <c r="B344" s="2"/>
      <c r="C344" s="2"/>
      <c r="D344" s="2"/>
      <c r="E344" s="2"/>
      <c r="F344" s="2"/>
      <c r="G344" s="2"/>
      <c r="H344" s="2"/>
      <c r="I344" s="2"/>
      <c r="J34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150"/>
      <c r="AM344" s="510" t="str">
        <f>AM343 &amp; ".1"</f>
        <v>Э.1.6.1</v>
      </c>
      <c r="AN344" s="742" t="s">
        <v>3004</v>
      </c>
      <c r="AO344" s="687" t="s">
        <v>195</v>
      </c>
      <c r="AP344" s="253">
        <f t="shared" si="26"/>
        <v>0</v>
      </c>
      <c r="AQ344" s="253">
        <f t="shared" si="26"/>
        <v>0</v>
      </c>
      <c r="AR344" s="253">
        <f t="shared" si="26"/>
        <v>0</v>
      </c>
      <c r="AS344" s="223"/>
      <c r="AT344" s="194"/>
    </row>
    <row r="345" spans="1:46" ht="11.25" customHeight="1">
      <c r="A345" s="2"/>
      <c r="B345" s="2"/>
      <c r="C345" s="2"/>
      <c r="D345" s="2"/>
      <c r="E345" s="2"/>
      <c r="F345" s="2"/>
      <c r="G345" s="2"/>
      <c r="H345" s="2"/>
      <c r="I345" s="2"/>
      <c r="J34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150"/>
      <c r="AM345" s="509" t="s">
        <v>3015</v>
      </c>
      <c r="AN345" s="740" t="s">
        <v>3016</v>
      </c>
      <c r="AO345" s="687" t="s">
        <v>195</v>
      </c>
      <c r="AP345" s="253">
        <f t="shared" si="26"/>
        <v>0</v>
      </c>
      <c r="AQ345" s="253">
        <f t="shared" si="26"/>
        <v>0</v>
      </c>
      <c r="AR345" s="253">
        <f t="shared" si="26"/>
        <v>0</v>
      </c>
      <c r="AS345" s="223"/>
      <c r="AT345" s="194"/>
    </row>
    <row r="346" spans="1:46" ht="11.25" customHeight="1">
      <c r="A346" s="2"/>
      <c r="B346" s="2"/>
      <c r="C346" s="2"/>
      <c r="D346" s="2"/>
      <c r="E346" s="2"/>
      <c r="F346" s="2"/>
      <c r="G346" s="2"/>
      <c r="H346" s="2"/>
      <c r="I346" s="2"/>
      <c r="J346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150"/>
      <c r="AM346" s="510" t="str">
        <f>AM345 &amp; ".1"</f>
        <v>Э.1.7.1</v>
      </c>
      <c r="AN346" s="742" t="s">
        <v>3004</v>
      </c>
      <c r="AO346" s="687" t="s">
        <v>195</v>
      </c>
      <c r="AP346" s="253">
        <f t="shared" si="26"/>
        <v>0</v>
      </c>
      <c r="AQ346" s="253">
        <f t="shared" si="26"/>
        <v>0</v>
      </c>
      <c r="AR346" s="253">
        <f t="shared" si="26"/>
        <v>0</v>
      </c>
      <c r="AS346" s="223"/>
      <c r="AT346" s="194"/>
    </row>
    <row r="347" spans="1:46" ht="11.25" customHeight="1">
      <c r="A347" s="2"/>
      <c r="B347" s="2"/>
      <c r="C347" s="2"/>
      <c r="D347" s="2"/>
      <c r="E347" s="2"/>
      <c r="F347" s="2"/>
      <c r="G347" s="2"/>
      <c r="H347" s="2"/>
      <c r="I347" s="2"/>
      <c r="J34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150"/>
      <c r="AM347" s="509" t="s">
        <v>3017</v>
      </c>
      <c r="AN347" s="740" t="s">
        <v>3018</v>
      </c>
      <c r="AO347" s="687" t="s">
        <v>195</v>
      </c>
      <c r="AP347" s="253">
        <f t="shared" si="26"/>
        <v>0</v>
      </c>
      <c r="AQ347" s="253">
        <f t="shared" si="26"/>
        <v>0</v>
      </c>
      <c r="AR347" s="253">
        <f t="shared" si="26"/>
        <v>0</v>
      </c>
      <c r="AS347" s="223"/>
      <c r="AT347" s="194"/>
    </row>
    <row r="348" spans="1:46" ht="11.25" customHeight="1">
      <c r="A348" s="2"/>
      <c r="B348" s="2"/>
      <c r="C348" s="2"/>
      <c r="D348" s="2"/>
      <c r="E348" s="2"/>
      <c r="F348" s="2"/>
      <c r="G348" s="2"/>
      <c r="H348" s="2"/>
      <c r="I348" s="2"/>
      <c r="J348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150"/>
      <c r="AM348" s="510" t="str">
        <f>AM347 &amp; ".1"</f>
        <v>Э.1.8.1</v>
      </c>
      <c r="AN348" s="742" t="s">
        <v>3004</v>
      </c>
      <c r="AO348" s="687" t="s">
        <v>195</v>
      </c>
      <c r="AP348" s="253">
        <f t="shared" si="26"/>
        <v>0</v>
      </c>
      <c r="AQ348" s="253">
        <f t="shared" si="26"/>
        <v>0</v>
      </c>
      <c r="AR348" s="253">
        <f t="shared" si="26"/>
        <v>0</v>
      </c>
      <c r="AS348" s="223"/>
      <c r="AT348" s="194"/>
    </row>
    <row r="349" spans="1:46" ht="11.25" customHeight="1">
      <c r="A349" s="2"/>
      <c r="B349" s="2"/>
      <c r="C349" s="2"/>
      <c r="D349" s="2"/>
      <c r="E349" s="2"/>
      <c r="F349" s="2"/>
      <c r="G349" s="2"/>
      <c r="H349" s="2"/>
      <c r="I349" s="2"/>
      <c r="J3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150"/>
      <c r="AM349" s="509" t="s">
        <v>3019</v>
      </c>
      <c r="AN349" s="740" t="s">
        <v>3020</v>
      </c>
      <c r="AO349" s="687" t="s">
        <v>195</v>
      </c>
      <c r="AP349" s="253">
        <f t="shared" si="26"/>
        <v>0</v>
      </c>
      <c r="AQ349" s="253">
        <f t="shared" si="26"/>
        <v>0</v>
      </c>
      <c r="AR349" s="253">
        <f t="shared" si="26"/>
        <v>0</v>
      </c>
      <c r="AS349" s="223"/>
      <c r="AT349" s="194"/>
    </row>
    <row r="350" spans="1:46" ht="11.25" customHeight="1">
      <c r="A350" s="2"/>
      <c r="B350" s="2"/>
      <c r="C350" s="2"/>
      <c r="D350" s="2"/>
      <c r="E350" s="2"/>
      <c r="F350" s="2"/>
      <c r="G350" s="2"/>
      <c r="H350" s="2"/>
      <c r="I350" s="2"/>
      <c r="J350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150"/>
      <c r="AM350" s="510" t="str">
        <f>AM349 &amp; ".1"</f>
        <v>Э.1.9.1</v>
      </c>
      <c r="AN350" s="742" t="s">
        <v>3004</v>
      </c>
      <c r="AO350" s="687" t="s">
        <v>195</v>
      </c>
      <c r="AP350" s="253">
        <f t="shared" si="26"/>
        <v>0</v>
      </c>
      <c r="AQ350" s="253">
        <f t="shared" si="26"/>
        <v>0</v>
      </c>
      <c r="AR350" s="253">
        <f t="shared" si="26"/>
        <v>0</v>
      </c>
      <c r="AS350" s="223"/>
      <c r="AT350" s="194"/>
    </row>
    <row r="351" spans="1:46" ht="35.25" customHeight="1">
      <c r="A351" s="2"/>
      <c r="B351" s="2"/>
      <c r="C351" s="2"/>
      <c r="D351" s="2"/>
      <c r="E351" s="2"/>
      <c r="F351" s="2"/>
      <c r="G351" s="2"/>
      <c r="H351" s="2"/>
      <c r="I351" s="2"/>
      <c r="J35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150"/>
      <c r="AM351" s="509" t="s">
        <v>3021</v>
      </c>
      <c r="AN351" s="738" t="str">
        <f>"Экономия инвестиционных расходов, сложившаяся в " &amp; PERIOD &amp; " году, предусмотренная в абзаце 3 пункта 67 Основ ценообразования"</f>
        <v>Экономия инвестиционных расходов, сложившаяся в 2024 году, предусмотренная в абзаце 3 пункта 67 Основ ценообразования</v>
      </c>
      <c r="AO351" s="687" t="s">
        <v>195</v>
      </c>
      <c r="AP351" s="253">
        <f t="shared" si="26"/>
        <v>0</v>
      </c>
      <c r="AQ351" s="253">
        <f t="shared" si="26"/>
        <v>0</v>
      </c>
      <c r="AR351" s="253">
        <f t="shared" si="26"/>
        <v>0</v>
      </c>
      <c r="AS351" s="223"/>
      <c r="AT351" s="194"/>
    </row>
    <row r="352" spans="1:46" ht="24" customHeight="1">
      <c r="A352" s="2"/>
      <c r="B352" s="2"/>
      <c r="C352" s="2"/>
      <c r="D352" s="2"/>
      <c r="E352" s="2"/>
      <c r="F352" s="2"/>
      <c r="G352" s="2"/>
      <c r="H352" s="2"/>
      <c r="I352" s="2"/>
      <c r="J35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150"/>
      <c r="AM352" s="509" t="s">
        <v>3022</v>
      </c>
      <c r="AN352" s="739" t="s">
        <v>3023</v>
      </c>
      <c r="AO352" s="687" t="s">
        <v>195</v>
      </c>
      <c r="AP352" s="253">
        <f t="shared" si="26"/>
        <v>0</v>
      </c>
      <c r="AQ352" s="253">
        <f t="shared" si="26"/>
        <v>0</v>
      </c>
      <c r="AR352" s="253">
        <f t="shared" si="26"/>
        <v>0</v>
      </c>
      <c r="AS352" s="223"/>
      <c r="AT352" s="194"/>
    </row>
    <row r="353" spans="1:46" ht="24" customHeight="1">
      <c r="A353" s="2"/>
      <c r="B353" s="2"/>
      <c r="C353" s="2"/>
      <c r="D353" s="2"/>
      <c r="E353" s="2"/>
      <c r="F353" s="2"/>
      <c r="G353" s="2"/>
      <c r="H353" s="2"/>
      <c r="I353" s="2"/>
      <c r="J353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150"/>
      <c r="AM353" s="509" t="s">
        <v>3024</v>
      </c>
      <c r="AN353" s="739" t="s">
        <v>3023</v>
      </c>
      <c r="AO353" s="687" t="s">
        <v>755</v>
      </c>
      <c r="AP353" s="242"/>
      <c r="AQ353" s="242"/>
      <c r="AR353" s="242"/>
      <c r="AS353" s="223"/>
      <c r="AT353" s="194"/>
    </row>
    <row r="354" spans="1:46" ht="11.25" customHeight="1">
      <c r="A354" s="2"/>
      <c r="B354" s="2"/>
      <c r="C354" s="2"/>
      <c r="D354" s="2"/>
      <c r="E354" s="2"/>
      <c r="F354" s="2"/>
      <c r="G354" s="2"/>
      <c r="H354" s="2"/>
      <c r="I354" s="2"/>
      <c r="J354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150"/>
      <c r="AM354" s="509" t="s">
        <v>3025</v>
      </c>
      <c r="AN354" s="739" t="s">
        <v>3026</v>
      </c>
      <c r="AO354" s="687" t="s">
        <v>195</v>
      </c>
      <c r="AP354" s="253">
        <f>SUMIF($AS$9:$AT$9,AP$9,$AS354:$AT354)</f>
        <v>0</v>
      </c>
      <c r="AQ354" s="253">
        <f>SUMIF($AS$9:$AT$9,AQ$9,$AS354:$AT354)</f>
        <v>0</v>
      </c>
      <c r="AR354" s="253">
        <f>SUMIF($AS$9:$AT$9,AR$9,$AS354:$AT354)</f>
        <v>0</v>
      </c>
      <c r="AS354" s="223"/>
      <c r="AT354" s="194"/>
    </row>
    <row r="355" spans="1:46" ht="11.25" customHeight="1">
      <c r="A355" s="2"/>
      <c r="B355" s="2"/>
      <c r="C355" s="2"/>
      <c r="D355" s="2"/>
      <c r="E355" s="2"/>
      <c r="F355" s="2"/>
      <c r="G355" s="2"/>
      <c r="H355" s="2"/>
      <c r="I355" s="2"/>
      <c r="J35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150"/>
      <c r="AM355" s="509" t="s">
        <v>3027</v>
      </c>
      <c r="AN355" s="739" t="s">
        <v>3026</v>
      </c>
      <c r="AO355" s="687" t="s">
        <v>755</v>
      </c>
      <c r="AP355" s="242"/>
      <c r="AQ355" s="242"/>
      <c r="AR355" s="242"/>
      <c r="AS355" s="223"/>
      <c r="AT355" s="194"/>
    </row>
    <row r="356" spans="1:46" ht="11.25" customHeight="1">
      <c r="A356" s="2"/>
      <c r="B356" s="2"/>
      <c r="C356" s="2"/>
      <c r="D356" s="2"/>
      <c r="E356" s="2"/>
      <c r="F356" s="2"/>
      <c r="G356" s="2"/>
      <c r="H356" s="2"/>
      <c r="I356" s="2"/>
      <c r="J356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150"/>
      <c r="AM356" s="510" t="str">
        <f>AM351 &amp; ".1"</f>
        <v>Э.1.10.1</v>
      </c>
      <c r="AN356" s="737" t="s">
        <v>3004</v>
      </c>
      <c r="AO356" s="687" t="s">
        <v>195</v>
      </c>
      <c r="AP356" s="253">
        <f t="shared" ref="AP356:AR358" si="27">SUMIF($AS$9:$AT$9,AP$9,$AS356:$AT356)</f>
        <v>0</v>
      </c>
      <c r="AQ356" s="253">
        <f t="shared" si="27"/>
        <v>0</v>
      </c>
      <c r="AR356" s="253">
        <f t="shared" si="27"/>
        <v>0</v>
      </c>
      <c r="AS356" s="223"/>
      <c r="AT356" s="194"/>
    </row>
    <row r="357" spans="1:46" ht="35.25" customHeight="1">
      <c r="A357" s="2"/>
      <c r="B357" s="2"/>
      <c r="C357" s="2"/>
      <c r="D357" s="2"/>
      <c r="E357" s="2"/>
      <c r="F357" s="2"/>
      <c r="G357" s="2"/>
      <c r="H357" s="2"/>
      <c r="I357" s="2"/>
      <c r="J357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150"/>
      <c r="AM357" s="509" t="s">
        <v>3028</v>
      </c>
      <c r="AN357" s="738" t="str">
        <f>"Экономия инвестиционных расходов, сложившаяся в " &amp; PERIOD &amp; " году, предусмотренная в абзаце 4 пункта 67 Основ ценообразования"</f>
        <v>Экономия инвестиционных расходов, сложившаяся в 2024 году, предусмотренная в абзаце 4 пункта 67 Основ ценообразования</v>
      </c>
      <c r="AO357" s="687" t="s">
        <v>195</v>
      </c>
      <c r="AP357" s="253">
        <f t="shared" si="27"/>
        <v>0</v>
      </c>
      <c r="AQ357" s="253">
        <f t="shared" si="27"/>
        <v>0</v>
      </c>
      <c r="AR357" s="253">
        <f t="shared" si="27"/>
        <v>0</v>
      </c>
      <c r="AS357" s="223"/>
      <c r="AT357" s="194"/>
    </row>
    <row r="358" spans="1:46" ht="11.25" customHeight="1">
      <c r="A358" s="2"/>
      <c r="B358" s="2"/>
      <c r="C358" s="2"/>
      <c r="D358" s="2"/>
      <c r="E358" s="2"/>
      <c r="F358" s="2"/>
      <c r="G358" s="2"/>
      <c r="H358" s="2"/>
      <c r="I358" s="2"/>
      <c r="J358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150"/>
      <c r="AM358" s="510" t="str">
        <f>AM357 &amp; ".1"</f>
        <v>Э.1.11.1</v>
      </c>
      <c r="AN358" s="737" t="s">
        <v>3004</v>
      </c>
      <c r="AO358" s="687" t="s">
        <v>195</v>
      </c>
      <c r="AP358" s="253">
        <f t="shared" si="27"/>
        <v>0</v>
      </c>
      <c r="AQ358" s="253">
        <f t="shared" si="27"/>
        <v>0</v>
      </c>
      <c r="AR358" s="253">
        <f t="shared" si="27"/>
        <v>0</v>
      </c>
      <c r="AS358" s="223"/>
      <c r="AT358" s="194"/>
    </row>
    <row r="359" spans="1:46" ht="0.75" hidden="1" customHeight="1">
      <c r="A359" s="2"/>
      <c r="B359" s="2"/>
      <c r="C359" s="2"/>
      <c r="D359" s="2"/>
      <c r="E359" s="2"/>
      <c r="F359" s="2"/>
      <c r="G359" s="2"/>
      <c r="H359" s="2"/>
      <c r="I359" s="2"/>
      <c r="J359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150"/>
      <c r="AM359" s="500"/>
      <c r="AN359" s="472"/>
      <c r="AO359" s="166"/>
      <c r="AP359" s="242"/>
      <c r="AQ359" s="242"/>
      <c r="AR359" s="242"/>
      <c r="AS359" s="223"/>
      <c r="AT359" s="194"/>
    </row>
    <row r="360" spans="1:46" ht="0.75" hidden="1" customHeight="1">
      <c r="A360" s="2"/>
      <c r="B360" s="2"/>
      <c r="C360" s="2"/>
      <c r="D360" s="2"/>
      <c r="E360" s="2"/>
      <c r="F360" s="2"/>
      <c r="G360" s="2"/>
      <c r="H360" s="2"/>
      <c r="I360" s="2"/>
      <c r="J360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150"/>
      <c r="AM360" s="500"/>
      <c r="AN360" s="472"/>
      <c r="AO360" s="166"/>
      <c r="AP360" s="242"/>
      <c r="AQ360" s="242"/>
      <c r="AR360" s="242"/>
      <c r="AS360" s="223"/>
      <c r="AT360" s="194"/>
    </row>
    <row r="361" spans="1:46" ht="60" customHeight="1">
      <c r="A361" s="2"/>
      <c r="B361" s="2"/>
      <c r="C361" s="2"/>
      <c r="D361" s="2"/>
      <c r="E361" s="2"/>
      <c r="F361" s="2"/>
      <c r="G361" s="2"/>
      <c r="H361" s="2"/>
      <c r="I361" s="2"/>
      <c r="J36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150"/>
      <c r="AM361" s="745" t="s">
        <v>3029</v>
      </c>
      <c r="AN361" s="519" t="s">
        <v>3030</v>
      </c>
      <c r="AO361" s="687" t="s">
        <v>195</v>
      </c>
      <c r="AP361" s="253">
        <f>SUMIF($AS$9:$AT$9,AP$9,$AS361:$AT361)</f>
        <v>0</v>
      </c>
      <c r="AQ361" s="253">
        <f>SUMIF($AS$9:$AT$9,AQ$9,$AS361:$AT361)</f>
        <v>0</v>
      </c>
      <c r="AR361" s="253">
        <f>SUMIF($AS$9:$AT$9,AR$9,$AS361:$AT361)</f>
        <v>0</v>
      </c>
      <c r="AS361" s="223"/>
      <c r="AT361" s="194"/>
    </row>
    <row r="362" spans="1:46" ht="0.75" hidden="1" customHeight="1">
      <c r="A362" s="2"/>
      <c r="B362" s="2"/>
      <c r="C362" s="2"/>
      <c r="D362" s="2"/>
      <c r="E362" s="2"/>
      <c r="F362" s="2"/>
      <c r="G362" s="2"/>
      <c r="H362" s="2"/>
      <c r="I362" s="2"/>
      <c r="J36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150"/>
      <c r="AM362" s="500"/>
      <c r="AN362" s="622"/>
      <c r="AO362" s="166"/>
      <c r="AP362" s="242"/>
      <c r="AQ362" s="242"/>
      <c r="AR362" s="242"/>
      <c r="AS362" s="223"/>
      <c r="AT362" s="194"/>
    </row>
    <row r="363" spans="1:46" ht="0.75" hidden="1" customHeight="1">
      <c r="A363" s="2"/>
      <c r="B363" s="2"/>
      <c r="C363" s="2"/>
      <c r="D363" s="2"/>
      <c r="E363" s="2"/>
      <c r="F363" s="2"/>
      <c r="G363" s="2"/>
      <c r="H363" s="2"/>
      <c r="I363" s="2"/>
      <c r="J363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150"/>
      <c r="AM363" s="500"/>
      <c r="AN363" s="622"/>
      <c r="AO363" s="166"/>
      <c r="AP363" s="242"/>
      <c r="AQ363" s="242"/>
      <c r="AR363" s="242"/>
      <c r="AS363" s="223"/>
      <c r="AT363" s="194"/>
    </row>
  </sheetData>
  <sheetProtection password="D0EA" sheet="1" objects="1" scenarios="1" formatColumns="0" formatRows="0"/>
  <mergeCells count="6">
    <mergeCell ref="AO19:AO20"/>
    <mergeCell ref="AP19:AR20"/>
    <mergeCell ref="AM19:AM20"/>
    <mergeCell ref="AN19:AN20"/>
    <mergeCell ref="AM13:AN14"/>
    <mergeCell ref="AP14:AR14"/>
  </mergeCells>
  <phoneticPr fontId="3" type="noConversion"/>
  <dataValidations count="1">
    <dataValidation type="whole" allowBlank="1" showInputMessage="1" showErrorMessage="1" errorTitle="Внимание" error="Значение должно быть целым неотрицательным числом!" sqref="AP316">
      <formula1>0</formula1>
      <formula2>10000</formula2>
    </dataValidation>
  </dataValidation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VOTV_REAGENT">
    <tabColor rgb="FFFFFF00"/>
    <outlinePr summaryBelow="0"/>
  </sheetPr>
  <dimension ref="A1:AV351"/>
  <sheetViews>
    <sheetView showGridLines="0" topLeftCell="AK9" zoomScale="90" zoomScaleNormal="90" workbookViewId="0">
      <pane xSplit="8" ySplit="14" topLeftCell="AS23" activePane="bottomRight" state="frozen"/>
      <selection activeCell="AW1" sqref="AW1:BN1048576"/>
      <selection pane="topRight" activeCell="AW1" sqref="AW1:BN1048576"/>
      <selection pane="bottomLeft" activeCell="AW1" sqref="AW1:BN1048576"/>
      <selection pane="bottomRight"/>
    </sheetView>
  </sheetViews>
  <sheetFormatPr defaultColWidth="8.75" defaultRowHeight="11.4"/>
  <cols>
    <col min="1" max="31" width="2.75" style="45" hidden="1" customWidth="1"/>
    <col min="32" max="32" width="12.75" style="45" hidden="1" customWidth="1"/>
    <col min="33" max="36" width="2.75" style="45" hidden="1" customWidth="1"/>
    <col min="37" max="37" width="2.75" style="45" customWidth="1"/>
    <col min="38" max="38" width="2.75" style="2" hidden="1" customWidth="1"/>
    <col min="39" max="39" width="13.75" style="26" customWidth="1"/>
    <col min="40" max="40" width="48.75" style="2" customWidth="1"/>
    <col min="41" max="44" width="12.75" style="2" customWidth="1"/>
    <col min="45" max="46" width="0.125" style="2" customWidth="1"/>
    <col min="47" max="47" width="2.75" style="2" customWidth="1"/>
    <col min="48" max="48" width="2.625" style="2" customWidth="1"/>
    <col min="49" max="16384" width="8.75" style="2"/>
  </cols>
  <sheetData>
    <row r="1" spans="1:47" ht="12" hidden="1" customHeight="1">
      <c r="A1" s="2"/>
      <c r="B1" s="2"/>
      <c r="C1" s="2"/>
      <c r="D1" s="2"/>
      <c r="E1" s="2"/>
      <c r="F1" s="2"/>
      <c r="G1" s="2"/>
      <c r="H1" s="2"/>
      <c r="I1" s="2"/>
      <c r="J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0"/>
    </row>
    <row r="2" spans="1:47" ht="12" hidden="1" customHeight="1">
      <c r="A2" s="2"/>
      <c r="B2" s="2"/>
      <c r="C2" s="2"/>
      <c r="D2" s="2"/>
      <c r="E2" s="2"/>
      <c r="F2" s="2"/>
      <c r="G2" s="2"/>
      <c r="H2" s="2"/>
      <c r="I2" s="2"/>
      <c r="J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0"/>
    </row>
    <row r="3" spans="1:47" ht="12" hidden="1" customHeight="1">
      <c r="A3" s="2"/>
      <c r="B3" s="2"/>
      <c r="C3" s="2"/>
      <c r="D3" s="2"/>
      <c r="E3" s="2"/>
      <c r="F3" s="2"/>
      <c r="G3" s="2"/>
      <c r="H3" s="2"/>
      <c r="I3" s="2"/>
      <c r="J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0"/>
    </row>
    <row r="4" spans="1:47" ht="12" hidden="1" customHeight="1">
      <c r="A4" s="2"/>
      <c r="B4" s="2"/>
      <c r="C4" s="2"/>
      <c r="D4" s="2"/>
      <c r="E4" s="2"/>
      <c r="F4" s="2"/>
      <c r="G4" s="2"/>
      <c r="H4" s="2"/>
      <c r="I4" s="2"/>
      <c r="J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0"/>
    </row>
    <row r="5" spans="1:47" ht="12" hidden="1" customHeight="1">
      <c r="A5" s="2"/>
      <c r="B5" s="2"/>
      <c r="C5" s="2"/>
      <c r="D5" s="2"/>
      <c r="E5" s="2"/>
      <c r="F5" s="2"/>
      <c r="G5" s="2"/>
      <c r="H5" s="2"/>
      <c r="I5" s="2"/>
      <c r="J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0"/>
    </row>
    <row r="6" spans="1:47" ht="12" hidden="1" customHeight="1">
      <c r="A6" s="2"/>
      <c r="B6" s="2"/>
      <c r="C6" s="2"/>
      <c r="D6" s="2"/>
      <c r="E6" s="2"/>
      <c r="F6" s="2"/>
      <c r="G6" s="2"/>
      <c r="H6" s="2"/>
      <c r="I6" s="2"/>
      <c r="J6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0"/>
      <c r="AP6" s="157">
        <v>12</v>
      </c>
      <c r="AQ6" s="157">
        <v>6</v>
      </c>
      <c r="AR6" s="157">
        <v>6</v>
      </c>
    </row>
    <row r="7" spans="1:47" ht="12" hidden="1" customHeight="1">
      <c r="A7" s="2"/>
      <c r="B7" s="2"/>
      <c r="C7" s="2"/>
      <c r="D7" s="2"/>
      <c r="E7" s="2"/>
      <c r="F7" s="2"/>
      <c r="G7" s="2"/>
      <c r="H7" s="2"/>
      <c r="I7" s="2"/>
      <c r="J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0"/>
      <c r="AP7" s="157"/>
      <c r="AQ7" s="157"/>
      <c r="AR7" s="157"/>
    </row>
    <row r="8" spans="1:47" s="114" customFormat="1" ht="12" hidden="1" customHeight="1">
      <c r="J8" s="169"/>
      <c r="AL8" s="170"/>
      <c r="AM8" s="171"/>
      <c r="AP8" s="172"/>
      <c r="AQ8" s="172"/>
      <c r="AR8" s="172"/>
    </row>
    <row r="9" spans="1:47" s="144" customFormat="1" ht="12" customHeight="1">
      <c r="A9" s="148"/>
      <c r="J9" s="155"/>
      <c r="AL9" s="148"/>
      <c r="AM9" s="156"/>
      <c r="AP9" s="143" t="s">
        <v>275</v>
      </c>
      <c r="AQ9" s="143" t="s">
        <v>194</v>
      </c>
      <c r="AR9" s="143" t="s">
        <v>609</v>
      </c>
    </row>
    <row r="10" spans="1:47" s="144" customFormat="1" ht="12" customHeight="1">
      <c r="J10" s="155"/>
      <c r="AL10" s="148"/>
      <c r="AM10" s="156"/>
      <c r="AP10" s="143"/>
      <c r="AQ10" s="143"/>
      <c r="AR10" s="143"/>
      <c r="AS10" s="144" t="s">
        <v>276</v>
      </c>
      <c r="AT10" s="144" t="s">
        <v>277</v>
      </c>
    </row>
    <row r="11" spans="1:47" s="144" customFormat="1" ht="12" customHeight="1">
      <c r="J11" s="155"/>
      <c r="AL11" s="148"/>
      <c r="AM11" s="156"/>
      <c r="AP11" s="143"/>
      <c r="AQ11" s="143"/>
      <c r="AR11" s="143"/>
    </row>
    <row r="12" spans="1:47" s="144" customFormat="1" ht="12" customHeight="1">
      <c r="J12" s="155"/>
      <c r="AL12" s="148"/>
      <c r="AM12" s="157"/>
      <c r="AN12" s="71" t="s">
        <v>2117</v>
      </c>
      <c r="AO12" s="71"/>
      <c r="AP12" s="143"/>
      <c r="AQ12" s="143"/>
      <c r="AR12" s="143"/>
    </row>
    <row r="13" spans="1:47" ht="27" customHeight="1">
      <c r="A13" s="2" t="s">
        <v>589</v>
      </c>
      <c r="B13" s="2"/>
      <c r="C13" s="2"/>
      <c r="D13" s="2"/>
      <c r="E13" s="2"/>
      <c r="F13" s="2"/>
      <c r="G13" s="2"/>
      <c r="H13" s="2"/>
      <c r="I13" s="2"/>
      <c r="J13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7"/>
      <c r="AL13" s="27"/>
      <c r="AM13" s="998" t="s">
        <v>1906</v>
      </c>
      <c r="AN13" s="999"/>
      <c r="AO13" s="164" t="s">
        <v>282</v>
      </c>
      <c r="AP13" s="159" t="s">
        <v>20</v>
      </c>
      <c r="AQ13" s="145" t="s">
        <v>273</v>
      </c>
      <c r="AR13" s="145" t="s">
        <v>274</v>
      </c>
      <c r="AS13" s="168"/>
      <c r="AT13" s="168"/>
    </row>
    <row r="14" spans="1:47" ht="27" hidden="1" customHeight="1">
      <c r="A14" s="2"/>
      <c r="B14" s="2"/>
      <c r="C14" s="2"/>
      <c r="D14" s="2"/>
      <c r="E14" s="2"/>
      <c r="F14" s="2"/>
      <c r="G14" s="2"/>
      <c r="H14" s="2"/>
      <c r="I14" s="2"/>
      <c r="J1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7"/>
      <c r="AL14" s="27"/>
      <c r="AM14" s="998"/>
      <c r="AN14" s="999"/>
      <c r="AO14" s="164"/>
      <c r="AP14" s="1000"/>
      <c r="AQ14" s="984"/>
      <c r="AR14" s="984"/>
      <c r="AS14" s="168"/>
      <c r="AT14" s="168"/>
      <c r="AU14" s="9"/>
    </row>
    <row r="15" spans="1:47" ht="12" hidden="1" customHeight="1">
      <c r="A15" s="2"/>
      <c r="B15" s="2"/>
      <c r="C15" s="2"/>
      <c r="D15" s="2"/>
      <c r="E15" s="2"/>
      <c r="F15" s="2"/>
      <c r="G15" s="2"/>
      <c r="H15" s="2"/>
      <c r="I15" s="2"/>
      <c r="J1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0"/>
      <c r="AP15" s="167"/>
      <c r="AQ15" s="167"/>
      <c r="AR15" s="167"/>
    </row>
    <row r="16" spans="1:47" s="67" customFormat="1" ht="12" hidden="1" customHeight="1">
      <c r="J16" s="66"/>
      <c r="AL16" s="76"/>
      <c r="AS16" s="65"/>
      <c r="AT16" s="65"/>
      <c r="AU16" s="65"/>
    </row>
    <row r="17" spans="1:47" s="148" customFormat="1" ht="12" hidden="1" customHeight="1"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0"/>
      <c r="AM17" s="151"/>
      <c r="AN17" s="151"/>
      <c r="AO17" s="151"/>
      <c r="AP17" s="152"/>
      <c r="AQ17" s="152"/>
      <c r="AR17" s="152"/>
      <c r="AS17" s="153"/>
      <c r="AT17" s="154"/>
      <c r="AU17" s="151"/>
    </row>
    <row r="18" spans="1:47" ht="12" hidden="1" customHeight="1">
      <c r="A18" s="2"/>
      <c r="B18" s="2"/>
      <c r="C18" s="2"/>
      <c r="D18" s="2"/>
      <c r="E18" s="2"/>
      <c r="F18" s="2"/>
      <c r="G18" s="2"/>
      <c r="H18" s="2"/>
      <c r="I18" s="2"/>
      <c r="J1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44"/>
      <c r="AM18" s="146"/>
      <c r="AN18" s="68"/>
      <c r="AO18" s="68"/>
      <c r="AT18" s="2" t="s">
        <v>135</v>
      </c>
    </row>
    <row r="19" spans="1:47" ht="12" customHeight="1">
      <c r="A19" s="2"/>
      <c r="B19" s="2"/>
      <c r="C19" s="2"/>
      <c r="D19" s="2"/>
      <c r="E19" s="2"/>
      <c r="F19" s="2"/>
      <c r="G19" s="2"/>
      <c r="H19" s="2"/>
      <c r="I19" s="2"/>
      <c r="J1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7"/>
      <c r="AL19" s="125"/>
      <c r="AM19" s="925" t="s">
        <v>104</v>
      </c>
      <c r="AN19" s="912" t="s">
        <v>196</v>
      </c>
      <c r="AO19" s="912" t="s">
        <v>683</v>
      </c>
      <c r="AP19" s="1003" t="s">
        <v>2118</v>
      </c>
      <c r="AQ19" s="1004"/>
      <c r="AR19" s="1004"/>
      <c r="AS19" s="173">
        <v>0</v>
      </c>
      <c r="AT19" s="161"/>
      <c r="AU19" s="61"/>
    </row>
    <row r="20" spans="1:47" ht="24" customHeight="1">
      <c r="A20" s="2"/>
      <c r="B20" s="2"/>
      <c r="C20" s="2"/>
      <c r="D20" s="2"/>
      <c r="E20" s="2"/>
      <c r="F20" s="2"/>
      <c r="G20" s="2"/>
      <c r="H20" s="2"/>
      <c r="I20" s="2"/>
      <c r="J20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7"/>
      <c r="AL20" s="125"/>
      <c r="AM20" s="925"/>
      <c r="AN20" s="912"/>
      <c r="AO20" s="912"/>
      <c r="AP20" s="1005"/>
      <c r="AQ20" s="1006"/>
      <c r="AR20" s="1006"/>
      <c r="AS20" s="174"/>
      <c r="AT20" s="161"/>
      <c r="AU20" s="61"/>
    </row>
    <row r="21" spans="1:47" ht="11.25" customHeight="1">
      <c r="A21" s="2"/>
      <c r="B21" s="2"/>
      <c r="C21" s="2"/>
      <c r="D21" s="2"/>
      <c r="E21" s="2"/>
      <c r="F21" s="2"/>
      <c r="G21" s="2"/>
      <c r="H21" s="2"/>
      <c r="I21" s="2"/>
      <c r="J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7"/>
      <c r="AL21" s="47"/>
      <c r="AM21" s="218"/>
      <c r="AN21" s="219" t="s">
        <v>197</v>
      </c>
      <c r="AO21" s="219"/>
      <c r="AP21" s="181"/>
      <c r="AQ21" s="182"/>
      <c r="AR21" s="182"/>
      <c r="AS21" s="194"/>
      <c r="AT21" s="161"/>
      <c r="AU21" s="61"/>
    </row>
    <row r="22" spans="1:47" ht="24" customHeight="1">
      <c r="A22" s="2"/>
      <c r="B22" s="2"/>
      <c r="C22" s="2"/>
      <c r="D22" s="2"/>
      <c r="E22" s="2"/>
      <c r="F22" s="2"/>
      <c r="G22" s="2"/>
      <c r="H22" s="2"/>
      <c r="I22" s="2"/>
      <c r="J2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7"/>
      <c r="AL22" s="47"/>
      <c r="AM22" s="220"/>
      <c r="AN22" s="176" t="s">
        <v>2085</v>
      </c>
      <c r="AO22" s="192"/>
      <c r="AP22" s="181"/>
      <c r="AQ22" s="182"/>
      <c r="AR22" s="182"/>
      <c r="AS22" s="194"/>
      <c r="AT22" s="161"/>
      <c r="AU22" s="61"/>
    </row>
    <row r="23" spans="1:47" ht="0.75" hidden="1" customHeight="1">
      <c r="A23" s="2"/>
      <c r="B23" s="2"/>
      <c r="C23" s="2"/>
      <c r="D23" s="2"/>
      <c r="E23" s="2"/>
      <c r="F23" s="2"/>
      <c r="G23" s="2"/>
      <c r="H23" s="2"/>
      <c r="I23" s="2"/>
      <c r="J23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413"/>
      <c r="AG23" s="2"/>
      <c r="AH23" s="2"/>
      <c r="AI23" s="2"/>
      <c r="AJ23" s="2"/>
      <c r="AK23" s="2"/>
      <c r="AL23" s="124"/>
      <c r="AM23" s="560"/>
      <c r="AN23" s="533"/>
      <c r="AO23" s="422"/>
      <c r="AP23" s="142"/>
      <c r="AQ23" s="142"/>
      <c r="AR23" s="142"/>
      <c r="AS23" s="194"/>
      <c r="AT23" s="194"/>
    </row>
    <row r="24" spans="1:47" ht="0.75" hidden="1" customHeight="1">
      <c r="A24" s="2"/>
      <c r="B24" s="2"/>
      <c r="C24" s="2"/>
      <c r="D24" s="2"/>
      <c r="E24" s="2"/>
      <c r="F24" s="2"/>
      <c r="G24" s="2"/>
      <c r="H24" s="2"/>
      <c r="I24" s="2"/>
      <c r="J2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413"/>
      <c r="AG24" s="2"/>
      <c r="AH24" s="2"/>
      <c r="AI24" s="2"/>
      <c r="AJ24" s="2"/>
      <c r="AK24" s="2"/>
      <c r="AL24" s="124"/>
      <c r="AM24" s="560"/>
      <c r="AN24" s="533"/>
      <c r="AO24" s="422"/>
      <c r="AP24" s="142"/>
      <c r="AQ24" s="142"/>
      <c r="AR24" s="142"/>
      <c r="AS24" s="194"/>
      <c r="AT24" s="194"/>
    </row>
    <row r="25" spans="1:47" ht="12" customHeight="1">
      <c r="A25" s="2"/>
      <c r="B25" s="2"/>
      <c r="C25" s="2"/>
      <c r="D25" s="2"/>
      <c r="E25" s="2"/>
      <c r="F25" s="2"/>
      <c r="G25" s="2"/>
      <c r="H25" s="2"/>
      <c r="I25" s="2"/>
      <c r="J2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413"/>
      <c r="AG25" s="2"/>
      <c r="AH25" s="2"/>
      <c r="AI25" s="2"/>
      <c r="AJ25" s="2"/>
      <c r="AK25" s="2"/>
      <c r="AL25" s="124"/>
      <c r="AM25" s="516" t="s">
        <v>610</v>
      </c>
      <c r="AN25" s="463" t="s">
        <v>1916</v>
      </c>
      <c r="AO25" s="420" t="s">
        <v>195</v>
      </c>
      <c r="AP25" s="247">
        <f>SUMIF($AS$9:$AT$9,AP$9,$AS25:$AT25)</f>
        <v>0</v>
      </c>
      <c r="AQ25" s="247">
        <f>SUMIF($AS$9:$AT$9,AQ$9,$AS25:$AT25)</f>
        <v>0</v>
      </c>
      <c r="AR25" s="247">
        <f>SUMIF($AS$9:$AT$9,AR$9,$AS25:$AT25)</f>
        <v>0</v>
      </c>
      <c r="AS25" s="194"/>
      <c r="AT25" s="194"/>
      <c r="AU25" s="326"/>
    </row>
    <row r="26" spans="1:47" ht="0.75" hidden="1" customHeight="1">
      <c r="A26" s="2"/>
      <c r="B26" s="2"/>
      <c r="C26" s="2"/>
      <c r="D26" s="2"/>
      <c r="E26" s="2"/>
      <c r="F26" s="2"/>
      <c r="G26" s="2"/>
      <c r="H26" s="2"/>
      <c r="I26" s="2"/>
      <c r="J2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413"/>
      <c r="AG26" s="2"/>
      <c r="AH26" s="2"/>
      <c r="AI26" s="2"/>
      <c r="AJ26" s="2"/>
      <c r="AK26" s="2"/>
      <c r="AL26" s="124"/>
      <c r="AM26" s="560"/>
      <c r="AN26" s="533"/>
      <c r="AO26" s="422"/>
      <c r="AP26" s="142"/>
      <c r="AQ26" s="142"/>
      <c r="AR26" s="142"/>
      <c r="AS26" s="194"/>
      <c r="AT26" s="194"/>
    </row>
    <row r="27" spans="1:47" ht="12" customHeight="1">
      <c r="A27" s="2"/>
      <c r="B27" s="2"/>
      <c r="C27" s="2"/>
      <c r="D27" s="2"/>
      <c r="E27" s="2"/>
      <c r="F27" s="2"/>
      <c r="G27" s="2"/>
      <c r="H27" s="2"/>
      <c r="I27" s="2"/>
      <c r="J2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413"/>
      <c r="AG27" s="2"/>
      <c r="AH27" s="2"/>
      <c r="AI27" s="2"/>
      <c r="AJ27" s="2"/>
      <c r="AK27" s="2"/>
      <c r="AL27" s="124"/>
      <c r="AM27" s="561" t="s">
        <v>1349</v>
      </c>
      <c r="AN27" s="567" t="s">
        <v>1907</v>
      </c>
      <c r="AO27" s="420" t="s">
        <v>195</v>
      </c>
      <c r="AP27" s="247">
        <f>SUMIF($AS$9:$AT$9,AP$9,$AS27:$AT27)</f>
        <v>0</v>
      </c>
      <c r="AQ27" s="247">
        <f>SUMIF($AS$9:$AT$9,AQ$9,$AS27:$AT27)</f>
        <v>0</v>
      </c>
      <c r="AR27" s="247">
        <f>SUMIF($AS$9:$AT$9,AR$9,$AS27:$AT27)</f>
        <v>0</v>
      </c>
      <c r="AS27" s="194"/>
      <c r="AT27" s="194"/>
      <c r="AU27" s="326"/>
    </row>
    <row r="28" spans="1:47" ht="0.75" hidden="1" customHeight="1">
      <c r="A28" s="2"/>
      <c r="B28" s="2"/>
      <c r="C28" s="2"/>
      <c r="D28" s="2"/>
      <c r="E28" s="2"/>
      <c r="F28" s="2"/>
      <c r="G28" s="2"/>
      <c r="H28" s="2"/>
      <c r="I28" s="2"/>
      <c r="J28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413"/>
      <c r="AG28" s="2"/>
      <c r="AH28" s="2"/>
      <c r="AI28" s="2"/>
      <c r="AJ28" s="2"/>
      <c r="AK28" s="2"/>
      <c r="AL28" s="124"/>
      <c r="AM28" s="560"/>
      <c r="AN28" s="533"/>
      <c r="AO28" s="422"/>
      <c r="AP28" s="142"/>
      <c r="AQ28" s="142"/>
      <c r="AR28" s="142"/>
      <c r="AS28" s="194"/>
      <c r="AT28" s="194"/>
    </row>
    <row r="29" spans="1:47" ht="12" customHeight="1">
      <c r="A29" s="2"/>
      <c r="B29" s="2"/>
      <c r="C29" s="2"/>
      <c r="D29" s="2"/>
      <c r="E29" s="2"/>
      <c r="F29" s="2"/>
      <c r="G29" s="2"/>
      <c r="H29" s="2"/>
      <c r="I29" s="2"/>
      <c r="J29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413" t="s">
        <v>2092</v>
      </c>
      <c r="AG29" s="2"/>
      <c r="AH29" s="2"/>
      <c r="AI29" s="2"/>
      <c r="AJ29" s="2"/>
      <c r="AK29" s="2"/>
      <c r="AL29" s="124"/>
      <c r="AM29" s="561" t="s">
        <v>2081</v>
      </c>
      <c r="AN29" s="559" t="s">
        <v>1908</v>
      </c>
      <c r="AO29" s="420" t="s">
        <v>195</v>
      </c>
      <c r="AP29" s="247">
        <f>SUMIF($AS$9:$AT$9,AP$9,$AS29:$AT29)</f>
        <v>0</v>
      </c>
      <c r="AQ29" s="247">
        <f>SUMIF($AS$9:$AT$9,AQ$9,$AS29:$AT29)</f>
        <v>0</v>
      </c>
      <c r="AR29" s="247">
        <f>SUMIF($AS$9:$AT$9,AR$9,$AS29:$AT29)</f>
        <v>0</v>
      </c>
      <c r="AS29" s="194"/>
      <c r="AT29" s="194"/>
      <c r="AU29" s="326"/>
    </row>
    <row r="30" spans="1:47" ht="12" customHeight="1">
      <c r="A30" s="2"/>
      <c r="B30" s="2"/>
      <c r="C30" s="2"/>
      <c r="D30" s="2"/>
      <c r="E30" s="2"/>
      <c r="F30" s="2"/>
      <c r="G30" s="2"/>
      <c r="H30" s="2"/>
      <c r="I30" s="2"/>
      <c r="J30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413" t="s">
        <v>2093</v>
      </c>
      <c r="AG30" s="2"/>
      <c r="AH30" s="2"/>
      <c r="AI30" s="2"/>
      <c r="AJ30" s="2"/>
      <c r="AK30" s="2"/>
      <c r="AL30" s="124"/>
      <c r="AM30" s="562" t="str">
        <f>AM29 &amp; ".P"</f>
        <v>HDSFAL.P</v>
      </c>
      <c r="AN30" s="531" t="s">
        <v>842</v>
      </c>
      <c r="AO30" s="420" t="s">
        <v>23</v>
      </c>
      <c r="AP30" s="247">
        <f>IF(AP31=0,0,AP29*1000/AP31)</f>
        <v>0</v>
      </c>
      <c r="AQ30" s="247">
        <f>IF(AQ31=0,0,AQ29*1000/AQ31)</f>
        <v>0</v>
      </c>
      <c r="AR30" s="247">
        <f>IF(AR31=0,0,AR29*1000/AR31)</f>
        <v>0</v>
      </c>
      <c r="AS30" s="194"/>
      <c r="AT30" s="194"/>
      <c r="AU30" s="326"/>
    </row>
    <row r="31" spans="1:47" ht="12" customHeight="1">
      <c r="A31" s="2"/>
      <c r="B31" s="2"/>
      <c r="C31" s="2"/>
      <c r="D31" s="2"/>
      <c r="E31" s="2"/>
      <c r="F31" s="2"/>
      <c r="G31" s="2"/>
      <c r="H31" s="2"/>
      <c r="I31" s="2"/>
      <c r="J31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413" t="s">
        <v>2094</v>
      </c>
      <c r="AG31" s="2"/>
      <c r="AH31" s="2"/>
      <c r="AI31" s="2"/>
      <c r="AJ31" s="2"/>
      <c r="AK31" s="2"/>
      <c r="AL31" s="124"/>
      <c r="AM31" s="562" t="str">
        <f>AM29 &amp; ".V"</f>
        <v>HDSFAL.V</v>
      </c>
      <c r="AN31" s="531" t="s">
        <v>245</v>
      </c>
      <c r="AO31" s="420" t="s">
        <v>289</v>
      </c>
      <c r="AP31" s="247">
        <f t="shared" ref="AP31:AR32" si="0">SUMIF($AS$9:$AT$9,AP$9,$AS31:$AT31)</f>
        <v>0</v>
      </c>
      <c r="AQ31" s="247">
        <f t="shared" si="0"/>
        <v>0</v>
      </c>
      <c r="AR31" s="247">
        <f t="shared" si="0"/>
        <v>0</v>
      </c>
      <c r="AS31" s="194"/>
      <c r="AT31" s="194"/>
      <c r="AU31" s="326"/>
    </row>
    <row r="32" spans="1:47" ht="12" customHeight="1">
      <c r="A32" s="2"/>
      <c r="B32" s="2"/>
      <c r="C32" s="2"/>
      <c r="D32" s="2"/>
      <c r="E32" s="2"/>
      <c r="F32" s="2"/>
      <c r="G32" s="2"/>
      <c r="H32" s="2"/>
      <c r="I32" s="2"/>
      <c r="J3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413" t="s">
        <v>2092</v>
      </c>
      <c r="AG32" s="2"/>
      <c r="AH32" s="2"/>
      <c r="AI32" s="2"/>
      <c r="AJ32" s="2"/>
      <c r="AK32" s="2"/>
      <c r="AL32" s="124"/>
      <c r="AM32" s="561" t="s">
        <v>1998</v>
      </c>
      <c r="AN32" s="559" t="s">
        <v>1909</v>
      </c>
      <c r="AO32" s="420" t="s">
        <v>195</v>
      </c>
      <c r="AP32" s="247">
        <f t="shared" si="0"/>
        <v>0</v>
      </c>
      <c r="AQ32" s="247">
        <f t="shared" si="0"/>
        <v>0</v>
      </c>
      <c r="AR32" s="247">
        <f t="shared" si="0"/>
        <v>0</v>
      </c>
      <c r="AS32" s="194"/>
      <c r="AT32" s="194"/>
      <c r="AU32" s="326"/>
    </row>
    <row r="33" spans="1:47" ht="12" customHeight="1">
      <c r="A33" s="2"/>
      <c r="B33" s="2"/>
      <c r="C33" s="2"/>
      <c r="D33" s="2"/>
      <c r="E33" s="2"/>
      <c r="F33" s="2"/>
      <c r="G33" s="2"/>
      <c r="H33" s="2"/>
      <c r="I33" s="2"/>
      <c r="J33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413" t="s">
        <v>2093</v>
      </c>
      <c r="AG33" s="2"/>
      <c r="AH33" s="2"/>
      <c r="AI33" s="2"/>
      <c r="AJ33" s="2"/>
      <c r="AK33" s="2"/>
      <c r="AL33" s="124"/>
      <c r="AM33" s="562" t="str">
        <f>AM32 &amp; ".P"</f>
        <v>FES.P</v>
      </c>
      <c r="AN33" s="531" t="s">
        <v>842</v>
      </c>
      <c r="AO33" s="420" t="s">
        <v>23</v>
      </c>
      <c r="AP33" s="247">
        <f>IF(AP34=0,0,AP32*1000/AP34)</f>
        <v>0</v>
      </c>
      <c r="AQ33" s="247">
        <f>IF(AQ34=0,0,AQ32*1000/AQ34)</f>
        <v>0</v>
      </c>
      <c r="AR33" s="247">
        <f>IF(AR34=0,0,AR32*1000/AR34)</f>
        <v>0</v>
      </c>
      <c r="AS33" s="194"/>
      <c r="AT33" s="194"/>
      <c r="AU33" s="326"/>
    </row>
    <row r="34" spans="1:47" ht="12" customHeight="1">
      <c r="A34" s="2"/>
      <c r="B34" s="2"/>
      <c r="C34" s="2"/>
      <c r="D34" s="2"/>
      <c r="E34" s="2"/>
      <c r="F34" s="2"/>
      <c r="G34" s="2"/>
      <c r="H34" s="2"/>
      <c r="I34" s="2"/>
      <c r="J34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413" t="s">
        <v>2094</v>
      </c>
      <c r="AG34" s="2"/>
      <c r="AH34" s="2"/>
      <c r="AI34" s="2"/>
      <c r="AJ34" s="2"/>
      <c r="AK34" s="2"/>
      <c r="AL34" s="124"/>
      <c r="AM34" s="562" t="str">
        <f>AM32 &amp; ".V"</f>
        <v>FES.V</v>
      </c>
      <c r="AN34" s="531" t="s">
        <v>245</v>
      </c>
      <c r="AO34" s="420" t="s">
        <v>289</v>
      </c>
      <c r="AP34" s="247">
        <f t="shared" ref="AP34:AR35" si="1">SUMIF($AS$9:$AT$9,AP$9,$AS34:$AT34)</f>
        <v>0</v>
      </c>
      <c r="AQ34" s="247">
        <f t="shared" si="1"/>
        <v>0</v>
      </c>
      <c r="AR34" s="247">
        <f t="shared" si="1"/>
        <v>0</v>
      </c>
      <c r="AS34" s="194"/>
      <c r="AT34" s="194"/>
      <c r="AU34" s="326"/>
    </row>
    <row r="35" spans="1:47" ht="12" customHeight="1">
      <c r="A35" s="2"/>
      <c r="B35" s="2"/>
      <c r="C35" s="2"/>
      <c r="D35" s="2"/>
      <c r="E35" s="2"/>
      <c r="F35" s="2"/>
      <c r="G35" s="2"/>
      <c r="H35" s="2"/>
      <c r="I35" s="2"/>
      <c r="J3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413" t="s">
        <v>2092</v>
      </c>
      <c r="AG35" s="2"/>
      <c r="AH35" s="2"/>
      <c r="AI35" s="2"/>
      <c r="AJ35" s="2"/>
      <c r="AK35" s="2"/>
      <c r="AL35" s="124"/>
      <c r="AM35" s="561" t="s">
        <v>2082</v>
      </c>
      <c r="AN35" s="559" t="s">
        <v>1910</v>
      </c>
      <c r="AO35" s="420" t="s">
        <v>195</v>
      </c>
      <c r="AP35" s="247">
        <f t="shared" si="1"/>
        <v>0</v>
      </c>
      <c r="AQ35" s="247">
        <f t="shared" si="1"/>
        <v>0</v>
      </c>
      <c r="AR35" s="247">
        <f t="shared" si="1"/>
        <v>0</v>
      </c>
      <c r="AS35" s="194"/>
      <c r="AT35" s="194"/>
      <c r="AU35" s="326"/>
    </row>
    <row r="36" spans="1:47" ht="12" customHeight="1">
      <c r="A36" s="2"/>
      <c r="B36" s="2"/>
      <c r="C36" s="2"/>
      <c r="D36" s="2"/>
      <c r="E36" s="2"/>
      <c r="F36" s="2"/>
      <c r="G36" s="2"/>
      <c r="H36" s="2"/>
      <c r="I36" s="2"/>
      <c r="J36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413" t="s">
        <v>2093</v>
      </c>
      <c r="AG36" s="2"/>
      <c r="AH36" s="2"/>
      <c r="AI36" s="2"/>
      <c r="AJ36" s="2"/>
      <c r="AK36" s="2"/>
      <c r="AL36" s="124"/>
      <c r="AM36" s="562" t="str">
        <f>AM35 &amp; ".P"</f>
        <v>OXCLAL.P</v>
      </c>
      <c r="AN36" s="531" t="s">
        <v>842</v>
      </c>
      <c r="AO36" s="420" t="s">
        <v>23</v>
      </c>
      <c r="AP36" s="247">
        <f>IF(AP37=0,0,AP35*1000/AP37)</f>
        <v>0</v>
      </c>
      <c r="AQ36" s="247">
        <f>IF(AQ37=0,0,AQ35*1000/AQ37)</f>
        <v>0</v>
      </c>
      <c r="AR36" s="247">
        <f>IF(AR37=0,0,AR35*1000/AR37)</f>
        <v>0</v>
      </c>
      <c r="AS36" s="194"/>
      <c r="AT36" s="194"/>
      <c r="AU36" s="326"/>
    </row>
    <row r="37" spans="1:47" ht="12" customHeight="1">
      <c r="A37" s="2"/>
      <c r="B37" s="2"/>
      <c r="C37" s="2"/>
      <c r="D37" s="2"/>
      <c r="E37" s="2"/>
      <c r="F37" s="2"/>
      <c r="G37" s="2"/>
      <c r="H37" s="2"/>
      <c r="I37" s="2"/>
      <c r="J37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413" t="s">
        <v>2094</v>
      </c>
      <c r="AG37" s="2"/>
      <c r="AH37" s="2"/>
      <c r="AI37" s="2"/>
      <c r="AJ37" s="2"/>
      <c r="AK37" s="2"/>
      <c r="AL37" s="124"/>
      <c r="AM37" s="562" t="str">
        <f>AM35 &amp; ".V"</f>
        <v>OXCLAL.V</v>
      </c>
      <c r="AN37" s="531" t="s">
        <v>245</v>
      </c>
      <c r="AO37" s="420" t="s">
        <v>289</v>
      </c>
      <c r="AP37" s="247">
        <f t="shared" ref="AP37:AR47" si="2">SUMIF($AS$9:$AT$9,AP$9,$AS37:$AT37)</f>
        <v>0</v>
      </c>
      <c r="AQ37" s="247">
        <f t="shared" si="2"/>
        <v>0</v>
      </c>
      <c r="AR37" s="247">
        <f t="shared" si="2"/>
        <v>0</v>
      </c>
      <c r="AS37" s="194"/>
      <c r="AT37" s="194"/>
      <c r="AU37" s="326"/>
    </row>
    <row r="38" spans="1:47" ht="12" customHeight="1">
      <c r="A38" s="2"/>
      <c r="B38" s="2"/>
      <c r="C38" s="2"/>
      <c r="D38" s="2"/>
      <c r="E38" s="2"/>
      <c r="F38" s="2"/>
      <c r="G38" s="2"/>
      <c r="H38" s="2"/>
      <c r="I38" s="2"/>
      <c r="J38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413" t="s">
        <v>2092</v>
      </c>
      <c r="AG38" s="2"/>
      <c r="AH38" s="2"/>
      <c r="AI38" s="2"/>
      <c r="AJ38" s="2"/>
      <c r="AK38" s="2"/>
      <c r="AL38" s="124"/>
      <c r="AM38" s="638" t="s">
        <v>2303</v>
      </c>
      <c r="AN38" s="559" t="s">
        <v>2304</v>
      </c>
      <c r="AO38" s="420" t="s">
        <v>195</v>
      </c>
      <c r="AP38" s="247">
        <f t="shared" si="2"/>
        <v>0</v>
      </c>
      <c r="AQ38" s="247">
        <f t="shared" si="2"/>
        <v>0</v>
      </c>
      <c r="AR38" s="247">
        <f t="shared" si="2"/>
        <v>0</v>
      </c>
      <c r="AS38" s="194"/>
      <c r="AT38" s="194"/>
      <c r="AU38" s="326"/>
    </row>
    <row r="39" spans="1:47" ht="12" customHeight="1">
      <c r="A39" s="2"/>
      <c r="B39" s="2"/>
      <c r="C39" s="2"/>
      <c r="D39" s="2"/>
      <c r="E39" s="2"/>
      <c r="F39" s="2"/>
      <c r="G39" s="2"/>
      <c r="H39" s="2"/>
      <c r="I39" s="2"/>
      <c r="J39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413" t="s">
        <v>2093</v>
      </c>
      <c r="AG39" s="2"/>
      <c r="AH39" s="2"/>
      <c r="AI39" s="2"/>
      <c r="AJ39" s="2"/>
      <c r="AK39" s="2"/>
      <c r="AL39" s="124"/>
      <c r="AM39" s="639" t="str">
        <f>AM38 &amp; ".P"</f>
        <v>OXCLAL10.P</v>
      </c>
      <c r="AN39" s="531" t="s">
        <v>842</v>
      </c>
      <c r="AO39" s="420" t="s">
        <v>23</v>
      </c>
      <c r="AP39" s="247">
        <f>IF(AP40=0,0,AP38*1000/AP40)</f>
        <v>0</v>
      </c>
      <c r="AQ39" s="247">
        <f>IF(AQ40=0,0,AQ38*1000/AQ40)</f>
        <v>0</v>
      </c>
      <c r="AR39" s="247">
        <f>IF(AR40=0,0,AR38*1000/AR40)</f>
        <v>0</v>
      </c>
      <c r="AS39" s="194"/>
      <c r="AT39" s="194"/>
      <c r="AU39" s="326"/>
    </row>
    <row r="40" spans="1:47" ht="12" customHeight="1">
      <c r="A40" s="2"/>
      <c r="B40" s="2"/>
      <c r="C40" s="2"/>
      <c r="D40" s="2"/>
      <c r="E40" s="2"/>
      <c r="F40" s="2"/>
      <c r="G40" s="2"/>
      <c r="H40" s="2"/>
      <c r="I40" s="2"/>
      <c r="J40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413" t="s">
        <v>2094</v>
      </c>
      <c r="AG40" s="2"/>
      <c r="AH40" s="2"/>
      <c r="AI40" s="2"/>
      <c r="AJ40" s="2"/>
      <c r="AK40" s="2"/>
      <c r="AL40" s="124"/>
      <c r="AM40" s="639" t="str">
        <f>AM38 &amp; ".V"</f>
        <v>OXCLAL10.V</v>
      </c>
      <c r="AN40" s="531" t="s">
        <v>245</v>
      </c>
      <c r="AO40" s="420" t="s">
        <v>289</v>
      </c>
      <c r="AP40" s="247">
        <f t="shared" si="2"/>
        <v>0</v>
      </c>
      <c r="AQ40" s="247">
        <f t="shared" si="2"/>
        <v>0</v>
      </c>
      <c r="AR40" s="247">
        <f t="shared" si="2"/>
        <v>0</v>
      </c>
      <c r="AS40" s="194"/>
      <c r="AT40" s="194"/>
      <c r="AU40" s="326"/>
    </row>
    <row r="41" spans="1:47" ht="12" customHeight="1">
      <c r="A41" s="2"/>
      <c r="B41" s="2"/>
      <c r="C41" s="2"/>
      <c r="D41" s="2"/>
      <c r="E41" s="2"/>
      <c r="F41" s="2"/>
      <c r="G41" s="2"/>
      <c r="H41" s="2"/>
      <c r="I41" s="2"/>
      <c r="J41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413" t="s">
        <v>2092</v>
      </c>
      <c r="AG41" s="2"/>
      <c r="AH41" s="2"/>
      <c r="AI41" s="2"/>
      <c r="AJ41" s="2"/>
      <c r="AK41" s="2"/>
      <c r="AL41" s="124"/>
      <c r="AM41" s="638" t="s">
        <v>2305</v>
      </c>
      <c r="AN41" s="559" t="s">
        <v>2306</v>
      </c>
      <c r="AO41" s="420" t="s">
        <v>195</v>
      </c>
      <c r="AP41" s="247">
        <f t="shared" si="2"/>
        <v>0</v>
      </c>
      <c r="AQ41" s="247">
        <f t="shared" si="2"/>
        <v>0</v>
      </c>
      <c r="AR41" s="247">
        <f t="shared" si="2"/>
        <v>0</v>
      </c>
      <c r="AS41" s="194"/>
      <c r="AT41" s="194"/>
      <c r="AU41" s="326"/>
    </row>
    <row r="42" spans="1:47" ht="12" customHeight="1">
      <c r="A42" s="2"/>
      <c r="B42" s="2"/>
      <c r="C42" s="2"/>
      <c r="D42" s="2"/>
      <c r="E42" s="2"/>
      <c r="F42" s="2"/>
      <c r="G42" s="2"/>
      <c r="H42" s="2"/>
      <c r="I42" s="2"/>
      <c r="J4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413" t="s">
        <v>2093</v>
      </c>
      <c r="AG42" s="2"/>
      <c r="AH42" s="2"/>
      <c r="AI42" s="2"/>
      <c r="AJ42" s="2"/>
      <c r="AK42" s="2"/>
      <c r="AL42" s="124"/>
      <c r="AM42" s="639" t="str">
        <f>AM41 &amp; ".P"</f>
        <v>OXCLAL18.P</v>
      </c>
      <c r="AN42" s="531" t="s">
        <v>842</v>
      </c>
      <c r="AO42" s="420" t="s">
        <v>23</v>
      </c>
      <c r="AP42" s="247">
        <f>IF(AP43=0,0,AP41*1000/AP43)</f>
        <v>0</v>
      </c>
      <c r="AQ42" s="247">
        <f>IF(AQ43=0,0,AQ41*1000/AQ43)</f>
        <v>0</v>
      </c>
      <c r="AR42" s="247">
        <f>IF(AR43=0,0,AR41*1000/AR43)</f>
        <v>0</v>
      </c>
      <c r="AS42" s="194"/>
      <c r="AT42" s="194"/>
      <c r="AU42" s="326"/>
    </row>
    <row r="43" spans="1:47" ht="12" customHeight="1">
      <c r="A43" s="2"/>
      <c r="B43" s="2"/>
      <c r="C43" s="2"/>
      <c r="D43" s="2"/>
      <c r="E43" s="2"/>
      <c r="F43" s="2"/>
      <c r="G43" s="2"/>
      <c r="H43" s="2"/>
      <c r="I43" s="2"/>
      <c r="J43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413" t="s">
        <v>2094</v>
      </c>
      <c r="AG43" s="2"/>
      <c r="AH43" s="2"/>
      <c r="AI43" s="2"/>
      <c r="AJ43" s="2"/>
      <c r="AK43" s="2"/>
      <c r="AL43" s="124"/>
      <c r="AM43" s="639" t="str">
        <f>AM41 &amp; ".V"</f>
        <v>OXCLAL18.V</v>
      </c>
      <c r="AN43" s="531" t="s">
        <v>245</v>
      </c>
      <c r="AO43" s="420" t="s">
        <v>289</v>
      </c>
      <c r="AP43" s="247">
        <f t="shared" si="2"/>
        <v>0</v>
      </c>
      <c r="AQ43" s="247">
        <f t="shared" si="2"/>
        <v>0</v>
      </c>
      <c r="AR43" s="247">
        <f t="shared" si="2"/>
        <v>0</v>
      </c>
      <c r="AS43" s="194"/>
      <c r="AT43" s="194"/>
      <c r="AU43" s="326"/>
    </row>
    <row r="44" spans="1:47" ht="12" customHeight="1">
      <c r="A44" s="2"/>
      <c r="B44" s="2"/>
      <c r="C44" s="2"/>
      <c r="D44" s="2"/>
      <c r="E44" s="2"/>
      <c r="F44" s="2"/>
      <c r="G44" s="2"/>
      <c r="H44" s="2"/>
      <c r="I44" s="2"/>
      <c r="J4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413" t="s">
        <v>2092</v>
      </c>
      <c r="AG44" s="2"/>
      <c r="AH44" s="2"/>
      <c r="AI44" s="2"/>
      <c r="AJ44" s="2"/>
      <c r="AK44" s="2"/>
      <c r="AL44" s="124"/>
      <c r="AM44" s="638" t="s">
        <v>2307</v>
      </c>
      <c r="AN44" s="559" t="s">
        <v>2308</v>
      </c>
      <c r="AO44" s="420" t="s">
        <v>195</v>
      </c>
      <c r="AP44" s="247">
        <f t="shared" si="2"/>
        <v>0</v>
      </c>
      <c r="AQ44" s="247">
        <f t="shared" si="2"/>
        <v>0</v>
      </c>
      <c r="AR44" s="247">
        <f t="shared" si="2"/>
        <v>0</v>
      </c>
      <c r="AS44" s="194"/>
      <c r="AT44" s="194"/>
      <c r="AU44" s="326"/>
    </row>
    <row r="45" spans="1:47" ht="12" customHeight="1">
      <c r="A45" s="2"/>
      <c r="B45" s="2"/>
      <c r="C45" s="2"/>
      <c r="D45" s="2"/>
      <c r="E45" s="2"/>
      <c r="F45" s="2"/>
      <c r="G45" s="2"/>
      <c r="H45" s="2"/>
      <c r="I45" s="2"/>
      <c r="J4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413" t="s">
        <v>2093</v>
      </c>
      <c r="AG45" s="2"/>
      <c r="AH45" s="2"/>
      <c r="AI45" s="2"/>
      <c r="AJ45" s="2"/>
      <c r="AK45" s="2"/>
      <c r="AL45" s="124"/>
      <c r="AM45" s="639" t="str">
        <f>AM44 &amp; ".P"</f>
        <v>OXCLAL30.P</v>
      </c>
      <c r="AN45" s="531" t="s">
        <v>842</v>
      </c>
      <c r="AO45" s="420" t="s">
        <v>23</v>
      </c>
      <c r="AP45" s="247">
        <f>IF(AP46=0,0,AP44*1000/AP46)</f>
        <v>0</v>
      </c>
      <c r="AQ45" s="247">
        <f>IF(AQ46=0,0,AQ44*1000/AQ46)</f>
        <v>0</v>
      </c>
      <c r="AR45" s="247">
        <f>IF(AR46=0,0,AR44*1000/AR46)</f>
        <v>0</v>
      </c>
      <c r="AS45" s="194"/>
      <c r="AT45" s="194"/>
      <c r="AU45" s="326"/>
    </row>
    <row r="46" spans="1:47" ht="12" customHeight="1">
      <c r="A46" s="2"/>
      <c r="B46" s="2"/>
      <c r="C46" s="2"/>
      <c r="D46" s="2"/>
      <c r="E46" s="2"/>
      <c r="F46" s="2"/>
      <c r="G46" s="2"/>
      <c r="H46" s="2"/>
      <c r="I46" s="2"/>
      <c r="J46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413" t="s">
        <v>2094</v>
      </c>
      <c r="AG46" s="2"/>
      <c r="AH46" s="2"/>
      <c r="AI46" s="2"/>
      <c r="AJ46" s="2"/>
      <c r="AK46" s="2"/>
      <c r="AL46" s="124"/>
      <c r="AM46" s="639" t="str">
        <f>AM44 &amp; ".V"</f>
        <v>OXCLAL30.V</v>
      </c>
      <c r="AN46" s="531" t="s">
        <v>245</v>
      </c>
      <c r="AO46" s="420" t="s">
        <v>289</v>
      </c>
      <c r="AP46" s="247">
        <f t="shared" si="2"/>
        <v>0</v>
      </c>
      <c r="AQ46" s="247">
        <f t="shared" si="2"/>
        <v>0</v>
      </c>
      <c r="AR46" s="247">
        <f t="shared" si="2"/>
        <v>0</v>
      </c>
      <c r="AS46" s="194"/>
      <c r="AT46" s="194"/>
      <c r="AU46" s="326"/>
    </row>
    <row r="47" spans="1:47" ht="12" customHeight="1">
      <c r="A47" s="2"/>
      <c r="B47" s="2"/>
      <c r="C47" s="2"/>
      <c r="D47" s="2"/>
      <c r="E47" s="2"/>
      <c r="F47" s="2"/>
      <c r="G47" s="2"/>
      <c r="H47" s="2"/>
      <c r="I47" s="2"/>
      <c r="J47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413" t="s">
        <v>2092</v>
      </c>
      <c r="AG47" s="2"/>
      <c r="AH47" s="2"/>
      <c r="AI47" s="2"/>
      <c r="AJ47" s="2"/>
      <c r="AK47" s="2"/>
      <c r="AL47" s="124"/>
      <c r="AM47" s="561" t="s">
        <v>2083</v>
      </c>
      <c r="AN47" s="559" t="s">
        <v>1911</v>
      </c>
      <c r="AO47" s="420" t="s">
        <v>195</v>
      </c>
      <c r="AP47" s="247">
        <f t="shared" si="2"/>
        <v>0</v>
      </c>
      <c r="AQ47" s="247">
        <f t="shared" si="2"/>
        <v>0</v>
      </c>
      <c r="AR47" s="247">
        <f t="shared" si="2"/>
        <v>0</v>
      </c>
      <c r="AS47" s="194"/>
      <c r="AT47" s="194"/>
      <c r="AU47" s="326"/>
    </row>
    <row r="48" spans="1:47" ht="12" customHeight="1">
      <c r="A48" s="2"/>
      <c r="B48" s="2"/>
      <c r="C48" s="2"/>
      <c r="D48" s="2"/>
      <c r="E48" s="2"/>
      <c r="F48" s="2"/>
      <c r="G48" s="2"/>
      <c r="H48" s="2"/>
      <c r="I48" s="2"/>
      <c r="J4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413" t="s">
        <v>2093</v>
      </c>
      <c r="AG48" s="2"/>
      <c r="AH48" s="2"/>
      <c r="AI48" s="2"/>
      <c r="AJ48" s="2"/>
      <c r="AK48" s="2"/>
      <c r="AL48" s="124"/>
      <c r="AM48" s="562" t="str">
        <f>AM47 &amp; ".P"</f>
        <v>PLOXCLAL.P</v>
      </c>
      <c r="AN48" s="531" t="s">
        <v>842</v>
      </c>
      <c r="AO48" s="420" t="s">
        <v>23</v>
      </c>
      <c r="AP48" s="247">
        <f>IF(AP49=0,0,AP47*1000/AP49)</f>
        <v>0</v>
      </c>
      <c r="AQ48" s="247">
        <f>IF(AQ49=0,0,AQ47*1000/AQ49)</f>
        <v>0</v>
      </c>
      <c r="AR48" s="247">
        <f>IF(AR49=0,0,AR47*1000/AR49)</f>
        <v>0</v>
      </c>
      <c r="AS48" s="194"/>
      <c r="AT48" s="194"/>
      <c r="AU48" s="326"/>
    </row>
    <row r="49" spans="1:47" ht="12" customHeight="1">
      <c r="A49" s="2"/>
      <c r="B49" s="2"/>
      <c r="C49" s="2"/>
      <c r="D49" s="2"/>
      <c r="E49" s="2"/>
      <c r="F49" s="2"/>
      <c r="G49" s="2"/>
      <c r="H49" s="2"/>
      <c r="I49" s="2"/>
      <c r="J49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413" t="s">
        <v>2094</v>
      </c>
      <c r="AG49" s="2"/>
      <c r="AH49" s="2"/>
      <c r="AI49" s="2"/>
      <c r="AJ49" s="2"/>
      <c r="AK49" s="2"/>
      <c r="AL49" s="124"/>
      <c r="AM49" s="562" t="str">
        <f>AM47 &amp; ".V"</f>
        <v>PLOXCLAL.V</v>
      </c>
      <c r="AN49" s="531" t="s">
        <v>245</v>
      </c>
      <c r="AO49" s="420" t="s">
        <v>289</v>
      </c>
      <c r="AP49" s="247">
        <f t="shared" ref="AP49:AR50" si="3">SUMIF($AS$9:$AT$9,AP$9,$AS49:$AT49)</f>
        <v>0</v>
      </c>
      <c r="AQ49" s="247">
        <f t="shared" si="3"/>
        <v>0</v>
      </c>
      <c r="AR49" s="247">
        <f t="shared" si="3"/>
        <v>0</v>
      </c>
      <c r="AS49" s="194"/>
      <c r="AT49" s="194"/>
      <c r="AU49" s="326"/>
    </row>
    <row r="50" spans="1:47" ht="12" customHeight="1">
      <c r="A50" s="2"/>
      <c r="B50" s="2"/>
      <c r="C50" s="2"/>
      <c r="D50" s="2"/>
      <c r="E50" s="2"/>
      <c r="F50" s="2"/>
      <c r="G50" s="2"/>
      <c r="H50" s="2"/>
      <c r="I50" s="2"/>
      <c r="J50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413" t="s">
        <v>2092</v>
      </c>
      <c r="AG50" s="2"/>
      <c r="AH50" s="2"/>
      <c r="AI50" s="2"/>
      <c r="AJ50" s="2"/>
      <c r="AK50" s="2"/>
      <c r="AL50" s="124"/>
      <c r="AM50" s="638" t="s">
        <v>2309</v>
      </c>
      <c r="AN50" s="559" t="s">
        <v>2310</v>
      </c>
      <c r="AO50" s="420" t="s">
        <v>195</v>
      </c>
      <c r="AP50" s="247">
        <f t="shared" si="3"/>
        <v>0</v>
      </c>
      <c r="AQ50" s="247">
        <f t="shared" si="3"/>
        <v>0</v>
      </c>
      <c r="AR50" s="247">
        <f t="shared" si="3"/>
        <v>0</v>
      </c>
      <c r="AS50" s="194"/>
      <c r="AT50" s="194"/>
      <c r="AU50" s="326"/>
    </row>
    <row r="51" spans="1:47" ht="12" customHeight="1">
      <c r="A51" s="2"/>
      <c r="B51" s="2"/>
      <c r="C51" s="2"/>
      <c r="D51" s="2"/>
      <c r="E51" s="2"/>
      <c r="F51" s="2"/>
      <c r="G51" s="2"/>
      <c r="H51" s="2"/>
      <c r="I51" s="2"/>
      <c r="J51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413" t="s">
        <v>2093</v>
      </c>
      <c r="AG51" s="2"/>
      <c r="AH51" s="2"/>
      <c r="AI51" s="2"/>
      <c r="AJ51" s="2"/>
      <c r="AK51" s="2"/>
      <c r="AL51" s="124"/>
      <c r="AM51" s="639" t="str">
        <f>AM50 &amp; ".P"</f>
        <v>PLOXCLAL10.P</v>
      </c>
      <c r="AN51" s="531" t="s">
        <v>842</v>
      </c>
      <c r="AO51" s="420" t="s">
        <v>23</v>
      </c>
      <c r="AP51" s="247">
        <f>IF(AP52=0,0,AP50*1000/AP52)</f>
        <v>0</v>
      </c>
      <c r="AQ51" s="247">
        <f>IF(AQ52=0,0,AQ50*1000/AQ52)</f>
        <v>0</v>
      </c>
      <c r="AR51" s="247">
        <f>IF(AR52=0,0,AR50*1000/AR52)</f>
        <v>0</v>
      </c>
      <c r="AS51" s="194"/>
      <c r="AT51" s="194"/>
      <c r="AU51" s="326"/>
    </row>
    <row r="52" spans="1:47" ht="12" customHeight="1">
      <c r="A52" s="2"/>
      <c r="B52" s="2"/>
      <c r="C52" s="2"/>
      <c r="D52" s="2"/>
      <c r="E52" s="2"/>
      <c r="F52" s="2"/>
      <c r="G52" s="2"/>
      <c r="H52" s="2"/>
      <c r="I52" s="2"/>
      <c r="J5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413" t="s">
        <v>2094</v>
      </c>
      <c r="AG52" s="2"/>
      <c r="AH52" s="2"/>
      <c r="AI52" s="2"/>
      <c r="AJ52" s="2"/>
      <c r="AK52" s="2"/>
      <c r="AL52" s="124"/>
      <c r="AM52" s="639" t="str">
        <f>AM50 &amp; ".V"</f>
        <v>PLOXCLAL10.V</v>
      </c>
      <c r="AN52" s="531" t="s">
        <v>245</v>
      </c>
      <c r="AO52" s="420" t="s">
        <v>289</v>
      </c>
      <c r="AP52" s="247">
        <f t="shared" ref="AP52:AR53" si="4">SUMIF($AS$9:$AT$9,AP$9,$AS52:$AT52)</f>
        <v>0</v>
      </c>
      <c r="AQ52" s="247">
        <f t="shared" si="4"/>
        <v>0</v>
      </c>
      <c r="AR52" s="247">
        <f t="shared" si="4"/>
        <v>0</v>
      </c>
      <c r="AS52" s="194"/>
      <c r="AT52" s="194"/>
      <c r="AU52" s="326"/>
    </row>
    <row r="53" spans="1:47" ht="12" customHeight="1">
      <c r="A53" s="2"/>
      <c r="B53" s="2"/>
      <c r="C53" s="2"/>
      <c r="D53" s="2"/>
      <c r="E53" s="2"/>
      <c r="F53" s="2"/>
      <c r="G53" s="2"/>
      <c r="H53" s="2"/>
      <c r="I53" s="2"/>
      <c r="J5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413" t="s">
        <v>2092</v>
      </c>
      <c r="AG53" s="2"/>
      <c r="AH53" s="2"/>
      <c r="AI53" s="2"/>
      <c r="AJ53" s="2"/>
      <c r="AK53" s="2"/>
      <c r="AL53" s="124"/>
      <c r="AM53" s="638" t="s">
        <v>2311</v>
      </c>
      <c r="AN53" s="559" t="s">
        <v>2312</v>
      </c>
      <c r="AO53" s="420" t="s">
        <v>195</v>
      </c>
      <c r="AP53" s="247">
        <f t="shared" si="4"/>
        <v>0</v>
      </c>
      <c r="AQ53" s="247">
        <f t="shared" si="4"/>
        <v>0</v>
      </c>
      <c r="AR53" s="247">
        <f t="shared" si="4"/>
        <v>0</v>
      </c>
      <c r="AS53" s="194"/>
      <c r="AT53" s="194"/>
      <c r="AU53" s="326"/>
    </row>
    <row r="54" spans="1:47" ht="12" customHeight="1">
      <c r="A54" s="2"/>
      <c r="B54" s="2"/>
      <c r="C54" s="2"/>
      <c r="D54" s="2"/>
      <c r="E54" s="2"/>
      <c r="F54" s="2"/>
      <c r="G54" s="2"/>
      <c r="H54" s="2"/>
      <c r="I54" s="2"/>
      <c r="J54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413" t="s">
        <v>2093</v>
      </c>
      <c r="AG54" s="2"/>
      <c r="AH54" s="2"/>
      <c r="AI54" s="2"/>
      <c r="AJ54" s="2"/>
      <c r="AK54" s="2"/>
      <c r="AL54" s="124"/>
      <c r="AM54" s="639" t="str">
        <f>AM53 &amp; ".P"</f>
        <v>PLOXCLAL18.P</v>
      </c>
      <c r="AN54" s="531" t="s">
        <v>842</v>
      </c>
      <c r="AO54" s="420" t="s">
        <v>23</v>
      </c>
      <c r="AP54" s="247">
        <f>IF(AP55=0,0,AP53*1000/AP55)</f>
        <v>0</v>
      </c>
      <c r="AQ54" s="247">
        <f>IF(AQ55=0,0,AQ53*1000/AQ55)</f>
        <v>0</v>
      </c>
      <c r="AR54" s="247">
        <f>IF(AR55=0,0,AR53*1000/AR55)</f>
        <v>0</v>
      </c>
      <c r="AS54" s="194"/>
      <c r="AT54" s="194"/>
      <c r="AU54" s="326"/>
    </row>
    <row r="55" spans="1:47" ht="12" customHeight="1">
      <c r="A55" s="2"/>
      <c r="B55" s="2"/>
      <c r="C55" s="2"/>
      <c r="D55" s="2"/>
      <c r="E55" s="2"/>
      <c r="F55" s="2"/>
      <c r="G55" s="2"/>
      <c r="H55" s="2"/>
      <c r="I55" s="2"/>
      <c r="J5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13" t="s">
        <v>2094</v>
      </c>
      <c r="AG55" s="2"/>
      <c r="AH55" s="2"/>
      <c r="AI55" s="2"/>
      <c r="AJ55" s="2"/>
      <c r="AK55" s="2"/>
      <c r="AL55" s="124"/>
      <c r="AM55" s="639" t="str">
        <f>AM53 &amp; ".V"</f>
        <v>PLOXCLAL18.V</v>
      </c>
      <c r="AN55" s="531" t="s">
        <v>245</v>
      </c>
      <c r="AO55" s="420" t="s">
        <v>289</v>
      </c>
      <c r="AP55" s="247">
        <f t="shared" ref="AP55:AR56" si="5">SUMIF($AS$9:$AT$9,AP$9,$AS55:$AT55)</f>
        <v>0</v>
      </c>
      <c r="AQ55" s="247">
        <f t="shared" si="5"/>
        <v>0</v>
      </c>
      <c r="AR55" s="247">
        <f t="shared" si="5"/>
        <v>0</v>
      </c>
      <c r="AS55" s="194"/>
      <c r="AT55" s="194"/>
      <c r="AU55" s="326"/>
    </row>
    <row r="56" spans="1:47" ht="12" customHeight="1">
      <c r="A56" s="2"/>
      <c r="B56" s="2"/>
      <c r="C56" s="2"/>
      <c r="D56" s="2"/>
      <c r="E56" s="2"/>
      <c r="F56" s="2"/>
      <c r="G56" s="2"/>
      <c r="H56" s="2"/>
      <c r="I56" s="2"/>
      <c r="J56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413" t="s">
        <v>2092</v>
      </c>
      <c r="AG56" s="2"/>
      <c r="AH56" s="2"/>
      <c r="AI56" s="2"/>
      <c r="AJ56" s="2"/>
      <c r="AK56" s="2"/>
      <c r="AL56" s="124"/>
      <c r="AM56" s="638" t="s">
        <v>2313</v>
      </c>
      <c r="AN56" s="559" t="s">
        <v>2314</v>
      </c>
      <c r="AO56" s="420" t="s">
        <v>195</v>
      </c>
      <c r="AP56" s="247">
        <f t="shared" si="5"/>
        <v>0</v>
      </c>
      <c r="AQ56" s="247">
        <f t="shared" si="5"/>
        <v>0</v>
      </c>
      <c r="AR56" s="247">
        <f t="shared" si="5"/>
        <v>0</v>
      </c>
      <c r="AS56" s="194"/>
      <c r="AT56" s="194"/>
      <c r="AU56" s="326"/>
    </row>
    <row r="57" spans="1:47" ht="12" customHeight="1">
      <c r="A57" s="2"/>
      <c r="B57" s="2"/>
      <c r="C57" s="2"/>
      <c r="D57" s="2"/>
      <c r="E57" s="2"/>
      <c r="F57" s="2"/>
      <c r="G57" s="2"/>
      <c r="H57" s="2"/>
      <c r="I57" s="2"/>
      <c r="J5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413" t="s">
        <v>2093</v>
      </c>
      <c r="AG57" s="2"/>
      <c r="AH57" s="2"/>
      <c r="AI57" s="2"/>
      <c r="AJ57" s="2"/>
      <c r="AK57" s="2"/>
      <c r="AL57" s="124"/>
      <c r="AM57" s="639" t="str">
        <f>AM56 &amp; ".P"</f>
        <v>PLOXCLAL30.P</v>
      </c>
      <c r="AN57" s="531" t="s">
        <v>842</v>
      </c>
      <c r="AO57" s="420" t="s">
        <v>23</v>
      </c>
      <c r="AP57" s="247">
        <f>IF(AP58=0,0,AP56*1000/AP58)</f>
        <v>0</v>
      </c>
      <c r="AQ57" s="247">
        <f>IF(AQ58=0,0,AQ56*1000/AQ58)</f>
        <v>0</v>
      </c>
      <c r="AR57" s="247">
        <f>IF(AR58=0,0,AR56*1000/AR58)</f>
        <v>0</v>
      </c>
      <c r="AS57" s="194"/>
      <c r="AT57" s="194"/>
      <c r="AU57" s="326"/>
    </row>
    <row r="58" spans="1:47" ht="12" customHeight="1">
      <c r="A58" s="2"/>
      <c r="B58" s="2"/>
      <c r="C58" s="2"/>
      <c r="D58" s="2"/>
      <c r="E58" s="2"/>
      <c r="F58" s="2"/>
      <c r="G58" s="2"/>
      <c r="H58" s="2"/>
      <c r="I58" s="2"/>
      <c r="J58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413" t="s">
        <v>2094</v>
      </c>
      <c r="AG58" s="2"/>
      <c r="AH58" s="2"/>
      <c r="AI58" s="2"/>
      <c r="AJ58" s="2"/>
      <c r="AK58" s="2"/>
      <c r="AL58" s="124"/>
      <c r="AM58" s="639" t="str">
        <f>AM56 &amp; ".V"</f>
        <v>PLOXCLAL30.V</v>
      </c>
      <c r="AN58" s="531" t="s">
        <v>245</v>
      </c>
      <c r="AO58" s="420" t="s">
        <v>289</v>
      </c>
      <c r="AP58" s="247">
        <f t="shared" ref="AP58:AR59" si="6">SUMIF($AS$9:$AT$9,AP$9,$AS58:$AT58)</f>
        <v>0</v>
      </c>
      <c r="AQ58" s="247">
        <f t="shared" si="6"/>
        <v>0</v>
      </c>
      <c r="AR58" s="247">
        <f t="shared" si="6"/>
        <v>0</v>
      </c>
      <c r="AS58" s="194"/>
      <c r="AT58" s="194"/>
      <c r="AU58" s="326"/>
    </row>
    <row r="59" spans="1:47" ht="12" customHeight="1">
      <c r="A59" s="2"/>
      <c r="B59" s="2"/>
      <c r="C59" s="2"/>
      <c r="D59" s="2"/>
      <c r="E59" s="2"/>
      <c r="F59" s="2"/>
      <c r="G59" s="2"/>
      <c r="H59" s="2"/>
      <c r="I59" s="2"/>
      <c r="J59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413" t="s">
        <v>2092</v>
      </c>
      <c r="AG59" s="2"/>
      <c r="AH59" s="2"/>
      <c r="AI59" s="2"/>
      <c r="AJ59" s="2"/>
      <c r="AK59" s="2"/>
      <c r="AL59" s="124"/>
      <c r="AM59" s="561" t="s">
        <v>2036</v>
      </c>
      <c r="AN59" s="559" t="s">
        <v>1912</v>
      </c>
      <c r="AO59" s="420" t="s">
        <v>195</v>
      </c>
      <c r="AP59" s="247">
        <f t="shared" si="6"/>
        <v>0</v>
      </c>
      <c r="AQ59" s="247">
        <f t="shared" si="6"/>
        <v>0</v>
      </c>
      <c r="AR59" s="247">
        <f t="shared" si="6"/>
        <v>0</v>
      </c>
      <c r="AS59" s="194"/>
      <c r="AT59" s="194"/>
      <c r="AU59" s="326"/>
    </row>
    <row r="60" spans="1:47" ht="12" customHeight="1">
      <c r="A60" s="2"/>
      <c r="B60" s="2"/>
      <c r="C60" s="2"/>
      <c r="D60" s="2"/>
      <c r="E60" s="2"/>
      <c r="F60" s="2"/>
      <c r="G60" s="2"/>
      <c r="H60" s="2"/>
      <c r="I60" s="2"/>
      <c r="J60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413" t="s">
        <v>2093</v>
      </c>
      <c r="AG60" s="2"/>
      <c r="AH60" s="2"/>
      <c r="AI60" s="2"/>
      <c r="AJ60" s="2"/>
      <c r="AK60" s="2"/>
      <c r="AL60" s="124"/>
      <c r="AM60" s="562" t="str">
        <f>AM59 &amp; ".P"</f>
        <v>SFAL.P</v>
      </c>
      <c r="AN60" s="531" t="s">
        <v>842</v>
      </c>
      <c r="AO60" s="420" t="s">
        <v>23</v>
      </c>
      <c r="AP60" s="247">
        <f>IF(AP61=0,0,AP59*1000/AP61)</f>
        <v>0</v>
      </c>
      <c r="AQ60" s="247">
        <f>IF(AQ61=0,0,AQ59*1000/AQ61)</f>
        <v>0</v>
      </c>
      <c r="AR60" s="247">
        <f>IF(AR61=0,0,AR59*1000/AR61)</f>
        <v>0</v>
      </c>
      <c r="AS60" s="194"/>
      <c r="AT60" s="194"/>
      <c r="AU60" s="326"/>
    </row>
    <row r="61" spans="1:47" ht="12" customHeight="1">
      <c r="A61" s="2"/>
      <c r="B61" s="2"/>
      <c r="C61" s="2"/>
      <c r="D61" s="2"/>
      <c r="E61" s="2"/>
      <c r="F61" s="2"/>
      <c r="G61" s="2"/>
      <c r="H61" s="2"/>
      <c r="I61" s="2"/>
      <c r="J61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413" t="s">
        <v>2094</v>
      </c>
      <c r="AG61" s="2"/>
      <c r="AH61" s="2"/>
      <c r="AI61" s="2"/>
      <c r="AJ61" s="2"/>
      <c r="AK61" s="2"/>
      <c r="AL61" s="124"/>
      <c r="AM61" s="562" t="str">
        <f>AM59 &amp; ".V"</f>
        <v>SFAL.V</v>
      </c>
      <c r="AN61" s="531" t="s">
        <v>245</v>
      </c>
      <c r="AO61" s="420" t="s">
        <v>289</v>
      </c>
      <c r="AP61" s="247">
        <f t="shared" ref="AP61:AR62" si="7">SUMIF($AS$9:$AT$9,AP$9,$AS61:$AT61)</f>
        <v>0</v>
      </c>
      <c r="AQ61" s="247">
        <f t="shared" si="7"/>
        <v>0</v>
      </c>
      <c r="AR61" s="247">
        <f t="shared" si="7"/>
        <v>0</v>
      </c>
      <c r="AS61" s="194"/>
      <c r="AT61" s="194"/>
      <c r="AU61" s="326"/>
    </row>
    <row r="62" spans="1:47" ht="12" customHeight="1">
      <c r="A62" s="2"/>
      <c r="B62" s="2"/>
      <c r="C62" s="2"/>
      <c r="D62" s="2"/>
      <c r="E62" s="2"/>
      <c r="F62" s="2"/>
      <c r="G62" s="2"/>
      <c r="H62" s="2"/>
      <c r="I62" s="2"/>
      <c r="J6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413" t="s">
        <v>2091</v>
      </c>
      <c r="AG62" s="2"/>
      <c r="AH62" s="2"/>
      <c r="AI62" s="2"/>
      <c r="AJ62" s="2"/>
      <c r="AK62" s="2"/>
      <c r="AL62" s="124"/>
      <c r="AM62" s="561" t="s">
        <v>1356</v>
      </c>
      <c r="AN62" s="559" t="s">
        <v>307</v>
      </c>
      <c r="AO62" s="420" t="s">
        <v>195</v>
      </c>
      <c r="AP62" s="247">
        <f t="shared" si="7"/>
        <v>0</v>
      </c>
      <c r="AQ62" s="247">
        <f t="shared" si="7"/>
        <v>0</v>
      </c>
      <c r="AR62" s="247">
        <f t="shared" si="7"/>
        <v>0</v>
      </c>
      <c r="AS62" s="194"/>
      <c r="AT62" s="194"/>
      <c r="AU62" s="326"/>
    </row>
    <row r="63" spans="1:47" ht="0.75" hidden="1" customHeight="1">
      <c r="A63" s="2"/>
      <c r="B63" s="2"/>
      <c r="C63" s="2"/>
      <c r="D63" s="2"/>
      <c r="E63" s="2"/>
      <c r="F63" s="2"/>
      <c r="G63" s="2"/>
      <c r="H63" s="2"/>
      <c r="I63" s="2"/>
      <c r="J63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413"/>
      <c r="AG63" s="2"/>
      <c r="AH63" s="2"/>
      <c r="AI63" s="2"/>
      <c r="AJ63" s="2"/>
      <c r="AK63" s="2"/>
      <c r="AL63" s="124"/>
      <c r="AM63" s="560"/>
      <c r="AN63" s="533"/>
      <c r="AO63" s="422"/>
      <c r="AP63" s="142"/>
      <c r="AQ63" s="142"/>
      <c r="AR63" s="142"/>
      <c r="AS63" s="194"/>
      <c r="AT63" s="194"/>
    </row>
    <row r="64" spans="1:47" ht="12" customHeight="1">
      <c r="A64" s="2"/>
      <c r="B64" s="2"/>
      <c r="C64" s="2"/>
      <c r="D64" s="2"/>
      <c r="E64" s="2"/>
      <c r="F64" s="2"/>
      <c r="G64" s="2"/>
      <c r="H64" s="2"/>
      <c r="I64" s="2"/>
      <c r="J64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413"/>
      <c r="AG64" s="2"/>
      <c r="AH64" s="2"/>
      <c r="AI64" s="2"/>
      <c r="AJ64" s="2"/>
      <c r="AK64" s="2"/>
      <c r="AL64" s="124"/>
      <c r="AM64" s="561" t="s">
        <v>1996</v>
      </c>
      <c r="AN64" s="567" t="s">
        <v>1913</v>
      </c>
      <c r="AO64" s="420" t="s">
        <v>195</v>
      </c>
      <c r="AP64" s="247">
        <f>SUMIF($AS$9:$AT$9,AP$9,$AS64:$AT64)</f>
        <v>0</v>
      </c>
      <c r="AQ64" s="247">
        <f>SUMIF($AS$9:$AT$9,AQ$9,$AS64:$AT64)</f>
        <v>0</v>
      </c>
      <c r="AR64" s="247">
        <f>SUMIF($AS$9:$AT$9,AR$9,$AS64:$AT64)</f>
        <v>0</v>
      </c>
      <c r="AS64" s="194"/>
      <c r="AT64" s="194"/>
      <c r="AU64" s="326"/>
    </row>
    <row r="65" spans="1:47" ht="0.75" hidden="1" customHeight="1">
      <c r="A65" s="2"/>
      <c r="B65" s="2"/>
      <c r="C65" s="2"/>
      <c r="D65" s="2"/>
      <c r="E65" s="2"/>
      <c r="F65" s="2"/>
      <c r="G65" s="2"/>
      <c r="H65" s="2"/>
      <c r="I65" s="2"/>
      <c r="J6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413"/>
      <c r="AG65" s="2"/>
      <c r="AH65" s="2"/>
      <c r="AI65" s="2"/>
      <c r="AJ65" s="2"/>
      <c r="AK65" s="2"/>
      <c r="AL65" s="124"/>
      <c r="AM65" s="560"/>
      <c r="AN65" s="533"/>
      <c r="AO65" s="422"/>
      <c r="AP65" s="142"/>
      <c r="AQ65" s="142"/>
      <c r="AR65" s="142"/>
      <c r="AS65" s="194"/>
      <c r="AT65" s="194"/>
    </row>
    <row r="66" spans="1:47" ht="12" customHeight="1">
      <c r="A66" s="2"/>
      <c r="B66" s="2"/>
      <c r="C66" s="2"/>
      <c r="D66" s="2"/>
      <c r="E66" s="2"/>
      <c r="F66" s="2"/>
      <c r="G66" s="2"/>
      <c r="H66" s="2"/>
      <c r="I66" s="2"/>
      <c r="J66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413" t="s">
        <v>2092</v>
      </c>
      <c r="AG66" s="2"/>
      <c r="AH66" s="2"/>
      <c r="AI66" s="2"/>
      <c r="AJ66" s="2"/>
      <c r="AK66" s="2"/>
      <c r="AL66" s="124"/>
      <c r="AM66" s="561" t="s">
        <v>1999</v>
      </c>
      <c r="AN66" s="559" t="s">
        <v>1914</v>
      </c>
      <c r="AO66" s="420" t="s">
        <v>195</v>
      </c>
      <c r="AP66" s="247">
        <f>SUMIF($AS$9:$AT$9,AP$9,$AS66:$AT66)</f>
        <v>0</v>
      </c>
      <c r="AQ66" s="247">
        <f>SUMIF($AS$9:$AT$9,AQ$9,$AS66:$AT66)</f>
        <v>0</v>
      </c>
      <c r="AR66" s="247">
        <f>SUMIF($AS$9:$AT$9,AR$9,$AS66:$AT66)</f>
        <v>0</v>
      </c>
      <c r="AS66" s="194"/>
      <c r="AT66" s="194"/>
      <c r="AU66" s="326"/>
    </row>
    <row r="67" spans="1:47" ht="12" customHeight="1">
      <c r="A67" s="2"/>
      <c r="B67" s="2"/>
      <c r="C67" s="2"/>
      <c r="D67" s="2"/>
      <c r="E67" s="2"/>
      <c r="F67" s="2"/>
      <c r="G67" s="2"/>
      <c r="H67" s="2"/>
      <c r="I67" s="2"/>
      <c r="J67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413" t="s">
        <v>2093</v>
      </c>
      <c r="AG67" s="2"/>
      <c r="AH67" s="2"/>
      <c r="AI67" s="2"/>
      <c r="AJ67" s="2"/>
      <c r="AK67" s="2"/>
      <c r="AL67" s="124"/>
      <c r="AM67" s="562" t="str">
        <f>AM66 &amp; ".P"</f>
        <v>MGFLK.P</v>
      </c>
      <c r="AN67" s="531" t="s">
        <v>842</v>
      </c>
      <c r="AO67" s="420" t="s">
        <v>23</v>
      </c>
      <c r="AP67" s="247">
        <f>IF(AP68=0,0,AP66*1000/AP68)</f>
        <v>0</v>
      </c>
      <c r="AQ67" s="247">
        <f>IF(AQ68=0,0,AQ66*1000/AQ68)</f>
        <v>0</v>
      </c>
      <c r="AR67" s="247">
        <f>IF(AR68=0,0,AR66*1000/AR68)</f>
        <v>0</v>
      </c>
      <c r="AS67" s="194"/>
      <c r="AT67" s="194"/>
      <c r="AU67" s="326"/>
    </row>
    <row r="68" spans="1:47" ht="12" customHeight="1">
      <c r="A68" s="2"/>
      <c r="B68" s="2"/>
      <c r="C68" s="2"/>
      <c r="D68" s="2"/>
      <c r="E68" s="2"/>
      <c r="F68" s="2"/>
      <c r="G68" s="2"/>
      <c r="H68" s="2"/>
      <c r="I68" s="2"/>
      <c r="J68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413" t="s">
        <v>2094</v>
      </c>
      <c r="AG68" s="2"/>
      <c r="AH68" s="2"/>
      <c r="AI68" s="2"/>
      <c r="AJ68" s="2"/>
      <c r="AK68" s="2"/>
      <c r="AL68" s="124"/>
      <c r="AM68" s="562" t="str">
        <f>AM66 &amp; ".V"</f>
        <v>MGFLK.V</v>
      </c>
      <c r="AN68" s="531" t="s">
        <v>245</v>
      </c>
      <c r="AO68" s="420" t="s">
        <v>289</v>
      </c>
      <c r="AP68" s="247">
        <f t="shared" ref="AP68:AR69" si="8">SUMIF($AS$9:$AT$9,AP$9,$AS68:$AT68)</f>
        <v>0</v>
      </c>
      <c r="AQ68" s="247">
        <f t="shared" si="8"/>
        <v>0</v>
      </c>
      <c r="AR68" s="247">
        <f t="shared" si="8"/>
        <v>0</v>
      </c>
      <c r="AS68" s="194"/>
      <c r="AT68" s="194"/>
      <c r="AU68" s="326"/>
    </row>
    <row r="69" spans="1:47" ht="12" customHeight="1">
      <c r="A69" s="2"/>
      <c r="B69" s="2"/>
      <c r="C69" s="2"/>
      <c r="D69" s="2"/>
      <c r="E69" s="2"/>
      <c r="F69" s="2"/>
      <c r="G69" s="2"/>
      <c r="H69" s="2"/>
      <c r="I69" s="2"/>
      <c r="J69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413" t="s">
        <v>2092</v>
      </c>
      <c r="AG69" s="2"/>
      <c r="AH69" s="2"/>
      <c r="AI69" s="2"/>
      <c r="AJ69" s="2"/>
      <c r="AK69" s="2"/>
      <c r="AL69" s="124"/>
      <c r="AM69" s="561" t="s">
        <v>2000</v>
      </c>
      <c r="AN69" s="559" t="s">
        <v>1915</v>
      </c>
      <c r="AO69" s="420" t="s">
        <v>195</v>
      </c>
      <c r="AP69" s="247">
        <f t="shared" si="8"/>
        <v>0</v>
      </c>
      <c r="AQ69" s="247">
        <f t="shared" si="8"/>
        <v>0</v>
      </c>
      <c r="AR69" s="247">
        <f t="shared" si="8"/>
        <v>0</v>
      </c>
      <c r="AS69" s="194"/>
      <c r="AT69" s="194"/>
      <c r="AU69" s="326"/>
    </row>
    <row r="70" spans="1:47" ht="12" customHeight="1">
      <c r="A70" s="2"/>
      <c r="B70" s="2"/>
      <c r="C70" s="2"/>
      <c r="D70" s="2"/>
      <c r="E70" s="2"/>
      <c r="F70" s="2"/>
      <c r="G70" s="2"/>
      <c r="H70" s="2"/>
      <c r="I70" s="2"/>
      <c r="J70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413" t="s">
        <v>2093</v>
      </c>
      <c r="AG70" s="2"/>
      <c r="AH70" s="2"/>
      <c r="AI70" s="2"/>
      <c r="AJ70" s="2"/>
      <c r="AK70" s="2"/>
      <c r="AL70" s="124"/>
      <c r="AM70" s="562" t="str">
        <f>AM69 &amp; ".P"</f>
        <v>PRSTL.P</v>
      </c>
      <c r="AN70" s="531" t="s">
        <v>842</v>
      </c>
      <c r="AO70" s="420" t="s">
        <v>23</v>
      </c>
      <c r="AP70" s="247">
        <f>IF(AP71=0,0,AP69*1000/AP71)</f>
        <v>0</v>
      </c>
      <c r="AQ70" s="247">
        <f>IF(AQ71=0,0,AQ69*1000/AQ71)</f>
        <v>0</v>
      </c>
      <c r="AR70" s="247">
        <f>IF(AR71=0,0,AR69*1000/AR71)</f>
        <v>0</v>
      </c>
      <c r="AS70" s="194"/>
      <c r="AT70" s="194"/>
      <c r="AU70" s="326"/>
    </row>
    <row r="71" spans="1:47" ht="12" customHeight="1">
      <c r="A71" s="2"/>
      <c r="B71" s="2"/>
      <c r="C71" s="2"/>
      <c r="D71" s="2"/>
      <c r="E71" s="2"/>
      <c r="F71" s="2"/>
      <c r="G71" s="2"/>
      <c r="H71" s="2"/>
      <c r="I71" s="2"/>
      <c r="J71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13" t="s">
        <v>2094</v>
      </c>
      <c r="AG71" s="2"/>
      <c r="AH71" s="2"/>
      <c r="AI71" s="2"/>
      <c r="AJ71" s="2"/>
      <c r="AK71" s="2"/>
      <c r="AL71" s="124"/>
      <c r="AM71" s="562" t="str">
        <f>AM69 &amp; ".V"</f>
        <v>PRSTL.V</v>
      </c>
      <c r="AN71" s="531" t="s">
        <v>245</v>
      </c>
      <c r="AO71" s="420" t="s">
        <v>289</v>
      </c>
      <c r="AP71" s="247">
        <f t="shared" ref="AP71:AR72" si="9">SUMIF($AS$9:$AT$9,AP$9,$AS71:$AT71)</f>
        <v>0</v>
      </c>
      <c r="AQ71" s="247">
        <f t="shared" si="9"/>
        <v>0</v>
      </c>
      <c r="AR71" s="247">
        <f t="shared" si="9"/>
        <v>0</v>
      </c>
      <c r="AS71" s="194"/>
      <c r="AT71" s="194"/>
      <c r="AU71" s="326"/>
    </row>
    <row r="72" spans="1:47" ht="12" customHeight="1">
      <c r="A72" s="2"/>
      <c r="B72" s="2"/>
      <c r="C72" s="2"/>
      <c r="D72" s="2"/>
      <c r="E72" s="2"/>
      <c r="F72" s="2"/>
      <c r="G72" s="2"/>
      <c r="H72" s="2"/>
      <c r="I72" s="2"/>
      <c r="J7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413" t="s">
        <v>2092</v>
      </c>
      <c r="AG72" s="2"/>
      <c r="AH72" s="2"/>
      <c r="AI72" s="2"/>
      <c r="AJ72" s="2"/>
      <c r="AK72" s="2"/>
      <c r="AL72" s="124"/>
      <c r="AM72" s="639" t="s">
        <v>2315</v>
      </c>
      <c r="AN72" s="559" t="s">
        <v>2316</v>
      </c>
      <c r="AO72" s="420" t="s">
        <v>195</v>
      </c>
      <c r="AP72" s="247">
        <f t="shared" si="9"/>
        <v>0</v>
      </c>
      <c r="AQ72" s="247">
        <f t="shared" si="9"/>
        <v>0</v>
      </c>
      <c r="AR72" s="247">
        <f t="shared" si="9"/>
        <v>0</v>
      </c>
      <c r="AS72" s="194"/>
      <c r="AT72" s="194"/>
      <c r="AU72" s="326"/>
    </row>
    <row r="73" spans="1:47" ht="12" customHeight="1">
      <c r="A73" s="2"/>
      <c r="B73" s="2"/>
      <c r="C73" s="2"/>
      <c r="D73" s="2"/>
      <c r="E73" s="2"/>
      <c r="F73" s="2"/>
      <c r="G73" s="2"/>
      <c r="H73" s="2"/>
      <c r="I73" s="2"/>
      <c r="J73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13" t="s">
        <v>2093</v>
      </c>
      <c r="AG73" s="2"/>
      <c r="AH73" s="2"/>
      <c r="AI73" s="2"/>
      <c r="AJ73" s="2"/>
      <c r="AK73" s="2"/>
      <c r="AL73" s="124"/>
      <c r="AM73" s="639" t="str">
        <f>AM72 &amp; ".P"</f>
        <v>PRSTL853.P</v>
      </c>
      <c r="AN73" s="531" t="s">
        <v>842</v>
      </c>
      <c r="AO73" s="420" t="s">
        <v>23</v>
      </c>
      <c r="AP73" s="247">
        <f>IF(AP74=0,0,AP72*1000/AP74)</f>
        <v>0</v>
      </c>
      <c r="AQ73" s="247">
        <f>IF(AQ74=0,0,AQ72*1000/AQ74)</f>
        <v>0</v>
      </c>
      <c r="AR73" s="247">
        <f>IF(AR74=0,0,AR72*1000/AR74)</f>
        <v>0</v>
      </c>
      <c r="AS73" s="194"/>
      <c r="AT73" s="194"/>
      <c r="AU73" s="326"/>
    </row>
    <row r="74" spans="1:47" ht="12" customHeight="1">
      <c r="A74" s="2"/>
      <c r="B74" s="2"/>
      <c r="C74" s="2"/>
      <c r="D74" s="2"/>
      <c r="E74" s="2"/>
      <c r="F74" s="2"/>
      <c r="G74" s="2"/>
      <c r="H74" s="2"/>
      <c r="I74" s="2"/>
      <c r="J74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13" t="s">
        <v>2094</v>
      </c>
      <c r="AG74" s="2"/>
      <c r="AH74" s="2"/>
      <c r="AI74" s="2"/>
      <c r="AJ74" s="2"/>
      <c r="AK74" s="2"/>
      <c r="AL74" s="124"/>
      <c r="AM74" s="639" t="str">
        <f>AM72 &amp; ".V"</f>
        <v>PRSTL853.V</v>
      </c>
      <c r="AN74" s="531" t="s">
        <v>245</v>
      </c>
      <c r="AO74" s="420" t="s">
        <v>289</v>
      </c>
      <c r="AP74" s="247">
        <f t="shared" ref="AP74:AR75" si="10">SUMIF($AS$9:$AT$9,AP$9,$AS74:$AT74)</f>
        <v>0</v>
      </c>
      <c r="AQ74" s="247">
        <f t="shared" si="10"/>
        <v>0</v>
      </c>
      <c r="AR74" s="247">
        <f t="shared" si="10"/>
        <v>0</v>
      </c>
      <c r="AS74" s="194"/>
      <c r="AT74" s="194"/>
      <c r="AU74" s="326"/>
    </row>
    <row r="75" spans="1:47" ht="12" customHeight="1">
      <c r="A75" s="2"/>
      <c r="B75" s="2"/>
      <c r="C75" s="2"/>
      <c r="D75" s="2"/>
      <c r="E75" s="2"/>
      <c r="F75" s="2"/>
      <c r="G75" s="2"/>
      <c r="H75" s="2"/>
      <c r="I75" s="2"/>
      <c r="J7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413" t="s">
        <v>2092</v>
      </c>
      <c r="AG75" s="2"/>
      <c r="AH75" s="2"/>
      <c r="AI75" s="2"/>
      <c r="AJ75" s="2"/>
      <c r="AK75" s="2"/>
      <c r="AL75" s="124"/>
      <c r="AM75" s="639" t="s">
        <v>2317</v>
      </c>
      <c r="AN75" s="559" t="s">
        <v>2318</v>
      </c>
      <c r="AO75" s="420" t="s">
        <v>195</v>
      </c>
      <c r="AP75" s="247">
        <f t="shared" si="10"/>
        <v>0</v>
      </c>
      <c r="AQ75" s="247">
        <f t="shared" si="10"/>
        <v>0</v>
      </c>
      <c r="AR75" s="247">
        <f t="shared" si="10"/>
        <v>0</v>
      </c>
      <c r="AS75" s="194"/>
      <c r="AT75" s="194"/>
      <c r="AU75" s="326"/>
    </row>
    <row r="76" spans="1:47" ht="12" customHeight="1">
      <c r="A76" s="2"/>
      <c r="B76" s="2"/>
      <c r="C76" s="2"/>
      <c r="D76" s="2"/>
      <c r="E76" s="2"/>
      <c r="F76" s="2"/>
      <c r="G76" s="2"/>
      <c r="H76" s="2"/>
      <c r="I76" s="2"/>
      <c r="J76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413" t="s">
        <v>2093</v>
      </c>
      <c r="AG76" s="2"/>
      <c r="AH76" s="2"/>
      <c r="AI76" s="2"/>
      <c r="AJ76" s="2"/>
      <c r="AK76" s="2"/>
      <c r="AL76" s="124"/>
      <c r="AM76" s="639" t="str">
        <f>AM75 &amp; ".P"</f>
        <v>PRSTL650.P</v>
      </c>
      <c r="AN76" s="531" t="s">
        <v>842</v>
      </c>
      <c r="AO76" s="420" t="s">
        <v>23</v>
      </c>
      <c r="AP76" s="247">
        <f>IF(AP77=0,0,AP75*1000/AP77)</f>
        <v>0</v>
      </c>
      <c r="AQ76" s="247">
        <f>IF(AQ77=0,0,AQ75*1000/AQ77)</f>
        <v>0</v>
      </c>
      <c r="AR76" s="247">
        <f>IF(AR77=0,0,AR75*1000/AR77)</f>
        <v>0</v>
      </c>
      <c r="AS76" s="194"/>
      <c r="AT76" s="194"/>
      <c r="AU76" s="326"/>
    </row>
    <row r="77" spans="1:47" ht="12" customHeight="1">
      <c r="A77" s="2"/>
      <c r="B77" s="2"/>
      <c r="C77" s="2"/>
      <c r="D77" s="2"/>
      <c r="E77" s="2"/>
      <c r="F77" s="2"/>
      <c r="G77" s="2"/>
      <c r="H77" s="2"/>
      <c r="I77" s="2"/>
      <c r="J77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13" t="s">
        <v>2094</v>
      </c>
      <c r="AG77" s="2"/>
      <c r="AH77" s="2"/>
      <c r="AI77" s="2"/>
      <c r="AJ77" s="2"/>
      <c r="AK77" s="2"/>
      <c r="AL77" s="124"/>
      <c r="AM77" s="639" t="str">
        <f>AM75 &amp; ".V"</f>
        <v>PRSTL650.V</v>
      </c>
      <c r="AN77" s="531" t="s">
        <v>245</v>
      </c>
      <c r="AO77" s="420" t="s">
        <v>289</v>
      </c>
      <c r="AP77" s="247">
        <f t="shared" ref="AP77:AR78" si="11">SUMIF($AS$9:$AT$9,AP$9,$AS77:$AT77)</f>
        <v>0</v>
      </c>
      <c r="AQ77" s="247">
        <f t="shared" si="11"/>
        <v>0</v>
      </c>
      <c r="AR77" s="247">
        <f t="shared" si="11"/>
        <v>0</v>
      </c>
      <c r="AS77" s="194"/>
      <c r="AT77" s="194"/>
      <c r="AU77" s="326"/>
    </row>
    <row r="78" spans="1:47" ht="12" customHeight="1">
      <c r="A78" s="2"/>
      <c r="B78" s="2"/>
      <c r="C78" s="2"/>
      <c r="D78" s="2"/>
      <c r="E78" s="2"/>
      <c r="F78" s="2"/>
      <c r="G78" s="2"/>
      <c r="H78" s="2"/>
      <c r="I78" s="2"/>
      <c r="J78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413" t="s">
        <v>2092</v>
      </c>
      <c r="AG78" s="2"/>
      <c r="AH78" s="2"/>
      <c r="AI78" s="2"/>
      <c r="AJ78" s="2"/>
      <c r="AK78" s="2"/>
      <c r="AL78" s="124"/>
      <c r="AM78" s="639" t="s">
        <v>2319</v>
      </c>
      <c r="AN78" s="559" t="s">
        <v>2320</v>
      </c>
      <c r="AO78" s="420" t="s">
        <v>195</v>
      </c>
      <c r="AP78" s="247">
        <f t="shared" si="11"/>
        <v>0</v>
      </c>
      <c r="AQ78" s="247">
        <f t="shared" si="11"/>
        <v>0</v>
      </c>
      <c r="AR78" s="247">
        <f t="shared" si="11"/>
        <v>0</v>
      </c>
      <c r="AS78" s="194"/>
      <c r="AT78" s="194"/>
      <c r="AU78" s="326"/>
    </row>
    <row r="79" spans="1:47" ht="12" customHeight="1">
      <c r="A79" s="2"/>
      <c r="B79" s="2"/>
      <c r="C79" s="2"/>
      <c r="D79" s="2"/>
      <c r="E79" s="2"/>
      <c r="F79" s="2"/>
      <c r="G79" s="2"/>
      <c r="H79" s="2"/>
      <c r="I79" s="2"/>
      <c r="J79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13" t="s">
        <v>2093</v>
      </c>
      <c r="AG79" s="2"/>
      <c r="AH79" s="2"/>
      <c r="AI79" s="2"/>
      <c r="AJ79" s="2"/>
      <c r="AK79" s="2"/>
      <c r="AL79" s="124"/>
      <c r="AM79" s="639" t="str">
        <f>AM78 &amp; ".P"</f>
        <v>PRSTL2515.P</v>
      </c>
      <c r="AN79" s="531" t="s">
        <v>842</v>
      </c>
      <c r="AO79" s="420" t="s">
        <v>23</v>
      </c>
      <c r="AP79" s="247">
        <f>IF(AP80=0,0,AP78*1000/AP80)</f>
        <v>0</v>
      </c>
      <c r="AQ79" s="247">
        <f>IF(AQ80=0,0,AQ78*1000/AQ80)</f>
        <v>0</v>
      </c>
      <c r="AR79" s="247">
        <f>IF(AR80=0,0,AR78*1000/AR80)</f>
        <v>0</v>
      </c>
      <c r="AS79" s="194"/>
      <c r="AT79" s="194"/>
      <c r="AU79" s="326"/>
    </row>
    <row r="80" spans="1:47" ht="12" customHeight="1">
      <c r="A80" s="2"/>
      <c r="B80" s="2"/>
      <c r="C80" s="2"/>
      <c r="D80" s="2"/>
      <c r="E80" s="2"/>
      <c r="F80" s="2"/>
      <c r="G80" s="2"/>
      <c r="H80" s="2"/>
      <c r="I80" s="2"/>
      <c r="J80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13" t="s">
        <v>2094</v>
      </c>
      <c r="AG80" s="2"/>
      <c r="AH80" s="2"/>
      <c r="AI80" s="2"/>
      <c r="AJ80" s="2"/>
      <c r="AK80" s="2"/>
      <c r="AL80" s="124"/>
      <c r="AM80" s="639" t="str">
        <f>AM78 &amp; ".V"</f>
        <v>PRSTL2515.V</v>
      </c>
      <c r="AN80" s="531" t="s">
        <v>245</v>
      </c>
      <c r="AO80" s="420" t="s">
        <v>289</v>
      </c>
      <c r="AP80" s="247">
        <f t="shared" ref="AP80:AR81" si="12">SUMIF($AS$9:$AT$9,AP$9,$AS80:$AT80)</f>
        <v>0</v>
      </c>
      <c r="AQ80" s="247">
        <f t="shared" si="12"/>
        <v>0</v>
      </c>
      <c r="AR80" s="247">
        <f t="shared" si="12"/>
        <v>0</v>
      </c>
      <c r="AS80" s="194"/>
      <c r="AT80" s="194"/>
      <c r="AU80" s="326"/>
    </row>
    <row r="81" spans="1:47" ht="12" customHeight="1">
      <c r="A81" s="2"/>
      <c r="B81" s="2"/>
      <c r="C81" s="2"/>
      <c r="D81" s="2"/>
      <c r="E81" s="2"/>
      <c r="F81" s="2"/>
      <c r="G81" s="2"/>
      <c r="H81" s="2"/>
      <c r="I81" s="2"/>
      <c r="J81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413" t="s">
        <v>2092</v>
      </c>
      <c r="AG81" s="2"/>
      <c r="AH81" s="2"/>
      <c r="AI81" s="2"/>
      <c r="AJ81" s="2"/>
      <c r="AK81" s="2"/>
      <c r="AL81" s="124"/>
      <c r="AM81" s="639" t="s">
        <v>2321</v>
      </c>
      <c r="AN81" s="559" t="s">
        <v>2322</v>
      </c>
      <c r="AO81" s="420" t="s">
        <v>195</v>
      </c>
      <c r="AP81" s="247">
        <f t="shared" si="12"/>
        <v>0</v>
      </c>
      <c r="AQ81" s="247">
        <f t="shared" si="12"/>
        <v>0</v>
      </c>
      <c r="AR81" s="247">
        <f t="shared" si="12"/>
        <v>0</v>
      </c>
      <c r="AS81" s="194"/>
      <c r="AT81" s="194"/>
      <c r="AU81" s="326"/>
    </row>
    <row r="82" spans="1:47" ht="12" customHeight="1">
      <c r="A82" s="2"/>
      <c r="B82" s="2"/>
      <c r="C82" s="2"/>
      <c r="D82" s="2"/>
      <c r="E82" s="2"/>
      <c r="F82" s="2"/>
      <c r="G82" s="2"/>
      <c r="H82" s="2"/>
      <c r="I82" s="2"/>
      <c r="J8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413" t="s">
        <v>2093</v>
      </c>
      <c r="AG82" s="2"/>
      <c r="AH82" s="2"/>
      <c r="AI82" s="2"/>
      <c r="AJ82" s="2"/>
      <c r="AK82" s="2"/>
      <c r="AL82" s="124"/>
      <c r="AM82" s="639" t="str">
        <f>AM81 &amp; ".P"</f>
        <v>GRLIFEK47.P</v>
      </c>
      <c r="AN82" s="531" t="s">
        <v>842</v>
      </c>
      <c r="AO82" s="420" t="s">
        <v>23</v>
      </c>
      <c r="AP82" s="247">
        <f>IF(AP83=0,0,AP81*1000/AP83)</f>
        <v>0</v>
      </c>
      <c r="AQ82" s="247">
        <f>IF(AQ83=0,0,AQ81*1000/AQ83)</f>
        <v>0</v>
      </c>
      <c r="AR82" s="247">
        <f>IF(AR83=0,0,AR81*1000/AR83)</f>
        <v>0</v>
      </c>
      <c r="AS82" s="194"/>
      <c r="AT82" s="194"/>
      <c r="AU82" s="326"/>
    </row>
    <row r="83" spans="1:47" ht="12" customHeight="1">
      <c r="A83" s="2"/>
      <c r="B83" s="2"/>
      <c r="C83" s="2"/>
      <c r="D83" s="2"/>
      <c r="E83" s="2"/>
      <c r="F83" s="2"/>
      <c r="G83" s="2"/>
      <c r="H83" s="2"/>
      <c r="I83" s="2"/>
      <c r="J83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413" t="s">
        <v>2094</v>
      </c>
      <c r="AG83" s="2"/>
      <c r="AH83" s="2"/>
      <c r="AI83" s="2"/>
      <c r="AJ83" s="2"/>
      <c r="AK83" s="2"/>
      <c r="AL83" s="124"/>
      <c r="AM83" s="639" t="str">
        <f>AM81 &amp; ".V"</f>
        <v>GRLIFEK47.V</v>
      </c>
      <c r="AN83" s="531" t="s">
        <v>245</v>
      </c>
      <c r="AO83" s="420" t="s">
        <v>289</v>
      </c>
      <c r="AP83" s="247">
        <f t="shared" ref="AP83:AR84" si="13">SUMIF($AS$9:$AT$9,AP$9,$AS83:$AT83)</f>
        <v>0</v>
      </c>
      <c r="AQ83" s="247">
        <f t="shared" si="13"/>
        <v>0</v>
      </c>
      <c r="AR83" s="247">
        <f t="shared" si="13"/>
        <v>0</v>
      </c>
      <c r="AS83" s="194"/>
      <c r="AT83" s="194"/>
      <c r="AU83" s="326"/>
    </row>
    <row r="84" spans="1:47" ht="12" customHeight="1">
      <c r="A84" s="2"/>
      <c r="B84" s="2"/>
      <c r="C84" s="2"/>
      <c r="D84" s="2"/>
      <c r="E84" s="2"/>
      <c r="F84" s="2"/>
      <c r="G84" s="2"/>
      <c r="H84" s="2"/>
      <c r="I84" s="2"/>
      <c r="J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413" t="s">
        <v>2092</v>
      </c>
      <c r="AG84" s="2"/>
      <c r="AH84" s="2"/>
      <c r="AI84" s="2"/>
      <c r="AJ84" s="2"/>
      <c r="AK84" s="2"/>
      <c r="AL84" s="124"/>
      <c r="AM84" s="639" t="s">
        <v>2323</v>
      </c>
      <c r="AN84" s="559" t="s">
        <v>2324</v>
      </c>
      <c r="AO84" s="420" t="s">
        <v>195</v>
      </c>
      <c r="AP84" s="247">
        <f t="shared" si="13"/>
        <v>0</v>
      </c>
      <c r="AQ84" s="247">
        <f t="shared" si="13"/>
        <v>0</v>
      </c>
      <c r="AR84" s="247">
        <f t="shared" si="13"/>
        <v>0</v>
      </c>
      <c r="AS84" s="194"/>
      <c r="AT84" s="194"/>
      <c r="AU84" s="326"/>
    </row>
    <row r="85" spans="1:47" ht="12" customHeight="1">
      <c r="A85" s="2"/>
      <c r="B85" s="2"/>
      <c r="C85" s="2"/>
      <c r="D85" s="2"/>
      <c r="E85" s="2"/>
      <c r="F85" s="2"/>
      <c r="G85" s="2"/>
      <c r="H85" s="2"/>
      <c r="I85" s="2"/>
      <c r="J8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413" t="s">
        <v>2093</v>
      </c>
      <c r="AG85" s="2"/>
      <c r="AH85" s="2"/>
      <c r="AI85" s="2"/>
      <c r="AJ85" s="2"/>
      <c r="AK85" s="2"/>
      <c r="AL85" s="124"/>
      <c r="AM85" s="639" t="str">
        <f>AM84 &amp; ".P"</f>
        <v>GRLIFEK41.P</v>
      </c>
      <c r="AN85" s="531" t="s">
        <v>842</v>
      </c>
      <c r="AO85" s="420" t="s">
        <v>23</v>
      </c>
      <c r="AP85" s="247">
        <f>IF(AP86=0,0,AP84*1000/AP86)</f>
        <v>0</v>
      </c>
      <c r="AQ85" s="247">
        <f>IF(AQ86=0,0,AQ84*1000/AQ86)</f>
        <v>0</v>
      </c>
      <c r="AR85" s="247">
        <f>IF(AR86=0,0,AR84*1000/AR86)</f>
        <v>0</v>
      </c>
      <c r="AS85" s="194"/>
      <c r="AT85" s="194"/>
      <c r="AU85" s="326"/>
    </row>
    <row r="86" spans="1:47" ht="12" customHeight="1">
      <c r="A86" s="2"/>
      <c r="B86" s="2"/>
      <c r="C86" s="2"/>
      <c r="D86" s="2"/>
      <c r="E86" s="2"/>
      <c r="F86" s="2"/>
      <c r="G86" s="2"/>
      <c r="H86" s="2"/>
      <c r="I86" s="2"/>
      <c r="J86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413" t="s">
        <v>2094</v>
      </c>
      <c r="AG86" s="2"/>
      <c r="AH86" s="2"/>
      <c r="AI86" s="2"/>
      <c r="AJ86" s="2"/>
      <c r="AK86" s="2"/>
      <c r="AL86" s="124"/>
      <c r="AM86" s="639" t="str">
        <f>AM84 &amp; ".V"</f>
        <v>GRLIFEK41.V</v>
      </c>
      <c r="AN86" s="531" t="s">
        <v>245</v>
      </c>
      <c r="AO86" s="420" t="s">
        <v>289</v>
      </c>
      <c r="AP86" s="247">
        <f t="shared" ref="AP86:AR87" si="14">SUMIF($AS$9:$AT$9,AP$9,$AS86:$AT86)</f>
        <v>0</v>
      </c>
      <c r="AQ86" s="247">
        <f t="shared" si="14"/>
        <v>0</v>
      </c>
      <c r="AR86" s="247">
        <f t="shared" si="14"/>
        <v>0</v>
      </c>
      <c r="AS86" s="194"/>
      <c r="AT86" s="194"/>
      <c r="AU86" s="326"/>
    </row>
    <row r="87" spans="1:47" ht="12" customHeight="1">
      <c r="A87" s="2"/>
      <c r="B87" s="2"/>
      <c r="C87" s="2"/>
      <c r="D87" s="2"/>
      <c r="E87" s="2"/>
      <c r="F87" s="2"/>
      <c r="G87" s="2"/>
      <c r="H87" s="2"/>
      <c r="I87" s="2"/>
      <c r="J87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413" t="s">
        <v>2092</v>
      </c>
      <c r="AG87" s="2"/>
      <c r="AH87" s="2"/>
      <c r="AI87" s="2"/>
      <c r="AJ87" s="2"/>
      <c r="AK87" s="2"/>
      <c r="AL87" s="124"/>
      <c r="AM87" s="639" t="s">
        <v>2325</v>
      </c>
      <c r="AN87" s="559" t="s">
        <v>2326</v>
      </c>
      <c r="AO87" s="420" t="s">
        <v>195</v>
      </c>
      <c r="AP87" s="247">
        <f t="shared" si="14"/>
        <v>0</v>
      </c>
      <c r="AQ87" s="247">
        <f t="shared" si="14"/>
        <v>0</v>
      </c>
      <c r="AR87" s="247">
        <f t="shared" si="14"/>
        <v>0</v>
      </c>
      <c r="AS87" s="194"/>
      <c r="AT87" s="194"/>
      <c r="AU87" s="326"/>
    </row>
    <row r="88" spans="1:47" ht="12" customHeight="1">
      <c r="A88" s="2"/>
      <c r="B88" s="2"/>
      <c r="C88" s="2"/>
      <c r="D88" s="2"/>
      <c r="E88" s="2"/>
      <c r="F88" s="2"/>
      <c r="G88" s="2"/>
      <c r="H88" s="2"/>
      <c r="I88" s="2"/>
      <c r="J88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413" t="s">
        <v>2093</v>
      </c>
      <c r="AG88" s="2"/>
      <c r="AH88" s="2"/>
      <c r="AI88" s="2"/>
      <c r="AJ88" s="2"/>
      <c r="AK88" s="2"/>
      <c r="AL88" s="124"/>
      <c r="AM88" s="639" t="str">
        <f>AM87 &amp; ".P"</f>
        <v>GRLIFEA10PV.P</v>
      </c>
      <c r="AN88" s="531" t="s">
        <v>842</v>
      </c>
      <c r="AO88" s="420" t="s">
        <v>23</v>
      </c>
      <c r="AP88" s="247">
        <f>IF(AP89=0,0,AP87*1000/AP89)</f>
        <v>0</v>
      </c>
      <c r="AQ88" s="247">
        <f>IF(AQ89=0,0,AQ87*1000/AQ89)</f>
        <v>0</v>
      </c>
      <c r="AR88" s="247">
        <f>IF(AR89=0,0,AR87*1000/AR89)</f>
        <v>0</v>
      </c>
      <c r="AS88" s="194"/>
      <c r="AT88" s="194"/>
      <c r="AU88" s="326"/>
    </row>
    <row r="89" spans="1:47" ht="12" customHeight="1">
      <c r="A89" s="2"/>
      <c r="B89" s="2"/>
      <c r="C89" s="2"/>
      <c r="D89" s="2"/>
      <c r="E89" s="2"/>
      <c r="F89" s="2"/>
      <c r="G89" s="2"/>
      <c r="H89" s="2"/>
      <c r="I89" s="2"/>
      <c r="J89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413" t="s">
        <v>2094</v>
      </c>
      <c r="AG89" s="2"/>
      <c r="AH89" s="2"/>
      <c r="AI89" s="2"/>
      <c r="AJ89" s="2"/>
      <c r="AK89" s="2"/>
      <c r="AL89" s="124"/>
      <c r="AM89" s="639" t="str">
        <f>AM87 &amp; ".V"</f>
        <v>GRLIFEA10PV.V</v>
      </c>
      <c r="AN89" s="531" t="s">
        <v>245</v>
      </c>
      <c r="AO89" s="420" t="s">
        <v>289</v>
      </c>
      <c r="AP89" s="247">
        <f t="shared" ref="AP89:AR90" si="15">SUMIF($AS$9:$AT$9,AP$9,$AS89:$AT89)</f>
        <v>0</v>
      </c>
      <c r="AQ89" s="247">
        <f t="shared" si="15"/>
        <v>0</v>
      </c>
      <c r="AR89" s="247">
        <f t="shared" si="15"/>
        <v>0</v>
      </c>
      <c r="AS89" s="194"/>
      <c r="AT89" s="194"/>
      <c r="AU89" s="326"/>
    </row>
    <row r="90" spans="1:47" ht="12" customHeight="1">
      <c r="A90" s="2"/>
      <c r="B90" s="2"/>
      <c r="C90" s="2"/>
      <c r="D90" s="2"/>
      <c r="E90" s="2"/>
      <c r="F90" s="2"/>
      <c r="G90" s="2"/>
      <c r="H90" s="2"/>
      <c r="I90" s="2"/>
      <c r="J90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413" t="s">
        <v>2091</v>
      </c>
      <c r="AG90" s="2"/>
      <c r="AH90" s="2"/>
      <c r="AI90" s="2"/>
      <c r="AJ90" s="2"/>
      <c r="AK90" s="2"/>
      <c r="AL90" s="124"/>
      <c r="AM90" s="561" t="s">
        <v>1356</v>
      </c>
      <c r="AN90" s="559" t="s">
        <v>307</v>
      </c>
      <c r="AO90" s="420" t="s">
        <v>195</v>
      </c>
      <c r="AP90" s="247">
        <f t="shared" si="15"/>
        <v>0</v>
      </c>
      <c r="AQ90" s="247">
        <f t="shared" si="15"/>
        <v>0</v>
      </c>
      <c r="AR90" s="247">
        <f t="shared" si="15"/>
        <v>0</v>
      </c>
      <c r="AS90" s="194"/>
      <c r="AT90" s="194"/>
      <c r="AU90" s="326"/>
    </row>
    <row r="91" spans="1:47" ht="0.75" hidden="1" customHeight="1">
      <c r="A91" s="2"/>
      <c r="B91" s="2"/>
      <c r="C91" s="2"/>
      <c r="D91" s="2"/>
      <c r="E91" s="2"/>
      <c r="F91" s="2"/>
      <c r="G91" s="2"/>
      <c r="H91" s="2"/>
      <c r="I91" s="2"/>
      <c r="J91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413"/>
      <c r="AG91" s="2"/>
      <c r="AH91" s="2"/>
      <c r="AI91" s="2"/>
      <c r="AJ91" s="2"/>
      <c r="AK91" s="2"/>
      <c r="AL91" s="124"/>
      <c r="AM91" s="560"/>
      <c r="AN91" s="533"/>
      <c r="AO91" s="422"/>
      <c r="AP91" s="142"/>
      <c r="AQ91" s="142"/>
      <c r="AR91" s="142"/>
      <c r="AS91" s="194"/>
      <c r="AT91" s="194"/>
    </row>
    <row r="92" spans="1:47" ht="12" customHeight="1">
      <c r="A92" s="2"/>
      <c r="B92" s="2"/>
      <c r="C92" s="2"/>
      <c r="D92" s="2"/>
      <c r="E92" s="2"/>
      <c r="F92" s="2"/>
      <c r="G92" s="2"/>
      <c r="H92" s="2"/>
      <c r="I92" s="2"/>
      <c r="J9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413"/>
      <c r="AG92" s="2"/>
      <c r="AH92" s="2"/>
      <c r="AI92" s="2"/>
      <c r="AJ92" s="2"/>
      <c r="AK92" s="2"/>
      <c r="AL92" s="124"/>
      <c r="AM92" s="561" t="s">
        <v>1997</v>
      </c>
      <c r="AN92" s="567" t="s">
        <v>1906</v>
      </c>
      <c r="AO92" s="420" t="s">
        <v>195</v>
      </c>
      <c r="AP92" s="247">
        <f>SUMIF($AS$9:$AT$9,AP$9,$AS92:$AT92)</f>
        <v>0</v>
      </c>
      <c r="AQ92" s="247">
        <f>SUMIF($AS$9:$AT$9,AQ$9,$AS92:$AT92)</f>
        <v>0</v>
      </c>
      <c r="AR92" s="247">
        <f>SUMIF($AS$9:$AT$9,AR$9,$AS92:$AT92)</f>
        <v>0</v>
      </c>
      <c r="AS92" s="194"/>
      <c r="AT92" s="194"/>
      <c r="AU92" s="326"/>
    </row>
    <row r="93" spans="1:47" ht="0.75" hidden="1" customHeight="1">
      <c r="A93" s="2"/>
      <c r="B93" s="2"/>
      <c r="C93" s="2"/>
      <c r="D93" s="2"/>
      <c r="E93" s="2"/>
      <c r="F93" s="2"/>
      <c r="G93" s="2"/>
      <c r="H93" s="2"/>
      <c r="I93" s="2"/>
      <c r="J93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413"/>
      <c r="AG93" s="2"/>
      <c r="AH93" s="2"/>
      <c r="AI93" s="2"/>
      <c r="AJ93" s="2"/>
      <c r="AK93" s="2"/>
      <c r="AL93" s="124"/>
      <c r="AM93" s="560"/>
      <c r="AN93" s="533"/>
      <c r="AO93" s="422"/>
      <c r="AP93" s="142"/>
      <c r="AQ93" s="142"/>
      <c r="AR93" s="142"/>
      <c r="AS93" s="194"/>
      <c r="AT93" s="194"/>
    </row>
    <row r="94" spans="1:47" ht="12" customHeight="1">
      <c r="A94" s="2"/>
      <c r="B94" s="2"/>
      <c r="C94" s="2"/>
      <c r="D94" s="2"/>
      <c r="E94" s="2"/>
      <c r="F94" s="2"/>
      <c r="G94" s="2"/>
      <c r="H94" s="2"/>
      <c r="I94" s="2"/>
      <c r="J94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413" t="s">
        <v>2092</v>
      </c>
      <c r="AG94" s="2"/>
      <c r="AH94" s="2"/>
      <c r="AI94" s="2"/>
      <c r="AJ94" s="2"/>
      <c r="AK94" s="2"/>
      <c r="AL94" s="124"/>
      <c r="AM94" s="561" t="s">
        <v>2001</v>
      </c>
      <c r="AN94" s="559" t="s">
        <v>1917</v>
      </c>
      <c r="AO94" s="420" t="s">
        <v>195</v>
      </c>
      <c r="AP94" s="247">
        <f>SUMIF($AS$9:$AT$9,AP$9,$AS94:$AT94)</f>
        <v>0</v>
      </c>
      <c r="AQ94" s="247">
        <f>SUMIF($AS$9:$AT$9,AQ$9,$AS94:$AT94)</f>
        <v>0</v>
      </c>
      <c r="AR94" s="247">
        <f>SUMIF($AS$9:$AT$9,AR$9,$AS94:$AT94)</f>
        <v>0</v>
      </c>
      <c r="AS94" s="194"/>
      <c r="AT94" s="194"/>
      <c r="AU94" s="326"/>
    </row>
    <row r="95" spans="1:47" ht="12" customHeight="1">
      <c r="A95" s="2"/>
      <c r="B95" s="2"/>
      <c r="C95" s="2"/>
      <c r="D95" s="2"/>
      <c r="E95" s="2"/>
      <c r="F95" s="2"/>
      <c r="G95" s="2"/>
      <c r="H95" s="2"/>
      <c r="I95" s="2"/>
      <c r="J9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413" t="s">
        <v>2093</v>
      </c>
      <c r="AG95" s="2"/>
      <c r="AH95" s="2"/>
      <c r="AI95" s="2"/>
      <c r="AJ95" s="2"/>
      <c r="AK95" s="2"/>
      <c r="AL95" s="124"/>
      <c r="AM95" s="562" t="str">
        <f>AM94 &amp; ".P"</f>
        <v>AGRP.P</v>
      </c>
      <c r="AN95" s="531" t="s">
        <v>842</v>
      </c>
      <c r="AO95" s="420" t="s">
        <v>23</v>
      </c>
      <c r="AP95" s="247">
        <f>IF(AP96=0,0,AP94*1000/AP96)</f>
        <v>0</v>
      </c>
      <c r="AQ95" s="247">
        <f>IF(AQ96=0,0,AQ94*1000/AQ96)</f>
        <v>0</v>
      </c>
      <c r="AR95" s="247">
        <f>IF(AR96=0,0,AR94*1000/AR96)</f>
        <v>0</v>
      </c>
      <c r="AS95" s="194"/>
      <c r="AT95" s="194"/>
      <c r="AU95" s="326"/>
    </row>
    <row r="96" spans="1:47" ht="12" customHeight="1">
      <c r="A96" s="2"/>
      <c r="B96" s="2"/>
      <c r="C96" s="2"/>
      <c r="D96" s="2"/>
      <c r="E96" s="2"/>
      <c r="F96" s="2"/>
      <c r="G96" s="2"/>
      <c r="H96" s="2"/>
      <c r="I96" s="2"/>
      <c r="J96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413" t="s">
        <v>2094</v>
      </c>
      <c r="AG96" s="2"/>
      <c r="AH96" s="2"/>
      <c r="AI96" s="2"/>
      <c r="AJ96" s="2"/>
      <c r="AK96" s="2"/>
      <c r="AL96" s="124"/>
      <c r="AM96" s="562" t="str">
        <f>AM94 &amp; ".V"</f>
        <v>AGRP.V</v>
      </c>
      <c r="AN96" s="531" t="s">
        <v>245</v>
      </c>
      <c r="AO96" s="420" t="s">
        <v>289</v>
      </c>
      <c r="AP96" s="247">
        <f t="shared" ref="AP96:AR97" si="16">SUMIF($AS$9:$AT$9,AP$9,$AS96:$AT96)</f>
        <v>0</v>
      </c>
      <c r="AQ96" s="247">
        <f t="shared" si="16"/>
        <v>0</v>
      </c>
      <c r="AR96" s="247">
        <f t="shared" si="16"/>
        <v>0</v>
      </c>
      <c r="AS96" s="194"/>
      <c r="AT96" s="194"/>
      <c r="AU96" s="326"/>
    </row>
    <row r="97" spans="1:47" ht="12" customHeight="1">
      <c r="A97" s="2"/>
      <c r="B97" s="2"/>
      <c r="C97" s="2"/>
      <c r="D97" s="2"/>
      <c r="E97" s="2"/>
      <c r="F97" s="2"/>
      <c r="G97" s="2"/>
      <c r="H97" s="2"/>
      <c r="I97" s="2"/>
      <c r="J97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413" t="s">
        <v>2092</v>
      </c>
      <c r="AG97" s="2"/>
      <c r="AH97" s="2"/>
      <c r="AI97" s="2"/>
      <c r="AJ97" s="2"/>
      <c r="AK97" s="2"/>
      <c r="AL97" s="124"/>
      <c r="AM97" s="561" t="s">
        <v>2002</v>
      </c>
      <c r="AN97" s="559" t="s">
        <v>1918</v>
      </c>
      <c r="AO97" s="420" t="s">
        <v>195</v>
      </c>
      <c r="AP97" s="247">
        <f t="shared" si="16"/>
        <v>0</v>
      </c>
      <c r="AQ97" s="247">
        <f t="shared" si="16"/>
        <v>0</v>
      </c>
      <c r="AR97" s="247">
        <f t="shared" si="16"/>
        <v>0</v>
      </c>
      <c r="AS97" s="194"/>
      <c r="AT97" s="194"/>
      <c r="AU97" s="326"/>
    </row>
    <row r="98" spans="1:47" ht="12" customHeight="1">
      <c r="A98" s="2"/>
      <c r="B98" s="2"/>
      <c r="C98" s="2"/>
      <c r="D98" s="2"/>
      <c r="E98" s="2"/>
      <c r="F98" s="2"/>
      <c r="G98" s="2"/>
      <c r="H98" s="2"/>
      <c r="I98" s="2"/>
      <c r="J98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413" t="s">
        <v>2093</v>
      </c>
      <c r="AG98" s="2"/>
      <c r="AH98" s="2"/>
      <c r="AI98" s="2"/>
      <c r="AJ98" s="2"/>
      <c r="AK98" s="2"/>
      <c r="AL98" s="124"/>
      <c r="AM98" s="562" t="str">
        <f>AM97 &amp; ".P"</f>
        <v>AGRE.P</v>
      </c>
      <c r="AN98" s="531" t="s">
        <v>842</v>
      </c>
      <c r="AO98" s="420" t="s">
        <v>23</v>
      </c>
      <c r="AP98" s="247">
        <f>IF(AP99=0,0,AP97*1000/AP99)</f>
        <v>0</v>
      </c>
      <c r="AQ98" s="247">
        <f>IF(AQ99=0,0,AQ97*1000/AQ99)</f>
        <v>0</v>
      </c>
      <c r="AR98" s="247">
        <f>IF(AR99=0,0,AR97*1000/AR99)</f>
        <v>0</v>
      </c>
      <c r="AS98" s="194"/>
      <c r="AT98" s="194"/>
      <c r="AU98" s="326"/>
    </row>
    <row r="99" spans="1:47" ht="12" customHeight="1">
      <c r="A99" s="2"/>
      <c r="B99" s="2"/>
      <c r="C99" s="2"/>
      <c r="D99" s="2"/>
      <c r="E99" s="2"/>
      <c r="F99" s="2"/>
      <c r="G99" s="2"/>
      <c r="H99" s="2"/>
      <c r="I99" s="2"/>
      <c r="J99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413" t="s">
        <v>2094</v>
      </c>
      <c r="AG99" s="2"/>
      <c r="AH99" s="2"/>
      <c r="AI99" s="2"/>
      <c r="AJ99" s="2"/>
      <c r="AK99" s="2"/>
      <c r="AL99" s="124"/>
      <c r="AM99" s="562" t="str">
        <f>AM97 &amp; ".V"</f>
        <v>AGRE.V</v>
      </c>
      <c r="AN99" s="531" t="s">
        <v>245</v>
      </c>
      <c r="AO99" s="420" t="s">
        <v>289</v>
      </c>
      <c r="AP99" s="247">
        <f t="shared" ref="AP99:AR100" si="17">SUMIF($AS$9:$AT$9,AP$9,$AS99:$AT99)</f>
        <v>0</v>
      </c>
      <c r="AQ99" s="247">
        <f t="shared" si="17"/>
        <v>0</v>
      </c>
      <c r="AR99" s="247">
        <f t="shared" si="17"/>
        <v>0</v>
      </c>
      <c r="AS99" s="194"/>
      <c r="AT99" s="194"/>
      <c r="AU99" s="326"/>
    </row>
    <row r="100" spans="1:47" ht="12" customHeight="1">
      <c r="A100" s="2"/>
      <c r="B100" s="2"/>
      <c r="C100" s="2"/>
      <c r="D100" s="2"/>
      <c r="E100" s="2"/>
      <c r="F100" s="2"/>
      <c r="G100" s="2"/>
      <c r="H100" s="2"/>
      <c r="I100" s="2"/>
      <c r="J100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413" t="s">
        <v>2092</v>
      </c>
      <c r="AG100" s="2"/>
      <c r="AH100" s="2"/>
      <c r="AI100" s="2"/>
      <c r="AJ100" s="2"/>
      <c r="AK100" s="2"/>
      <c r="AL100" s="124"/>
      <c r="AM100" s="561" t="s">
        <v>2037</v>
      </c>
      <c r="AN100" s="559" t="s">
        <v>1919</v>
      </c>
      <c r="AO100" s="420" t="s">
        <v>195</v>
      </c>
      <c r="AP100" s="247">
        <f t="shared" si="17"/>
        <v>0</v>
      </c>
      <c r="AQ100" s="247">
        <f t="shared" si="17"/>
        <v>0</v>
      </c>
      <c r="AR100" s="247">
        <f t="shared" si="17"/>
        <v>0</v>
      </c>
      <c r="AS100" s="194"/>
      <c r="AT100" s="194"/>
      <c r="AU100" s="326"/>
    </row>
    <row r="101" spans="1:47" ht="12" customHeight="1">
      <c r="A101" s="2"/>
      <c r="B101" s="2"/>
      <c r="C101" s="2"/>
      <c r="D101" s="2"/>
      <c r="E101" s="2"/>
      <c r="F101" s="2"/>
      <c r="G101" s="2"/>
      <c r="H101" s="2"/>
      <c r="I101" s="2"/>
      <c r="J101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413" t="s">
        <v>2093</v>
      </c>
      <c r="AG101" s="2"/>
      <c r="AH101" s="2"/>
      <c r="AI101" s="2"/>
      <c r="AJ101" s="2"/>
      <c r="AK101" s="2"/>
      <c r="AL101" s="124"/>
      <c r="AM101" s="562" t="str">
        <f>AM100 &amp; ".P"</f>
        <v>ALOX.P</v>
      </c>
      <c r="AN101" s="531" t="s">
        <v>842</v>
      </c>
      <c r="AO101" s="420" t="s">
        <v>23</v>
      </c>
      <c r="AP101" s="247">
        <f>IF(AP102=0,0,AP100*1000/AP102)</f>
        <v>0</v>
      </c>
      <c r="AQ101" s="247">
        <f>IF(AQ102=0,0,AQ100*1000/AQ102)</f>
        <v>0</v>
      </c>
      <c r="AR101" s="247">
        <f>IF(AR102=0,0,AR100*1000/AR102)</f>
        <v>0</v>
      </c>
      <c r="AS101" s="194"/>
      <c r="AT101" s="194"/>
      <c r="AU101" s="326"/>
    </row>
    <row r="102" spans="1:47" ht="12" customHeight="1">
      <c r="A102" s="2"/>
      <c r="B102" s="2"/>
      <c r="C102" s="2"/>
      <c r="D102" s="2"/>
      <c r="E102" s="2"/>
      <c r="F102" s="2"/>
      <c r="G102" s="2"/>
      <c r="H102" s="2"/>
      <c r="I102" s="2"/>
      <c r="J10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413" t="s">
        <v>2094</v>
      </c>
      <c r="AG102" s="2"/>
      <c r="AH102" s="2"/>
      <c r="AI102" s="2"/>
      <c r="AJ102" s="2"/>
      <c r="AK102" s="2"/>
      <c r="AL102" s="124"/>
      <c r="AM102" s="562" t="str">
        <f>AM100 &amp; ".V"</f>
        <v>ALOX.V</v>
      </c>
      <c r="AN102" s="531" t="s">
        <v>245</v>
      </c>
      <c r="AO102" s="420" t="s">
        <v>289</v>
      </c>
      <c r="AP102" s="247">
        <f t="shared" ref="AP102:AR103" si="18">SUMIF($AS$9:$AT$9,AP$9,$AS102:$AT102)</f>
        <v>0</v>
      </c>
      <c r="AQ102" s="247">
        <f t="shared" si="18"/>
        <v>0</v>
      </c>
      <c r="AR102" s="247">
        <f t="shared" si="18"/>
        <v>0</v>
      </c>
      <c r="AS102" s="194"/>
      <c r="AT102" s="194"/>
      <c r="AU102" s="326"/>
    </row>
    <row r="103" spans="1:47" ht="12" customHeight="1">
      <c r="A103" s="2"/>
      <c r="B103" s="2"/>
      <c r="C103" s="2"/>
      <c r="D103" s="2"/>
      <c r="E103" s="2"/>
      <c r="F103" s="2"/>
      <c r="G103" s="2"/>
      <c r="H103" s="2"/>
      <c r="I103" s="2"/>
      <c r="J103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413" t="s">
        <v>2092</v>
      </c>
      <c r="AG103" s="2"/>
      <c r="AH103" s="2"/>
      <c r="AI103" s="2"/>
      <c r="AJ103" s="2"/>
      <c r="AK103" s="2"/>
      <c r="AL103" s="124"/>
      <c r="AM103" s="561" t="s">
        <v>2038</v>
      </c>
      <c r="AN103" s="559" t="s">
        <v>1920</v>
      </c>
      <c r="AO103" s="420" t="s">
        <v>195</v>
      </c>
      <c r="AP103" s="247">
        <f t="shared" si="18"/>
        <v>0</v>
      </c>
      <c r="AQ103" s="247">
        <f t="shared" si="18"/>
        <v>0</v>
      </c>
      <c r="AR103" s="247">
        <f t="shared" si="18"/>
        <v>0</v>
      </c>
      <c r="AS103" s="194"/>
      <c r="AT103" s="194"/>
      <c r="AU103" s="326"/>
    </row>
    <row r="104" spans="1:47" ht="12" customHeight="1">
      <c r="A104" s="2"/>
      <c r="B104" s="2"/>
      <c r="C104" s="2"/>
      <c r="D104" s="2"/>
      <c r="E104" s="2"/>
      <c r="F104" s="2"/>
      <c r="G104" s="2"/>
      <c r="H104" s="2"/>
      <c r="I104" s="2"/>
      <c r="J104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413" t="s">
        <v>2093</v>
      </c>
      <c r="AG104" s="2"/>
      <c r="AH104" s="2"/>
      <c r="AI104" s="2"/>
      <c r="AJ104" s="2"/>
      <c r="AK104" s="2"/>
      <c r="AL104" s="124"/>
      <c r="AM104" s="562" t="str">
        <f>AM103 &amp; ".P"</f>
        <v>ALS.P</v>
      </c>
      <c r="AN104" s="531" t="s">
        <v>842</v>
      </c>
      <c r="AO104" s="420" t="s">
        <v>23</v>
      </c>
      <c r="AP104" s="247">
        <f>IF(AP105=0,0,AP103*1000/AP105)</f>
        <v>0</v>
      </c>
      <c r="AQ104" s="247">
        <f>IF(AQ105=0,0,AQ103*1000/AQ105)</f>
        <v>0</v>
      </c>
      <c r="AR104" s="247">
        <f>IF(AR105=0,0,AR103*1000/AR105)</f>
        <v>0</v>
      </c>
      <c r="AS104" s="194"/>
      <c r="AT104" s="194"/>
      <c r="AU104" s="326"/>
    </row>
    <row r="105" spans="1:47" ht="12" customHeight="1">
      <c r="A105" s="2"/>
      <c r="B105" s="2"/>
      <c r="C105" s="2"/>
      <c r="D105" s="2"/>
      <c r="E105" s="2"/>
      <c r="F105" s="2"/>
      <c r="G105" s="2"/>
      <c r="H105" s="2"/>
      <c r="I105" s="2"/>
      <c r="J10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413" t="s">
        <v>2094</v>
      </c>
      <c r="AG105" s="2"/>
      <c r="AH105" s="2"/>
      <c r="AI105" s="2"/>
      <c r="AJ105" s="2"/>
      <c r="AK105" s="2"/>
      <c r="AL105" s="124"/>
      <c r="AM105" s="562" t="str">
        <f>AM103 &amp; ".V"</f>
        <v>ALS.V</v>
      </c>
      <c r="AN105" s="531" t="s">
        <v>245</v>
      </c>
      <c r="AO105" s="420" t="s">
        <v>289</v>
      </c>
      <c r="AP105" s="247">
        <f t="shared" ref="AP105:AR106" si="19">SUMIF($AS$9:$AT$9,AP$9,$AS105:$AT105)</f>
        <v>0</v>
      </c>
      <c r="AQ105" s="247">
        <f t="shared" si="19"/>
        <v>0</v>
      </c>
      <c r="AR105" s="247">
        <f t="shared" si="19"/>
        <v>0</v>
      </c>
      <c r="AS105" s="194"/>
      <c r="AT105" s="194"/>
      <c r="AU105" s="326"/>
    </row>
    <row r="106" spans="1:47" ht="12" customHeight="1">
      <c r="A106" s="2"/>
      <c r="B106" s="2"/>
      <c r="C106" s="2"/>
      <c r="D106" s="2"/>
      <c r="E106" s="2"/>
      <c r="F106" s="2"/>
      <c r="G106" s="2"/>
      <c r="H106" s="2"/>
      <c r="I106" s="2"/>
      <c r="J106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413" t="s">
        <v>2092</v>
      </c>
      <c r="AG106" s="2"/>
      <c r="AH106" s="2"/>
      <c r="AI106" s="2"/>
      <c r="AJ106" s="2"/>
      <c r="AK106" s="2"/>
      <c r="AL106" s="124"/>
      <c r="AM106" s="561" t="s">
        <v>2003</v>
      </c>
      <c r="AN106" s="559" t="s">
        <v>1921</v>
      </c>
      <c r="AO106" s="420" t="s">
        <v>195</v>
      </c>
      <c r="AP106" s="247">
        <f t="shared" si="19"/>
        <v>0</v>
      </c>
      <c r="AQ106" s="247">
        <f t="shared" si="19"/>
        <v>0</v>
      </c>
      <c r="AR106" s="247">
        <f t="shared" si="19"/>
        <v>0</v>
      </c>
      <c r="AS106" s="194"/>
      <c r="AT106" s="194"/>
      <c r="AU106" s="326"/>
    </row>
    <row r="107" spans="1:47" ht="12" customHeight="1">
      <c r="A107" s="2"/>
      <c r="B107" s="2"/>
      <c r="C107" s="2"/>
      <c r="D107" s="2"/>
      <c r="E107" s="2"/>
      <c r="F107" s="2"/>
      <c r="G107" s="2"/>
      <c r="H107" s="2"/>
      <c r="I107" s="2"/>
      <c r="J107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413" t="s">
        <v>2093</v>
      </c>
      <c r="AG107" s="2"/>
      <c r="AH107" s="2"/>
      <c r="AI107" s="2"/>
      <c r="AJ107" s="2"/>
      <c r="AK107" s="2"/>
      <c r="AL107" s="124"/>
      <c r="AM107" s="562" t="str">
        <f>AM106 &amp; ".P"</f>
        <v>AM.P</v>
      </c>
      <c r="AN107" s="531" t="s">
        <v>842</v>
      </c>
      <c r="AO107" s="420" t="s">
        <v>23</v>
      </c>
      <c r="AP107" s="247">
        <f>IF(AP108=0,0,AP106*1000/AP108)</f>
        <v>0</v>
      </c>
      <c r="AQ107" s="247">
        <f>IF(AQ108=0,0,AQ106*1000/AQ108)</f>
        <v>0</v>
      </c>
      <c r="AR107" s="247">
        <f>IF(AR108=0,0,AR106*1000/AR108)</f>
        <v>0</v>
      </c>
      <c r="AS107" s="194"/>
      <c r="AT107" s="194"/>
      <c r="AU107" s="326"/>
    </row>
    <row r="108" spans="1:47" ht="12" customHeight="1">
      <c r="A108" s="2"/>
      <c r="B108" s="2"/>
      <c r="C108" s="2"/>
      <c r="D108" s="2"/>
      <c r="E108" s="2"/>
      <c r="F108" s="2"/>
      <c r="G108" s="2"/>
      <c r="H108" s="2"/>
      <c r="I108" s="2"/>
      <c r="J108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413" t="s">
        <v>2094</v>
      </c>
      <c r="AG108" s="2"/>
      <c r="AH108" s="2"/>
      <c r="AI108" s="2"/>
      <c r="AJ108" s="2"/>
      <c r="AK108" s="2"/>
      <c r="AL108" s="124"/>
      <c r="AM108" s="562" t="str">
        <f>AM106 &amp; ".V"</f>
        <v>AM.V</v>
      </c>
      <c r="AN108" s="531" t="s">
        <v>245</v>
      </c>
      <c r="AO108" s="420" t="s">
        <v>289</v>
      </c>
      <c r="AP108" s="247">
        <f t="shared" ref="AP108:AR109" si="20">SUMIF($AS$9:$AT$9,AP$9,$AS108:$AT108)</f>
        <v>0</v>
      </c>
      <c r="AQ108" s="247">
        <f t="shared" si="20"/>
        <v>0</v>
      </c>
      <c r="AR108" s="247">
        <f t="shared" si="20"/>
        <v>0</v>
      </c>
      <c r="AS108" s="194"/>
      <c r="AT108" s="194"/>
      <c r="AU108" s="326"/>
    </row>
    <row r="109" spans="1:47" ht="12" customHeight="1">
      <c r="A109" s="2"/>
      <c r="B109" s="2"/>
      <c r="C109" s="2"/>
      <c r="D109" s="2"/>
      <c r="E109" s="2"/>
      <c r="F109" s="2"/>
      <c r="G109" s="2"/>
      <c r="H109" s="2"/>
      <c r="I109" s="2"/>
      <c r="J109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413" t="s">
        <v>2092</v>
      </c>
      <c r="AG109" s="2"/>
      <c r="AH109" s="2"/>
      <c r="AI109" s="2"/>
      <c r="AJ109" s="2"/>
      <c r="AK109" s="2"/>
      <c r="AL109" s="124"/>
      <c r="AM109" s="561" t="s">
        <v>2004</v>
      </c>
      <c r="AN109" s="559" t="s">
        <v>1922</v>
      </c>
      <c r="AO109" s="420" t="s">
        <v>195</v>
      </c>
      <c r="AP109" s="247">
        <f t="shared" si="20"/>
        <v>0</v>
      </c>
      <c r="AQ109" s="247">
        <f t="shared" si="20"/>
        <v>0</v>
      </c>
      <c r="AR109" s="247">
        <f t="shared" si="20"/>
        <v>0</v>
      </c>
      <c r="AS109" s="194"/>
      <c r="AT109" s="194"/>
      <c r="AU109" s="326"/>
    </row>
    <row r="110" spans="1:47" ht="12" customHeight="1">
      <c r="A110" s="2"/>
      <c r="B110" s="2"/>
      <c r="C110" s="2"/>
      <c r="D110" s="2"/>
      <c r="E110" s="2"/>
      <c r="F110" s="2"/>
      <c r="G110" s="2"/>
      <c r="H110" s="2"/>
      <c r="I110" s="2"/>
      <c r="J110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413" t="s">
        <v>2093</v>
      </c>
      <c r="AG110" s="2"/>
      <c r="AH110" s="2"/>
      <c r="AI110" s="2"/>
      <c r="AJ110" s="2"/>
      <c r="AK110" s="2"/>
      <c r="AL110" s="124"/>
      <c r="AM110" s="562" t="str">
        <f>AM109 &amp; ".P"</f>
        <v>AMW.P</v>
      </c>
      <c r="AN110" s="531" t="s">
        <v>842</v>
      </c>
      <c r="AO110" s="420" t="s">
        <v>23</v>
      </c>
      <c r="AP110" s="247">
        <f>IF(AP111=0,0,AP109*1000/AP111)</f>
        <v>0</v>
      </c>
      <c r="AQ110" s="247">
        <f>IF(AQ111=0,0,AQ109*1000/AQ111)</f>
        <v>0</v>
      </c>
      <c r="AR110" s="247">
        <f>IF(AR111=0,0,AR109*1000/AR111)</f>
        <v>0</v>
      </c>
      <c r="AS110" s="194"/>
      <c r="AT110" s="194"/>
      <c r="AU110" s="326"/>
    </row>
    <row r="111" spans="1:47" ht="12" customHeight="1">
      <c r="A111" s="2"/>
      <c r="B111" s="2"/>
      <c r="C111" s="2"/>
      <c r="D111" s="2"/>
      <c r="E111" s="2"/>
      <c r="F111" s="2"/>
      <c r="G111" s="2"/>
      <c r="H111" s="2"/>
      <c r="I111" s="2"/>
      <c r="J111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413" t="s">
        <v>2094</v>
      </c>
      <c r="AG111" s="2"/>
      <c r="AH111" s="2"/>
      <c r="AI111" s="2"/>
      <c r="AJ111" s="2"/>
      <c r="AK111" s="2"/>
      <c r="AL111" s="124"/>
      <c r="AM111" s="562" t="str">
        <f>AM109 &amp; ".V"</f>
        <v>AMW.V</v>
      </c>
      <c r="AN111" s="531" t="s">
        <v>245</v>
      </c>
      <c r="AO111" s="420" t="s">
        <v>289</v>
      </c>
      <c r="AP111" s="247">
        <f t="shared" ref="AP111:AR112" si="21">SUMIF($AS$9:$AT$9,AP$9,$AS111:$AT111)</f>
        <v>0</v>
      </c>
      <c r="AQ111" s="247">
        <f t="shared" si="21"/>
        <v>0</v>
      </c>
      <c r="AR111" s="247">
        <f t="shared" si="21"/>
        <v>0</v>
      </c>
      <c r="AS111" s="194"/>
      <c r="AT111" s="194"/>
      <c r="AU111" s="326"/>
    </row>
    <row r="112" spans="1:47" ht="12" customHeight="1">
      <c r="A112" s="2"/>
      <c r="B112" s="2"/>
      <c r="C112" s="2"/>
      <c r="D112" s="2"/>
      <c r="E112" s="2"/>
      <c r="F112" s="2"/>
      <c r="G112" s="2"/>
      <c r="H112" s="2"/>
      <c r="I112" s="2"/>
      <c r="J11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413" t="s">
        <v>2092</v>
      </c>
      <c r="AG112" s="2"/>
      <c r="AH112" s="2"/>
      <c r="AI112" s="2"/>
      <c r="AJ112" s="2"/>
      <c r="AK112" s="2"/>
      <c r="AL112" s="124"/>
      <c r="AM112" s="561" t="s">
        <v>2005</v>
      </c>
      <c r="AN112" s="559" t="s">
        <v>1923</v>
      </c>
      <c r="AO112" s="420" t="s">
        <v>195</v>
      </c>
      <c r="AP112" s="247">
        <f t="shared" si="21"/>
        <v>0</v>
      </c>
      <c r="AQ112" s="247">
        <f t="shared" si="21"/>
        <v>0</v>
      </c>
      <c r="AR112" s="247">
        <f t="shared" si="21"/>
        <v>0</v>
      </c>
      <c r="AS112" s="194"/>
      <c r="AT112" s="194"/>
      <c r="AU112" s="326"/>
    </row>
    <row r="113" spans="1:47" ht="12" customHeight="1">
      <c r="A113" s="2"/>
      <c r="B113" s="2"/>
      <c r="C113" s="2"/>
      <c r="D113" s="2"/>
      <c r="E113" s="2"/>
      <c r="F113" s="2"/>
      <c r="G113" s="2"/>
      <c r="H113" s="2"/>
      <c r="I113" s="2"/>
      <c r="J113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413" t="s">
        <v>2093</v>
      </c>
      <c r="AG113" s="2"/>
      <c r="AH113" s="2"/>
      <c r="AI113" s="2"/>
      <c r="AJ113" s="2"/>
      <c r="AK113" s="2"/>
      <c r="AL113" s="124"/>
      <c r="AM113" s="562" t="str">
        <f>AM112 &amp; ".P"</f>
        <v>AMN.P</v>
      </c>
      <c r="AN113" s="531" t="s">
        <v>842</v>
      </c>
      <c r="AO113" s="420" t="s">
        <v>23</v>
      </c>
      <c r="AP113" s="247">
        <f>IF(AP114=0,0,AP112*1000/AP114)</f>
        <v>0</v>
      </c>
      <c r="AQ113" s="247">
        <f>IF(AQ114=0,0,AQ112*1000/AQ114)</f>
        <v>0</v>
      </c>
      <c r="AR113" s="247">
        <f>IF(AR114=0,0,AR112*1000/AR114)</f>
        <v>0</v>
      </c>
      <c r="AS113" s="194"/>
      <c r="AT113" s="194"/>
      <c r="AU113" s="326"/>
    </row>
    <row r="114" spans="1:47" ht="12" customHeight="1">
      <c r="A114" s="2"/>
      <c r="B114" s="2"/>
      <c r="C114" s="2"/>
      <c r="D114" s="2"/>
      <c r="E114" s="2"/>
      <c r="F114" s="2"/>
      <c r="G114" s="2"/>
      <c r="H114" s="2"/>
      <c r="I114" s="2"/>
      <c r="J114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413" t="s">
        <v>2094</v>
      </c>
      <c r="AG114" s="2"/>
      <c r="AH114" s="2"/>
      <c r="AI114" s="2"/>
      <c r="AJ114" s="2"/>
      <c r="AK114" s="2"/>
      <c r="AL114" s="124"/>
      <c r="AM114" s="562" t="str">
        <f>AM112 &amp; ".V"</f>
        <v>AMN.V</v>
      </c>
      <c r="AN114" s="531" t="s">
        <v>245</v>
      </c>
      <c r="AO114" s="420" t="s">
        <v>289</v>
      </c>
      <c r="AP114" s="247">
        <f t="shared" ref="AP114:AR115" si="22">SUMIF($AS$9:$AT$9,AP$9,$AS114:$AT114)</f>
        <v>0</v>
      </c>
      <c r="AQ114" s="247">
        <f t="shared" si="22"/>
        <v>0</v>
      </c>
      <c r="AR114" s="247">
        <f t="shared" si="22"/>
        <v>0</v>
      </c>
      <c r="AS114" s="194"/>
      <c r="AT114" s="194"/>
      <c r="AU114" s="326"/>
    </row>
    <row r="115" spans="1:47" ht="12" customHeight="1">
      <c r="A115" s="2"/>
      <c r="B115" s="2"/>
      <c r="C115" s="2"/>
      <c r="D115" s="2"/>
      <c r="E115" s="2"/>
      <c r="F115" s="2"/>
      <c r="G115" s="2"/>
      <c r="H115" s="2"/>
      <c r="I115" s="2"/>
      <c r="J11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413" t="s">
        <v>2092</v>
      </c>
      <c r="AG115" s="2"/>
      <c r="AH115" s="2"/>
      <c r="AI115" s="2"/>
      <c r="AJ115" s="2"/>
      <c r="AK115" s="2"/>
      <c r="AL115" s="124"/>
      <c r="AM115" s="561" t="s">
        <v>2039</v>
      </c>
      <c r="AN115" s="559" t="s">
        <v>1924</v>
      </c>
      <c r="AO115" s="420" t="s">
        <v>195</v>
      </c>
      <c r="AP115" s="247">
        <f t="shared" si="22"/>
        <v>0</v>
      </c>
      <c r="AQ115" s="247">
        <f t="shared" si="22"/>
        <v>0</v>
      </c>
      <c r="AR115" s="247">
        <f t="shared" si="22"/>
        <v>0</v>
      </c>
      <c r="AS115" s="194"/>
      <c r="AT115" s="194"/>
      <c r="AU115" s="326"/>
    </row>
    <row r="116" spans="1:47" ht="12" customHeight="1">
      <c r="A116" s="2"/>
      <c r="B116" s="2"/>
      <c r="C116" s="2"/>
      <c r="D116" s="2"/>
      <c r="E116" s="2"/>
      <c r="F116" s="2"/>
      <c r="G116" s="2"/>
      <c r="H116" s="2"/>
      <c r="I116" s="2"/>
      <c r="J116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413" t="s">
        <v>2093</v>
      </c>
      <c r="AG116" s="2"/>
      <c r="AH116" s="2"/>
      <c r="AI116" s="2"/>
      <c r="AJ116" s="2"/>
      <c r="AK116" s="2"/>
      <c r="AL116" s="124"/>
      <c r="AM116" s="562" t="str">
        <f>AM115 &amp; ".P"</f>
        <v>AMNCL.P</v>
      </c>
      <c r="AN116" s="531" t="s">
        <v>842</v>
      </c>
      <c r="AO116" s="420" t="s">
        <v>23</v>
      </c>
      <c r="AP116" s="247">
        <f>IF(AP117=0,0,AP115*1000/AP117)</f>
        <v>0</v>
      </c>
      <c r="AQ116" s="247">
        <f>IF(AQ117=0,0,AQ115*1000/AQ117)</f>
        <v>0</v>
      </c>
      <c r="AR116" s="247">
        <f>IF(AR117=0,0,AR115*1000/AR117)</f>
        <v>0</v>
      </c>
      <c r="AS116" s="194"/>
      <c r="AT116" s="194"/>
      <c r="AU116" s="326"/>
    </row>
    <row r="117" spans="1:47" ht="12" customHeight="1">
      <c r="A117" s="2"/>
      <c r="B117" s="2"/>
      <c r="C117" s="2"/>
      <c r="D117" s="2"/>
      <c r="E117" s="2"/>
      <c r="F117" s="2"/>
      <c r="G117" s="2"/>
      <c r="H117" s="2"/>
      <c r="I117" s="2"/>
      <c r="J117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413" t="s">
        <v>2094</v>
      </c>
      <c r="AG117" s="2"/>
      <c r="AH117" s="2"/>
      <c r="AI117" s="2"/>
      <c r="AJ117" s="2"/>
      <c r="AK117" s="2"/>
      <c r="AL117" s="124"/>
      <c r="AM117" s="562" t="str">
        <f>AM115 &amp; ".V"</f>
        <v>AMNCL.V</v>
      </c>
      <c r="AN117" s="531" t="s">
        <v>245</v>
      </c>
      <c r="AO117" s="420" t="s">
        <v>289</v>
      </c>
      <c r="AP117" s="247">
        <f t="shared" ref="AP117:AR118" si="23">SUMIF($AS$9:$AT$9,AP$9,$AS117:$AT117)</f>
        <v>0</v>
      </c>
      <c r="AQ117" s="247">
        <f t="shared" si="23"/>
        <v>0</v>
      </c>
      <c r="AR117" s="247">
        <f t="shared" si="23"/>
        <v>0</v>
      </c>
      <c r="AS117" s="194"/>
      <c r="AT117" s="194"/>
      <c r="AU117" s="326"/>
    </row>
    <row r="118" spans="1:47" ht="12" customHeight="1">
      <c r="A118" s="2"/>
      <c r="B118" s="2"/>
      <c r="C118" s="2"/>
      <c r="D118" s="2"/>
      <c r="E118" s="2"/>
      <c r="F118" s="2"/>
      <c r="G118" s="2"/>
      <c r="H118" s="2"/>
      <c r="I118" s="2"/>
      <c r="J118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413" t="s">
        <v>2092</v>
      </c>
      <c r="AG118" s="2"/>
      <c r="AH118" s="2"/>
      <c r="AI118" s="2"/>
      <c r="AJ118" s="2"/>
      <c r="AK118" s="2"/>
      <c r="AL118" s="124"/>
      <c r="AM118" s="561" t="s">
        <v>2040</v>
      </c>
      <c r="AN118" s="559" t="s">
        <v>1925</v>
      </c>
      <c r="AO118" s="420" t="s">
        <v>195</v>
      </c>
      <c r="AP118" s="247">
        <f t="shared" si="23"/>
        <v>0</v>
      </c>
      <c r="AQ118" s="247">
        <f t="shared" si="23"/>
        <v>0</v>
      </c>
      <c r="AR118" s="247">
        <f t="shared" si="23"/>
        <v>0</v>
      </c>
      <c r="AS118" s="194"/>
      <c r="AT118" s="194"/>
      <c r="AU118" s="326"/>
    </row>
    <row r="119" spans="1:47" ht="12" customHeight="1">
      <c r="A119" s="2"/>
      <c r="B119" s="2"/>
      <c r="C119" s="2"/>
      <c r="D119" s="2"/>
      <c r="E119" s="2"/>
      <c r="F119" s="2"/>
      <c r="G119" s="2"/>
      <c r="H119" s="2"/>
      <c r="I119" s="2"/>
      <c r="J119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413" t="s">
        <v>2093</v>
      </c>
      <c r="AG119" s="2"/>
      <c r="AH119" s="2"/>
      <c r="AI119" s="2"/>
      <c r="AJ119" s="2"/>
      <c r="AK119" s="2"/>
      <c r="AL119" s="124"/>
      <c r="AM119" s="562" t="str">
        <f>AM118 &amp; ".P"</f>
        <v>BACL.P</v>
      </c>
      <c r="AN119" s="531" t="s">
        <v>842</v>
      </c>
      <c r="AO119" s="420" t="s">
        <v>23</v>
      </c>
      <c r="AP119" s="247">
        <f>IF(AP120=0,0,AP118*1000/AP120)</f>
        <v>0</v>
      </c>
      <c r="AQ119" s="247">
        <f>IF(AQ120=0,0,AQ118*1000/AQ120)</f>
        <v>0</v>
      </c>
      <c r="AR119" s="247">
        <f>IF(AR120=0,0,AR118*1000/AR120)</f>
        <v>0</v>
      </c>
      <c r="AS119" s="194"/>
      <c r="AT119" s="194"/>
      <c r="AU119" s="326"/>
    </row>
    <row r="120" spans="1:47" ht="12" customHeight="1">
      <c r="A120" s="2"/>
      <c r="B120" s="2"/>
      <c r="C120" s="2"/>
      <c r="D120" s="2"/>
      <c r="E120" s="2"/>
      <c r="F120" s="2"/>
      <c r="G120" s="2"/>
      <c r="H120" s="2"/>
      <c r="I120" s="2"/>
      <c r="J120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413" t="s">
        <v>2094</v>
      </c>
      <c r="AG120" s="2"/>
      <c r="AH120" s="2"/>
      <c r="AI120" s="2"/>
      <c r="AJ120" s="2"/>
      <c r="AK120" s="2"/>
      <c r="AL120" s="124"/>
      <c r="AM120" s="562" t="str">
        <f>AM118 &amp; ".V"</f>
        <v>BACL.V</v>
      </c>
      <c r="AN120" s="531" t="s">
        <v>245</v>
      </c>
      <c r="AO120" s="420" t="s">
        <v>289</v>
      </c>
      <c r="AP120" s="247">
        <f t="shared" ref="AP120:AR121" si="24">SUMIF($AS$9:$AT$9,AP$9,$AS120:$AT120)</f>
        <v>0</v>
      </c>
      <c r="AQ120" s="247">
        <f t="shared" si="24"/>
        <v>0</v>
      </c>
      <c r="AR120" s="247">
        <f t="shared" si="24"/>
        <v>0</v>
      </c>
      <c r="AS120" s="194"/>
      <c r="AT120" s="194"/>
      <c r="AU120" s="326"/>
    </row>
    <row r="121" spans="1:47" ht="12" customHeight="1">
      <c r="A121" s="2"/>
      <c r="B121" s="2"/>
      <c r="C121" s="2"/>
      <c r="D121" s="2"/>
      <c r="E121" s="2"/>
      <c r="F121" s="2"/>
      <c r="G121" s="2"/>
      <c r="H121" s="2"/>
      <c r="I121" s="2"/>
      <c r="J121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413" t="s">
        <v>2092</v>
      </c>
      <c r="AG121" s="2"/>
      <c r="AH121" s="2"/>
      <c r="AI121" s="2"/>
      <c r="AJ121" s="2"/>
      <c r="AK121" s="2"/>
      <c r="AL121" s="124"/>
      <c r="AM121" s="561" t="s">
        <v>2006</v>
      </c>
      <c r="AN121" s="559" t="s">
        <v>1926</v>
      </c>
      <c r="AO121" s="420" t="s">
        <v>195</v>
      </c>
      <c r="AP121" s="247">
        <f t="shared" si="24"/>
        <v>0</v>
      </c>
      <c r="AQ121" s="247">
        <f t="shared" si="24"/>
        <v>0</v>
      </c>
      <c r="AR121" s="247">
        <f t="shared" si="24"/>
        <v>0</v>
      </c>
      <c r="AS121" s="194"/>
      <c r="AT121" s="194"/>
      <c r="AU121" s="326"/>
    </row>
    <row r="122" spans="1:47" ht="12" customHeight="1">
      <c r="A122" s="2"/>
      <c r="B122" s="2"/>
      <c r="C122" s="2"/>
      <c r="D122" s="2"/>
      <c r="E122" s="2"/>
      <c r="F122" s="2"/>
      <c r="G122" s="2"/>
      <c r="H122" s="2"/>
      <c r="I122" s="2"/>
      <c r="J12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413" t="s">
        <v>2093</v>
      </c>
      <c r="AG122" s="2"/>
      <c r="AH122" s="2"/>
      <c r="AI122" s="2"/>
      <c r="AJ122" s="2"/>
      <c r="AK122" s="2"/>
      <c r="AL122" s="124"/>
      <c r="AM122" s="562" t="str">
        <f>AM121 &amp; ".P"</f>
        <v>BIOX.P</v>
      </c>
      <c r="AN122" s="531" t="s">
        <v>842</v>
      </c>
      <c r="AO122" s="420" t="s">
        <v>23</v>
      </c>
      <c r="AP122" s="247">
        <f>IF(AP123=0,0,AP121*1000/AP123)</f>
        <v>0</v>
      </c>
      <c r="AQ122" s="247">
        <f>IF(AQ123=0,0,AQ121*1000/AQ123)</f>
        <v>0</v>
      </c>
      <c r="AR122" s="247">
        <f>IF(AR123=0,0,AR121*1000/AR123)</f>
        <v>0</v>
      </c>
      <c r="AS122" s="194"/>
      <c r="AT122" s="194"/>
      <c r="AU122" s="326"/>
    </row>
    <row r="123" spans="1:47" ht="12" customHeight="1">
      <c r="A123" s="2"/>
      <c r="B123" s="2"/>
      <c r="C123" s="2"/>
      <c r="D123" s="2"/>
      <c r="E123" s="2"/>
      <c r="F123" s="2"/>
      <c r="G123" s="2"/>
      <c r="H123" s="2"/>
      <c r="I123" s="2"/>
      <c r="J123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413" t="s">
        <v>2094</v>
      </c>
      <c r="AG123" s="2"/>
      <c r="AH123" s="2"/>
      <c r="AI123" s="2"/>
      <c r="AJ123" s="2"/>
      <c r="AK123" s="2"/>
      <c r="AL123" s="124"/>
      <c r="AM123" s="562" t="str">
        <f>AM121 &amp; ".V"</f>
        <v>BIOX.V</v>
      </c>
      <c r="AN123" s="531" t="s">
        <v>245</v>
      </c>
      <c r="AO123" s="420" t="s">
        <v>289</v>
      </c>
      <c r="AP123" s="247">
        <f t="shared" ref="AP123:AR124" si="25">SUMIF($AS$9:$AT$9,AP$9,$AS123:$AT123)</f>
        <v>0</v>
      </c>
      <c r="AQ123" s="247">
        <f t="shared" si="25"/>
        <v>0</v>
      </c>
      <c r="AR123" s="247">
        <f t="shared" si="25"/>
        <v>0</v>
      </c>
      <c r="AS123" s="194"/>
      <c r="AT123" s="194"/>
      <c r="AU123" s="326"/>
    </row>
    <row r="124" spans="1:47" ht="12" customHeight="1">
      <c r="A124" s="2"/>
      <c r="B124" s="2"/>
      <c r="C124" s="2"/>
      <c r="D124" s="2"/>
      <c r="E124" s="2"/>
      <c r="F124" s="2"/>
      <c r="G124" s="2"/>
      <c r="H124" s="2"/>
      <c r="I124" s="2"/>
      <c r="J124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413" t="s">
        <v>2092</v>
      </c>
      <c r="AG124" s="2"/>
      <c r="AH124" s="2"/>
      <c r="AI124" s="2"/>
      <c r="AJ124" s="2"/>
      <c r="AK124" s="2"/>
      <c r="AL124" s="124"/>
      <c r="AM124" s="561" t="s">
        <v>2007</v>
      </c>
      <c r="AN124" s="559" t="s">
        <v>1927</v>
      </c>
      <c r="AO124" s="420" t="s">
        <v>195</v>
      </c>
      <c r="AP124" s="247">
        <f t="shared" si="25"/>
        <v>0</v>
      </c>
      <c r="AQ124" s="247">
        <f t="shared" si="25"/>
        <v>0</v>
      </c>
      <c r="AR124" s="247">
        <f t="shared" si="25"/>
        <v>0</v>
      </c>
      <c r="AS124" s="194"/>
      <c r="AT124" s="194"/>
      <c r="AU124" s="326"/>
    </row>
    <row r="125" spans="1:47" ht="12" customHeight="1">
      <c r="A125" s="2"/>
      <c r="B125" s="2"/>
      <c r="C125" s="2"/>
      <c r="D125" s="2"/>
      <c r="E125" s="2"/>
      <c r="F125" s="2"/>
      <c r="G125" s="2"/>
      <c r="H125" s="2"/>
      <c r="I125" s="2"/>
      <c r="J12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413" t="s">
        <v>2093</v>
      </c>
      <c r="AG125" s="2"/>
      <c r="AH125" s="2"/>
      <c r="AI125" s="2"/>
      <c r="AJ125" s="2"/>
      <c r="AK125" s="2"/>
      <c r="AL125" s="124"/>
      <c r="AM125" s="562" t="str">
        <f>AM124 &amp; ".P"</f>
        <v>BRFNL.P</v>
      </c>
      <c r="AN125" s="531" t="s">
        <v>842</v>
      </c>
      <c r="AO125" s="420" t="s">
        <v>23</v>
      </c>
      <c r="AP125" s="247">
        <f>IF(AP126=0,0,AP124*1000/AP126)</f>
        <v>0</v>
      </c>
      <c r="AQ125" s="247">
        <f>IF(AQ126=0,0,AQ124*1000/AQ126)</f>
        <v>0</v>
      </c>
      <c r="AR125" s="247">
        <f>IF(AR126=0,0,AR124*1000/AR126)</f>
        <v>0</v>
      </c>
      <c r="AS125" s="194"/>
      <c r="AT125" s="194"/>
      <c r="AU125" s="326"/>
    </row>
    <row r="126" spans="1:47" ht="12" customHeight="1">
      <c r="A126" s="2"/>
      <c r="B126" s="2"/>
      <c r="C126" s="2"/>
      <c r="D126" s="2"/>
      <c r="E126" s="2"/>
      <c r="F126" s="2"/>
      <c r="G126" s="2"/>
      <c r="H126" s="2"/>
      <c r="I126" s="2"/>
      <c r="J126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413" t="s">
        <v>2094</v>
      </c>
      <c r="AG126" s="2"/>
      <c r="AH126" s="2"/>
      <c r="AI126" s="2"/>
      <c r="AJ126" s="2"/>
      <c r="AK126" s="2"/>
      <c r="AL126" s="124"/>
      <c r="AM126" s="562" t="str">
        <f>AM124 &amp; ".V"</f>
        <v>BRFNL.V</v>
      </c>
      <c r="AN126" s="531" t="s">
        <v>245</v>
      </c>
      <c r="AO126" s="420" t="s">
        <v>289</v>
      </c>
      <c r="AP126" s="247">
        <f t="shared" ref="AP126:AR127" si="26">SUMIF($AS$9:$AT$9,AP$9,$AS126:$AT126)</f>
        <v>0</v>
      </c>
      <c r="AQ126" s="247">
        <f t="shared" si="26"/>
        <v>0</v>
      </c>
      <c r="AR126" s="247">
        <f t="shared" si="26"/>
        <v>0</v>
      </c>
      <c r="AS126" s="194"/>
      <c r="AT126" s="194"/>
      <c r="AU126" s="326"/>
    </row>
    <row r="127" spans="1:47" ht="12" customHeight="1">
      <c r="A127" s="2"/>
      <c r="B127" s="2"/>
      <c r="C127" s="2"/>
      <c r="D127" s="2"/>
      <c r="E127" s="2"/>
      <c r="F127" s="2"/>
      <c r="G127" s="2"/>
      <c r="H127" s="2"/>
      <c r="I127" s="2"/>
      <c r="J127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413" t="s">
        <v>2092</v>
      </c>
      <c r="AG127" s="2"/>
      <c r="AH127" s="2"/>
      <c r="AI127" s="2"/>
      <c r="AJ127" s="2"/>
      <c r="AK127" s="2"/>
      <c r="AL127" s="124"/>
      <c r="AM127" s="561" t="s">
        <v>2008</v>
      </c>
      <c r="AN127" s="559" t="s">
        <v>1928</v>
      </c>
      <c r="AO127" s="420" t="s">
        <v>195</v>
      </c>
      <c r="AP127" s="247">
        <f t="shared" si="26"/>
        <v>0</v>
      </c>
      <c r="AQ127" s="247">
        <f t="shared" si="26"/>
        <v>0</v>
      </c>
      <c r="AR127" s="247">
        <f t="shared" si="26"/>
        <v>0</v>
      </c>
      <c r="AS127" s="194"/>
      <c r="AT127" s="194"/>
      <c r="AU127" s="326"/>
    </row>
    <row r="128" spans="1:47" ht="12" customHeight="1">
      <c r="A128" s="2"/>
      <c r="B128" s="2"/>
      <c r="C128" s="2"/>
      <c r="D128" s="2"/>
      <c r="E128" s="2"/>
      <c r="F128" s="2"/>
      <c r="G128" s="2"/>
      <c r="H128" s="2"/>
      <c r="I128" s="2"/>
      <c r="J128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413" t="s">
        <v>2093</v>
      </c>
      <c r="AG128" s="2"/>
      <c r="AH128" s="2"/>
      <c r="AI128" s="2"/>
      <c r="AJ128" s="2"/>
      <c r="AK128" s="2"/>
      <c r="AL128" s="124"/>
      <c r="AM128" s="562" t="str">
        <f>AM127 &amp; ".P"</f>
        <v>HDOX.P</v>
      </c>
      <c r="AN128" s="531" t="s">
        <v>842</v>
      </c>
      <c r="AO128" s="420" t="s">
        <v>23</v>
      </c>
      <c r="AP128" s="247">
        <f>IF(AP129=0,0,AP127*1000/AP129)</f>
        <v>0</v>
      </c>
      <c r="AQ128" s="247">
        <f>IF(AQ129=0,0,AQ127*1000/AQ129)</f>
        <v>0</v>
      </c>
      <c r="AR128" s="247">
        <f>IF(AR129=0,0,AR127*1000/AR129)</f>
        <v>0</v>
      </c>
      <c r="AS128" s="194"/>
      <c r="AT128" s="194"/>
      <c r="AU128" s="326"/>
    </row>
    <row r="129" spans="1:47" ht="12" customHeight="1">
      <c r="A129" s="2"/>
      <c r="B129" s="2"/>
      <c r="C129" s="2"/>
      <c r="D129" s="2"/>
      <c r="E129" s="2"/>
      <c r="F129" s="2"/>
      <c r="G129" s="2"/>
      <c r="H129" s="2"/>
      <c r="I129" s="2"/>
      <c r="J129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413" t="s">
        <v>2094</v>
      </c>
      <c r="AG129" s="2"/>
      <c r="AH129" s="2"/>
      <c r="AI129" s="2"/>
      <c r="AJ129" s="2"/>
      <c r="AK129" s="2"/>
      <c r="AL129" s="124"/>
      <c r="AM129" s="562" t="str">
        <f>AM127 &amp; ".V"</f>
        <v>HDOX.V</v>
      </c>
      <c r="AN129" s="531" t="s">
        <v>245</v>
      </c>
      <c r="AO129" s="420" t="s">
        <v>289</v>
      </c>
      <c r="AP129" s="247">
        <f t="shared" ref="AP129:AR130" si="27">SUMIF($AS$9:$AT$9,AP$9,$AS129:$AT129)</f>
        <v>0</v>
      </c>
      <c r="AQ129" s="247">
        <f t="shared" si="27"/>
        <v>0</v>
      </c>
      <c r="AR129" s="247">
        <f t="shared" si="27"/>
        <v>0</v>
      </c>
      <c r="AS129" s="194"/>
      <c r="AT129" s="194"/>
      <c r="AU129" s="326"/>
    </row>
    <row r="130" spans="1:47" ht="12" customHeight="1">
      <c r="A130" s="2"/>
      <c r="B130" s="2"/>
      <c r="C130" s="2"/>
      <c r="D130" s="2"/>
      <c r="E130" s="2"/>
      <c r="F130" s="2"/>
      <c r="G130" s="2"/>
      <c r="H130" s="2"/>
      <c r="I130" s="2"/>
      <c r="J130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413" t="s">
        <v>2092</v>
      </c>
      <c r="AG130" s="2"/>
      <c r="AH130" s="2"/>
      <c r="AI130" s="2"/>
      <c r="AJ130" s="2"/>
      <c r="AK130" s="2"/>
      <c r="AL130" s="124"/>
      <c r="AM130" s="561" t="s">
        <v>2009</v>
      </c>
      <c r="AN130" s="559" t="s">
        <v>1929</v>
      </c>
      <c r="AO130" s="420" t="s">
        <v>195</v>
      </c>
      <c r="AP130" s="247">
        <f t="shared" si="27"/>
        <v>0</v>
      </c>
      <c r="AQ130" s="247">
        <f t="shared" si="27"/>
        <v>0</v>
      </c>
      <c r="AR130" s="247">
        <f t="shared" si="27"/>
        <v>0</v>
      </c>
      <c r="AS130" s="194"/>
      <c r="AT130" s="194"/>
      <c r="AU130" s="326"/>
    </row>
    <row r="131" spans="1:47" ht="12" customHeight="1">
      <c r="A131" s="2"/>
      <c r="B131" s="2"/>
      <c r="C131" s="2"/>
      <c r="D131" s="2"/>
      <c r="E131" s="2"/>
      <c r="F131" s="2"/>
      <c r="G131" s="2"/>
      <c r="H131" s="2"/>
      <c r="I131" s="2"/>
      <c r="J131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413" t="s">
        <v>2093</v>
      </c>
      <c r="AG131" s="2"/>
      <c r="AH131" s="2"/>
      <c r="AI131" s="2"/>
      <c r="AJ131" s="2"/>
      <c r="AK131" s="2"/>
      <c r="AL131" s="124"/>
      <c r="AM131" s="562" t="str">
        <f>AM130 &amp; ".P"</f>
        <v>GEXN.P</v>
      </c>
      <c r="AN131" s="531" t="s">
        <v>842</v>
      </c>
      <c r="AO131" s="420" t="s">
        <v>23</v>
      </c>
      <c r="AP131" s="247">
        <f>IF(AP132=0,0,AP130*1000/AP132)</f>
        <v>0</v>
      </c>
      <c r="AQ131" s="247">
        <f>IF(AQ132=0,0,AQ130*1000/AQ132)</f>
        <v>0</v>
      </c>
      <c r="AR131" s="247">
        <f>IF(AR132=0,0,AR130*1000/AR132)</f>
        <v>0</v>
      </c>
      <c r="AS131" s="194"/>
      <c r="AT131" s="194"/>
      <c r="AU131" s="326"/>
    </row>
    <row r="132" spans="1:47" ht="12" customHeight="1">
      <c r="A132" s="2"/>
      <c r="B132" s="2"/>
      <c r="C132" s="2"/>
      <c r="D132" s="2"/>
      <c r="E132" s="2"/>
      <c r="F132" s="2"/>
      <c r="G132" s="2"/>
      <c r="H132" s="2"/>
      <c r="I132" s="2"/>
      <c r="J13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413" t="s">
        <v>2094</v>
      </c>
      <c r="AG132" s="2"/>
      <c r="AH132" s="2"/>
      <c r="AI132" s="2"/>
      <c r="AJ132" s="2"/>
      <c r="AK132" s="2"/>
      <c r="AL132" s="124"/>
      <c r="AM132" s="562" t="str">
        <f>AM130 &amp; ".V"</f>
        <v>GEXN.V</v>
      </c>
      <c r="AN132" s="531" t="s">
        <v>245</v>
      </c>
      <c r="AO132" s="420" t="s">
        <v>289</v>
      </c>
      <c r="AP132" s="247">
        <f t="shared" ref="AP132:AR133" si="28">SUMIF($AS$9:$AT$9,AP$9,$AS132:$AT132)</f>
        <v>0</v>
      </c>
      <c r="AQ132" s="247">
        <f t="shared" si="28"/>
        <v>0</v>
      </c>
      <c r="AR132" s="247">
        <f t="shared" si="28"/>
        <v>0</v>
      </c>
      <c r="AS132" s="194"/>
      <c r="AT132" s="194"/>
      <c r="AU132" s="326"/>
    </row>
    <row r="133" spans="1:47" ht="12" customHeight="1">
      <c r="A133" s="2"/>
      <c r="B133" s="2"/>
      <c r="C133" s="2"/>
      <c r="D133" s="2"/>
      <c r="E133" s="2"/>
      <c r="F133" s="2"/>
      <c r="G133" s="2"/>
      <c r="H133" s="2"/>
      <c r="I133" s="2"/>
      <c r="J133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413" t="s">
        <v>2092</v>
      </c>
      <c r="AG133" s="2"/>
      <c r="AH133" s="2"/>
      <c r="AI133" s="2"/>
      <c r="AJ133" s="2"/>
      <c r="AK133" s="2"/>
      <c r="AL133" s="124"/>
      <c r="AM133" s="561" t="s">
        <v>2041</v>
      </c>
      <c r="AN133" s="559" t="s">
        <v>1930</v>
      </c>
      <c r="AO133" s="420" t="s">
        <v>195</v>
      </c>
      <c r="AP133" s="247">
        <f t="shared" si="28"/>
        <v>0</v>
      </c>
      <c r="AQ133" s="247">
        <f t="shared" si="28"/>
        <v>0</v>
      </c>
      <c r="AR133" s="247">
        <f t="shared" si="28"/>
        <v>0</v>
      </c>
      <c r="AS133" s="194"/>
      <c r="AT133" s="194"/>
      <c r="AU133" s="326"/>
    </row>
    <row r="134" spans="1:47" ht="12" customHeight="1">
      <c r="A134" s="2"/>
      <c r="B134" s="2"/>
      <c r="C134" s="2"/>
      <c r="D134" s="2"/>
      <c r="E134" s="2"/>
      <c r="F134" s="2"/>
      <c r="G134" s="2"/>
      <c r="H134" s="2"/>
      <c r="I134" s="2"/>
      <c r="J134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413" t="s">
        <v>2093</v>
      </c>
      <c r="AG134" s="2"/>
      <c r="AH134" s="2"/>
      <c r="AI134" s="2"/>
      <c r="AJ134" s="2"/>
      <c r="AK134" s="2"/>
      <c r="AL134" s="124"/>
      <c r="AM134" s="562" t="str">
        <f>AM133 &amp; ".P"</f>
        <v>HDOXCL.P</v>
      </c>
      <c r="AN134" s="531" t="s">
        <v>842</v>
      </c>
      <c r="AO134" s="420" t="s">
        <v>23</v>
      </c>
      <c r="AP134" s="247">
        <f>IF(AP135=0,0,AP133*1000/AP135)</f>
        <v>0</v>
      </c>
      <c r="AQ134" s="247">
        <f>IF(AQ135=0,0,AQ133*1000/AQ135)</f>
        <v>0</v>
      </c>
      <c r="AR134" s="247">
        <f>IF(AR135=0,0,AR133*1000/AR135)</f>
        <v>0</v>
      </c>
      <c r="AS134" s="194"/>
      <c r="AT134" s="194"/>
      <c r="AU134" s="326"/>
    </row>
    <row r="135" spans="1:47" ht="12" customHeight="1">
      <c r="A135" s="2"/>
      <c r="B135" s="2"/>
      <c r="C135" s="2"/>
      <c r="D135" s="2"/>
      <c r="E135" s="2"/>
      <c r="F135" s="2"/>
      <c r="G135" s="2"/>
      <c r="H135" s="2"/>
      <c r="I135" s="2"/>
      <c r="J13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413" t="s">
        <v>2094</v>
      </c>
      <c r="AG135" s="2"/>
      <c r="AH135" s="2"/>
      <c r="AI135" s="2"/>
      <c r="AJ135" s="2"/>
      <c r="AK135" s="2"/>
      <c r="AL135" s="124"/>
      <c r="AM135" s="562" t="str">
        <f>AM133 &amp; ".V"</f>
        <v>HDOXCL.V</v>
      </c>
      <c r="AN135" s="531" t="s">
        <v>245</v>
      </c>
      <c r="AO135" s="420" t="s">
        <v>289</v>
      </c>
      <c r="AP135" s="247">
        <f t="shared" ref="AP135:AR136" si="29">SUMIF($AS$9:$AT$9,AP$9,$AS135:$AT135)</f>
        <v>0</v>
      </c>
      <c r="AQ135" s="247">
        <f t="shared" si="29"/>
        <v>0</v>
      </c>
      <c r="AR135" s="247">
        <f t="shared" si="29"/>
        <v>0</v>
      </c>
      <c r="AS135" s="194"/>
      <c r="AT135" s="194"/>
      <c r="AU135" s="326"/>
    </row>
    <row r="136" spans="1:47" ht="12" customHeight="1">
      <c r="A136" s="2"/>
      <c r="B136" s="2"/>
      <c r="C136" s="2"/>
      <c r="D136" s="2"/>
      <c r="E136" s="2"/>
      <c r="F136" s="2"/>
      <c r="G136" s="2"/>
      <c r="H136" s="2"/>
      <c r="I136" s="2"/>
      <c r="J136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413" t="s">
        <v>2092</v>
      </c>
      <c r="AG136" s="2"/>
      <c r="AH136" s="2"/>
      <c r="AI136" s="2"/>
      <c r="AJ136" s="2"/>
      <c r="AK136" s="2"/>
      <c r="AL136" s="124"/>
      <c r="AM136" s="561" t="s">
        <v>2042</v>
      </c>
      <c r="AN136" s="559" t="s">
        <v>1931</v>
      </c>
      <c r="AO136" s="420" t="s">
        <v>195</v>
      </c>
      <c r="AP136" s="247">
        <f t="shared" si="29"/>
        <v>0</v>
      </c>
      <c r="AQ136" s="247">
        <f t="shared" si="29"/>
        <v>0</v>
      </c>
      <c r="AR136" s="247">
        <f t="shared" si="29"/>
        <v>0</v>
      </c>
      <c r="AS136" s="194"/>
      <c r="AT136" s="194"/>
      <c r="AU136" s="326"/>
    </row>
    <row r="137" spans="1:47" ht="12" customHeight="1">
      <c r="A137" s="2"/>
      <c r="B137" s="2"/>
      <c r="C137" s="2"/>
      <c r="D137" s="2"/>
      <c r="E137" s="2"/>
      <c r="F137" s="2"/>
      <c r="G137" s="2"/>
      <c r="H137" s="2"/>
      <c r="I137" s="2"/>
      <c r="J137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413" t="s">
        <v>2093</v>
      </c>
      <c r="AG137" s="2"/>
      <c r="AH137" s="2"/>
      <c r="AI137" s="2"/>
      <c r="AJ137" s="2"/>
      <c r="AK137" s="2"/>
      <c r="AL137" s="124"/>
      <c r="AM137" s="562" t="str">
        <f>AM136 &amp; ".P"</f>
        <v>HDCLCA.P</v>
      </c>
      <c r="AN137" s="531" t="s">
        <v>842</v>
      </c>
      <c r="AO137" s="420" t="s">
        <v>23</v>
      </c>
      <c r="AP137" s="247">
        <f>IF(AP138=0,0,AP136*1000/AP138)</f>
        <v>0</v>
      </c>
      <c r="AQ137" s="247">
        <f>IF(AQ138=0,0,AQ136*1000/AQ138)</f>
        <v>0</v>
      </c>
      <c r="AR137" s="247">
        <f>IF(AR138=0,0,AR136*1000/AR138)</f>
        <v>0</v>
      </c>
      <c r="AS137" s="194"/>
      <c r="AT137" s="194"/>
      <c r="AU137" s="326"/>
    </row>
    <row r="138" spans="1:47" ht="12" customHeight="1">
      <c r="A138" s="2"/>
      <c r="B138" s="2"/>
      <c r="C138" s="2"/>
      <c r="D138" s="2"/>
      <c r="E138" s="2"/>
      <c r="F138" s="2"/>
      <c r="G138" s="2"/>
      <c r="H138" s="2"/>
      <c r="I138" s="2"/>
      <c r="J138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413" t="s">
        <v>2094</v>
      </c>
      <c r="AG138" s="2"/>
      <c r="AH138" s="2"/>
      <c r="AI138" s="2"/>
      <c r="AJ138" s="2"/>
      <c r="AK138" s="2"/>
      <c r="AL138" s="124"/>
      <c r="AM138" s="562" t="str">
        <f>AM136 &amp; ".V"</f>
        <v>HDCLCA.V</v>
      </c>
      <c r="AN138" s="531" t="s">
        <v>245</v>
      </c>
      <c r="AO138" s="420" t="s">
        <v>289</v>
      </c>
      <c r="AP138" s="247">
        <f t="shared" ref="AP138:AR139" si="30">SUMIF($AS$9:$AT$9,AP$9,$AS138:$AT138)</f>
        <v>0</v>
      </c>
      <c r="AQ138" s="247">
        <f t="shared" si="30"/>
        <v>0</v>
      </c>
      <c r="AR138" s="247">
        <f t="shared" si="30"/>
        <v>0</v>
      </c>
      <c r="AS138" s="194"/>
      <c r="AT138" s="194"/>
      <c r="AU138" s="326"/>
    </row>
    <row r="139" spans="1:47" ht="12" customHeight="1">
      <c r="A139" s="2"/>
      <c r="B139" s="2"/>
      <c r="C139" s="2"/>
      <c r="D139" s="2"/>
      <c r="E139" s="2"/>
      <c r="F139" s="2"/>
      <c r="G139" s="2"/>
      <c r="H139" s="2"/>
      <c r="I139" s="2"/>
      <c r="J139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413" t="s">
        <v>2092</v>
      </c>
      <c r="AG139" s="2"/>
      <c r="AH139" s="2"/>
      <c r="AI139" s="2"/>
      <c r="AJ139" s="2"/>
      <c r="AK139" s="2"/>
      <c r="AL139" s="124"/>
      <c r="AM139" s="561" t="s">
        <v>2043</v>
      </c>
      <c r="AN139" s="559" t="s">
        <v>1932</v>
      </c>
      <c r="AO139" s="420" t="s">
        <v>195</v>
      </c>
      <c r="AP139" s="247">
        <f t="shared" si="30"/>
        <v>0</v>
      </c>
      <c r="AQ139" s="247">
        <f t="shared" si="30"/>
        <v>0</v>
      </c>
      <c r="AR139" s="247">
        <f t="shared" si="30"/>
        <v>0</v>
      </c>
      <c r="AS139" s="194"/>
      <c r="AT139" s="194"/>
      <c r="AU139" s="326"/>
    </row>
    <row r="140" spans="1:47" ht="12" customHeight="1">
      <c r="A140" s="2"/>
      <c r="B140" s="2"/>
      <c r="C140" s="2"/>
      <c r="D140" s="2"/>
      <c r="E140" s="2"/>
      <c r="F140" s="2"/>
      <c r="G140" s="2"/>
      <c r="H140" s="2"/>
      <c r="I140" s="2"/>
      <c r="J140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413" t="s">
        <v>2093</v>
      </c>
      <c r="AG140" s="2"/>
      <c r="AH140" s="2"/>
      <c r="AI140" s="2"/>
      <c r="AJ140" s="2"/>
      <c r="AK140" s="2"/>
      <c r="AL140" s="124"/>
      <c r="AM140" s="562" t="str">
        <f>AM139 &amp; ".P"</f>
        <v>HPCLCA.P</v>
      </c>
      <c r="AN140" s="531" t="s">
        <v>842</v>
      </c>
      <c r="AO140" s="420" t="s">
        <v>23</v>
      </c>
      <c r="AP140" s="247">
        <f>IF(AP141=0,0,AP139*1000/AP141)</f>
        <v>0</v>
      </c>
      <c r="AQ140" s="247">
        <f>IF(AQ141=0,0,AQ139*1000/AQ141)</f>
        <v>0</v>
      </c>
      <c r="AR140" s="247">
        <f>IF(AR141=0,0,AR139*1000/AR141)</f>
        <v>0</v>
      </c>
      <c r="AS140" s="194"/>
      <c r="AT140" s="194"/>
      <c r="AU140" s="326"/>
    </row>
    <row r="141" spans="1:47" ht="12" customHeight="1">
      <c r="A141" s="2"/>
      <c r="B141" s="2"/>
      <c r="C141" s="2"/>
      <c r="D141" s="2"/>
      <c r="E141" s="2"/>
      <c r="F141" s="2"/>
      <c r="G141" s="2"/>
      <c r="H141" s="2"/>
      <c r="I141" s="2"/>
      <c r="J141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413" t="s">
        <v>2094</v>
      </c>
      <c r="AG141" s="2"/>
      <c r="AH141" s="2"/>
      <c r="AI141" s="2"/>
      <c r="AJ141" s="2"/>
      <c r="AK141" s="2"/>
      <c r="AL141" s="124"/>
      <c r="AM141" s="562" t="str">
        <f>AM139 &amp; ".V"</f>
        <v>HPCLCA.V</v>
      </c>
      <c r="AN141" s="531" t="s">
        <v>245</v>
      </c>
      <c r="AO141" s="420" t="s">
        <v>289</v>
      </c>
      <c r="AP141" s="247">
        <f t="shared" ref="AP141:AR142" si="31">SUMIF($AS$9:$AT$9,AP$9,$AS141:$AT141)</f>
        <v>0</v>
      </c>
      <c r="AQ141" s="247">
        <f t="shared" si="31"/>
        <v>0</v>
      </c>
      <c r="AR141" s="247">
        <f t="shared" si="31"/>
        <v>0</v>
      </c>
      <c r="AS141" s="194"/>
      <c r="AT141" s="194"/>
      <c r="AU141" s="326"/>
    </row>
    <row r="142" spans="1:47" ht="12" customHeight="1">
      <c r="A142" s="2"/>
      <c r="B142" s="2"/>
      <c r="C142" s="2"/>
      <c r="D142" s="2"/>
      <c r="E142" s="2"/>
      <c r="F142" s="2"/>
      <c r="G142" s="2"/>
      <c r="H142" s="2"/>
      <c r="I142" s="2"/>
      <c r="J14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413" t="s">
        <v>2092</v>
      </c>
      <c r="AG142" s="2"/>
      <c r="AH142" s="2"/>
      <c r="AI142" s="2"/>
      <c r="AJ142" s="2"/>
      <c r="AK142" s="2"/>
      <c r="AL142" s="124"/>
      <c r="AM142" s="561" t="s">
        <v>2044</v>
      </c>
      <c r="AN142" s="559" t="s">
        <v>1933</v>
      </c>
      <c r="AO142" s="420" t="s">
        <v>195</v>
      </c>
      <c r="AP142" s="247">
        <f t="shared" si="31"/>
        <v>0</v>
      </c>
      <c r="AQ142" s="247">
        <f t="shared" si="31"/>
        <v>0</v>
      </c>
      <c r="AR142" s="247">
        <f t="shared" si="31"/>
        <v>0</v>
      </c>
      <c r="AS142" s="194"/>
      <c r="AT142" s="194"/>
      <c r="AU142" s="326"/>
    </row>
    <row r="143" spans="1:47" ht="12" customHeight="1">
      <c r="A143" s="2"/>
      <c r="B143" s="2"/>
      <c r="C143" s="2"/>
      <c r="D143" s="2"/>
      <c r="E143" s="2"/>
      <c r="F143" s="2"/>
      <c r="G143" s="2"/>
      <c r="H143" s="2"/>
      <c r="I143" s="2"/>
      <c r="J143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413" t="s">
        <v>2093</v>
      </c>
      <c r="AG143" s="2"/>
      <c r="AH143" s="2"/>
      <c r="AI143" s="2"/>
      <c r="AJ143" s="2"/>
      <c r="AK143" s="2"/>
      <c r="AL143" s="124"/>
      <c r="AM143" s="562" t="str">
        <f>AM142 &amp; ".P"</f>
        <v>HPCLNA.P</v>
      </c>
      <c r="AN143" s="531" t="s">
        <v>842</v>
      </c>
      <c r="AO143" s="420" t="s">
        <v>23</v>
      </c>
      <c r="AP143" s="247">
        <f>IF(AP144=0,0,AP142*1000/AP144)</f>
        <v>0</v>
      </c>
      <c r="AQ143" s="247">
        <f>IF(AQ144=0,0,AQ142*1000/AQ144)</f>
        <v>0</v>
      </c>
      <c r="AR143" s="247">
        <f>IF(AR144=0,0,AR142*1000/AR144)</f>
        <v>0</v>
      </c>
      <c r="AS143" s="194"/>
      <c r="AT143" s="194"/>
      <c r="AU143" s="326"/>
    </row>
    <row r="144" spans="1:47" ht="12" customHeight="1">
      <c r="A144" s="2"/>
      <c r="B144" s="2"/>
      <c r="C144" s="2"/>
      <c r="D144" s="2"/>
      <c r="E144" s="2"/>
      <c r="F144" s="2"/>
      <c r="G144" s="2"/>
      <c r="H144" s="2"/>
      <c r="I144" s="2"/>
      <c r="J144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413" t="s">
        <v>2094</v>
      </c>
      <c r="AG144" s="2"/>
      <c r="AH144" s="2"/>
      <c r="AI144" s="2"/>
      <c r="AJ144" s="2"/>
      <c r="AK144" s="2"/>
      <c r="AL144" s="124"/>
      <c r="AM144" s="562" t="str">
        <f>AM142 &amp; ".V"</f>
        <v>HPCLNA.V</v>
      </c>
      <c r="AN144" s="531" t="s">
        <v>245</v>
      </c>
      <c r="AO144" s="420" t="s">
        <v>289</v>
      </c>
      <c r="AP144" s="247">
        <f t="shared" ref="AP144:AR145" si="32">SUMIF($AS$9:$AT$9,AP$9,$AS144:$AT144)</f>
        <v>0</v>
      </c>
      <c r="AQ144" s="247">
        <f t="shared" si="32"/>
        <v>0</v>
      </c>
      <c r="AR144" s="247">
        <f t="shared" si="32"/>
        <v>0</v>
      </c>
      <c r="AS144" s="194"/>
      <c r="AT144" s="194"/>
      <c r="AU144" s="326"/>
    </row>
    <row r="145" spans="1:47" ht="12" customHeight="1">
      <c r="A145" s="2"/>
      <c r="B145" s="2"/>
      <c r="C145" s="2"/>
      <c r="D145" s="2"/>
      <c r="E145" s="2"/>
      <c r="F145" s="2"/>
      <c r="G145" s="2"/>
      <c r="H145" s="2"/>
      <c r="I145" s="2"/>
      <c r="J14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413" t="s">
        <v>2092</v>
      </c>
      <c r="AG145" s="2"/>
      <c r="AH145" s="2"/>
      <c r="AI145" s="2"/>
      <c r="AJ145" s="2"/>
      <c r="AK145" s="2"/>
      <c r="AL145" s="124"/>
      <c r="AM145" s="561" t="s">
        <v>2045</v>
      </c>
      <c r="AN145" s="559" t="s">
        <v>1934</v>
      </c>
      <c r="AO145" s="420" t="s">
        <v>195</v>
      </c>
      <c r="AP145" s="247">
        <f t="shared" si="32"/>
        <v>0</v>
      </c>
      <c r="AQ145" s="247">
        <f t="shared" si="32"/>
        <v>0</v>
      </c>
      <c r="AR145" s="247">
        <f t="shared" si="32"/>
        <v>0</v>
      </c>
      <c r="AS145" s="194"/>
      <c r="AT145" s="194"/>
      <c r="AU145" s="326"/>
    </row>
    <row r="146" spans="1:47" ht="12" customHeight="1">
      <c r="A146" s="2"/>
      <c r="B146" s="2"/>
      <c r="C146" s="2"/>
      <c r="D146" s="2"/>
      <c r="E146" s="2"/>
      <c r="F146" s="2"/>
      <c r="G146" s="2"/>
      <c r="H146" s="2"/>
      <c r="I146" s="2"/>
      <c r="J146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413" t="s">
        <v>2093</v>
      </c>
      <c r="AG146" s="2"/>
      <c r="AH146" s="2"/>
      <c r="AI146" s="2"/>
      <c r="AJ146" s="2"/>
      <c r="AK146" s="2"/>
      <c r="AL146" s="124"/>
      <c r="AM146" s="562" t="str">
        <f>AM145 &amp; ".P"</f>
        <v>GLC.P</v>
      </c>
      <c r="AN146" s="531" t="s">
        <v>842</v>
      </c>
      <c r="AO146" s="420" t="s">
        <v>23</v>
      </c>
      <c r="AP146" s="247">
        <f>IF(AP147=0,0,AP145*1000/AP147)</f>
        <v>0</v>
      </c>
      <c r="AQ146" s="247">
        <f>IF(AQ147=0,0,AQ145*1000/AQ147)</f>
        <v>0</v>
      </c>
      <c r="AR146" s="247">
        <f>IF(AR147=0,0,AR145*1000/AR147)</f>
        <v>0</v>
      </c>
      <c r="AS146" s="194"/>
      <c r="AT146" s="194"/>
      <c r="AU146" s="326"/>
    </row>
    <row r="147" spans="1:47" ht="12" customHeight="1">
      <c r="A147" s="2"/>
      <c r="B147" s="2"/>
      <c r="C147" s="2"/>
      <c r="D147" s="2"/>
      <c r="E147" s="2"/>
      <c r="F147" s="2"/>
      <c r="G147" s="2"/>
      <c r="H147" s="2"/>
      <c r="I147" s="2"/>
      <c r="J147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413" t="s">
        <v>2094</v>
      </c>
      <c r="AG147" s="2"/>
      <c r="AH147" s="2"/>
      <c r="AI147" s="2"/>
      <c r="AJ147" s="2"/>
      <c r="AK147" s="2"/>
      <c r="AL147" s="124"/>
      <c r="AM147" s="562" t="str">
        <f>AM145 &amp; ".V"</f>
        <v>GLC.V</v>
      </c>
      <c r="AN147" s="531" t="s">
        <v>245</v>
      </c>
      <c r="AO147" s="420" t="s">
        <v>289</v>
      </c>
      <c r="AP147" s="247">
        <f t="shared" ref="AP147:AR148" si="33">SUMIF($AS$9:$AT$9,AP$9,$AS147:$AT147)</f>
        <v>0</v>
      </c>
      <c r="AQ147" s="247">
        <f t="shared" si="33"/>
        <v>0</v>
      </c>
      <c r="AR147" s="247">
        <f t="shared" si="33"/>
        <v>0</v>
      </c>
      <c r="AS147" s="194"/>
      <c r="AT147" s="194"/>
      <c r="AU147" s="326"/>
    </row>
    <row r="148" spans="1:47" ht="12" customHeight="1">
      <c r="A148" s="2"/>
      <c r="B148" s="2"/>
      <c r="C148" s="2"/>
      <c r="D148" s="2"/>
      <c r="E148" s="2"/>
      <c r="F148" s="2"/>
      <c r="G148" s="2"/>
      <c r="H148" s="2"/>
      <c r="I148" s="2"/>
      <c r="J148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413" t="s">
        <v>2092</v>
      </c>
      <c r="AG148" s="2"/>
      <c r="AH148" s="2"/>
      <c r="AI148" s="2"/>
      <c r="AJ148" s="2"/>
      <c r="AK148" s="2"/>
      <c r="AL148" s="124"/>
      <c r="AM148" s="561" t="s">
        <v>2010</v>
      </c>
      <c r="AN148" s="559" t="s">
        <v>1935</v>
      </c>
      <c r="AO148" s="420" t="s">
        <v>195</v>
      </c>
      <c r="AP148" s="247">
        <f t="shared" si="33"/>
        <v>0</v>
      </c>
      <c r="AQ148" s="247">
        <f t="shared" si="33"/>
        <v>0</v>
      </c>
      <c r="AR148" s="247">
        <f t="shared" si="33"/>
        <v>0</v>
      </c>
      <c r="AS148" s="194"/>
      <c r="AT148" s="194"/>
      <c r="AU148" s="326"/>
    </row>
    <row r="149" spans="1:47" ht="12" customHeight="1">
      <c r="A149" s="2"/>
      <c r="B149" s="2"/>
      <c r="C149" s="2"/>
      <c r="D149" s="2"/>
      <c r="E149" s="2"/>
      <c r="F149" s="2"/>
      <c r="G149" s="2"/>
      <c r="H149" s="2"/>
      <c r="I149" s="2"/>
      <c r="J149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413" t="s">
        <v>2093</v>
      </c>
      <c r="AG149" s="2"/>
      <c r="AH149" s="2"/>
      <c r="AI149" s="2"/>
      <c r="AJ149" s="2"/>
      <c r="AK149" s="2"/>
      <c r="AL149" s="124"/>
      <c r="AM149" s="562" t="str">
        <f>AM148 &amp; ".P"</f>
        <v>DFNLCD.P</v>
      </c>
      <c r="AN149" s="531" t="s">
        <v>842</v>
      </c>
      <c r="AO149" s="420" t="s">
        <v>23</v>
      </c>
      <c r="AP149" s="247">
        <f>IF(AP150=0,0,AP148*1000/AP150)</f>
        <v>0</v>
      </c>
      <c r="AQ149" s="247">
        <f>IF(AQ150=0,0,AQ148*1000/AQ150)</f>
        <v>0</v>
      </c>
      <c r="AR149" s="247">
        <f>IF(AR150=0,0,AR148*1000/AR150)</f>
        <v>0</v>
      </c>
      <c r="AS149" s="194"/>
      <c r="AT149" s="194"/>
      <c r="AU149" s="326"/>
    </row>
    <row r="150" spans="1:47" ht="12" customHeight="1">
      <c r="A150" s="2"/>
      <c r="B150" s="2"/>
      <c r="C150" s="2"/>
      <c r="D150" s="2"/>
      <c r="E150" s="2"/>
      <c r="F150" s="2"/>
      <c r="G150" s="2"/>
      <c r="H150" s="2"/>
      <c r="I150" s="2"/>
      <c r="J150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413" t="s">
        <v>2094</v>
      </c>
      <c r="AG150" s="2"/>
      <c r="AH150" s="2"/>
      <c r="AI150" s="2"/>
      <c r="AJ150" s="2"/>
      <c r="AK150" s="2"/>
      <c r="AL150" s="124"/>
      <c r="AM150" s="562" t="str">
        <f>AM148 &amp; ".V"</f>
        <v>DFNLCD.V</v>
      </c>
      <c r="AN150" s="531" t="s">
        <v>245</v>
      </c>
      <c r="AO150" s="420" t="s">
        <v>289</v>
      </c>
      <c r="AP150" s="247">
        <f t="shared" ref="AP150:AR151" si="34">SUMIF($AS$9:$AT$9,AP$9,$AS150:$AT150)</f>
        <v>0</v>
      </c>
      <c r="AQ150" s="247">
        <f t="shared" si="34"/>
        <v>0</v>
      </c>
      <c r="AR150" s="247">
        <f t="shared" si="34"/>
        <v>0</v>
      </c>
      <c r="AS150" s="194"/>
      <c r="AT150" s="194"/>
      <c r="AU150" s="326"/>
    </row>
    <row r="151" spans="1:47" ht="12" customHeight="1">
      <c r="A151" s="2"/>
      <c r="B151" s="2"/>
      <c r="C151" s="2"/>
      <c r="D151" s="2"/>
      <c r="E151" s="2"/>
      <c r="F151" s="2"/>
      <c r="G151" s="2"/>
      <c r="H151" s="2"/>
      <c r="I151" s="2"/>
      <c r="J151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413" t="s">
        <v>2092</v>
      </c>
      <c r="AG151" s="2"/>
      <c r="AH151" s="2"/>
      <c r="AI151" s="2"/>
      <c r="AJ151" s="2"/>
      <c r="AK151" s="2"/>
      <c r="AL151" s="124"/>
      <c r="AM151" s="561" t="s">
        <v>2011</v>
      </c>
      <c r="AN151" s="559" t="s">
        <v>1936</v>
      </c>
      <c r="AO151" s="420" t="s">
        <v>195</v>
      </c>
      <c r="AP151" s="247">
        <f t="shared" si="34"/>
        <v>0</v>
      </c>
      <c r="AQ151" s="247">
        <f t="shared" si="34"/>
        <v>0</v>
      </c>
      <c r="AR151" s="247">
        <f t="shared" si="34"/>
        <v>0</v>
      </c>
      <c r="AS151" s="194"/>
      <c r="AT151" s="194"/>
      <c r="AU151" s="326"/>
    </row>
    <row r="152" spans="1:47" ht="12" customHeight="1">
      <c r="A152" s="2"/>
      <c r="B152" s="2"/>
      <c r="C152" s="2"/>
      <c r="D152" s="2"/>
      <c r="E152" s="2"/>
      <c r="F152" s="2"/>
      <c r="G152" s="2"/>
      <c r="H152" s="2"/>
      <c r="I152" s="2"/>
      <c r="J15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413" t="s">
        <v>2093</v>
      </c>
      <c r="AG152" s="2"/>
      <c r="AH152" s="2"/>
      <c r="AI152" s="2"/>
      <c r="AJ152" s="2"/>
      <c r="AK152" s="2"/>
      <c r="AL152" s="124"/>
      <c r="AM152" s="562" t="str">
        <f>AM151 &amp; ".P"</f>
        <v>DFNLCN.P</v>
      </c>
      <c r="AN152" s="531" t="s">
        <v>842</v>
      </c>
      <c r="AO152" s="420" t="s">
        <v>23</v>
      </c>
      <c r="AP152" s="247">
        <f>IF(AP153=0,0,AP151*1000/AP153)</f>
        <v>0</v>
      </c>
      <c r="AQ152" s="247">
        <f>IF(AQ153=0,0,AQ151*1000/AQ153)</f>
        <v>0</v>
      </c>
      <c r="AR152" s="247">
        <f>IF(AR153=0,0,AR151*1000/AR153)</f>
        <v>0</v>
      </c>
      <c r="AS152" s="194"/>
      <c r="AT152" s="194"/>
      <c r="AU152" s="326"/>
    </row>
    <row r="153" spans="1:47" ht="12" customHeight="1">
      <c r="A153" s="2"/>
      <c r="B153" s="2"/>
      <c r="C153" s="2"/>
      <c r="D153" s="2"/>
      <c r="E153" s="2"/>
      <c r="F153" s="2"/>
      <c r="G153" s="2"/>
      <c r="H153" s="2"/>
      <c r="I153" s="2"/>
      <c r="J153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413" t="s">
        <v>2094</v>
      </c>
      <c r="AG153" s="2"/>
      <c r="AH153" s="2"/>
      <c r="AI153" s="2"/>
      <c r="AJ153" s="2"/>
      <c r="AK153" s="2"/>
      <c r="AL153" s="124"/>
      <c r="AM153" s="562" t="str">
        <f>AM151 &amp; ".V"</f>
        <v>DFNLCN.V</v>
      </c>
      <c r="AN153" s="531" t="s">
        <v>245</v>
      </c>
      <c r="AO153" s="420" t="s">
        <v>289</v>
      </c>
      <c r="AP153" s="247">
        <f t="shared" ref="AP153:AR154" si="35">SUMIF($AS$9:$AT$9,AP$9,$AS153:$AT153)</f>
        <v>0</v>
      </c>
      <c r="AQ153" s="247">
        <f t="shared" si="35"/>
        <v>0</v>
      </c>
      <c r="AR153" s="247">
        <f t="shared" si="35"/>
        <v>0</v>
      </c>
      <c r="AS153" s="194"/>
      <c r="AT153" s="194"/>
      <c r="AU153" s="326"/>
    </row>
    <row r="154" spans="1:47" ht="12" customHeight="1">
      <c r="A154" s="2"/>
      <c r="B154" s="2"/>
      <c r="C154" s="2"/>
      <c r="D154" s="2"/>
      <c r="E154" s="2"/>
      <c r="F154" s="2"/>
      <c r="G154" s="2"/>
      <c r="H154" s="2"/>
      <c r="I154" s="2"/>
      <c r="J154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413" t="s">
        <v>2092</v>
      </c>
      <c r="AG154" s="2"/>
      <c r="AH154" s="2"/>
      <c r="AI154" s="2"/>
      <c r="AJ154" s="2"/>
      <c r="AK154" s="2"/>
      <c r="AL154" s="124"/>
      <c r="AM154" s="561" t="s">
        <v>1998</v>
      </c>
      <c r="AN154" s="559" t="s">
        <v>1937</v>
      </c>
      <c r="AO154" s="420" t="s">
        <v>195</v>
      </c>
      <c r="AP154" s="247">
        <f t="shared" si="35"/>
        <v>0</v>
      </c>
      <c r="AQ154" s="247">
        <f t="shared" si="35"/>
        <v>0</v>
      </c>
      <c r="AR154" s="247">
        <f t="shared" si="35"/>
        <v>0</v>
      </c>
      <c r="AS154" s="194"/>
      <c r="AT154" s="194"/>
      <c r="AU154" s="326"/>
    </row>
    <row r="155" spans="1:47" ht="12" customHeight="1">
      <c r="A155" s="2"/>
      <c r="B155" s="2"/>
      <c r="C155" s="2"/>
      <c r="D155" s="2"/>
      <c r="E155" s="2"/>
      <c r="F155" s="2"/>
      <c r="G155" s="2"/>
      <c r="H155" s="2"/>
      <c r="I155" s="2"/>
      <c r="J15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413" t="s">
        <v>2093</v>
      </c>
      <c r="AG155" s="2"/>
      <c r="AH155" s="2"/>
      <c r="AI155" s="2"/>
      <c r="AJ155" s="2"/>
      <c r="AK155" s="2"/>
      <c r="AL155" s="124"/>
      <c r="AM155" s="562" t="str">
        <f>AM154 &amp; ".P"</f>
        <v>FES.P</v>
      </c>
      <c r="AN155" s="531" t="s">
        <v>842</v>
      </c>
      <c r="AO155" s="420" t="s">
        <v>23</v>
      </c>
      <c r="AP155" s="247">
        <f>IF(AP156=0,0,AP154*1000/AP156)</f>
        <v>0</v>
      </c>
      <c r="AQ155" s="247">
        <f>IF(AQ156=0,0,AQ154*1000/AQ156)</f>
        <v>0</v>
      </c>
      <c r="AR155" s="247">
        <f>IF(AR156=0,0,AR154*1000/AR156)</f>
        <v>0</v>
      </c>
      <c r="AS155" s="194"/>
      <c r="AT155" s="194"/>
      <c r="AU155" s="326"/>
    </row>
    <row r="156" spans="1:47" ht="12" customHeight="1">
      <c r="A156" s="2"/>
      <c r="B156" s="2"/>
      <c r="C156" s="2"/>
      <c r="D156" s="2"/>
      <c r="E156" s="2"/>
      <c r="F156" s="2"/>
      <c r="G156" s="2"/>
      <c r="H156" s="2"/>
      <c r="I156" s="2"/>
      <c r="J156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413" t="s">
        <v>2094</v>
      </c>
      <c r="AG156" s="2"/>
      <c r="AH156" s="2"/>
      <c r="AI156" s="2"/>
      <c r="AJ156" s="2"/>
      <c r="AK156" s="2"/>
      <c r="AL156" s="124"/>
      <c r="AM156" s="562" t="str">
        <f>AM154 &amp; ".V"</f>
        <v>FES.V</v>
      </c>
      <c r="AN156" s="531" t="s">
        <v>245</v>
      </c>
      <c r="AO156" s="420" t="s">
        <v>289</v>
      </c>
      <c r="AP156" s="247">
        <f t="shared" ref="AP156:AR157" si="36">SUMIF($AS$9:$AT$9,AP$9,$AS156:$AT156)</f>
        <v>0</v>
      </c>
      <c r="AQ156" s="247">
        <f t="shared" si="36"/>
        <v>0</v>
      </c>
      <c r="AR156" s="247">
        <f t="shared" si="36"/>
        <v>0</v>
      </c>
      <c r="AS156" s="194"/>
      <c r="AT156" s="194"/>
      <c r="AU156" s="326"/>
    </row>
    <row r="157" spans="1:47" ht="12" customHeight="1">
      <c r="A157" s="2"/>
      <c r="B157" s="2"/>
      <c r="C157" s="2"/>
      <c r="D157" s="2"/>
      <c r="E157" s="2"/>
      <c r="F157" s="2"/>
      <c r="G157" s="2"/>
      <c r="H157" s="2"/>
      <c r="I157" s="2"/>
      <c r="J157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413" t="s">
        <v>2092</v>
      </c>
      <c r="AG157" s="2"/>
      <c r="AH157" s="2"/>
      <c r="AI157" s="2"/>
      <c r="AJ157" s="2"/>
      <c r="AK157" s="2"/>
      <c r="AL157" s="124"/>
      <c r="AM157" s="561" t="s">
        <v>2046</v>
      </c>
      <c r="AN157" s="559" t="s">
        <v>1938</v>
      </c>
      <c r="AO157" s="420" t="s">
        <v>195</v>
      </c>
      <c r="AP157" s="247">
        <f t="shared" si="36"/>
        <v>0</v>
      </c>
      <c r="AQ157" s="247">
        <f t="shared" si="36"/>
        <v>0</v>
      </c>
      <c r="AR157" s="247">
        <f t="shared" si="36"/>
        <v>0</v>
      </c>
      <c r="AS157" s="194"/>
      <c r="AT157" s="194"/>
      <c r="AU157" s="326"/>
    </row>
    <row r="158" spans="1:47" ht="12" customHeight="1">
      <c r="A158" s="2"/>
      <c r="B158" s="2"/>
      <c r="C158" s="2"/>
      <c r="D158" s="2"/>
      <c r="E158" s="2"/>
      <c r="F158" s="2"/>
      <c r="G158" s="2"/>
      <c r="H158" s="2"/>
      <c r="I158" s="2"/>
      <c r="J158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413" t="s">
        <v>2093</v>
      </c>
      <c r="AG158" s="2"/>
      <c r="AH158" s="2"/>
      <c r="AI158" s="2"/>
      <c r="AJ158" s="2"/>
      <c r="AK158" s="2"/>
      <c r="AL158" s="124"/>
      <c r="AM158" s="562" t="str">
        <f>AM157 &amp; ".P"</f>
        <v>FECL.P</v>
      </c>
      <c r="AN158" s="531" t="s">
        <v>842</v>
      </c>
      <c r="AO158" s="420" t="s">
        <v>23</v>
      </c>
      <c r="AP158" s="247">
        <f>IF(AP159=0,0,AP157*1000/AP159)</f>
        <v>0</v>
      </c>
      <c r="AQ158" s="247">
        <f>IF(AQ159=0,0,AQ157*1000/AQ159)</f>
        <v>0</v>
      </c>
      <c r="AR158" s="247">
        <f>IF(AR159=0,0,AR157*1000/AR159)</f>
        <v>0</v>
      </c>
      <c r="AS158" s="194"/>
      <c r="AT158" s="194"/>
      <c r="AU158" s="326"/>
    </row>
    <row r="159" spans="1:47" ht="12" customHeight="1">
      <c r="A159" s="2"/>
      <c r="B159" s="2"/>
      <c r="C159" s="2"/>
      <c r="D159" s="2"/>
      <c r="E159" s="2"/>
      <c r="F159" s="2"/>
      <c r="G159" s="2"/>
      <c r="H159" s="2"/>
      <c r="I159" s="2"/>
      <c r="J159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413" t="s">
        <v>2094</v>
      </c>
      <c r="AG159" s="2"/>
      <c r="AH159" s="2"/>
      <c r="AI159" s="2"/>
      <c r="AJ159" s="2"/>
      <c r="AK159" s="2"/>
      <c r="AL159" s="124"/>
      <c r="AM159" s="562" t="str">
        <f>AM157 &amp; ".V"</f>
        <v>FECL.V</v>
      </c>
      <c r="AN159" s="531" t="s">
        <v>245</v>
      </c>
      <c r="AO159" s="420" t="s">
        <v>289</v>
      </c>
      <c r="AP159" s="247">
        <f t="shared" ref="AP159:AR160" si="37">SUMIF($AS$9:$AT$9,AP$9,$AS159:$AT159)</f>
        <v>0</v>
      </c>
      <c r="AQ159" s="247">
        <f t="shared" si="37"/>
        <v>0</v>
      </c>
      <c r="AR159" s="247">
        <f t="shared" si="37"/>
        <v>0</v>
      </c>
      <c r="AS159" s="194"/>
      <c r="AT159" s="194"/>
      <c r="AU159" s="326"/>
    </row>
    <row r="160" spans="1:47" ht="12" customHeight="1">
      <c r="A160" s="2"/>
      <c r="B160" s="2"/>
      <c r="C160" s="2"/>
      <c r="D160" s="2"/>
      <c r="E160" s="2"/>
      <c r="F160" s="2"/>
      <c r="G160" s="2"/>
      <c r="H160" s="2"/>
      <c r="I160" s="2"/>
      <c r="J160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413" t="s">
        <v>2092</v>
      </c>
      <c r="AG160" s="2"/>
      <c r="AH160" s="2"/>
      <c r="AI160" s="2"/>
      <c r="AJ160" s="2"/>
      <c r="AK160" s="2"/>
      <c r="AL160" s="124"/>
      <c r="AM160" s="561" t="s">
        <v>2047</v>
      </c>
      <c r="AN160" s="559" t="s">
        <v>1939</v>
      </c>
      <c r="AO160" s="420" t="s">
        <v>195</v>
      </c>
      <c r="AP160" s="247">
        <f t="shared" si="37"/>
        <v>0</v>
      </c>
      <c r="AQ160" s="247">
        <f t="shared" si="37"/>
        <v>0</v>
      </c>
      <c r="AR160" s="247">
        <f t="shared" si="37"/>
        <v>0</v>
      </c>
      <c r="AS160" s="194"/>
      <c r="AT160" s="194"/>
      <c r="AU160" s="326"/>
    </row>
    <row r="161" spans="1:47" ht="12" customHeight="1">
      <c r="A161" s="2"/>
      <c r="B161" s="2"/>
      <c r="C161" s="2"/>
      <c r="D161" s="2"/>
      <c r="E161" s="2"/>
      <c r="F161" s="2"/>
      <c r="G161" s="2"/>
      <c r="H161" s="2"/>
      <c r="I161" s="2"/>
      <c r="J161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413" t="s">
        <v>2093</v>
      </c>
      <c r="AG161" s="2"/>
      <c r="AH161" s="2"/>
      <c r="AI161" s="2"/>
      <c r="AJ161" s="2"/>
      <c r="AK161" s="2"/>
      <c r="AL161" s="124"/>
      <c r="AM161" s="562" t="str">
        <f>AM160 &amp; ".P"</f>
        <v>LIMENP.P</v>
      </c>
      <c r="AN161" s="531" t="s">
        <v>842</v>
      </c>
      <c r="AO161" s="420" t="s">
        <v>23</v>
      </c>
      <c r="AP161" s="247">
        <f>IF(AP162=0,0,AP160*1000/AP162)</f>
        <v>0</v>
      </c>
      <c r="AQ161" s="247">
        <f>IF(AQ162=0,0,AQ160*1000/AQ162)</f>
        <v>0</v>
      </c>
      <c r="AR161" s="247">
        <f>IF(AR162=0,0,AR160*1000/AR162)</f>
        <v>0</v>
      </c>
      <c r="AS161" s="194"/>
      <c r="AT161" s="194"/>
      <c r="AU161" s="326"/>
    </row>
    <row r="162" spans="1:47" ht="12" customHeight="1">
      <c r="A162" s="2"/>
      <c r="B162" s="2"/>
      <c r="C162" s="2"/>
      <c r="D162" s="2"/>
      <c r="E162" s="2"/>
      <c r="F162" s="2"/>
      <c r="G162" s="2"/>
      <c r="H162" s="2"/>
      <c r="I162" s="2"/>
      <c r="J16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413" t="s">
        <v>2094</v>
      </c>
      <c r="AG162" s="2"/>
      <c r="AH162" s="2"/>
      <c r="AI162" s="2"/>
      <c r="AJ162" s="2"/>
      <c r="AK162" s="2"/>
      <c r="AL162" s="124"/>
      <c r="AM162" s="562" t="str">
        <f>AM160 &amp; ".V"</f>
        <v>LIMENP.V</v>
      </c>
      <c r="AN162" s="531" t="s">
        <v>245</v>
      </c>
      <c r="AO162" s="420" t="s">
        <v>289</v>
      </c>
      <c r="AP162" s="247">
        <f t="shared" ref="AP162:AR163" si="38">SUMIF($AS$9:$AT$9,AP$9,$AS162:$AT162)</f>
        <v>0</v>
      </c>
      <c r="AQ162" s="247">
        <f t="shared" si="38"/>
        <v>0</v>
      </c>
      <c r="AR162" s="247">
        <f t="shared" si="38"/>
        <v>0</v>
      </c>
      <c r="AS162" s="194"/>
      <c r="AT162" s="194"/>
      <c r="AU162" s="326"/>
    </row>
    <row r="163" spans="1:47" ht="12" customHeight="1">
      <c r="A163" s="2"/>
      <c r="B163" s="2"/>
      <c r="C163" s="2"/>
      <c r="D163" s="2"/>
      <c r="E163" s="2"/>
      <c r="F163" s="2"/>
      <c r="G163" s="2"/>
      <c r="H163" s="2"/>
      <c r="I163" s="2"/>
      <c r="J163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413" t="s">
        <v>2092</v>
      </c>
      <c r="AG163" s="2"/>
      <c r="AH163" s="2"/>
      <c r="AI163" s="2"/>
      <c r="AJ163" s="2"/>
      <c r="AK163" s="2"/>
      <c r="AL163" s="124"/>
      <c r="AM163" s="561" t="s">
        <v>2048</v>
      </c>
      <c r="AN163" s="559" t="s">
        <v>1940</v>
      </c>
      <c r="AO163" s="420" t="s">
        <v>195</v>
      </c>
      <c r="AP163" s="247">
        <f t="shared" si="38"/>
        <v>0</v>
      </c>
      <c r="AQ163" s="247">
        <f t="shared" si="38"/>
        <v>0</v>
      </c>
      <c r="AR163" s="247">
        <f t="shared" si="38"/>
        <v>0</v>
      </c>
      <c r="AS163" s="194"/>
      <c r="AT163" s="194"/>
      <c r="AU163" s="326"/>
    </row>
    <row r="164" spans="1:47" ht="12" customHeight="1">
      <c r="A164" s="2"/>
      <c r="B164" s="2"/>
      <c r="C164" s="2"/>
      <c r="D164" s="2"/>
      <c r="E164" s="2"/>
      <c r="F164" s="2"/>
      <c r="G164" s="2"/>
      <c r="H164" s="2"/>
      <c r="I164" s="2"/>
      <c r="J164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413" t="s">
        <v>2093</v>
      </c>
      <c r="AG164" s="2"/>
      <c r="AH164" s="2"/>
      <c r="AI164" s="2"/>
      <c r="AJ164" s="2"/>
      <c r="AK164" s="2"/>
      <c r="AL164" s="124"/>
      <c r="AM164" s="562" t="str">
        <f>AM163 &amp; ".P"</f>
        <v>LIMENH.P</v>
      </c>
      <c r="AN164" s="531" t="s">
        <v>842</v>
      </c>
      <c r="AO164" s="420" t="s">
        <v>23</v>
      </c>
      <c r="AP164" s="247">
        <f>IF(AP165=0,0,AP163*1000/AP165)</f>
        <v>0</v>
      </c>
      <c r="AQ164" s="247">
        <f>IF(AQ165=0,0,AQ163*1000/AQ165)</f>
        <v>0</v>
      </c>
      <c r="AR164" s="247">
        <f>IF(AR165=0,0,AR163*1000/AR165)</f>
        <v>0</v>
      </c>
      <c r="AS164" s="194"/>
      <c r="AT164" s="194"/>
      <c r="AU164" s="326"/>
    </row>
    <row r="165" spans="1:47" ht="12" customHeight="1">
      <c r="A165" s="2"/>
      <c r="B165" s="2"/>
      <c r="C165" s="2"/>
      <c r="D165" s="2"/>
      <c r="E165" s="2"/>
      <c r="F165" s="2"/>
      <c r="G165" s="2"/>
      <c r="H165" s="2"/>
      <c r="I165" s="2"/>
      <c r="J16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413" t="s">
        <v>2094</v>
      </c>
      <c r="AG165" s="2"/>
      <c r="AH165" s="2"/>
      <c r="AI165" s="2"/>
      <c r="AJ165" s="2"/>
      <c r="AK165" s="2"/>
      <c r="AL165" s="124"/>
      <c r="AM165" s="562" t="str">
        <f>AM163 &amp; ".V"</f>
        <v>LIMENH.V</v>
      </c>
      <c r="AN165" s="531" t="s">
        <v>245</v>
      </c>
      <c r="AO165" s="420" t="s">
        <v>289</v>
      </c>
      <c r="AP165" s="247">
        <f t="shared" ref="AP165:AR166" si="39">SUMIF($AS$9:$AT$9,AP$9,$AS165:$AT165)</f>
        <v>0</v>
      </c>
      <c r="AQ165" s="247">
        <f t="shared" si="39"/>
        <v>0</v>
      </c>
      <c r="AR165" s="247">
        <f t="shared" si="39"/>
        <v>0</v>
      </c>
      <c r="AS165" s="194"/>
      <c r="AT165" s="194"/>
      <c r="AU165" s="326"/>
    </row>
    <row r="166" spans="1:47" ht="12" customHeight="1">
      <c r="A166" s="2"/>
      <c r="B166" s="2"/>
      <c r="C166" s="2"/>
      <c r="D166" s="2"/>
      <c r="E166" s="2"/>
      <c r="F166" s="2"/>
      <c r="G166" s="2"/>
      <c r="H166" s="2"/>
      <c r="I166" s="2"/>
      <c r="J166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413" t="s">
        <v>2092</v>
      </c>
      <c r="AG166" s="2"/>
      <c r="AH166" s="2"/>
      <c r="AI166" s="2"/>
      <c r="AJ166" s="2"/>
      <c r="AK166" s="2"/>
      <c r="AL166" s="124"/>
      <c r="AM166" s="561" t="s">
        <v>2049</v>
      </c>
      <c r="AN166" s="559" t="s">
        <v>1941</v>
      </c>
      <c r="AO166" s="420" t="s">
        <v>195</v>
      </c>
      <c r="AP166" s="247">
        <f t="shared" si="39"/>
        <v>0</v>
      </c>
      <c r="AQ166" s="247">
        <f t="shared" si="39"/>
        <v>0</v>
      </c>
      <c r="AR166" s="247">
        <f t="shared" si="39"/>
        <v>0</v>
      </c>
      <c r="AS166" s="194"/>
      <c r="AT166" s="194"/>
      <c r="AU166" s="326"/>
    </row>
    <row r="167" spans="1:47" ht="12" customHeight="1">
      <c r="A167" s="2"/>
      <c r="B167" s="2"/>
      <c r="C167" s="2"/>
      <c r="D167" s="2"/>
      <c r="E167" s="2"/>
      <c r="F167" s="2"/>
      <c r="G167" s="2"/>
      <c r="H167" s="2"/>
      <c r="I167" s="2"/>
      <c r="J167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413" t="s">
        <v>2093</v>
      </c>
      <c r="AG167" s="2"/>
      <c r="AH167" s="2"/>
      <c r="AI167" s="2"/>
      <c r="AJ167" s="2"/>
      <c r="AK167" s="2"/>
      <c r="AL167" s="124"/>
      <c r="AM167" s="562" t="str">
        <f>AM166 &amp; ".P"</f>
        <v>LIMECL.P</v>
      </c>
      <c r="AN167" s="531" t="s">
        <v>842</v>
      </c>
      <c r="AO167" s="420" t="s">
        <v>23</v>
      </c>
      <c r="AP167" s="247">
        <f>IF(AP168=0,0,AP166*1000/AP168)</f>
        <v>0</v>
      </c>
      <c r="AQ167" s="247">
        <f>IF(AQ168=0,0,AQ166*1000/AQ168)</f>
        <v>0</v>
      </c>
      <c r="AR167" s="247">
        <f>IF(AR168=0,0,AR166*1000/AR168)</f>
        <v>0</v>
      </c>
      <c r="AS167" s="194"/>
      <c r="AT167" s="194"/>
      <c r="AU167" s="326"/>
    </row>
    <row r="168" spans="1:47" ht="12" customHeight="1">
      <c r="A168" s="2"/>
      <c r="B168" s="2"/>
      <c r="C168" s="2"/>
      <c r="D168" s="2"/>
      <c r="E168" s="2"/>
      <c r="F168" s="2"/>
      <c r="G168" s="2"/>
      <c r="H168" s="2"/>
      <c r="I168" s="2"/>
      <c r="J168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413" t="s">
        <v>2094</v>
      </c>
      <c r="AG168" s="2"/>
      <c r="AH168" s="2"/>
      <c r="AI168" s="2"/>
      <c r="AJ168" s="2"/>
      <c r="AK168" s="2"/>
      <c r="AL168" s="124"/>
      <c r="AM168" s="562" t="str">
        <f>AM166 &amp; ".V"</f>
        <v>LIMECL.V</v>
      </c>
      <c r="AN168" s="531" t="s">
        <v>245</v>
      </c>
      <c r="AO168" s="420" t="s">
        <v>289</v>
      </c>
      <c r="AP168" s="247">
        <f t="shared" ref="AP168:AR169" si="40">SUMIF($AS$9:$AT$9,AP$9,$AS168:$AT168)</f>
        <v>0</v>
      </c>
      <c r="AQ168" s="247">
        <f t="shared" si="40"/>
        <v>0</v>
      </c>
      <c r="AR168" s="247">
        <f t="shared" si="40"/>
        <v>0</v>
      </c>
      <c r="AS168" s="194"/>
      <c r="AT168" s="194"/>
      <c r="AU168" s="326"/>
    </row>
    <row r="169" spans="1:47" ht="12" customHeight="1">
      <c r="A169" s="2"/>
      <c r="B169" s="2"/>
      <c r="C169" s="2"/>
      <c r="D169" s="2"/>
      <c r="E169" s="2"/>
      <c r="F169" s="2"/>
      <c r="G169" s="2"/>
      <c r="H169" s="2"/>
      <c r="I169" s="2"/>
      <c r="J169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413" t="s">
        <v>2092</v>
      </c>
      <c r="AG169" s="2"/>
      <c r="AH169" s="2"/>
      <c r="AI169" s="2"/>
      <c r="AJ169" s="2"/>
      <c r="AK169" s="2"/>
      <c r="AL169" s="124"/>
      <c r="AM169" s="561" t="s">
        <v>2050</v>
      </c>
      <c r="AN169" s="559" t="s">
        <v>1942</v>
      </c>
      <c r="AO169" s="420" t="s">
        <v>195</v>
      </c>
      <c r="AP169" s="247">
        <f t="shared" si="40"/>
        <v>0</v>
      </c>
      <c r="AQ169" s="247">
        <f t="shared" si="40"/>
        <v>0</v>
      </c>
      <c r="AR169" s="247">
        <f t="shared" si="40"/>
        <v>0</v>
      </c>
      <c r="AS169" s="194"/>
      <c r="AT169" s="194"/>
      <c r="AU169" s="326"/>
    </row>
    <row r="170" spans="1:47" ht="12" customHeight="1">
      <c r="A170" s="2"/>
      <c r="B170" s="2"/>
      <c r="C170" s="2"/>
      <c r="D170" s="2"/>
      <c r="E170" s="2"/>
      <c r="F170" s="2"/>
      <c r="G170" s="2"/>
      <c r="H170" s="2"/>
      <c r="I170" s="2"/>
      <c r="J170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413" t="s">
        <v>2093</v>
      </c>
      <c r="AG170" s="2"/>
      <c r="AH170" s="2"/>
      <c r="AI170" s="2"/>
      <c r="AJ170" s="2"/>
      <c r="AK170" s="2"/>
      <c r="AL170" s="124"/>
      <c r="AM170" s="562" t="str">
        <f>AM169 &amp; ".P"</f>
        <v>KN.P</v>
      </c>
      <c r="AN170" s="531" t="s">
        <v>842</v>
      </c>
      <c r="AO170" s="420" t="s">
        <v>23</v>
      </c>
      <c r="AP170" s="247">
        <f>IF(AP171=0,0,AP169*1000/AP171)</f>
        <v>0</v>
      </c>
      <c r="AQ170" s="247">
        <f>IF(AQ171=0,0,AQ169*1000/AQ171)</f>
        <v>0</v>
      </c>
      <c r="AR170" s="247">
        <f>IF(AR171=0,0,AR169*1000/AR171)</f>
        <v>0</v>
      </c>
      <c r="AS170" s="194"/>
      <c r="AT170" s="194"/>
      <c r="AU170" s="326"/>
    </row>
    <row r="171" spans="1:47" ht="12" customHeight="1">
      <c r="A171" s="2"/>
      <c r="B171" s="2"/>
      <c r="C171" s="2"/>
      <c r="D171" s="2"/>
      <c r="E171" s="2"/>
      <c r="F171" s="2"/>
      <c r="G171" s="2"/>
      <c r="H171" s="2"/>
      <c r="I171" s="2"/>
      <c r="J171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413" t="s">
        <v>2094</v>
      </c>
      <c r="AG171" s="2"/>
      <c r="AH171" s="2"/>
      <c r="AI171" s="2"/>
      <c r="AJ171" s="2"/>
      <c r="AK171" s="2"/>
      <c r="AL171" s="124"/>
      <c r="AM171" s="562" t="str">
        <f>AM169 &amp; ".V"</f>
        <v>KN.V</v>
      </c>
      <c r="AN171" s="531" t="s">
        <v>245</v>
      </c>
      <c r="AO171" s="420" t="s">
        <v>289</v>
      </c>
      <c r="AP171" s="247">
        <f t="shared" ref="AP171:AR172" si="41">SUMIF($AS$9:$AT$9,AP$9,$AS171:$AT171)</f>
        <v>0</v>
      </c>
      <c r="AQ171" s="247">
        <f t="shared" si="41"/>
        <v>0</v>
      </c>
      <c r="AR171" s="247">
        <f t="shared" si="41"/>
        <v>0</v>
      </c>
      <c r="AS171" s="194"/>
      <c r="AT171" s="194"/>
      <c r="AU171" s="326"/>
    </row>
    <row r="172" spans="1:47" ht="12" customHeight="1">
      <c r="A172" s="2"/>
      <c r="B172" s="2"/>
      <c r="C172" s="2"/>
      <c r="D172" s="2"/>
      <c r="E172" s="2"/>
      <c r="F172" s="2"/>
      <c r="G172" s="2"/>
      <c r="H172" s="2"/>
      <c r="I172" s="2"/>
      <c r="J17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413" t="s">
        <v>2092</v>
      </c>
      <c r="AG172" s="2"/>
      <c r="AH172" s="2"/>
      <c r="AI172" s="2"/>
      <c r="AJ172" s="2"/>
      <c r="AK172" s="2"/>
      <c r="AL172" s="124"/>
      <c r="AM172" s="561" t="s">
        <v>2051</v>
      </c>
      <c r="AN172" s="559" t="s">
        <v>1943</v>
      </c>
      <c r="AO172" s="420" t="s">
        <v>195</v>
      </c>
      <c r="AP172" s="247">
        <f t="shared" si="41"/>
        <v>0</v>
      </c>
      <c r="AQ172" s="247">
        <f t="shared" si="41"/>
        <v>0</v>
      </c>
      <c r="AR172" s="247">
        <f t="shared" si="41"/>
        <v>0</v>
      </c>
      <c r="AS172" s="194"/>
      <c r="AT172" s="194"/>
      <c r="AU172" s="326"/>
    </row>
    <row r="173" spans="1:47" ht="12" customHeight="1">
      <c r="A173" s="2"/>
      <c r="B173" s="2"/>
      <c r="C173" s="2"/>
      <c r="D173" s="2"/>
      <c r="E173" s="2"/>
      <c r="F173" s="2"/>
      <c r="G173" s="2"/>
      <c r="H173" s="2"/>
      <c r="I173" s="2"/>
      <c r="J173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413" t="s">
        <v>2093</v>
      </c>
      <c r="AG173" s="2"/>
      <c r="AH173" s="2"/>
      <c r="AI173" s="2"/>
      <c r="AJ173" s="2"/>
      <c r="AK173" s="2"/>
      <c r="AL173" s="124"/>
      <c r="AM173" s="562" t="str">
        <f>AM172 &amp; ".P"</f>
        <v>KCR.P</v>
      </c>
      <c r="AN173" s="531" t="s">
        <v>842</v>
      </c>
      <c r="AO173" s="420" t="s">
        <v>23</v>
      </c>
      <c r="AP173" s="247">
        <f>IF(AP174=0,0,AP172*1000/AP174)</f>
        <v>0</v>
      </c>
      <c r="AQ173" s="247">
        <f>IF(AQ174=0,0,AQ172*1000/AQ174)</f>
        <v>0</v>
      </c>
      <c r="AR173" s="247">
        <f>IF(AR174=0,0,AR172*1000/AR174)</f>
        <v>0</v>
      </c>
      <c r="AS173" s="194"/>
      <c r="AT173" s="194"/>
      <c r="AU173" s="326"/>
    </row>
    <row r="174" spans="1:47" ht="12" customHeight="1">
      <c r="A174" s="2"/>
      <c r="B174" s="2"/>
      <c r="C174" s="2"/>
      <c r="D174" s="2"/>
      <c r="E174" s="2"/>
      <c r="F174" s="2"/>
      <c r="G174" s="2"/>
      <c r="H174" s="2"/>
      <c r="I174" s="2"/>
      <c r="J174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413" t="s">
        <v>2094</v>
      </c>
      <c r="AG174" s="2"/>
      <c r="AH174" s="2"/>
      <c r="AI174" s="2"/>
      <c r="AJ174" s="2"/>
      <c r="AK174" s="2"/>
      <c r="AL174" s="124"/>
      <c r="AM174" s="562" t="str">
        <f>AM172 &amp; ".V"</f>
        <v>KCR.V</v>
      </c>
      <c r="AN174" s="531" t="s">
        <v>245</v>
      </c>
      <c r="AO174" s="420" t="s">
        <v>289</v>
      </c>
      <c r="AP174" s="247">
        <f t="shared" ref="AP174:AR175" si="42">SUMIF($AS$9:$AT$9,AP$9,$AS174:$AT174)</f>
        <v>0</v>
      </c>
      <c r="AQ174" s="247">
        <f t="shared" si="42"/>
        <v>0</v>
      </c>
      <c r="AR174" s="247">
        <f t="shared" si="42"/>
        <v>0</v>
      </c>
      <c r="AS174" s="194"/>
      <c r="AT174" s="194"/>
      <c r="AU174" s="326"/>
    </row>
    <row r="175" spans="1:47" ht="12" customHeight="1">
      <c r="A175" s="2"/>
      <c r="B175" s="2"/>
      <c r="C175" s="2"/>
      <c r="D175" s="2"/>
      <c r="E175" s="2"/>
      <c r="F175" s="2"/>
      <c r="G175" s="2"/>
      <c r="H175" s="2"/>
      <c r="I175" s="2"/>
      <c r="J17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413" t="s">
        <v>2092</v>
      </c>
      <c r="AG175" s="2"/>
      <c r="AH175" s="2"/>
      <c r="AI175" s="2"/>
      <c r="AJ175" s="2"/>
      <c r="AK175" s="2"/>
      <c r="AL175" s="124"/>
      <c r="AM175" s="561" t="s">
        <v>2052</v>
      </c>
      <c r="AN175" s="559" t="s">
        <v>1944</v>
      </c>
      <c r="AO175" s="420" t="s">
        <v>195</v>
      </c>
      <c r="AP175" s="247">
        <f t="shared" si="42"/>
        <v>0</v>
      </c>
      <c r="AQ175" s="247">
        <f t="shared" si="42"/>
        <v>0</v>
      </c>
      <c r="AR175" s="247">
        <f t="shared" si="42"/>
        <v>0</v>
      </c>
      <c r="AS175" s="194"/>
      <c r="AT175" s="194"/>
      <c r="AU175" s="326"/>
    </row>
    <row r="176" spans="1:47" ht="12" customHeight="1">
      <c r="A176" s="2"/>
      <c r="B176" s="2"/>
      <c r="C176" s="2"/>
      <c r="D176" s="2"/>
      <c r="E176" s="2"/>
      <c r="F176" s="2"/>
      <c r="G176" s="2"/>
      <c r="H176" s="2"/>
      <c r="I176" s="2"/>
      <c r="J176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413" t="s">
        <v>2093</v>
      </c>
      <c r="AG176" s="2"/>
      <c r="AH176" s="2"/>
      <c r="AI176" s="2"/>
      <c r="AJ176" s="2"/>
      <c r="AK176" s="2"/>
      <c r="AL176" s="124"/>
      <c r="AM176" s="562" t="str">
        <f>AM175 &amp; ".P"</f>
        <v>KI.P</v>
      </c>
      <c r="AN176" s="531" t="s">
        <v>842</v>
      </c>
      <c r="AO176" s="420" t="s">
        <v>23</v>
      </c>
      <c r="AP176" s="247">
        <f>IF(AP177=0,0,AP175*1000/AP177)</f>
        <v>0</v>
      </c>
      <c r="AQ176" s="247">
        <f>IF(AQ177=0,0,AQ175*1000/AQ177)</f>
        <v>0</v>
      </c>
      <c r="AR176" s="247">
        <f>IF(AR177=0,0,AR175*1000/AR177)</f>
        <v>0</v>
      </c>
      <c r="AS176" s="194"/>
      <c r="AT176" s="194"/>
      <c r="AU176" s="326"/>
    </row>
    <row r="177" spans="1:47" ht="12" customHeight="1">
      <c r="A177" s="2"/>
      <c r="B177" s="2"/>
      <c r="C177" s="2"/>
      <c r="D177" s="2"/>
      <c r="E177" s="2"/>
      <c r="F177" s="2"/>
      <c r="G177" s="2"/>
      <c r="H177" s="2"/>
      <c r="I177" s="2"/>
      <c r="J177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413" t="s">
        <v>2094</v>
      </c>
      <c r="AG177" s="2"/>
      <c r="AH177" s="2"/>
      <c r="AI177" s="2"/>
      <c r="AJ177" s="2"/>
      <c r="AK177" s="2"/>
      <c r="AL177" s="124"/>
      <c r="AM177" s="562" t="str">
        <f>AM175 &amp; ".V"</f>
        <v>KI.V</v>
      </c>
      <c r="AN177" s="531" t="s">
        <v>245</v>
      </c>
      <c r="AO177" s="420" t="s">
        <v>289</v>
      </c>
      <c r="AP177" s="247">
        <f t="shared" ref="AP177:AR178" si="43">SUMIF($AS$9:$AT$9,AP$9,$AS177:$AT177)</f>
        <v>0</v>
      </c>
      <c r="AQ177" s="247">
        <f t="shared" si="43"/>
        <v>0</v>
      </c>
      <c r="AR177" s="247">
        <f t="shared" si="43"/>
        <v>0</v>
      </c>
      <c r="AS177" s="194"/>
      <c r="AT177" s="194"/>
      <c r="AU177" s="326"/>
    </row>
    <row r="178" spans="1:47" ht="12" customHeight="1">
      <c r="A178" s="2"/>
      <c r="B178" s="2"/>
      <c r="C178" s="2"/>
      <c r="D178" s="2"/>
      <c r="E178" s="2"/>
      <c r="F178" s="2"/>
      <c r="G178" s="2"/>
      <c r="H178" s="2"/>
      <c r="I178" s="2"/>
      <c r="J178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413" t="s">
        <v>2092</v>
      </c>
      <c r="AG178" s="2"/>
      <c r="AH178" s="2"/>
      <c r="AI178" s="2"/>
      <c r="AJ178" s="2"/>
      <c r="AK178" s="2"/>
      <c r="AL178" s="124"/>
      <c r="AM178" s="561" t="s">
        <v>2053</v>
      </c>
      <c r="AN178" s="559" t="s">
        <v>1945</v>
      </c>
      <c r="AO178" s="420" t="s">
        <v>195</v>
      </c>
      <c r="AP178" s="247">
        <f t="shared" si="43"/>
        <v>0</v>
      </c>
      <c r="AQ178" s="247">
        <f t="shared" si="43"/>
        <v>0</v>
      </c>
      <c r="AR178" s="247">
        <f t="shared" si="43"/>
        <v>0</v>
      </c>
      <c r="AS178" s="194"/>
      <c r="AT178" s="194"/>
      <c r="AU178" s="326"/>
    </row>
    <row r="179" spans="1:47" ht="12" customHeight="1">
      <c r="A179" s="2"/>
      <c r="B179" s="2"/>
      <c r="C179" s="2"/>
      <c r="D179" s="2"/>
      <c r="E179" s="2"/>
      <c r="F179" s="2"/>
      <c r="G179" s="2"/>
      <c r="H179" s="2"/>
      <c r="I179" s="2"/>
      <c r="J179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413" t="s">
        <v>2093</v>
      </c>
      <c r="AG179" s="2"/>
      <c r="AH179" s="2"/>
      <c r="AI179" s="2"/>
      <c r="AJ179" s="2"/>
      <c r="AK179" s="2"/>
      <c r="AL179" s="124"/>
      <c r="AM179" s="562" t="str">
        <f>AM178 &amp; ".P"</f>
        <v>KMN.P</v>
      </c>
      <c r="AN179" s="531" t="s">
        <v>842</v>
      </c>
      <c r="AO179" s="420" t="s">
        <v>23</v>
      </c>
      <c r="AP179" s="247">
        <f>IF(AP180=0,0,AP178*1000/AP180)</f>
        <v>0</v>
      </c>
      <c r="AQ179" s="247">
        <f>IF(AQ180=0,0,AQ178*1000/AQ180)</f>
        <v>0</v>
      </c>
      <c r="AR179" s="247">
        <f>IF(AR180=0,0,AR178*1000/AR180)</f>
        <v>0</v>
      </c>
      <c r="AS179" s="194"/>
      <c r="AT179" s="194"/>
      <c r="AU179" s="326"/>
    </row>
    <row r="180" spans="1:47" ht="12" customHeight="1">
      <c r="A180" s="2"/>
      <c r="B180" s="2"/>
      <c r="C180" s="2"/>
      <c r="D180" s="2"/>
      <c r="E180" s="2"/>
      <c r="F180" s="2"/>
      <c r="G180" s="2"/>
      <c r="H180" s="2"/>
      <c r="I180" s="2"/>
      <c r="J180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413" t="s">
        <v>2094</v>
      </c>
      <c r="AG180" s="2"/>
      <c r="AH180" s="2"/>
      <c r="AI180" s="2"/>
      <c r="AJ180" s="2"/>
      <c r="AK180" s="2"/>
      <c r="AL180" s="124"/>
      <c r="AM180" s="562" t="str">
        <f>AM178 &amp; ".V"</f>
        <v>KMN.V</v>
      </c>
      <c r="AN180" s="531" t="s">
        <v>245</v>
      </c>
      <c r="AO180" s="420" t="s">
        <v>289</v>
      </c>
      <c r="AP180" s="247">
        <f t="shared" ref="AP180:AR181" si="44">SUMIF($AS$9:$AT$9,AP$9,$AS180:$AT180)</f>
        <v>0</v>
      </c>
      <c r="AQ180" s="247">
        <f t="shared" si="44"/>
        <v>0</v>
      </c>
      <c r="AR180" s="247">
        <f t="shared" si="44"/>
        <v>0</v>
      </c>
      <c r="AS180" s="194"/>
      <c r="AT180" s="194"/>
      <c r="AU180" s="326"/>
    </row>
    <row r="181" spans="1:47" ht="12" customHeight="1">
      <c r="A181" s="2"/>
      <c r="B181" s="2"/>
      <c r="C181" s="2"/>
      <c r="D181" s="2"/>
      <c r="E181" s="2"/>
      <c r="F181" s="2"/>
      <c r="G181" s="2"/>
      <c r="H181" s="2"/>
      <c r="I181" s="2"/>
      <c r="J181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413" t="s">
        <v>2092</v>
      </c>
      <c r="AG181" s="2"/>
      <c r="AH181" s="2"/>
      <c r="AI181" s="2"/>
      <c r="AJ181" s="2"/>
      <c r="AK181" s="2"/>
      <c r="AL181" s="124"/>
      <c r="AM181" s="561" t="s">
        <v>2054</v>
      </c>
      <c r="AN181" s="559" t="s">
        <v>1946</v>
      </c>
      <c r="AO181" s="420" t="s">
        <v>195</v>
      </c>
      <c r="AP181" s="247">
        <f t="shared" si="44"/>
        <v>0</v>
      </c>
      <c r="AQ181" s="247">
        <f t="shared" si="44"/>
        <v>0</v>
      </c>
      <c r="AR181" s="247">
        <f t="shared" si="44"/>
        <v>0</v>
      </c>
      <c r="AS181" s="194"/>
      <c r="AT181" s="194"/>
      <c r="AU181" s="326"/>
    </row>
    <row r="182" spans="1:47" ht="12" customHeight="1">
      <c r="A182" s="2"/>
      <c r="B182" s="2"/>
      <c r="C182" s="2"/>
      <c r="D182" s="2"/>
      <c r="E182" s="2"/>
      <c r="F182" s="2"/>
      <c r="G182" s="2"/>
      <c r="H182" s="2"/>
      <c r="I182" s="2"/>
      <c r="J18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413" t="s">
        <v>2093</v>
      </c>
      <c r="AG182" s="2"/>
      <c r="AH182" s="2"/>
      <c r="AI182" s="2"/>
      <c r="AJ182" s="2"/>
      <c r="AK182" s="2"/>
      <c r="AL182" s="124"/>
      <c r="AM182" s="562" t="str">
        <f>AM181 &amp; ".P"</f>
        <v>KP.P</v>
      </c>
      <c r="AN182" s="531" t="s">
        <v>842</v>
      </c>
      <c r="AO182" s="420" t="s">
        <v>23</v>
      </c>
      <c r="AP182" s="247">
        <f>IF(AP183=0,0,AP181*1000/AP183)</f>
        <v>0</v>
      </c>
      <c r="AQ182" s="247">
        <f>IF(AQ183=0,0,AQ181*1000/AQ183)</f>
        <v>0</v>
      </c>
      <c r="AR182" s="247">
        <f>IF(AR183=0,0,AR181*1000/AR183)</f>
        <v>0</v>
      </c>
      <c r="AS182" s="194"/>
      <c r="AT182" s="194"/>
      <c r="AU182" s="326"/>
    </row>
    <row r="183" spans="1:47" ht="12" customHeight="1">
      <c r="A183" s="2"/>
      <c r="B183" s="2"/>
      <c r="C183" s="2"/>
      <c r="D183" s="2"/>
      <c r="E183" s="2"/>
      <c r="F183" s="2"/>
      <c r="G183" s="2"/>
      <c r="H183" s="2"/>
      <c r="I183" s="2"/>
      <c r="J183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413" t="s">
        <v>2094</v>
      </c>
      <c r="AG183" s="2"/>
      <c r="AH183" s="2"/>
      <c r="AI183" s="2"/>
      <c r="AJ183" s="2"/>
      <c r="AK183" s="2"/>
      <c r="AL183" s="124"/>
      <c r="AM183" s="562" t="str">
        <f>AM181 &amp; ".V"</f>
        <v>KP.V</v>
      </c>
      <c r="AN183" s="531" t="s">
        <v>245</v>
      </c>
      <c r="AO183" s="420" t="s">
        <v>289</v>
      </c>
      <c r="AP183" s="247">
        <f t="shared" ref="AP183:AR184" si="45">SUMIF($AS$9:$AT$9,AP$9,$AS183:$AT183)</f>
        <v>0</v>
      </c>
      <c r="AQ183" s="247">
        <f t="shared" si="45"/>
        <v>0</v>
      </c>
      <c r="AR183" s="247">
        <f t="shared" si="45"/>
        <v>0</v>
      </c>
      <c r="AS183" s="194"/>
      <c r="AT183" s="194"/>
      <c r="AU183" s="326"/>
    </row>
    <row r="184" spans="1:47" ht="12" customHeight="1">
      <c r="A184" s="2"/>
      <c r="B184" s="2"/>
      <c r="C184" s="2"/>
      <c r="D184" s="2"/>
      <c r="E184" s="2"/>
      <c r="F184" s="2"/>
      <c r="G184" s="2"/>
      <c r="H184" s="2"/>
      <c r="I184" s="2"/>
      <c r="J184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413" t="s">
        <v>2092</v>
      </c>
      <c r="AG184" s="2"/>
      <c r="AH184" s="2"/>
      <c r="AI184" s="2"/>
      <c r="AJ184" s="2"/>
      <c r="AK184" s="2"/>
      <c r="AL184" s="124"/>
      <c r="AM184" s="561" t="s">
        <v>2055</v>
      </c>
      <c r="AN184" s="559" t="s">
        <v>1947</v>
      </c>
      <c r="AO184" s="420" t="s">
        <v>195</v>
      </c>
      <c r="AP184" s="247">
        <f t="shared" si="45"/>
        <v>0</v>
      </c>
      <c r="AQ184" s="247">
        <f t="shared" si="45"/>
        <v>0</v>
      </c>
      <c r="AR184" s="247">
        <f t="shared" si="45"/>
        <v>0</v>
      </c>
      <c r="AS184" s="194"/>
      <c r="AT184" s="194"/>
      <c r="AU184" s="326"/>
    </row>
    <row r="185" spans="1:47" ht="12" customHeight="1">
      <c r="A185" s="2"/>
      <c r="B185" s="2"/>
      <c r="C185" s="2"/>
      <c r="D185" s="2"/>
      <c r="E185" s="2"/>
      <c r="F185" s="2"/>
      <c r="G185" s="2"/>
      <c r="H185" s="2"/>
      <c r="I185" s="2"/>
      <c r="J18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413" t="s">
        <v>2093</v>
      </c>
      <c r="AG185" s="2"/>
      <c r="AH185" s="2"/>
      <c r="AI185" s="2"/>
      <c r="AJ185" s="2"/>
      <c r="AK185" s="2"/>
      <c r="AL185" s="124"/>
      <c r="AM185" s="562" t="str">
        <f>AM184 &amp; ".P"</f>
        <v>HCL.P</v>
      </c>
      <c r="AN185" s="531" t="s">
        <v>842</v>
      </c>
      <c r="AO185" s="420" t="s">
        <v>23</v>
      </c>
      <c r="AP185" s="247">
        <f>IF(AP186=0,0,AP184*1000/AP186)</f>
        <v>0</v>
      </c>
      <c r="AQ185" s="247">
        <f>IF(AQ186=0,0,AQ184*1000/AQ186)</f>
        <v>0</v>
      </c>
      <c r="AR185" s="247">
        <f>IF(AR186=0,0,AR184*1000/AR186)</f>
        <v>0</v>
      </c>
      <c r="AS185" s="194"/>
      <c r="AT185" s="194"/>
      <c r="AU185" s="326"/>
    </row>
    <row r="186" spans="1:47" ht="12" customHeight="1">
      <c r="A186" s="2"/>
      <c r="B186" s="2"/>
      <c r="C186" s="2"/>
      <c r="D186" s="2"/>
      <c r="E186" s="2"/>
      <c r="F186" s="2"/>
      <c r="G186" s="2"/>
      <c r="H186" s="2"/>
      <c r="I186" s="2"/>
      <c r="J186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413" t="s">
        <v>2094</v>
      </c>
      <c r="AG186" s="2"/>
      <c r="AH186" s="2"/>
      <c r="AI186" s="2"/>
      <c r="AJ186" s="2"/>
      <c r="AK186" s="2"/>
      <c r="AL186" s="124"/>
      <c r="AM186" s="562" t="str">
        <f>AM184 &amp; ".V"</f>
        <v>HCL.V</v>
      </c>
      <c r="AN186" s="531" t="s">
        <v>245</v>
      </c>
      <c r="AO186" s="420" t="s">
        <v>289</v>
      </c>
      <c r="AP186" s="247">
        <f t="shared" ref="AP186:AR187" si="46">SUMIF($AS$9:$AT$9,AP$9,$AS186:$AT186)</f>
        <v>0</v>
      </c>
      <c r="AQ186" s="247">
        <f t="shared" si="46"/>
        <v>0</v>
      </c>
      <c r="AR186" s="247">
        <f t="shared" si="46"/>
        <v>0</v>
      </c>
      <c r="AS186" s="194"/>
      <c r="AT186" s="194"/>
      <c r="AU186" s="326"/>
    </row>
    <row r="187" spans="1:47" ht="12" customHeight="1">
      <c r="A187" s="2"/>
      <c r="B187" s="2"/>
      <c r="C187" s="2"/>
      <c r="D187" s="2"/>
      <c r="E187" s="2"/>
      <c r="F187" s="2"/>
      <c r="G187" s="2"/>
      <c r="H187" s="2"/>
      <c r="I187" s="2"/>
      <c r="J187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413" t="s">
        <v>2092</v>
      </c>
      <c r="AG187" s="2"/>
      <c r="AH187" s="2"/>
      <c r="AI187" s="2"/>
      <c r="AJ187" s="2"/>
      <c r="AK187" s="2"/>
      <c r="AL187" s="124"/>
      <c r="AM187" s="561" t="s">
        <v>2056</v>
      </c>
      <c r="AN187" s="559" t="s">
        <v>1948</v>
      </c>
      <c r="AO187" s="420" t="s">
        <v>195</v>
      </c>
      <c r="AP187" s="247">
        <f t="shared" si="46"/>
        <v>0</v>
      </c>
      <c r="AQ187" s="247">
        <f t="shared" si="46"/>
        <v>0</v>
      </c>
      <c r="AR187" s="247">
        <f t="shared" si="46"/>
        <v>0</v>
      </c>
      <c r="AS187" s="194"/>
      <c r="AT187" s="194"/>
      <c r="AU187" s="326"/>
    </row>
    <row r="188" spans="1:47" ht="12" customHeight="1">
      <c r="A188" s="2"/>
      <c r="B188" s="2"/>
      <c r="C188" s="2"/>
      <c r="D188" s="2"/>
      <c r="E188" s="2"/>
      <c r="F188" s="2"/>
      <c r="G188" s="2"/>
      <c r="H188" s="2"/>
      <c r="I188" s="2"/>
      <c r="J188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413" t="s">
        <v>2093</v>
      </c>
      <c r="AG188" s="2"/>
      <c r="AH188" s="2"/>
      <c r="AI188" s="2"/>
      <c r="AJ188" s="2"/>
      <c r="AK188" s="2"/>
      <c r="AL188" s="124"/>
      <c r="AM188" s="562" t="str">
        <f>AM187 &amp; ".P"</f>
        <v>KNA.P</v>
      </c>
      <c r="AN188" s="531" t="s">
        <v>842</v>
      </c>
      <c r="AO188" s="420" t="s">
        <v>23</v>
      </c>
      <c r="AP188" s="247">
        <f>IF(AP189=0,0,AP187*1000/AP189)</f>
        <v>0</v>
      </c>
      <c r="AQ188" s="247">
        <f>IF(AQ189=0,0,AQ187*1000/AQ189)</f>
        <v>0</v>
      </c>
      <c r="AR188" s="247">
        <f>IF(AR189=0,0,AR187*1000/AR189)</f>
        <v>0</v>
      </c>
      <c r="AS188" s="194"/>
      <c r="AT188" s="194"/>
      <c r="AU188" s="326"/>
    </row>
    <row r="189" spans="1:47" ht="12" customHeight="1">
      <c r="A189" s="2"/>
      <c r="B189" s="2"/>
      <c r="C189" s="2"/>
      <c r="D189" s="2"/>
      <c r="E189" s="2"/>
      <c r="F189" s="2"/>
      <c r="G189" s="2"/>
      <c r="H189" s="2"/>
      <c r="I189" s="2"/>
      <c r="J189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413" t="s">
        <v>2094</v>
      </c>
      <c r="AG189" s="2"/>
      <c r="AH189" s="2"/>
      <c r="AI189" s="2"/>
      <c r="AJ189" s="2"/>
      <c r="AK189" s="2"/>
      <c r="AL189" s="124"/>
      <c r="AM189" s="562" t="str">
        <f>AM187 &amp; ".V"</f>
        <v>KNA.V</v>
      </c>
      <c r="AN189" s="531" t="s">
        <v>245</v>
      </c>
      <c r="AO189" s="420" t="s">
        <v>289</v>
      </c>
      <c r="AP189" s="247">
        <f t="shared" ref="AP189:AR190" si="47">SUMIF($AS$9:$AT$9,AP$9,$AS189:$AT189)</f>
        <v>0</v>
      </c>
      <c r="AQ189" s="247">
        <f t="shared" si="47"/>
        <v>0</v>
      </c>
      <c r="AR189" s="247">
        <f t="shared" si="47"/>
        <v>0</v>
      </c>
      <c r="AS189" s="194"/>
      <c r="AT189" s="194"/>
      <c r="AU189" s="326"/>
    </row>
    <row r="190" spans="1:47" ht="12" customHeight="1">
      <c r="A190" s="2"/>
      <c r="B190" s="2"/>
      <c r="C190" s="2"/>
      <c r="D190" s="2"/>
      <c r="E190" s="2"/>
      <c r="F190" s="2"/>
      <c r="G190" s="2"/>
      <c r="H190" s="2"/>
      <c r="I190" s="2"/>
      <c r="J190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413" t="s">
        <v>2092</v>
      </c>
      <c r="AG190" s="2"/>
      <c r="AH190" s="2"/>
      <c r="AI190" s="2"/>
      <c r="AJ190" s="2"/>
      <c r="AK190" s="2"/>
      <c r="AL190" s="124"/>
      <c r="AM190" s="561" t="s">
        <v>2057</v>
      </c>
      <c r="AN190" s="559" t="s">
        <v>1949</v>
      </c>
      <c r="AO190" s="420" t="s">
        <v>195</v>
      </c>
      <c r="AP190" s="247">
        <f t="shared" si="47"/>
        <v>0</v>
      </c>
      <c r="AQ190" s="247">
        <f t="shared" si="47"/>
        <v>0</v>
      </c>
      <c r="AR190" s="247">
        <f t="shared" si="47"/>
        <v>0</v>
      </c>
      <c r="AS190" s="194"/>
      <c r="AT190" s="194"/>
      <c r="AU190" s="326"/>
    </row>
    <row r="191" spans="1:47" ht="12" customHeight="1">
      <c r="A191" s="2"/>
      <c r="B191" s="2"/>
      <c r="C191" s="2"/>
      <c r="D191" s="2"/>
      <c r="E191" s="2"/>
      <c r="F191" s="2"/>
      <c r="G191" s="2"/>
      <c r="H191" s="2"/>
      <c r="I191" s="2"/>
      <c r="J191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413" t="s">
        <v>2093</v>
      </c>
      <c r="AG191" s="2"/>
      <c r="AH191" s="2"/>
      <c r="AI191" s="2"/>
      <c r="AJ191" s="2"/>
      <c r="AK191" s="2"/>
      <c r="AL191" s="124"/>
      <c r="AM191" s="562" t="str">
        <f>AM190 &amp; ".P"</f>
        <v>CAC.P</v>
      </c>
      <c r="AN191" s="531" t="s">
        <v>842</v>
      </c>
      <c r="AO191" s="420" t="s">
        <v>23</v>
      </c>
      <c r="AP191" s="247">
        <f>IF(AP192=0,0,AP190*1000/AP192)</f>
        <v>0</v>
      </c>
      <c r="AQ191" s="247">
        <f>IF(AQ192=0,0,AQ190*1000/AQ192)</f>
        <v>0</v>
      </c>
      <c r="AR191" s="247">
        <f>IF(AR192=0,0,AR190*1000/AR192)</f>
        <v>0</v>
      </c>
      <c r="AS191" s="194"/>
      <c r="AT191" s="194"/>
      <c r="AU191" s="326"/>
    </row>
    <row r="192" spans="1:47" ht="12" customHeight="1">
      <c r="A192" s="2"/>
      <c r="B192" s="2"/>
      <c r="C192" s="2"/>
      <c r="D192" s="2"/>
      <c r="E192" s="2"/>
      <c r="F192" s="2"/>
      <c r="G192" s="2"/>
      <c r="H192" s="2"/>
      <c r="I192" s="2"/>
      <c r="J19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413" t="s">
        <v>2094</v>
      </c>
      <c r="AG192" s="2"/>
      <c r="AH192" s="2"/>
      <c r="AI192" s="2"/>
      <c r="AJ192" s="2"/>
      <c r="AK192" s="2"/>
      <c r="AL192" s="124"/>
      <c r="AM192" s="562" t="str">
        <f>AM190 &amp; ".V"</f>
        <v>CAC.V</v>
      </c>
      <c r="AN192" s="531" t="s">
        <v>245</v>
      </c>
      <c r="AO192" s="420" t="s">
        <v>289</v>
      </c>
      <c r="AP192" s="247">
        <f t="shared" ref="AP192:AR193" si="48">SUMIF($AS$9:$AT$9,AP$9,$AS192:$AT192)</f>
        <v>0</v>
      </c>
      <c r="AQ192" s="247">
        <f t="shared" si="48"/>
        <v>0</v>
      </c>
      <c r="AR192" s="247">
        <f t="shared" si="48"/>
        <v>0</v>
      </c>
      <c r="AS192" s="194"/>
      <c r="AT192" s="194"/>
      <c r="AU192" s="326"/>
    </row>
    <row r="193" spans="1:47" ht="12" customHeight="1">
      <c r="A193" s="2"/>
      <c r="B193" s="2"/>
      <c r="C193" s="2"/>
      <c r="D193" s="2"/>
      <c r="E193" s="2"/>
      <c r="F193" s="2"/>
      <c r="G193" s="2"/>
      <c r="H193" s="2"/>
      <c r="I193" s="2"/>
      <c r="J193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413" t="s">
        <v>2092</v>
      </c>
      <c r="AG193" s="2"/>
      <c r="AH193" s="2"/>
      <c r="AI193" s="2"/>
      <c r="AJ193" s="2"/>
      <c r="AK193" s="2"/>
      <c r="AL193" s="124"/>
      <c r="AM193" s="561" t="s">
        <v>2058</v>
      </c>
      <c r="AN193" s="559" t="s">
        <v>1950</v>
      </c>
      <c r="AO193" s="420" t="s">
        <v>195</v>
      </c>
      <c r="AP193" s="247">
        <f t="shared" si="48"/>
        <v>0</v>
      </c>
      <c r="AQ193" s="247">
        <f t="shared" si="48"/>
        <v>0</v>
      </c>
      <c r="AR193" s="247">
        <f t="shared" si="48"/>
        <v>0</v>
      </c>
      <c r="AS193" s="194"/>
      <c r="AT193" s="194"/>
      <c r="AU193" s="326"/>
    </row>
    <row r="194" spans="1:47" ht="12" customHeight="1">
      <c r="A194" s="2"/>
      <c r="B194" s="2"/>
      <c r="C194" s="2"/>
      <c r="D194" s="2"/>
      <c r="E194" s="2"/>
      <c r="F194" s="2"/>
      <c r="G194" s="2"/>
      <c r="H194" s="2"/>
      <c r="I194" s="2"/>
      <c r="J194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413" t="s">
        <v>2093</v>
      </c>
      <c r="AG194" s="2"/>
      <c r="AH194" s="2"/>
      <c r="AI194" s="2"/>
      <c r="AJ194" s="2"/>
      <c r="AK194" s="2"/>
      <c r="AL194" s="124"/>
      <c r="AM194" s="562" t="str">
        <f>AM193 &amp; ".P"</f>
        <v>CACL.P</v>
      </c>
      <c r="AN194" s="531" t="s">
        <v>842</v>
      </c>
      <c r="AO194" s="420" t="s">
        <v>23</v>
      </c>
      <c r="AP194" s="247">
        <f>IF(AP195=0,0,AP193*1000/AP195)</f>
        <v>0</v>
      </c>
      <c r="AQ194" s="247">
        <f>IF(AQ195=0,0,AQ193*1000/AQ195)</f>
        <v>0</v>
      </c>
      <c r="AR194" s="247">
        <f>IF(AR195=0,0,AR193*1000/AR195)</f>
        <v>0</v>
      </c>
      <c r="AS194" s="194"/>
      <c r="AT194" s="194"/>
      <c r="AU194" s="326"/>
    </row>
    <row r="195" spans="1:47" ht="12" customHeight="1">
      <c r="A195" s="2"/>
      <c r="B195" s="2"/>
      <c r="C195" s="2"/>
      <c r="D195" s="2"/>
      <c r="E195" s="2"/>
      <c r="F195" s="2"/>
      <c r="G195" s="2"/>
      <c r="H195" s="2"/>
      <c r="I195" s="2"/>
      <c r="J19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413" t="s">
        <v>2094</v>
      </c>
      <c r="AG195" s="2"/>
      <c r="AH195" s="2"/>
      <c r="AI195" s="2"/>
      <c r="AJ195" s="2"/>
      <c r="AK195" s="2"/>
      <c r="AL195" s="124"/>
      <c r="AM195" s="562" t="str">
        <f>AM193 &amp; ".V"</f>
        <v>CACL.V</v>
      </c>
      <c r="AN195" s="531" t="s">
        <v>245</v>
      </c>
      <c r="AO195" s="420" t="s">
        <v>289</v>
      </c>
      <c r="AP195" s="247">
        <f t="shared" ref="AP195:AR196" si="49">SUMIF($AS$9:$AT$9,AP$9,$AS195:$AT195)</f>
        <v>0</v>
      </c>
      <c r="AQ195" s="247">
        <f t="shared" si="49"/>
        <v>0</v>
      </c>
      <c r="AR195" s="247">
        <f t="shared" si="49"/>
        <v>0</v>
      </c>
      <c r="AS195" s="194"/>
      <c r="AT195" s="194"/>
      <c r="AU195" s="326"/>
    </row>
    <row r="196" spans="1:47" ht="12" customHeight="1">
      <c r="A196" s="2"/>
      <c r="B196" s="2"/>
      <c r="C196" s="2"/>
      <c r="D196" s="2"/>
      <c r="E196" s="2"/>
      <c r="F196" s="2"/>
      <c r="G196" s="2"/>
      <c r="H196" s="2"/>
      <c r="I196" s="2"/>
      <c r="J196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413" t="s">
        <v>2092</v>
      </c>
      <c r="AG196" s="2"/>
      <c r="AH196" s="2"/>
      <c r="AI196" s="2"/>
      <c r="AJ196" s="2"/>
      <c r="AK196" s="2"/>
      <c r="AL196" s="124"/>
      <c r="AM196" s="561" t="s">
        <v>2059</v>
      </c>
      <c r="AN196" s="559" t="s">
        <v>1951</v>
      </c>
      <c r="AO196" s="420" t="s">
        <v>195</v>
      </c>
      <c r="AP196" s="247">
        <f t="shared" si="49"/>
        <v>0</v>
      </c>
      <c r="AQ196" s="247">
        <f t="shared" si="49"/>
        <v>0</v>
      </c>
      <c r="AR196" s="247">
        <f t="shared" si="49"/>
        <v>0</v>
      </c>
      <c r="AS196" s="194"/>
      <c r="AT196" s="194"/>
      <c r="AU196" s="326"/>
    </row>
    <row r="197" spans="1:47" ht="12" customHeight="1">
      <c r="A197" s="2"/>
      <c r="B197" s="2"/>
      <c r="C197" s="2"/>
      <c r="D197" s="2"/>
      <c r="E197" s="2"/>
      <c r="F197" s="2"/>
      <c r="G197" s="2"/>
      <c r="H197" s="2"/>
      <c r="I197" s="2"/>
      <c r="J197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413" t="s">
        <v>2093</v>
      </c>
      <c r="AG197" s="2"/>
      <c r="AH197" s="2"/>
      <c r="AI197" s="2"/>
      <c r="AJ197" s="2"/>
      <c r="AK197" s="2"/>
      <c r="AL197" s="124"/>
      <c r="AM197" s="562" t="str">
        <f>AM196 &amp; ".P"</f>
        <v>CAHPCL.P</v>
      </c>
      <c r="AN197" s="531" t="s">
        <v>842</v>
      </c>
      <c r="AO197" s="420" t="s">
        <v>23</v>
      </c>
      <c r="AP197" s="247">
        <f>IF(AP198=0,0,AP196*1000/AP198)</f>
        <v>0</v>
      </c>
      <c r="AQ197" s="247">
        <f>IF(AQ198=0,0,AQ196*1000/AQ198)</f>
        <v>0</v>
      </c>
      <c r="AR197" s="247">
        <f>IF(AR198=0,0,AR196*1000/AR198)</f>
        <v>0</v>
      </c>
      <c r="AS197" s="194"/>
      <c r="AT197" s="194"/>
      <c r="AU197" s="326"/>
    </row>
    <row r="198" spans="1:47" ht="12" customHeight="1">
      <c r="A198" s="2"/>
      <c r="B198" s="2"/>
      <c r="C198" s="2"/>
      <c r="D198" s="2"/>
      <c r="E198" s="2"/>
      <c r="F198" s="2"/>
      <c r="G198" s="2"/>
      <c r="H198" s="2"/>
      <c r="I198" s="2"/>
      <c r="J198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413" t="s">
        <v>2094</v>
      </c>
      <c r="AG198" s="2"/>
      <c r="AH198" s="2"/>
      <c r="AI198" s="2"/>
      <c r="AJ198" s="2"/>
      <c r="AK198" s="2"/>
      <c r="AL198" s="124"/>
      <c r="AM198" s="562" t="str">
        <f>AM196 &amp; ".V"</f>
        <v>CAHPCL.V</v>
      </c>
      <c r="AN198" s="531" t="s">
        <v>245</v>
      </c>
      <c r="AO198" s="420" t="s">
        <v>289</v>
      </c>
      <c r="AP198" s="247">
        <f t="shared" ref="AP198:AR199" si="50">SUMIF($AS$9:$AT$9,AP$9,$AS198:$AT198)</f>
        <v>0</v>
      </c>
      <c r="AQ198" s="247">
        <f t="shared" si="50"/>
        <v>0</v>
      </c>
      <c r="AR198" s="247">
        <f t="shared" si="50"/>
        <v>0</v>
      </c>
      <c r="AS198" s="194"/>
      <c r="AT198" s="194"/>
      <c r="AU198" s="326"/>
    </row>
    <row r="199" spans="1:47" ht="12" customHeight="1">
      <c r="A199" s="2"/>
      <c r="B199" s="2"/>
      <c r="C199" s="2"/>
      <c r="D199" s="2"/>
      <c r="E199" s="2"/>
      <c r="F199" s="2"/>
      <c r="G199" s="2"/>
      <c r="H199" s="2"/>
      <c r="I199" s="2"/>
      <c r="J199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413" t="s">
        <v>2092</v>
      </c>
      <c r="AG199" s="2"/>
      <c r="AH199" s="2"/>
      <c r="AI199" s="2"/>
      <c r="AJ199" s="2"/>
      <c r="AK199" s="2"/>
      <c r="AL199" s="124"/>
      <c r="AM199" s="561" t="s">
        <v>2060</v>
      </c>
      <c r="AN199" s="559" t="s">
        <v>1952</v>
      </c>
      <c r="AO199" s="420" t="s">
        <v>195</v>
      </c>
      <c r="AP199" s="247">
        <f t="shared" si="50"/>
        <v>0</v>
      </c>
      <c r="AQ199" s="247">
        <f t="shared" si="50"/>
        <v>0</v>
      </c>
      <c r="AR199" s="247">
        <f t="shared" si="50"/>
        <v>0</v>
      </c>
      <c r="AS199" s="194"/>
      <c r="AT199" s="194"/>
      <c r="AU199" s="326"/>
    </row>
    <row r="200" spans="1:47" ht="12" customHeight="1">
      <c r="A200" s="2"/>
      <c r="B200" s="2"/>
      <c r="C200" s="2"/>
      <c r="D200" s="2"/>
      <c r="E200" s="2"/>
      <c r="F200" s="2"/>
      <c r="G200" s="2"/>
      <c r="H200" s="2"/>
      <c r="I200" s="2"/>
      <c r="J200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413" t="s">
        <v>2093</v>
      </c>
      <c r="AG200" s="2"/>
      <c r="AH200" s="2"/>
      <c r="AI200" s="2"/>
      <c r="AJ200" s="2"/>
      <c r="AK200" s="2"/>
      <c r="AL200" s="124"/>
      <c r="AM200" s="562" t="str">
        <f>AM199 &amp; ".P"</f>
        <v>SAND.P</v>
      </c>
      <c r="AN200" s="531" t="s">
        <v>842</v>
      </c>
      <c r="AO200" s="420" t="s">
        <v>23</v>
      </c>
      <c r="AP200" s="247">
        <f>IF(AP201=0,0,AP199*1000/AP201)</f>
        <v>0</v>
      </c>
      <c r="AQ200" s="247">
        <f>IF(AQ201=0,0,AQ199*1000/AQ201)</f>
        <v>0</v>
      </c>
      <c r="AR200" s="247">
        <f>IF(AR201=0,0,AR199*1000/AR201)</f>
        <v>0</v>
      </c>
      <c r="AS200" s="194"/>
      <c r="AT200" s="194"/>
      <c r="AU200" s="326"/>
    </row>
    <row r="201" spans="1:47" ht="12" customHeight="1">
      <c r="A201" s="2"/>
      <c r="B201" s="2"/>
      <c r="C201" s="2"/>
      <c r="D201" s="2"/>
      <c r="E201" s="2"/>
      <c r="F201" s="2"/>
      <c r="G201" s="2"/>
      <c r="H201" s="2"/>
      <c r="I201" s="2"/>
      <c r="J201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413" t="s">
        <v>2094</v>
      </c>
      <c r="AG201" s="2"/>
      <c r="AH201" s="2"/>
      <c r="AI201" s="2"/>
      <c r="AJ201" s="2"/>
      <c r="AK201" s="2"/>
      <c r="AL201" s="124"/>
      <c r="AM201" s="562" t="str">
        <f>AM199 &amp; ".V"</f>
        <v>SAND.V</v>
      </c>
      <c r="AN201" s="531" t="s">
        <v>245</v>
      </c>
      <c r="AO201" s="420" t="s">
        <v>289</v>
      </c>
      <c r="AP201" s="247">
        <f t="shared" ref="AP201:AR202" si="51">SUMIF($AS$9:$AT$9,AP$9,$AS201:$AT201)</f>
        <v>0</v>
      </c>
      <c r="AQ201" s="247">
        <f t="shared" si="51"/>
        <v>0</v>
      </c>
      <c r="AR201" s="247">
        <f t="shared" si="51"/>
        <v>0</v>
      </c>
      <c r="AS201" s="194"/>
      <c r="AT201" s="194"/>
      <c r="AU201" s="326"/>
    </row>
    <row r="202" spans="1:47" ht="12" customHeight="1">
      <c r="A202" s="2"/>
      <c r="B202" s="2"/>
      <c r="C202" s="2"/>
      <c r="D202" s="2"/>
      <c r="E202" s="2"/>
      <c r="F202" s="2"/>
      <c r="G202" s="2"/>
      <c r="H202" s="2"/>
      <c r="I202" s="2"/>
      <c r="J20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413" t="s">
        <v>2092</v>
      </c>
      <c r="AG202" s="2"/>
      <c r="AH202" s="2"/>
      <c r="AI202" s="2"/>
      <c r="AJ202" s="2"/>
      <c r="AK202" s="2"/>
      <c r="AL202" s="124"/>
      <c r="AM202" s="561" t="s">
        <v>2061</v>
      </c>
      <c r="AN202" s="559" t="s">
        <v>1953</v>
      </c>
      <c r="AO202" s="420" t="s">
        <v>195</v>
      </c>
      <c r="AP202" s="247">
        <f t="shared" si="51"/>
        <v>0</v>
      </c>
      <c r="AQ202" s="247">
        <f t="shared" si="51"/>
        <v>0</v>
      </c>
      <c r="AR202" s="247">
        <f t="shared" si="51"/>
        <v>0</v>
      </c>
      <c r="AS202" s="194"/>
      <c r="AT202" s="194"/>
      <c r="AU202" s="326"/>
    </row>
    <row r="203" spans="1:47" ht="12" customHeight="1">
      <c r="A203" s="2"/>
      <c r="B203" s="2"/>
      <c r="C203" s="2"/>
      <c r="D203" s="2"/>
      <c r="E203" s="2"/>
      <c r="F203" s="2"/>
      <c r="G203" s="2"/>
      <c r="H203" s="2"/>
      <c r="I203" s="2"/>
      <c r="J203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413" t="s">
        <v>2093</v>
      </c>
      <c r="AG203" s="2"/>
      <c r="AH203" s="2"/>
      <c r="AI203" s="2"/>
      <c r="AJ203" s="2"/>
      <c r="AK203" s="2"/>
      <c r="AL203" s="124"/>
      <c r="AM203" s="562" t="str">
        <f>AM202 &amp; ".P"</f>
        <v>ACIDN.P</v>
      </c>
      <c r="AN203" s="531" t="s">
        <v>842</v>
      </c>
      <c r="AO203" s="420" t="s">
        <v>23</v>
      </c>
      <c r="AP203" s="247">
        <f>IF(AP204=0,0,AP202*1000/AP204)</f>
        <v>0</v>
      </c>
      <c r="AQ203" s="247">
        <f>IF(AQ204=0,0,AQ202*1000/AQ204)</f>
        <v>0</v>
      </c>
      <c r="AR203" s="247">
        <f>IF(AR204=0,0,AR202*1000/AR204)</f>
        <v>0</v>
      </c>
      <c r="AS203" s="194"/>
      <c r="AT203" s="194"/>
      <c r="AU203" s="326"/>
    </row>
    <row r="204" spans="1:47" ht="12" customHeight="1">
      <c r="A204" s="2"/>
      <c r="B204" s="2"/>
      <c r="C204" s="2"/>
      <c r="D204" s="2"/>
      <c r="E204" s="2"/>
      <c r="F204" s="2"/>
      <c r="G204" s="2"/>
      <c r="H204" s="2"/>
      <c r="I204" s="2"/>
      <c r="J204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413" t="s">
        <v>2094</v>
      </c>
      <c r="AG204" s="2"/>
      <c r="AH204" s="2"/>
      <c r="AI204" s="2"/>
      <c r="AJ204" s="2"/>
      <c r="AK204" s="2"/>
      <c r="AL204" s="124"/>
      <c r="AM204" s="562" t="str">
        <f>AM202 &amp; ".V"</f>
        <v>ACIDN.V</v>
      </c>
      <c r="AN204" s="531" t="s">
        <v>245</v>
      </c>
      <c r="AO204" s="420" t="s">
        <v>289</v>
      </c>
      <c r="AP204" s="247">
        <f t="shared" ref="AP204:AR205" si="52">SUMIF($AS$9:$AT$9,AP$9,$AS204:$AT204)</f>
        <v>0</v>
      </c>
      <c r="AQ204" s="247">
        <f t="shared" si="52"/>
        <v>0</v>
      </c>
      <c r="AR204" s="247">
        <f t="shared" si="52"/>
        <v>0</v>
      </c>
      <c r="AS204" s="194"/>
      <c r="AT204" s="194"/>
      <c r="AU204" s="326"/>
    </row>
    <row r="205" spans="1:47" ht="12" customHeight="1">
      <c r="A205" s="2"/>
      <c r="B205" s="2"/>
      <c r="C205" s="2"/>
      <c r="D205" s="2"/>
      <c r="E205" s="2"/>
      <c r="F205" s="2"/>
      <c r="G205" s="2"/>
      <c r="H205" s="2"/>
      <c r="I205" s="2"/>
      <c r="J20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413" t="s">
        <v>2092</v>
      </c>
      <c r="AG205" s="2"/>
      <c r="AH205" s="2"/>
      <c r="AI205" s="2"/>
      <c r="AJ205" s="2"/>
      <c r="AK205" s="2"/>
      <c r="AL205" s="124"/>
      <c r="AM205" s="561" t="s">
        <v>2062</v>
      </c>
      <c r="AN205" s="559" t="s">
        <v>1954</v>
      </c>
      <c r="AO205" s="420" t="s">
        <v>195</v>
      </c>
      <c r="AP205" s="247">
        <f t="shared" si="52"/>
        <v>0</v>
      </c>
      <c r="AQ205" s="247">
        <f t="shared" si="52"/>
        <v>0</v>
      </c>
      <c r="AR205" s="247">
        <f t="shared" si="52"/>
        <v>0</v>
      </c>
      <c r="AS205" s="194"/>
      <c r="AT205" s="194"/>
      <c r="AU205" s="326"/>
    </row>
    <row r="206" spans="1:47" ht="12" customHeight="1">
      <c r="A206" s="2"/>
      <c r="B206" s="2"/>
      <c r="C206" s="2"/>
      <c r="D206" s="2"/>
      <c r="E206" s="2"/>
      <c r="F206" s="2"/>
      <c r="G206" s="2"/>
      <c r="H206" s="2"/>
      <c r="I206" s="2"/>
      <c r="J206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413" t="s">
        <v>2093</v>
      </c>
      <c r="AG206" s="2"/>
      <c r="AH206" s="2"/>
      <c r="AI206" s="2"/>
      <c r="AJ206" s="2"/>
      <c r="AK206" s="2"/>
      <c r="AL206" s="124"/>
      <c r="AM206" s="562" t="str">
        <f>AM205 &amp; ".P"</f>
        <v>ACIDA.P</v>
      </c>
      <c r="AN206" s="531" t="s">
        <v>842</v>
      </c>
      <c r="AO206" s="420" t="s">
        <v>23</v>
      </c>
      <c r="AP206" s="247">
        <f>IF(AP207=0,0,AP205*1000/AP207)</f>
        <v>0</v>
      </c>
      <c r="AQ206" s="247">
        <f>IF(AQ207=0,0,AQ205*1000/AQ207)</f>
        <v>0</v>
      </c>
      <c r="AR206" s="247">
        <f>IF(AR207=0,0,AR205*1000/AR207)</f>
        <v>0</v>
      </c>
      <c r="AS206" s="194"/>
      <c r="AT206" s="194"/>
      <c r="AU206" s="326"/>
    </row>
    <row r="207" spans="1:47" ht="12" customHeight="1">
      <c r="A207" s="2"/>
      <c r="B207" s="2"/>
      <c r="C207" s="2"/>
      <c r="D207" s="2"/>
      <c r="E207" s="2"/>
      <c r="F207" s="2"/>
      <c r="G207" s="2"/>
      <c r="H207" s="2"/>
      <c r="I207" s="2"/>
      <c r="J207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413" t="s">
        <v>2094</v>
      </c>
      <c r="AG207" s="2"/>
      <c r="AH207" s="2"/>
      <c r="AI207" s="2"/>
      <c r="AJ207" s="2"/>
      <c r="AK207" s="2"/>
      <c r="AL207" s="124"/>
      <c r="AM207" s="562" t="str">
        <f>AM205 &amp; ".V"</f>
        <v>ACIDA.V</v>
      </c>
      <c r="AN207" s="531" t="s">
        <v>245</v>
      </c>
      <c r="AO207" s="420" t="s">
        <v>289</v>
      </c>
      <c r="AP207" s="247">
        <f t="shared" ref="AP207:AR208" si="53">SUMIF($AS$9:$AT$9,AP$9,$AS207:$AT207)</f>
        <v>0</v>
      </c>
      <c r="AQ207" s="247">
        <f t="shared" si="53"/>
        <v>0</v>
      </c>
      <c r="AR207" s="247">
        <f t="shared" si="53"/>
        <v>0</v>
      </c>
      <c r="AS207" s="194"/>
      <c r="AT207" s="194"/>
      <c r="AU207" s="326"/>
    </row>
    <row r="208" spans="1:47" ht="12" customHeight="1">
      <c r="A208" s="2"/>
      <c r="B208" s="2"/>
      <c r="C208" s="2"/>
      <c r="D208" s="2"/>
      <c r="E208" s="2"/>
      <c r="F208" s="2"/>
      <c r="G208" s="2"/>
      <c r="H208" s="2"/>
      <c r="I208" s="2"/>
      <c r="J208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413" t="s">
        <v>2092</v>
      </c>
      <c r="AG208" s="2"/>
      <c r="AH208" s="2"/>
      <c r="AI208" s="2"/>
      <c r="AJ208" s="2"/>
      <c r="AK208" s="2"/>
      <c r="AL208" s="124"/>
      <c r="AM208" s="561" t="s">
        <v>2063</v>
      </c>
      <c r="AN208" s="559" t="s">
        <v>1955</v>
      </c>
      <c r="AO208" s="420" t="s">
        <v>195</v>
      </c>
      <c r="AP208" s="247">
        <f t="shared" si="53"/>
        <v>0</v>
      </c>
      <c r="AQ208" s="247">
        <f t="shared" si="53"/>
        <v>0</v>
      </c>
      <c r="AR208" s="247">
        <f t="shared" si="53"/>
        <v>0</v>
      </c>
      <c r="AS208" s="194"/>
      <c r="AT208" s="194"/>
      <c r="AU208" s="326"/>
    </row>
    <row r="209" spans="1:47" ht="12" customHeight="1">
      <c r="A209" s="2"/>
      <c r="B209" s="2"/>
      <c r="C209" s="2"/>
      <c r="D209" s="2"/>
      <c r="E209" s="2"/>
      <c r="F209" s="2"/>
      <c r="G209" s="2"/>
      <c r="H209" s="2"/>
      <c r="I209" s="2"/>
      <c r="J209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413" t="s">
        <v>2093</v>
      </c>
      <c r="AG209" s="2"/>
      <c r="AH209" s="2"/>
      <c r="AI209" s="2"/>
      <c r="AJ209" s="2"/>
      <c r="AK209" s="2"/>
      <c r="AL209" s="124"/>
      <c r="AM209" s="562" t="str">
        <f>AM208 &amp; ".P"</f>
        <v>ACIDL.P</v>
      </c>
      <c r="AN209" s="531" t="s">
        <v>842</v>
      </c>
      <c r="AO209" s="420" t="s">
        <v>23</v>
      </c>
      <c r="AP209" s="247">
        <f>IF(AP210=0,0,AP208*1000/AP210)</f>
        <v>0</v>
      </c>
      <c r="AQ209" s="247">
        <f>IF(AQ210=0,0,AQ208*1000/AQ210)</f>
        <v>0</v>
      </c>
      <c r="AR209" s="247">
        <f>IF(AR210=0,0,AR208*1000/AR210)</f>
        <v>0</v>
      </c>
      <c r="AS209" s="194"/>
      <c r="AT209" s="194"/>
      <c r="AU209" s="326"/>
    </row>
    <row r="210" spans="1:47" ht="12" customHeight="1">
      <c r="A210" s="2"/>
      <c r="B210" s="2"/>
      <c r="C210" s="2"/>
      <c r="D210" s="2"/>
      <c r="E210" s="2"/>
      <c r="F210" s="2"/>
      <c r="G210" s="2"/>
      <c r="H210" s="2"/>
      <c r="I210" s="2"/>
      <c r="J210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413" t="s">
        <v>2094</v>
      </c>
      <c r="AG210" s="2"/>
      <c r="AH210" s="2"/>
      <c r="AI210" s="2"/>
      <c r="AJ210" s="2"/>
      <c r="AK210" s="2"/>
      <c r="AL210" s="124"/>
      <c r="AM210" s="562" t="str">
        <f>AM208 &amp; ".V"</f>
        <v>ACIDL.V</v>
      </c>
      <c r="AN210" s="531" t="s">
        <v>245</v>
      </c>
      <c r="AO210" s="420" t="s">
        <v>289</v>
      </c>
      <c r="AP210" s="247">
        <f t="shared" ref="AP210:AR211" si="54">SUMIF($AS$9:$AT$9,AP$9,$AS210:$AT210)</f>
        <v>0</v>
      </c>
      <c r="AQ210" s="247">
        <f t="shared" si="54"/>
        <v>0</v>
      </c>
      <c r="AR210" s="247">
        <f t="shared" si="54"/>
        <v>0</v>
      </c>
      <c r="AS210" s="194"/>
      <c r="AT210" s="194"/>
      <c r="AU210" s="326"/>
    </row>
    <row r="211" spans="1:47" ht="12" customHeight="1">
      <c r="A211" s="2"/>
      <c r="B211" s="2"/>
      <c r="C211" s="2"/>
      <c r="D211" s="2"/>
      <c r="E211" s="2"/>
      <c r="F211" s="2"/>
      <c r="G211" s="2"/>
      <c r="H211" s="2"/>
      <c r="I211" s="2"/>
      <c r="J211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413" t="s">
        <v>2092</v>
      </c>
      <c r="AG211" s="2"/>
      <c r="AH211" s="2"/>
      <c r="AI211" s="2"/>
      <c r="AJ211" s="2"/>
      <c r="AK211" s="2"/>
      <c r="AL211" s="124"/>
      <c r="AM211" s="561" t="s">
        <v>2064</v>
      </c>
      <c r="AN211" s="559" t="s">
        <v>1956</v>
      </c>
      <c r="AO211" s="420" t="s">
        <v>195</v>
      </c>
      <c r="AP211" s="247">
        <f t="shared" si="54"/>
        <v>0</v>
      </c>
      <c r="AQ211" s="247">
        <f t="shared" si="54"/>
        <v>0</v>
      </c>
      <c r="AR211" s="247">
        <f t="shared" si="54"/>
        <v>0</v>
      </c>
      <c r="AS211" s="194"/>
      <c r="AT211" s="194"/>
      <c r="AU211" s="326"/>
    </row>
    <row r="212" spans="1:47" ht="12" customHeight="1">
      <c r="A212" s="2"/>
      <c r="B212" s="2"/>
      <c r="C212" s="2"/>
      <c r="D212" s="2"/>
      <c r="E212" s="2"/>
      <c r="F212" s="2"/>
      <c r="G212" s="2"/>
      <c r="H212" s="2"/>
      <c r="I212" s="2"/>
      <c r="J21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413" t="s">
        <v>2093</v>
      </c>
      <c r="AG212" s="2"/>
      <c r="AH212" s="2"/>
      <c r="AI212" s="2"/>
      <c r="AJ212" s="2"/>
      <c r="AK212" s="2"/>
      <c r="AL212" s="124"/>
      <c r="AM212" s="562" t="str">
        <f>AM211 &amp; ".P"</f>
        <v>AURIN.P</v>
      </c>
      <c r="AN212" s="531" t="s">
        <v>842</v>
      </c>
      <c r="AO212" s="420" t="s">
        <v>23</v>
      </c>
      <c r="AP212" s="247">
        <f>IF(AP213=0,0,AP211*1000/AP213)</f>
        <v>0</v>
      </c>
      <c r="AQ212" s="247">
        <f>IF(AQ213=0,0,AQ211*1000/AQ213)</f>
        <v>0</v>
      </c>
      <c r="AR212" s="247">
        <f>IF(AR213=0,0,AR211*1000/AR213)</f>
        <v>0</v>
      </c>
      <c r="AS212" s="194"/>
      <c r="AT212" s="194"/>
      <c r="AU212" s="326"/>
    </row>
    <row r="213" spans="1:47" ht="12" customHeight="1">
      <c r="A213" s="2"/>
      <c r="B213" s="2"/>
      <c r="C213" s="2"/>
      <c r="D213" s="2"/>
      <c r="E213" s="2"/>
      <c r="F213" s="2"/>
      <c r="G213" s="2"/>
      <c r="H213" s="2"/>
      <c r="I213" s="2"/>
      <c r="J213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413" t="s">
        <v>2094</v>
      </c>
      <c r="AG213" s="2"/>
      <c r="AH213" s="2"/>
      <c r="AI213" s="2"/>
      <c r="AJ213" s="2"/>
      <c r="AK213" s="2"/>
      <c r="AL213" s="124"/>
      <c r="AM213" s="562" t="str">
        <f>AM211 &amp; ".V"</f>
        <v>AURIN.V</v>
      </c>
      <c r="AN213" s="531" t="s">
        <v>245</v>
      </c>
      <c r="AO213" s="420" t="s">
        <v>289</v>
      </c>
      <c r="AP213" s="247">
        <f t="shared" ref="AP213:AR214" si="55">SUMIF($AS$9:$AT$9,AP$9,$AS213:$AT213)</f>
        <v>0</v>
      </c>
      <c r="AQ213" s="247">
        <f t="shared" si="55"/>
        <v>0</v>
      </c>
      <c r="AR213" s="247">
        <f t="shared" si="55"/>
        <v>0</v>
      </c>
      <c r="AS213" s="194"/>
      <c r="AT213" s="194"/>
      <c r="AU213" s="326"/>
    </row>
    <row r="214" spans="1:47" ht="12" customHeight="1">
      <c r="A214" s="2"/>
      <c r="B214" s="2"/>
      <c r="C214" s="2"/>
      <c r="D214" s="2"/>
      <c r="E214" s="2"/>
      <c r="F214" s="2"/>
      <c r="G214" s="2"/>
      <c r="H214" s="2"/>
      <c r="I214" s="2"/>
      <c r="J214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413" t="s">
        <v>2092</v>
      </c>
      <c r="AG214" s="2"/>
      <c r="AH214" s="2"/>
      <c r="AI214" s="2"/>
      <c r="AJ214" s="2"/>
      <c r="AK214" s="2"/>
      <c r="AL214" s="124"/>
      <c r="AM214" s="561" t="s">
        <v>2065</v>
      </c>
      <c r="AN214" s="559" t="s">
        <v>1957</v>
      </c>
      <c r="AO214" s="420" t="s">
        <v>195</v>
      </c>
      <c r="AP214" s="247">
        <f t="shared" si="55"/>
        <v>0</v>
      </c>
      <c r="AQ214" s="247">
        <f t="shared" si="55"/>
        <v>0</v>
      </c>
      <c r="AR214" s="247">
        <f t="shared" si="55"/>
        <v>0</v>
      </c>
      <c r="AS214" s="194"/>
      <c r="AT214" s="194"/>
      <c r="AU214" s="326"/>
    </row>
    <row r="215" spans="1:47" ht="12" customHeight="1">
      <c r="A215" s="2"/>
      <c r="B215" s="2"/>
      <c r="C215" s="2"/>
      <c r="D215" s="2"/>
      <c r="E215" s="2"/>
      <c r="F215" s="2"/>
      <c r="G215" s="2"/>
      <c r="H215" s="2"/>
      <c r="I215" s="2"/>
      <c r="J21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413" t="s">
        <v>2093</v>
      </c>
      <c r="AG215" s="2"/>
      <c r="AH215" s="2"/>
      <c r="AI215" s="2"/>
      <c r="AJ215" s="2"/>
      <c r="AK215" s="2"/>
      <c r="AL215" s="124"/>
      <c r="AM215" s="562" t="str">
        <f>AM214 &amp; ".P"</f>
        <v>ACIDS.P</v>
      </c>
      <c r="AN215" s="531" t="s">
        <v>842</v>
      </c>
      <c r="AO215" s="420" t="s">
        <v>23</v>
      </c>
      <c r="AP215" s="247">
        <f>IF(AP216=0,0,AP214*1000/AP216)</f>
        <v>0</v>
      </c>
      <c r="AQ215" s="247">
        <f>IF(AQ216=0,0,AQ214*1000/AQ216)</f>
        <v>0</v>
      </c>
      <c r="AR215" s="247">
        <f>IF(AR216=0,0,AR214*1000/AR216)</f>
        <v>0</v>
      </c>
      <c r="AS215" s="194"/>
      <c r="AT215" s="194"/>
      <c r="AU215" s="326"/>
    </row>
    <row r="216" spans="1:47" ht="12" customHeight="1">
      <c r="A216" s="2"/>
      <c r="B216" s="2"/>
      <c r="C216" s="2"/>
      <c r="D216" s="2"/>
      <c r="E216" s="2"/>
      <c r="F216" s="2"/>
      <c r="G216" s="2"/>
      <c r="H216" s="2"/>
      <c r="I216" s="2"/>
      <c r="J216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413" t="s">
        <v>2094</v>
      </c>
      <c r="AG216" s="2"/>
      <c r="AH216" s="2"/>
      <c r="AI216" s="2"/>
      <c r="AJ216" s="2"/>
      <c r="AK216" s="2"/>
      <c r="AL216" s="124"/>
      <c r="AM216" s="562" t="str">
        <f>AM214 &amp; ".V"</f>
        <v>ACIDS.V</v>
      </c>
      <c r="AN216" s="531" t="s">
        <v>245</v>
      </c>
      <c r="AO216" s="420" t="s">
        <v>289</v>
      </c>
      <c r="AP216" s="247">
        <f t="shared" ref="AP216:AR217" si="56">SUMIF($AS$9:$AT$9,AP$9,$AS216:$AT216)</f>
        <v>0</v>
      </c>
      <c r="AQ216" s="247">
        <f t="shared" si="56"/>
        <v>0</v>
      </c>
      <c r="AR216" s="247">
        <f t="shared" si="56"/>
        <v>0</v>
      </c>
      <c r="AS216" s="194"/>
      <c r="AT216" s="194"/>
      <c r="AU216" s="326"/>
    </row>
    <row r="217" spans="1:47" ht="12" customHeight="1">
      <c r="A217" s="2"/>
      <c r="B217" s="2"/>
      <c r="C217" s="2"/>
      <c r="D217" s="2"/>
      <c r="E217" s="2"/>
      <c r="F217" s="2"/>
      <c r="G217" s="2"/>
      <c r="H217" s="2"/>
      <c r="I217" s="2"/>
      <c r="J217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413" t="s">
        <v>2092</v>
      </c>
      <c r="AG217" s="2"/>
      <c r="AH217" s="2"/>
      <c r="AI217" s="2"/>
      <c r="AJ217" s="2"/>
      <c r="AK217" s="2"/>
      <c r="AL217" s="124"/>
      <c r="AM217" s="561" t="s">
        <v>2066</v>
      </c>
      <c r="AN217" s="559" t="s">
        <v>1958</v>
      </c>
      <c r="AO217" s="420" t="s">
        <v>195</v>
      </c>
      <c r="AP217" s="247">
        <f t="shared" si="56"/>
        <v>0</v>
      </c>
      <c r="AQ217" s="247">
        <f t="shared" si="56"/>
        <v>0</v>
      </c>
      <c r="AR217" s="247">
        <f t="shared" si="56"/>
        <v>0</v>
      </c>
      <c r="AS217" s="194"/>
      <c r="AT217" s="194"/>
      <c r="AU217" s="326"/>
    </row>
    <row r="218" spans="1:47" ht="12" customHeight="1">
      <c r="A218" s="2"/>
      <c r="B218" s="2"/>
      <c r="C218" s="2"/>
      <c r="D218" s="2"/>
      <c r="E218" s="2"/>
      <c r="F218" s="2"/>
      <c r="G218" s="2"/>
      <c r="H218" s="2"/>
      <c r="I218" s="2"/>
      <c r="J218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413" t="s">
        <v>2093</v>
      </c>
      <c r="AG218" s="2"/>
      <c r="AH218" s="2"/>
      <c r="AI218" s="2"/>
      <c r="AJ218" s="2"/>
      <c r="AK218" s="2"/>
      <c r="AL218" s="124"/>
      <c r="AM218" s="562" t="str">
        <f>AM217 &amp; ".P"</f>
        <v>ADIDCL.P</v>
      </c>
      <c r="AN218" s="531" t="s">
        <v>842</v>
      </c>
      <c r="AO218" s="420" t="s">
        <v>23</v>
      </c>
      <c r="AP218" s="247">
        <f>IF(AP219=0,0,AP217*1000/AP219)</f>
        <v>0</v>
      </c>
      <c r="AQ218" s="247">
        <f>IF(AQ219=0,0,AQ217*1000/AQ219)</f>
        <v>0</v>
      </c>
      <c r="AR218" s="247">
        <f>IF(AR219=0,0,AR217*1000/AR219)</f>
        <v>0</v>
      </c>
      <c r="AS218" s="194"/>
      <c r="AT218" s="194"/>
      <c r="AU218" s="326"/>
    </row>
    <row r="219" spans="1:47" ht="12" customHeight="1">
      <c r="A219" s="2"/>
      <c r="B219" s="2"/>
      <c r="C219" s="2"/>
      <c r="D219" s="2"/>
      <c r="E219" s="2"/>
      <c r="F219" s="2"/>
      <c r="G219" s="2"/>
      <c r="H219" s="2"/>
      <c r="I219" s="2"/>
      <c r="J219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413" t="s">
        <v>2094</v>
      </c>
      <c r="AG219" s="2"/>
      <c r="AH219" s="2"/>
      <c r="AI219" s="2"/>
      <c r="AJ219" s="2"/>
      <c r="AK219" s="2"/>
      <c r="AL219" s="124"/>
      <c r="AM219" s="562" t="str">
        <f>AM217 &amp; ".V"</f>
        <v>ADIDCL.V</v>
      </c>
      <c r="AN219" s="531" t="s">
        <v>245</v>
      </c>
      <c r="AO219" s="420" t="s">
        <v>289</v>
      </c>
      <c r="AP219" s="247">
        <f t="shared" ref="AP219:AR220" si="57">SUMIF($AS$9:$AT$9,AP$9,$AS219:$AT219)</f>
        <v>0</v>
      </c>
      <c r="AQ219" s="247">
        <f t="shared" si="57"/>
        <v>0</v>
      </c>
      <c r="AR219" s="247">
        <f t="shared" si="57"/>
        <v>0</v>
      </c>
      <c r="AS219" s="194"/>
      <c r="AT219" s="194"/>
      <c r="AU219" s="326"/>
    </row>
    <row r="220" spans="1:47" ht="12" customHeight="1">
      <c r="A220" s="2"/>
      <c r="B220" s="2"/>
      <c r="C220" s="2"/>
      <c r="D220" s="2"/>
      <c r="E220" s="2"/>
      <c r="F220" s="2"/>
      <c r="G220" s="2"/>
      <c r="H220" s="2"/>
      <c r="I220" s="2"/>
      <c r="J220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413" t="s">
        <v>2092</v>
      </c>
      <c r="AG220" s="2"/>
      <c r="AH220" s="2"/>
      <c r="AI220" s="2"/>
      <c r="AJ220" s="2"/>
      <c r="AK220" s="2"/>
      <c r="AL220" s="124"/>
      <c r="AM220" s="561" t="s">
        <v>2067</v>
      </c>
      <c r="AN220" s="559" t="s">
        <v>1959</v>
      </c>
      <c r="AO220" s="420" t="s">
        <v>195</v>
      </c>
      <c r="AP220" s="247">
        <f t="shared" si="57"/>
        <v>0</v>
      </c>
      <c r="AQ220" s="247">
        <f t="shared" si="57"/>
        <v>0</v>
      </c>
      <c r="AR220" s="247">
        <f t="shared" si="57"/>
        <v>0</v>
      </c>
      <c r="AS220" s="194"/>
      <c r="AT220" s="194"/>
      <c r="AU220" s="326"/>
    </row>
    <row r="221" spans="1:47" ht="12" customHeight="1">
      <c r="A221" s="2"/>
      <c r="B221" s="2"/>
      <c r="C221" s="2"/>
      <c r="D221" s="2"/>
      <c r="E221" s="2"/>
      <c r="F221" s="2"/>
      <c r="G221" s="2"/>
      <c r="H221" s="2"/>
      <c r="I221" s="2"/>
      <c r="J221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413" t="s">
        <v>2093</v>
      </c>
      <c r="AG221" s="2"/>
      <c r="AH221" s="2"/>
      <c r="AI221" s="2"/>
      <c r="AJ221" s="2"/>
      <c r="AK221" s="2"/>
      <c r="AL221" s="124"/>
      <c r="AM221" s="562" t="str">
        <f>AM220 &amp; ".P"</f>
        <v>ACIDAC.P</v>
      </c>
      <c r="AN221" s="531" t="s">
        <v>842</v>
      </c>
      <c r="AO221" s="420" t="s">
        <v>23</v>
      </c>
      <c r="AP221" s="247">
        <f>IF(AP222=0,0,AP220*1000/AP222)</f>
        <v>0</v>
      </c>
      <c r="AQ221" s="247">
        <f>IF(AQ222=0,0,AQ220*1000/AQ222)</f>
        <v>0</v>
      </c>
      <c r="AR221" s="247">
        <f>IF(AR222=0,0,AR220*1000/AR222)</f>
        <v>0</v>
      </c>
      <c r="AS221" s="194"/>
      <c r="AT221" s="194"/>
      <c r="AU221" s="326"/>
    </row>
    <row r="222" spans="1:47" ht="12" customHeight="1">
      <c r="A222" s="2"/>
      <c r="B222" s="2"/>
      <c r="C222" s="2"/>
      <c r="D222" s="2"/>
      <c r="E222" s="2"/>
      <c r="F222" s="2"/>
      <c r="G222" s="2"/>
      <c r="H222" s="2"/>
      <c r="I222" s="2"/>
      <c r="J22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413" t="s">
        <v>2094</v>
      </c>
      <c r="AG222" s="2"/>
      <c r="AH222" s="2"/>
      <c r="AI222" s="2"/>
      <c r="AJ222" s="2"/>
      <c r="AK222" s="2"/>
      <c r="AL222" s="124"/>
      <c r="AM222" s="562" t="str">
        <f>AM220 &amp; ".V"</f>
        <v>ACIDAC.V</v>
      </c>
      <c r="AN222" s="531" t="s">
        <v>245</v>
      </c>
      <c r="AO222" s="420" t="s">
        <v>289</v>
      </c>
      <c r="AP222" s="247">
        <f t="shared" ref="AP222:AR223" si="58">SUMIF($AS$9:$AT$9,AP$9,$AS222:$AT222)</f>
        <v>0</v>
      </c>
      <c r="AQ222" s="247">
        <f t="shared" si="58"/>
        <v>0</v>
      </c>
      <c r="AR222" s="247">
        <f t="shared" si="58"/>
        <v>0</v>
      </c>
      <c r="AS222" s="194"/>
      <c r="AT222" s="194"/>
      <c r="AU222" s="326"/>
    </row>
    <row r="223" spans="1:47" ht="12" customHeight="1">
      <c r="A223" s="2"/>
      <c r="B223" s="2"/>
      <c r="C223" s="2"/>
      <c r="D223" s="2"/>
      <c r="E223" s="2"/>
      <c r="F223" s="2"/>
      <c r="G223" s="2"/>
      <c r="H223" s="2"/>
      <c r="I223" s="2"/>
      <c r="J223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413" t="s">
        <v>2092</v>
      </c>
      <c r="AG223" s="2"/>
      <c r="AH223" s="2"/>
      <c r="AI223" s="2"/>
      <c r="AJ223" s="2"/>
      <c r="AK223" s="2"/>
      <c r="AL223" s="124"/>
      <c r="AM223" s="561" t="s">
        <v>2068</v>
      </c>
      <c r="AN223" s="559" t="s">
        <v>1960</v>
      </c>
      <c r="AO223" s="420" t="s">
        <v>195</v>
      </c>
      <c r="AP223" s="247">
        <f t="shared" si="58"/>
        <v>0</v>
      </c>
      <c r="AQ223" s="247">
        <f t="shared" si="58"/>
        <v>0</v>
      </c>
      <c r="AR223" s="247">
        <f t="shared" si="58"/>
        <v>0</v>
      </c>
      <c r="AS223" s="194"/>
      <c r="AT223" s="194"/>
      <c r="AU223" s="326"/>
    </row>
    <row r="224" spans="1:47" ht="12" customHeight="1">
      <c r="A224" s="2"/>
      <c r="B224" s="2"/>
      <c r="C224" s="2"/>
      <c r="D224" s="2"/>
      <c r="E224" s="2"/>
      <c r="F224" s="2"/>
      <c r="G224" s="2"/>
      <c r="H224" s="2"/>
      <c r="I224" s="2"/>
      <c r="J224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413" t="s">
        <v>2093</v>
      </c>
      <c r="AG224" s="2"/>
      <c r="AH224" s="2"/>
      <c r="AI224" s="2"/>
      <c r="AJ224" s="2"/>
      <c r="AK224" s="2"/>
      <c r="AL224" s="124"/>
      <c r="AM224" s="562" t="str">
        <f>AM223 &amp; ".P"</f>
        <v>ACIDOX.P</v>
      </c>
      <c r="AN224" s="531" t="s">
        <v>842</v>
      </c>
      <c r="AO224" s="420" t="s">
        <v>23</v>
      </c>
      <c r="AP224" s="247">
        <f>IF(AP225=0,0,AP223*1000/AP225)</f>
        <v>0</v>
      </c>
      <c r="AQ224" s="247">
        <f>IF(AQ225=0,0,AQ223*1000/AQ225)</f>
        <v>0</v>
      </c>
      <c r="AR224" s="247">
        <f>IF(AR225=0,0,AR223*1000/AR225)</f>
        <v>0</v>
      </c>
      <c r="AS224" s="194"/>
      <c r="AT224" s="194"/>
      <c r="AU224" s="326"/>
    </row>
    <row r="225" spans="1:47" ht="12" customHeight="1">
      <c r="A225" s="2"/>
      <c r="B225" s="2"/>
      <c r="C225" s="2"/>
      <c r="D225" s="2"/>
      <c r="E225" s="2"/>
      <c r="F225" s="2"/>
      <c r="G225" s="2"/>
      <c r="H225" s="2"/>
      <c r="I225" s="2"/>
      <c r="J22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413" t="s">
        <v>2094</v>
      </c>
      <c r="AG225" s="2"/>
      <c r="AH225" s="2"/>
      <c r="AI225" s="2"/>
      <c r="AJ225" s="2"/>
      <c r="AK225" s="2"/>
      <c r="AL225" s="124"/>
      <c r="AM225" s="562" t="str">
        <f>AM223 &amp; ".V"</f>
        <v>ACIDOX.V</v>
      </c>
      <c r="AN225" s="531" t="s">
        <v>245</v>
      </c>
      <c r="AO225" s="420" t="s">
        <v>289</v>
      </c>
      <c r="AP225" s="247">
        <f t="shared" ref="AP225:AR226" si="59">SUMIF($AS$9:$AT$9,AP$9,$AS225:$AT225)</f>
        <v>0</v>
      </c>
      <c r="AQ225" s="247">
        <f t="shared" si="59"/>
        <v>0</v>
      </c>
      <c r="AR225" s="247">
        <f t="shared" si="59"/>
        <v>0</v>
      </c>
      <c r="AS225" s="194"/>
      <c r="AT225" s="194"/>
      <c r="AU225" s="326"/>
    </row>
    <row r="226" spans="1:47" ht="12" customHeight="1">
      <c r="A226" s="2"/>
      <c r="B226" s="2"/>
      <c r="C226" s="2"/>
      <c r="D226" s="2"/>
      <c r="E226" s="2"/>
      <c r="F226" s="2"/>
      <c r="G226" s="2"/>
      <c r="H226" s="2"/>
      <c r="I226" s="2"/>
      <c r="J226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413" t="s">
        <v>2092</v>
      </c>
      <c r="AG226" s="2"/>
      <c r="AH226" s="2"/>
      <c r="AI226" s="2"/>
      <c r="AJ226" s="2"/>
      <c r="AK226" s="2"/>
      <c r="AL226" s="124"/>
      <c r="AM226" s="561" t="s">
        <v>2069</v>
      </c>
      <c r="AN226" s="559" t="s">
        <v>1961</v>
      </c>
      <c r="AO226" s="420" t="s">
        <v>195</v>
      </c>
      <c r="AP226" s="247">
        <f t="shared" si="59"/>
        <v>0</v>
      </c>
      <c r="AQ226" s="247">
        <f t="shared" si="59"/>
        <v>0</v>
      </c>
      <c r="AR226" s="247">
        <f t="shared" si="59"/>
        <v>0</v>
      </c>
      <c r="AS226" s="194"/>
      <c r="AT226" s="194"/>
      <c r="AU226" s="326"/>
    </row>
    <row r="227" spans="1:47" ht="12" customHeight="1">
      <c r="A227" s="2"/>
      <c r="B227" s="2"/>
      <c r="C227" s="2"/>
      <c r="D227" s="2"/>
      <c r="E227" s="2"/>
      <c r="F227" s="2"/>
      <c r="G227" s="2"/>
      <c r="H227" s="2"/>
      <c r="I227" s="2"/>
      <c r="J227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413" t="s">
        <v>2093</v>
      </c>
      <c r="AG227" s="2"/>
      <c r="AH227" s="2"/>
      <c r="AI227" s="2"/>
      <c r="AJ227" s="2"/>
      <c r="AK227" s="2"/>
      <c r="AL227" s="124"/>
      <c r="AM227" s="562" t="str">
        <f>AM226 &amp; ".P"</f>
        <v>STARCH.P</v>
      </c>
      <c r="AN227" s="531" t="s">
        <v>842</v>
      </c>
      <c r="AO227" s="420" t="s">
        <v>23</v>
      </c>
      <c r="AP227" s="247">
        <f>IF(AP228=0,0,AP226*1000/AP228)</f>
        <v>0</v>
      </c>
      <c r="AQ227" s="247">
        <f>IF(AQ228=0,0,AQ226*1000/AQ228)</f>
        <v>0</v>
      </c>
      <c r="AR227" s="247">
        <f>IF(AR228=0,0,AR226*1000/AR228)</f>
        <v>0</v>
      </c>
      <c r="AS227" s="194"/>
      <c r="AT227" s="194"/>
      <c r="AU227" s="326"/>
    </row>
    <row r="228" spans="1:47" ht="12" customHeight="1">
      <c r="A228" s="2"/>
      <c r="B228" s="2"/>
      <c r="C228" s="2"/>
      <c r="D228" s="2"/>
      <c r="E228" s="2"/>
      <c r="F228" s="2"/>
      <c r="G228" s="2"/>
      <c r="H228" s="2"/>
      <c r="I228" s="2"/>
      <c r="J228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413" t="s">
        <v>2094</v>
      </c>
      <c r="AG228" s="2"/>
      <c r="AH228" s="2"/>
      <c r="AI228" s="2"/>
      <c r="AJ228" s="2"/>
      <c r="AK228" s="2"/>
      <c r="AL228" s="124"/>
      <c r="AM228" s="562" t="str">
        <f>AM226 &amp; ".V"</f>
        <v>STARCH.V</v>
      </c>
      <c r="AN228" s="531" t="s">
        <v>245</v>
      </c>
      <c r="AO228" s="420" t="s">
        <v>289</v>
      </c>
      <c r="AP228" s="247">
        <f t="shared" ref="AP228:AR229" si="60">SUMIF($AS$9:$AT$9,AP$9,$AS228:$AT228)</f>
        <v>0</v>
      </c>
      <c r="AQ228" s="247">
        <f t="shared" si="60"/>
        <v>0</v>
      </c>
      <c r="AR228" s="247">
        <f t="shared" si="60"/>
        <v>0</v>
      </c>
      <c r="AS228" s="194"/>
      <c r="AT228" s="194"/>
      <c r="AU228" s="326"/>
    </row>
    <row r="229" spans="1:47" ht="12" customHeight="1">
      <c r="A229" s="2"/>
      <c r="B229" s="2"/>
      <c r="C229" s="2"/>
      <c r="D229" s="2"/>
      <c r="E229" s="2"/>
      <c r="F229" s="2"/>
      <c r="G229" s="2"/>
      <c r="H229" s="2"/>
      <c r="I229" s="2"/>
      <c r="J229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413" t="s">
        <v>2092</v>
      </c>
      <c r="AG229" s="2"/>
      <c r="AH229" s="2"/>
      <c r="AI229" s="2"/>
      <c r="AJ229" s="2"/>
      <c r="AK229" s="2"/>
      <c r="AL229" s="124"/>
      <c r="AM229" s="561" t="s">
        <v>2070</v>
      </c>
      <c r="AN229" s="559" t="s">
        <v>1962</v>
      </c>
      <c r="AO229" s="420" t="s">
        <v>195</v>
      </c>
      <c r="AP229" s="247">
        <f t="shared" si="60"/>
        <v>0</v>
      </c>
      <c r="AQ229" s="247">
        <f t="shared" si="60"/>
        <v>0</v>
      </c>
      <c r="AR229" s="247">
        <f t="shared" si="60"/>
        <v>0</v>
      </c>
      <c r="AS229" s="194"/>
      <c r="AT229" s="194"/>
      <c r="AU229" s="326"/>
    </row>
    <row r="230" spans="1:47" ht="12" customHeight="1">
      <c r="A230" s="2"/>
      <c r="B230" s="2"/>
      <c r="C230" s="2"/>
      <c r="D230" s="2"/>
      <c r="E230" s="2"/>
      <c r="F230" s="2"/>
      <c r="G230" s="2"/>
      <c r="H230" s="2"/>
      <c r="I230" s="2"/>
      <c r="J230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413" t="s">
        <v>2093</v>
      </c>
      <c r="AG230" s="2"/>
      <c r="AH230" s="2"/>
      <c r="AI230" s="2"/>
      <c r="AJ230" s="2"/>
      <c r="AK230" s="2"/>
      <c r="AL230" s="124"/>
      <c r="AM230" s="562" t="str">
        <f>AM229 &amp; ".P"</f>
        <v>LANTN.P</v>
      </c>
      <c r="AN230" s="531" t="s">
        <v>842</v>
      </c>
      <c r="AO230" s="420" t="s">
        <v>23</v>
      </c>
      <c r="AP230" s="247">
        <f>IF(AP231=0,0,AP229*1000/AP231)</f>
        <v>0</v>
      </c>
      <c r="AQ230" s="247">
        <f>IF(AQ231=0,0,AQ229*1000/AQ231)</f>
        <v>0</v>
      </c>
      <c r="AR230" s="247">
        <f>IF(AR231=0,0,AR229*1000/AR231)</f>
        <v>0</v>
      </c>
      <c r="AS230" s="194"/>
      <c r="AT230" s="194"/>
      <c r="AU230" s="326"/>
    </row>
    <row r="231" spans="1:47" ht="12" customHeight="1">
      <c r="A231" s="2"/>
      <c r="B231" s="2"/>
      <c r="C231" s="2"/>
      <c r="D231" s="2"/>
      <c r="E231" s="2"/>
      <c r="F231" s="2"/>
      <c r="G231" s="2"/>
      <c r="H231" s="2"/>
      <c r="I231" s="2"/>
      <c r="J231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413" t="s">
        <v>2094</v>
      </c>
      <c r="AG231" s="2"/>
      <c r="AH231" s="2"/>
      <c r="AI231" s="2"/>
      <c r="AJ231" s="2"/>
      <c r="AK231" s="2"/>
      <c r="AL231" s="124"/>
      <c r="AM231" s="562" t="str">
        <f>AM229 &amp; ".V"</f>
        <v>LANTN.V</v>
      </c>
      <c r="AN231" s="531" t="s">
        <v>245</v>
      </c>
      <c r="AO231" s="420" t="s">
        <v>289</v>
      </c>
      <c r="AP231" s="247">
        <f t="shared" ref="AP231:AR232" si="61">SUMIF($AS$9:$AT$9,AP$9,$AS231:$AT231)</f>
        <v>0</v>
      </c>
      <c r="AQ231" s="247">
        <f t="shared" si="61"/>
        <v>0</v>
      </c>
      <c r="AR231" s="247">
        <f t="shared" si="61"/>
        <v>0</v>
      </c>
      <c r="AS231" s="194"/>
      <c r="AT231" s="194"/>
      <c r="AU231" s="326"/>
    </row>
    <row r="232" spans="1:47" ht="12" customHeight="1">
      <c r="A232" s="2"/>
      <c r="B232" s="2"/>
      <c r="C232" s="2"/>
      <c r="D232" s="2"/>
      <c r="E232" s="2"/>
      <c r="F232" s="2"/>
      <c r="G232" s="2"/>
      <c r="H232" s="2"/>
      <c r="I232" s="2"/>
      <c r="J23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413" t="s">
        <v>2092</v>
      </c>
      <c r="AG232" s="2"/>
      <c r="AH232" s="2"/>
      <c r="AI232" s="2"/>
      <c r="AJ232" s="2"/>
      <c r="AK232" s="2"/>
      <c r="AL232" s="124"/>
      <c r="AM232" s="561" t="s">
        <v>2071</v>
      </c>
      <c r="AN232" s="559" t="s">
        <v>1963</v>
      </c>
      <c r="AO232" s="420" t="s">
        <v>195</v>
      </c>
      <c r="AP232" s="247">
        <f t="shared" si="61"/>
        <v>0</v>
      </c>
      <c r="AQ232" s="247">
        <f t="shared" si="61"/>
        <v>0</v>
      </c>
      <c r="AR232" s="247">
        <f t="shared" si="61"/>
        <v>0</v>
      </c>
      <c r="AS232" s="194"/>
      <c r="AT232" s="194"/>
      <c r="AU232" s="326"/>
    </row>
    <row r="233" spans="1:47" ht="12" customHeight="1">
      <c r="A233" s="2"/>
      <c r="B233" s="2"/>
      <c r="C233" s="2"/>
      <c r="D233" s="2"/>
      <c r="E233" s="2"/>
      <c r="F233" s="2"/>
      <c r="G233" s="2"/>
      <c r="H233" s="2"/>
      <c r="I233" s="2"/>
      <c r="J233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413" t="s">
        <v>2093</v>
      </c>
      <c r="AG233" s="2"/>
      <c r="AH233" s="2"/>
      <c r="AI233" s="2"/>
      <c r="AJ233" s="2"/>
      <c r="AK233" s="2"/>
      <c r="AL233" s="124"/>
      <c r="AM233" s="562" t="str">
        <f>AM232 &amp; ".P"</f>
        <v>MGS.P</v>
      </c>
      <c r="AN233" s="531" t="s">
        <v>842</v>
      </c>
      <c r="AO233" s="420" t="s">
        <v>23</v>
      </c>
      <c r="AP233" s="247">
        <f>IF(AP234=0,0,AP232*1000/AP234)</f>
        <v>0</v>
      </c>
      <c r="AQ233" s="247">
        <f>IF(AQ234=0,0,AQ232*1000/AQ234)</f>
        <v>0</v>
      </c>
      <c r="AR233" s="247">
        <f>IF(AR234=0,0,AR232*1000/AR234)</f>
        <v>0</v>
      </c>
      <c r="AS233" s="194"/>
      <c r="AT233" s="194"/>
      <c r="AU233" s="326"/>
    </row>
    <row r="234" spans="1:47" ht="12" customHeight="1">
      <c r="A234" s="2"/>
      <c r="B234" s="2"/>
      <c r="C234" s="2"/>
      <c r="D234" s="2"/>
      <c r="E234" s="2"/>
      <c r="F234" s="2"/>
      <c r="G234" s="2"/>
      <c r="H234" s="2"/>
      <c r="I234" s="2"/>
      <c r="J234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413" t="s">
        <v>2094</v>
      </c>
      <c r="AG234" s="2"/>
      <c r="AH234" s="2"/>
      <c r="AI234" s="2"/>
      <c r="AJ234" s="2"/>
      <c r="AK234" s="2"/>
      <c r="AL234" s="124"/>
      <c r="AM234" s="562" t="str">
        <f>AM232 &amp; ".V"</f>
        <v>MGS.V</v>
      </c>
      <c r="AN234" s="531" t="s">
        <v>245</v>
      </c>
      <c r="AO234" s="420" t="s">
        <v>289</v>
      </c>
      <c r="AP234" s="247">
        <f t="shared" ref="AP234:AR238" si="62">SUMIF($AS$9:$AT$9,AP$9,$AS234:$AT234)</f>
        <v>0</v>
      </c>
      <c r="AQ234" s="247">
        <f t="shared" si="62"/>
        <v>0</v>
      </c>
      <c r="AR234" s="247">
        <f t="shared" si="62"/>
        <v>0</v>
      </c>
      <c r="AS234" s="194"/>
      <c r="AT234" s="194"/>
      <c r="AU234" s="326"/>
    </row>
    <row r="235" spans="1:47" ht="12" customHeight="1">
      <c r="A235" s="2"/>
      <c r="B235" s="2"/>
      <c r="C235" s="2"/>
      <c r="D235" s="2"/>
      <c r="E235" s="2"/>
      <c r="F235" s="2"/>
      <c r="G235" s="2"/>
      <c r="H235" s="2"/>
      <c r="I235" s="2"/>
      <c r="J23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413" t="s">
        <v>2092</v>
      </c>
      <c r="AG235" s="2"/>
      <c r="AH235" s="2"/>
      <c r="AI235" s="2"/>
      <c r="AJ235" s="2"/>
      <c r="AK235" s="2"/>
      <c r="AL235" s="124"/>
      <c r="AM235" s="639" t="s">
        <v>2329</v>
      </c>
      <c r="AN235" s="559" t="s">
        <v>2330</v>
      </c>
      <c r="AO235" s="420" t="s">
        <v>195</v>
      </c>
      <c r="AP235" s="247">
        <f t="shared" si="62"/>
        <v>0</v>
      </c>
      <c r="AQ235" s="247">
        <f t="shared" si="62"/>
        <v>0</v>
      </c>
      <c r="AR235" s="247">
        <f t="shared" si="62"/>
        <v>0</v>
      </c>
      <c r="AS235" s="194"/>
      <c r="AT235" s="194"/>
      <c r="AU235" s="326"/>
    </row>
    <row r="236" spans="1:47" ht="12" customHeight="1">
      <c r="A236" s="2"/>
      <c r="B236" s="2"/>
      <c r="C236" s="2"/>
      <c r="D236" s="2"/>
      <c r="E236" s="2"/>
      <c r="F236" s="2"/>
      <c r="G236" s="2"/>
      <c r="H236" s="2"/>
      <c r="I236" s="2"/>
      <c r="J236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413" t="s">
        <v>2093</v>
      </c>
      <c r="AG236" s="2"/>
      <c r="AH236" s="2"/>
      <c r="AI236" s="2"/>
      <c r="AJ236" s="2"/>
      <c r="AK236" s="2"/>
      <c r="AL236" s="124"/>
      <c r="AM236" s="639" t="str">
        <f>AM235 &amp; ".P"</f>
        <v>FLOSPERSE.P</v>
      </c>
      <c r="AN236" s="531" t="s">
        <v>842</v>
      </c>
      <c r="AO236" s="420" t="s">
        <v>23</v>
      </c>
      <c r="AP236" s="247">
        <f>IF(AP237=0,0,AP235*1000/AP237)</f>
        <v>0</v>
      </c>
      <c r="AQ236" s="247">
        <f>IF(AQ237=0,0,AQ235*1000/AQ237)</f>
        <v>0</v>
      </c>
      <c r="AR236" s="247">
        <f>IF(AR237=0,0,AR235*1000/AR237)</f>
        <v>0</v>
      </c>
      <c r="AS236" s="194"/>
      <c r="AT236" s="194"/>
      <c r="AU236" s="326"/>
    </row>
    <row r="237" spans="1:47" ht="12" customHeight="1">
      <c r="A237" s="2"/>
      <c r="B237" s="2"/>
      <c r="C237" s="2"/>
      <c r="D237" s="2"/>
      <c r="E237" s="2"/>
      <c r="F237" s="2"/>
      <c r="G237" s="2"/>
      <c r="H237" s="2"/>
      <c r="I237" s="2"/>
      <c r="J237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413" t="s">
        <v>2094</v>
      </c>
      <c r="AG237" s="2"/>
      <c r="AH237" s="2"/>
      <c r="AI237" s="2"/>
      <c r="AJ237" s="2"/>
      <c r="AK237" s="2"/>
      <c r="AL237" s="124"/>
      <c r="AM237" s="639" t="str">
        <f>AM235 &amp; ".V"</f>
        <v>FLOSPERSE.V</v>
      </c>
      <c r="AN237" s="531" t="s">
        <v>245</v>
      </c>
      <c r="AO237" s="420" t="s">
        <v>289</v>
      </c>
      <c r="AP237" s="247">
        <f>SUMIF($AS$9:$AT$9,AP$9,$AS237:$AT237)</f>
        <v>0</v>
      </c>
      <c r="AQ237" s="247">
        <f>SUMIF($AS$9:$AT$9,AQ$9,$AS237:$AT237)</f>
        <v>0</v>
      </c>
      <c r="AR237" s="247">
        <f>SUMIF($AS$9:$AT$9,AR$9,$AS237:$AT237)</f>
        <v>0</v>
      </c>
      <c r="AS237" s="194"/>
      <c r="AT237" s="194"/>
      <c r="AU237" s="326"/>
    </row>
    <row r="238" spans="1:47" ht="12" customHeight="1">
      <c r="A238" s="2"/>
      <c r="B238" s="2"/>
      <c r="C238" s="2"/>
      <c r="D238" s="2"/>
      <c r="E238" s="2"/>
      <c r="F238" s="2"/>
      <c r="G238" s="2"/>
      <c r="H238" s="2"/>
      <c r="I238" s="2"/>
      <c r="J238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413" t="s">
        <v>2092</v>
      </c>
      <c r="AG238" s="2"/>
      <c r="AH238" s="2"/>
      <c r="AI238" s="2"/>
      <c r="AJ238" s="2"/>
      <c r="AK238" s="2"/>
      <c r="AL238" s="124"/>
      <c r="AM238" s="561" t="s">
        <v>2072</v>
      </c>
      <c r="AN238" s="559" t="s">
        <v>1964</v>
      </c>
      <c r="AO238" s="420" t="s">
        <v>195</v>
      </c>
      <c r="AP238" s="247">
        <f t="shared" si="62"/>
        <v>0</v>
      </c>
      <c r="AQ238" s="247">
        <f t="shared" si="62"/>
        <v>0</v>
      </c>
      <c r="AR238" s="247">
        <f t="shared" si="62"/>
        <v>0</v>
      </c>
      <c r="AS238" s="194"/>
      <c r="AT238" s="194"/>
      <c r="AU238" s="326"/>
    </row>
    <row r="239" spans="1:47" ht="12" customHeight="1">
      <c r="A239" s="2"/>
      <c r="B239" s="2"/>
      <c r="C239" s="2"/>
      <c r="D239" s="2"/>
      <c r="E239" s="2"/>
      <c r="F239" s="2"/>
      <c r="G239" s="2"/>
      <c r="H239" s="2"/>
      <c r="I239" s="2"/>
      <c r="J239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413" t="s">
        <v>2093</v>
      </c>
      <c r="AG239" s="2"/>
      <c r="AH239" s="2"/>
      <c r="AI239" s="2"/>
      <c r="AJ239" s="2"/>
      <c r="AK239" s="2"/>
      <c r="AL239" s="124"/>
      <c r="AM239" s="562" t="str">
        <f>AM238 &amp; ".P"</f>
        <v>NATR.P</v>
      </c>
      <c r="AN239" s="531" t="s">
        <v>842</v>
      </c>
      <c r="AO239" s="420" t="s">
        <v>23</v>
      </c>
      <c r="AP239" s="247">
        <f>IF(AP240=0,0,AP238*1000/AP240)</f>
        <v>0</v>
      </c>
      <c r="AQ239" s="247">
        <f>IF(AQ240=0,0,AQ238*1000/AQ240)</f>
        <v>0</v>
      </c>
      <c r="AR239" s="247">
        <f>IF(AR240=0,0,AR238*1000/AR240)</f>
        <v>0</v>
      </c>
      <c r="AS239" s="194"/>
      <c r="AT239" s="194"/>
      <c r="AU239" s="326"/>
    </row>
    <row r="240" spans="1:47" ht="12" customHeight="1">
      <c r="A240" s="2"/>
      <c r="B240" s="2"/>
      <c r="C240" s="2"/>
      <c r="D240" s="2"/>
      <c r="E240" s="2"/>
      <c r="F240" s="2"/>
      <c r="G240" s="2"/>
      <c r="H240" s="2"/>
      <c r="I240" s="2"/>
      <c r="J240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413" t="s">
        <v>2094</v>
      </c>
      <c r="AG240" s="2"/>
      <c r="AH240" s="2"/>
      <c r="AI240" s="2"/>
      <c r="AJ240" s="2"/>
      <c r="AK240" s="2"/>
      <c r="AL240" s="124"/>
      <c r="AM240" s="562" t="str">
        <f>AM238 &amp; ".V"</f>
        <v>NATR.V</v>
      </c>
      <c r="AN240" s="531" t="s">
        <v>245</v>
      </c>
      <c r="AO240" s="420" t="s">
        <v>289</v>
      </c>
      <c r="AP240" s="247">
        <f t="shared" ref="AP240:AR241" si="63">SUMIF($AS$9:$AT$9,AP$9,$AS240:$AT240)</f>
        <v>0</v>
      </c>
      <c r="AQ240" s="247">
        <f t="shared" si="63"/>
        <v>0</v>
      </c>
      <c r="AR240" s="247">
        <f t="shared" si="63"/>
        <v>0</v>
      </c>
      <c r="AS240" s="194"/>
      <c r="AT240" s="194"/>
      <c r="AU240" s="326"/>
    </row>
    <row r="241" spans="1:47" ht="12" customHeight="1">
      <c r="A241" s="2"/>
      <c r="B241" s="2"/>
      <c r="C241" s="2"/>
      <c r="D241" s="2"/>
      <c r="E241" s="2"/>
      <c r="F241" s="2"/>
      <c r="G241" s="2"/>
      <c r="H241" s="2"/>
      <c r="I241" s="2"/>
      <c r="J241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413" t="s">
        <v>2092</v>
      </c>
      <c r="AG241" s="2"/>
      <c r="AH241" s="2"/>
      <c r="AI241" s="2"/>
      <c r="AJ241" s="2"/>
      <c r="AK241" s="2"/>
      <c r="AL241" s="124"/>
      <c r="AM241" s="561" t="s">
        <v>2074</v>
      </c>
      <c r="AN241" s="559" t="s">
        <v>1965</v>
      </c>
      <c r="AO241" s="420" t="s">
        <v>195</v>
      </c>
      <c r="AP241" s="247">
        <f t="shared" si="63"/>
        <v>0</v>
      </c>
      <c r="AQ241" s="247">
        <f t="shared" si="63"/>
        <v>0</v>
      </c>
      <c r="AR241" s="247">
        <f t="shared" si="63"/>
        <v>0</v>
      </c>
      <c r="AS241" s="194"/>
      <c r="AT241" s="194"/>
      <c r="AU241" s="326"/>
    </row>
    <row r="242" spans="1:47" ht="12" customHeight="1">
      <c r="A242" s="2"/>
      <c r="B242" s="2"/>
      <c r="C242" s="2"/>
      <c r="D242" s="2"/>
      <c r="E242" s="2"/>
      <c r="F242" s="2"/>
      <c r="G242" s="2"/>
      <c r="H242" s="2"/>
      <c r="I242" s="2"/>
      <c r="J24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413" t="s">
        <v>2093</v>
      </c>
      <c r="AG242" s="2"/>
      <c r="AH242" s="2"/>
      <c r="AI242" s="2"/>
      <c r="AJ242" s="2"/>
      <c r="AK242" s="2"/>
      <c r="AL242" s="124"/>
      <c r="AM242" s="562" t="str">
        <f>AM241 &amp; ".P"</f>
        <v>NAHDOX.P</v>
      </c>
      <c r="AN242" s="531" t="s">
        <v>842</v>
      </c>
      <c r="AO242" s="420" t="s">
        <v>23</v>
      </c>
      <c r="AP242" s="247">
        <f>IF(AP243=0,0,AP241*1000/AP243)</f>
        <v>0</v>
      </c>
      <c r="AQ242" s="247">
        <f>IF(AQ243=0,0,AQ241*1000/AQ243)</f>
        <v>0</v>
      </c>
      <c r="AR242" s="247">
        <f>IF(AR243=0,0,AR241*1000/AR243)</f>
        <v>0</v>
      </c>
      <c r="AS242" s="194"/>
      <c r="AT242" s="194"/>
      <c r="AU242" s="326"/>
    </row>
    <row r="243" spans="1:47" ht="12" customHeight="1">
      <c r="A243" s="2"/>
      <c r="B243" s="2"/>
      <c r="C243" s="2"/>
      <c r="D243" s="2"/>
      <c r="E243" s="2"/>
      <c r="F243" s="2"/>
      <c r="G243" s="2"/>
      <c r="H243" s="2"/>
      <c r="I243" s="2"/>
      <c r="J243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413" t="s">
        <v>2094</v>
      </c>
      <c r="AG243" s="2"/>
      <c r="AH243" s="2"/>
      <c r="AI243" s="2"/>
      <c r="AJ243" s="2"/>
      <c r="AK243" s="2"/>
      <c r="AL243" s="124"/>
      <c r="AM243" s="562" t="str">
        <f>AM241 &amp; ".V"</f>
        <v>NAHDOX.V</v>
      </c>
      <c r="AN243" s="531" t="s">
        <v>245</v>
      </c>
      <c r="AO243" s="420" t="s">
        <v>289</v>
      </c>
      <c r="AP243" s="247">
        <f t="shared" ref="AP243:AR244" si="64">SUMIF($AS$9:$AT$9,AP$9,$AS243:$AT243)</f>
        <v>0</v>
      </c>
      <c r="AQ243" s="247">
        <f t="shared" si="64"/>
        <v>0</v>
      </c>
      <c r="AR243" s="247">
        <f t="shared" si="64"/>
        <v>0</v>
      </c>
      <c r="AS243" s="194"/>
      <c r="AT243" s="194"/>
      <c r="AU243" s="326"/>
    </row>
    <row r="244" spans="1:47" ht="12" customHeight="1">
      <c r="A244" s="2"/>
      <c r="B244" s="2"/>
      <c r="C244" s="2"/>
      <c r="D244" s="2"/>
      <c r="E244" s="2"/>
      <c r="F244" s="2"/>
      <c r="G244" s="2"/>
      <c r="H244" s="2"/>
      <c r="I244" s="2"/>
      <c r="J244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413" t="s">
        <v>2092</v>
      </c>
      <c r="AG244" s="2"/>
      <c r="AH244" s="2"/>
      <c r="AI244" s="2"/>
      <c r="AJ244" s="2"/>
      <c r="AK244" s="2"/>
      <c r="AL244" s="124"/>
      <c r="AM244" s="561" t="s">
        <v>2073</v>
      </c>
      <c r="AN244" s="559" t="s">
        <v>1966</v>
      </c>
      <c r="AO244" s="420" t="s">
        <v>195</v>
      </c>
      <c r="AP244" s="247">
        <f t="shared" si="64"/>
        <v>0</v>
      </c>
      <c r="AQ244" s="247">
        <f t="shared" si="64"/>
        <v>0</v>
      </c>
      <c r="AR244" s="247">
        <f t="shared" si="64"/>
        <v>0</v>
      </c>
      <c r="AS244" s="194"/>
      <c r="AT244" s="194"/>
      <c r="AU244" s="326"/>
    </row>
    <row r="245" spans="1:47" ht="12" customHeight="1">
      <c r="A245" s="2"/>
      <c r="B245" s="2"/>
      <c r="C245" s="2"/>
      <c r="D245" s="2"/>
      <c r="E245" s="2"/>
      <c r="F245" s="2"/>
      <c r="G245" s="2"/>
      <c r="H245" s="2"/>
      <c r="I245" s="2"/>
      <c r="J24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413" t="s">
        <v>2093</v>
      </c>
      <c r="AG245" s="2"/>
      <c r="AH245" s="2"/>
      <c r="AI245" s="2"/>
      <c r="AJ245" s="2"/>
      <c r="AK245" s="2"/>
      <c r="AL245" s="124"/>
      <c r="AM245" s="562" t="str">
        <f>AM244 &amp; ".P"</f>
        <v>NASLC.P</v>
      </c>
      <c r="AN245" s="531" t="s">
        <v>842</v>
      </c>
      <c r="AO245" s="420" t="s">
        <v>23</v>
      </c>
      <c r="AP245" s="247">
        <f>IF(AP246=0,0,AP244*1000/AP246)</f>
        <v>0</v>
      </c>
      <c r="AQ245" s="247">
        <f>IF(AQ246=0,0,AQ244*1000/AQ246)</f>
        <v>0</v>
      </c>
      <c r="AR245" s="247">
        <f>IF(AR246=0,0,AR244*1000/AR246)</f>
        <v>0</v>
      </c>
      <c r="AS245" s="194"/>
      <c r="AT245" s="194"/>
      <c r="AU245" s="326"/>
    </row>
    <row r="246" spans="1:47" ht="12" customHeight="1">
      <c r="A246" s="2"/>
      <c r="B246" s="2"/>
      <c r="C246" s="2"/>
      <c r="D246" s="2"/>
      <c r="E246" s="2"/>
      <c r="F246" s="2"/>
      <c r="G246" s="2"/>
      <c r="H246" s="2"/>
      <c r="I246" s="2"/>
      <c r="J246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413" t="s">
        <v>2094</v>
      </c>
      <c r="AG246" s="2"/>
      <c r="AH246" s="2"/>
      <c r="AI246" s="2"/>
      <c r="AJ246" s="2"/>
      <c r="AK246" s="2"/>
      <c r="AL246" s="124"/>
      <c r="AM246" s="562" t="str">
        <f>AM244 &amp; ".V"</f>
        <v>NASLC.V</v>
      </c>
      <c r="AN246" s="531" t="s">
        <v>245</v>
      </c>
      <c r="AO246" s="420" t="s">
        <v>289</v>
      </c>
      <c r="AP246" s="247">
        <f t="shared" ref="AP246:AR247" si="65">SUMIF($AS$9:$AT$9,AP$9,$AS246:$AT246)</f>
        <v>0</v>
      </c>
      <c r="AQ246" s="247">
        <f t="shared" si="65"/>
        <v>0</v>
      </c>
      <c r="AR246" s="247">
        <f t="shared" si="65"/>
        <v>0</v>
      </c>
      <c r="AS246" s="194"/>
      <c r="AT246" s="194"/>
      <c r="AU246" s="326"/>
    </row>
    <row r="247" spans="1:47" ht="12" customHeight="1">
      <c r="A247" s="2"/>
      <c r="B247" s="2"/>
      <c r="C247" s="2"/>
      <c r="D247" s="2"/>
      <c r="E247" s="2"/>
      <c r="F247" s="2"/>
      <c r="G247" s="2"/>
      <c r="H247" s="2"/>
      <c r="I247" s="2"/>
      <c r="J247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413" t="s">
        <v>2092</v>
      </c>
      <c r="AG247" s="2"/>
      <c r="AH247" s="2"/>
      <c r="AI247" s="2"/>
      <c r="AJ247" s="2"/>
      <c r="AK247" s="2"/>
      <c r="AL247" s="124"/>
      <c r="AM247" s="561" t="s">
        <v>2075</v>
      </c>
      <c r="AN247" s="559" t="s">
        <v>1967</v>
      </c>
      <c r="AO247" s="420" t="s">
        <v>195</v>
      </c>
      <c r="AP247" s="247">
        <f t="shared" si="65"/>
        <v>0</v>
      </c>
      <c r="AQ247" s="247">
        <f t="shared" si="65"/>
        <v>0</v>
      </c>
      <c r="AR247" s="247">
        <f t="shared" si="65"/>
        <v>0</v>
      </c>
      <c r="AS247" s="194"/>
      <c r="AT247" s="194"/>
      <c r="AU247" s="326"/>
    </row>
    <row r="248" spans="1:47" ht="12" customHeight="1">
      <c r="A248" s="2"/>
      <c r="B248" s="2"/>
      <c r="C248" s="2"/>
      <c r="D248" s="2"/>
      <c r="E248" s="2"/>
      <c r="F248" s="2"/>
      <c r="G248" s="2"/>
      <c r="H248" s="2"/>
      <c r="I248" s="2"/>
      <c r="J248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413" t="s">
        <v>2093</v>
      </c>
      <c r="AG248" s="2"/>
      <c r="AH248" s="2"/>
      <c r="AI248" s="2"/>
      <c r="AJ248" s="2"/>
      <c r="AK248" s="2"/>
      <c r="AL248" s="124"/>
      <c r="AM248" s="562" t="str">
        <f>AM247 &amp; ".P"</f>
        <v>NAS.P</v>
      </c>
      <c r="AN248" s="531" t="s">
        <v>842</v>
      </c>
      <c r="AO248" s="420" t="s">
        <v>23</v>
      </c>
      <c r="AP248" s="247">
        <f>IF(AP249=0,0,AP247*1000/AP249)</f>
        <v>0</v>
      </c>
      <c r="AQ248" s="247">
        <f>IF(AQ249=0,0,AQ247*1000/AQ249)</f>
        <v>0</v>
      </c>
      <c r="AR248" s="247">
        <f>IF(AR249=0,0,AR247*1000/AR249)</f>
        <v>0</v>
      </c>
      <c r="AS248" s="194"/>
      <c r="AT248" s="194"/>
      <c r="AU248" s="326"/>
    </row>
    <row r="249" spans="1:47" ht="12" customHeight="1">
      <c r="A249" s="2"/>
      <c r="B249" s="2"/>
      <c r="C249" s="2"/>
      <c r="D249" s="2"/>
      <c r="E249" s="2"/>
      <c r="F249" s="2"/>
      <c r="G249" s="2"/>
      <c r="H249" s="2"/>
      <c r="I249" s="2"/>
      <c r="J249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413" t="s">
        <v>2094</v>
      </c>
      <c r="AG249" s="2"/>
      <c r="AH249" s="2"/>
      <c r="AI249" s="2"/>
      <c r="AJ249" s="2"/>
      <c r="AK249" s="2"/>
      <c r="AL249" s="124"/>
      <c r="AM249" s="562" t="str">
        <f>AM247 &amp; ".V"</f>
        <v>NAS.V</v>
      </c>
      <c r="AN249" s="531" t="s">
        <v>245</v>
      </c>
      <c r="AO249" s="420" t="s">
        <v>289</v>
      </c>
      <c r="AP249" s="247">
        <f t="shared" ref="AP249:AR250" si="66">SUMIF($AS$9:$AT$9,AP$9,$AS249:$AT249)</f>
        <v>0</v>
      </c>
      <c r="AQ249" s="247">
        <f t="shared" si="66"/>
        <v>0</v>
      </c>
      <c r="AR249" s="247">
        <f t="shared" si="66"/>
        <v>0</v>
      </c>
      <c r="AS249" s="194"/>
      <c r="AT249" s="194"/>
      <c r="AU249" s="326"/>
    </row>
    <row r="250" spans="1:47" ht="12" customHeight="1">
      <c r="A250" s="2"/>
      <c r="B250" s="2"/>
      <c r="C250" s="2"/>
      <c r="D250" s="2"/>
      <c r="E250" s="2"/>
      <c r="F250" s="2"/>
      <c r="G250" s="2"/>
      <c r="H250" s="2"/>
      <c r="I250" s="2"/>
      <c r="J250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413" t="s">
        <v>2092</v>
      </c>
      <c r="AG250" s="2"/>
      <c r="AH250" s="2"/>
      <c r="AI250" s="2"/>
      <c r="AJ250" s="2"/>
      <c r="AK250" s="2"/>
      <c r="AL250" s="124"/>
      <c r="AM250" s="561" t="s">
        <v>2076</v>
      </c>
      <c r="AN250" s="559" t="s">
        <v>1968</v>
      </c>
      <c r="AO250" s="420" t="s">
        <v>195</v>
      </c>
      <c r="AP250" s="247">
        <f t="shared" si="66"/>
        <v>0</v>
      </c>
      <c r="AQ250" s="247">
        <f t="shared" si="66"/>
        <v>0</v>
      </c>
      <c r="AR250" s="247">
        <f t="shared" si="66"/>
        <v>0</v>
      </c>
      <c r="AS250" s="194"/>
      <c r="AT250" s="194"/>
      <c r="AU250" s="326"/>
    </row>
    <row r="251" spans="1:47" ht="12" customHeight="1">
      <c r="A251" s="2"/>
      <c r="B251" s="2"/>
      <c r="C251" s="2"/>
      <c r="D251" s="2"/>
      <c r="E251" s="2"/>
      <c r="F251" s="2"/>
      <c r="G251" s="2"/>
      <c r="H251" s="2"/>
      <c r="I251" s="2"/>
      <c r="J251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413" t="s">
        <v>2093</v>
      </c>
      <c r="AG251" s="2"/>
      <c r="AH251" s="2"/>
      <c r="AI251" s="2"/>
      <c r="AJ251" s="2"/>
      <c r="AK251" s="2"/>
      <c r="AL251" s="124"/>
      <c r="AM251" s="562" t="str">
        <f>AM250 &amp; ".P"</f>
        <v>NAC.P</v>
      </c>
      <c r="AN251" s="531" t="s">
        <v>842</v>
      </c>
      <c r="AO251" s="420" t="s">
        <v>23</v>
      </c>
      <c r="AP251" s="247">
        <f>IF(AP252=0,0,AP250*1000/AP252)</f>
        <v>0</v>
      </c>
      <c r="AQ251" s="247">
        <f>IF(AQ252=0,0,AQ250*1000/AQ252)</f>
        <v>0</v>
      </c>
      <c r="AR251" s="247">
        <f>IF(AR252=0,0,AR250*1000/AR252)</f>
        <v>0</v>
      </c>
      <c r="AS251" s="194"/>
      <c r="AT251" s="194"/>
      <c r="AU251" s="326"/>
    </row>
    <row r="252" spans="1:47" ht="12" customHeight="1">
      <c r="A252" s="2"/>
      <c r="B252" s="2"/>
      <c r="C252" s="2"/>
      <c r="D252" s="2"/>
      <c r="E252" s="2"/>
      <c r="F252" s="2"/>
      <c r="G252" s="2"/>
      <c r="H252" s="2"/>
      <c r="I252" s="2"/>
      <c r="J25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413" t="s">
        <v>2094</v>
      </c>
      <c r="AG252" s="2"/>
      <c r="AH252" s="2"/>
      <c r="AI252" s="2"/>
      <c r="AJ252" s="2"/>
      <c r="AK252" s="2"/>
      <c r="AL252" s="124"/>
      <c r="AM252" s="562" t="str">
        <f>AM250 &amp; ".V"</f>
        <v>NAC.V</v>
      </c>
      <c r="AN252" s="531" t="s">
        <v>245</v>
      </c>
      <c r="AO252" s="420" t="s">
        <v>289</v>
      </c>
      <c r="AP252" s="247">
        <f t="shared" ref="AP252:AR253" si="67">SUMIF($AS$9:$AT$9,AP$9,$AS252:$AT252)</f>
        <v>0</v>
      </c>
      <c r="AQ252" s="247">
        <f t="shared" si="67"/>
        <v>0</v>
      </c>
      <c r="AR252" s="247">
        <f t="shared" si="67"/>
        <v>0</v>
      </c>
      <c r="AS252" s="194"/>
      <c r="AT252" s="194"/>
      <c r="AU252" s="326"/>
    </row>
    <row r="253" spans="1:47" ht="12" customHeight="1">
      <c r="A253" s="2"/>
      <c r="B253" s="2"/>
      <c r="C253" s="2"/>
      <c r="D253" s="2"/>
      <c r="E253" s="2"/>
      <c r="F253" s="2"/>
      <c r="G253" s="2"/>
      <c r="H253" s="2"/>
      <c r="I253" s="2"/>
      <c r="J253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413" t="s">
        <v>2092</v>
      </c>
      <c r="AG253" s="2"/>
      <c r="AH253" s="2"/>
      <c r="AI253" s="2"/>
      <c r="AJ253" s="2"/>
      <c r="AK253" s="2"/>
      <c r="AL253" s="124"/>
      <c r="AM253" s="561" t="s">
        <v>2077</v>
      </c>
      <c r="AN253" s="559" t="s">
        <v>1969</v>
      </c>
      <c r="AO253" s="420" t="s">
        <v>195</v>
      </c>
      <c r="AP253" s="247">
        <f t="shared" si="67"/>
        <v>0</v>
      </c>
      <c r="AQ253" s="247">
        <f t="shared" si="67"/>
        <v>0</v>
      </c>
      <c r="AR253" s="247">
        <f t="shared" si="67"/>
        <v>0</v>
      </c>
      <c r="AS253" s="194"/>
      <c r="AT253" s="194"/>
      <c r="AU253" s="326"/>
    </row>
    <row r="254" spans="1:47" ht="12" customHeight="1">
      <c r="A254" s="2"/>
      <c r="B254" s="2"/>
      <c r="C254" s="2"/>
      <c r="D254" s="2"/>
      <c r="E254" s="2"/>
      <c r="F254" s="2"/>
      <c r="G254" s="2"/>
      <c r="H254" s="2"/>
      <c r="I254" s="2"/>
      <c r="J254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413" t="s">
        <v>2093</v>
      </c>
      <c r="AG254" s="2"/>
      <c r="AH254" s="2"/>
      <c r="AI254" s="2"/>
      <c r="AJ254" s="2"/>
      <c r="AK254" s="2"/>
      <c r="AL254" s="124"/>
      <c r="AM254" s="562" t="str">
        <f>AM253 &amp; ".P"</f>
        <v>NAAC.P</v>
      </c>
      <c r="AN254" s="531" t="s">
        <v>842</v>
      </c>
      <c r="AO254" s="420" t="s">
        <v>23</v>
      </c>
      <c r="AP254" s="247">
        <f>IF(AP255=0,0,AP253*1000/AP255)</f>
        <v>0</v>
      </c>
      <c r="AQ254" s="247">
        <f>IF(AQ255=0,0,AQ253*1000/AQ255)</f>
        <v>0</v>
      </c>
      <c r="AR254" s="247">
        <f>IF(AR255=0,0,AR253*1000/AR255)</f>
        <v>0</v>
      </c>
      <c r="AS254" s="194"/>
      <c r="AT254" s="194"/>
      <c r="AU254" s="326"/>
    </row>
    <row r="255" spans="1:47" ht="12" customHeight="1">
      <c r="A255" s="2"/>
      <c r="B255" s="2"/>
      <c r="C255" s="2"/>
      <c r="D255" s="2"/>
      <c r="E255" s="2"/>
      <c r="F255" s="2"/>
      <c r="G255" s="2"/>
      <c r="H255" s="2"/>
      <c r="I255" s="2"/>
      <c r="J25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413" t="s">
        <v>2094</v>
      </c>
      <c r="AG255" s="2"/>
      <c r="AH255" s="2"/>
      <c r="AI255" s="2"/>
      <c r="AJ255" s="2"/>
      <c r="AK255" s="2"/>
      <c r="AL255" s="124"/>
      <c r="AM255" s="562" t="str">
        <f>AM253 &amp; ".V"</f>
        <v>NAAC.V</v>
      </c>
      <c r="AN255" s="531" t="s">
        <v>245</v>
      </c>
      <c r="AO255" s="420" t="s">
        <v>289</v>
      </c>
      <c r="AP255" s="247">
        <f t="shared" ref="AP255:AR256" si="68">SUMIF($AS$9:$AT$9,AP$9,$AS255:$AT255)</f>
        <v>0</v>
      </c>
      <c r="AQ255" s="247">
        <f t="shared" si="68"/>
        <v>0</v>
      </c>
      <c r="AR255" s="247">
        <f t="shared" si="68"/>
        <v>0</v>
      </c>
      <c r="AS255" s="194"/>
      <c r="AT255" s="194"/>
      <c r="AU255" s="326"/>
    </row>
    <row r="256" spans="1:47" ht="12" customHeight="1">
      <c r="A256" s="2"/>
      <c r="B256" s="2"/>
      <c r="C256" s="2"/>
      <c r="D256" s="2"/>
      <c r="E256" s="2"/>
      <c r="F256" s="2"/>
      <c r="G256" s="2"/>
      <c r="H256" s="2"/>
      <c r="I256" s="2"/>
      <c r="J256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413" t="s">
        <v>2092</v>
      </c>
      <c r="AG256" s="2"/>
      <c r="AH256" s="2"/>
      <c r="AI256" s="2"/>
      <c r="AJ256" s="2"/>
      <c r="AK256" s="2"/>
      <c r="AL256" s="124"/>
      <c r="AM256" s="561" t="s">
        <v>2027</v>
      </c>
      <c r="AN256" s="559" t="s">
        <v>1970</v>
      </c>
      <c r="AO256" s="420" t="s">
        <v>195</v>
      </c>
      <c r="AP256" s="247">
        <f t="shared" si="68"/>
        <v>0</v>
      </c>
      <c r="AQ256" s="247">
        <f t="shared" si="68"/>
        <v>0</v>
      </c>
      <c r="AR256" s="247">
        <f t="shared" si="68"/>
        <v>0</v>
      </c>
      <c r="AS256" s="194"/>
      <c r="AT256" s="194"/>
      <c r="AU256" s="326"/>
    </row>
    <row r="257" spans="1:47" ht="12" customHeight="1">
      <c r="A257" s="2"/>
      <c r="B257" s="2"/>
      <c r="C257" s="2"/>
      <c r="D257" s="2"/>
      <c r="E257" s="2"/>
      <c r="F257" s="2"/>
      <c r="G257" s="2"/>
      <c r="H257" s="2"/>
      <c r="I257" s="2"/>
      <c r="J257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413" t="s">
        <v>2093</v>
      </c>
      <c r="AG257" s="2"/>
      <c r="AH257" s="2"/>
      <c r="AI257" s="2"/>
      <c r="AJ257" s="2"/>
      <c r="AK257" s="2"/>
      <c r="AL257" s="124"/>
      <c r="AM257" s="562" t="str">
        <f>AM256 &amp; ".P"</f>
        <v>NACL.P</v>
      </c>
      <c r="AN257" s="531" t="s">
        <v>842</v>
      </c>
      <c r="AO257" s="420" t="s">
        <v>23</v>
      </c>
      <c r="AP257" s="247">
        <f>IF(AP258=0,0,AP256*1000/AP258)</f>
        <v>0</v>
      </c>
      <c r="AQ257" s="247">
        <f>IF(AQ258=0,0,AQ256*1000/AQ258)</f>
        <v>0</v>
      </c>
      <c r="AR257" s="247">
        <f>IF(AR258=0,0,AR256*1000/AR258)</f>
        <v>0</v>
      </c>
      <c r="AS257" s="194"/>
      <c r="AT257" s="194"/>
      <c r="AU257" s="326"/>
    </row>
    <row r="258" spans="1:47" ht="12" customHeight="1">
      <c r="A258" s="2"/>
      <c r="B258" s="2"/>
      <c r="C258" s="2"/>
      <c r="D258" s="2"/>
      <c r="E258" s="2"/>
      <c r="F258" s="2"/>
      <c r="G258" s="2"/>
      <c r="H258" s="2"/>
      <c r="I258" s="2"/>
      <c r="J258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413" t="s">
        <v>2094</v>
      </c>
      <c r="AG258" s="2"/>
      <c r="AH258" s="2"/>
      <c r="AI258" s="2"/>
      <c r="AJ258" s="2"/>
      <c r="AK258" s="2"/>
      <c r="AL258" s="124"/>
      <c r="AM258" s="562" t="str">
        <f>AM256 &amp; ".V"</f>
        <v>NACL.V</v>
      </c>
      <c r="AN258" s="531" t="s">
        <v>245</v>
      </c>
      <c r="AO258" s="420" t="s">
        <v>289</v>
      </c>
      <c r="AP258" s="247">
        <f t="shared" ref="AP258:AR262" si="69">SUMIF($AS$9:$AT$9,AP$9,$AS258:$AT258)</f>
        <v>0</v>
      </c>
      <c r="AQ258" s="247">
        <f t="shared" si="69"/>
        <v>0</v>
      </c>
      <c r="AR258" s="247">
        <f t="shared" si="69"/>
        <v>0</v>
      </c>
      <c r="AS258" s="194"/>
      <c r="AT258" s="194"/>
      <c r="AU258" s="326"/>
    </row>
    <row r="259" spans="1:47" ht="12" customHeight="1">
      <c r="A259" s="2"/>
      <c r="B259" s="2"/>
      <c r="C259" s="2"/>
      <c r="D259" s="2"/>
      <c r="E259" s="2"/>
      <c r="F259" s="2"/>
      <c r="G259" s="2"/>
      <c r="H259" s="2"/>
      <c r="I259" s="2"/>
      <c r="J259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413" t="s">
        <v>2092</v>
      </c>
      <c r="AG259" s="2"/>
      <c r="AH259" s="2"/>
      <c r="AI259" s="2"/>
      <c r="AJ259" s="2"/>
      <c r="AK259" s="2"/>
      <c r="AL259" s="124"/>
      <c r="AM259" s="638" t="s">
        <v>2327</v>
      </c>
      <c r="AN259" s="559" t="s">
        <v>2328</v>
      </c>
      <c r="AO259" s="420" t="s">
        <v>195</v>
      </c>
      <c r="AP259" s="247">
        <f t="shared" si="69"/>
        <v>0</v>
      </c>
      <c r="AQ259" s="247">
        <f t="shared" si="69"/>
        <v>0</v>
      </c>
      <c r="AR259" s="247">
        <f t="shared" si="69"/>
        <v>0</v>
      </c>
      <c r="AS259" s="194"/>
      <c r="AT259" s="194"/>
      <c r="AU259" s="326"/>
    </row>
    <row r="260" spans="1:47" ht="12" customHeight="1">
      <c r="A260" s="2"/>
      <c r="B260" s="2"/>
      <c r="C260" s="2"/>
      <c r="D260" s="2"/>
      <c r="E260" s="2"/>
      <c r="F260" s="2"/>
      <c r="G260" s="2"/>
      <c r="H260" s="2"/>
      <c r="I260" s="2"/>
      <c r="J260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413" t="s">
        <v>2093</v>
      </c>
      <c r="AG260" s="2"/>
      <c r="AH260" s="2"/>
      <c r="AI260" s="2"/>
      <c r="AJ260" s="2"/>
      <c r="AK260" s="2"/>
      <c r="AL260" s="124"/>
      <c r="AM260" s="639" t="str">
        <f>AM259 &amp; ".P"</f>
        <v>FLOFOAM.P</v>
      </c>
      <c r="AN260" s="531" t="s">
        <v>842</v>
      </c>
      <c r="AO260" s="420" t="s">
        <v>23</v>
      </c>
      <c r="AP260" s="247">
        <f>IF(AP261=0,0,AP259*1000/AP261)</f>
        <v>0</v>
      </c>
      <c r="AQ260" s="247">
        <f>IF(AQ261=0,0,AQ259*1000/AQ261)</f>
        <v>0</v>
      </c>
      <c r="AR260" s="247">
        <f>IF(AR261=0,0,AR259*1000/AR261)</f>
        <v>0</v>
      </c>
      <c r="AS260" s="194"/>
      <c r="AT260" s="194"/>
      <c r="AU260" s="326"/>
    </row>
    <row r="261" spans="1:47" ht="12" customHeight="1">
      <c r="A261" s="2"/>
      <c r="B261" s="2"/>
      <c r="C261" s="2"/>
      <c r="D261" s="2"/>
      <c r="E261" s="2"/>
      <c r="F261" s="2"/>
      <c r="G261" s="2"/>
      <c r="H261" s="2"/>
      <c r="I261" s="2"/>
      <c r="J261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413" t="s">
        <v>2094</v>
      </c>
      <c r="AG261" s="2"/>
      <c r="AH261" s="2"/>
      <c r="AI261" s="2"/>
      <c r="AJ261" s="2"/>
      <c r="AK261" s="2"/>
      <c r="AL261" s="124"/>
      <c r="AM261" s="639" t="str">
        <f>AM259 &amp; ".V"</f>
        <v>FLOFOAM.V</v>
      </c>
      <c r="AN261" s="531" t="s">
        <v>245</v>
      </c>
      <c r="AO261" s="420" t="s">
        <v>289</v>
      </c>
      <c r="AP261" s="247">
        <f>SUMIF($AS$9:$AT$9,AP$9,$AS261:$AT261)</f>
        <v>0</v>
      </c>
      <c r="AQ261" s="247">
        <f>SUMIF($AS$9:$AT$9,AQ$9,$AS261:$AT261)</f>
        <v>0</v>
      </c>
      <c r="AR261" s="247">
        <f>SUMIF($AS$9:$AT$9,AR$9,$AS261:$AT261)</f>
        <v>0</v>
      </c>
      <c r="AS261" s="194"/>
      <c r="AT261" s="194"/>
      <c r="AU261" s="326"/>
    </row>
    <row r="262" spans="1:47" ht="12" customHeight="1">
      <c r="A262" s="2"/>
      <c r="B262" s="2"/>
      <c r="C262" s="2"/>
      <c r="D262" s="2"/>
      <c r="E262" s="2"/>
      <c r="F262" s="2"/>
      <c r="G262" s="2"/>
      <c r="H262" s="2"/>
      <c r="I262" s="2"/>
      <c r="J26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413" t="s">
        <v>2092</v>
      </c>
      <c r="AG262" s="2"/>
      <c r="AH262" s="2"/>
      <c r="AI262" s="2"/>
      <c r="AJ262" s="2"/>
      <c r="AK262" s="2"/>
      <c r="AL262" s="124"/>
      <c r="AM262" s="561" t="s">
        <v>2026</v>
      </c>
      <c r="AN262" s="559" t="s">
        <v>1971</v>
      </c>
      <c r="AO262" s="420" t="s">
        <v>195</v>
      </c>
      <c r="AP262" s="247">
        <f t="shared" si="69"/>
        <v>0</v>
      </c>
      <c r="AQ262" s="247">
        <f t="shared" si="69"/>
        <v>0</v>
      </c>
      <c r="AR262" s="247">
        <f t="shared" si="69"/>
        <v>0</v>
      </c>
      <c r="AS262" s="194"/>
      <c r="AT262" s="194"/>
      <c r="AU262" s="326"/>
    </row>
    <row r="263" spans="1:47" ht="12" customHeight="1">
      <c r="A263" s="2"/>
      <c r="B263" s="2"/>
      <c r="C263" s="2"/>
      <c r="D263" s="2"/>
      <c r="E263" s="2"/>
      <c r="F263" s="2"/>
      <c r="G263" s="2"/>
      <c r="H263" s="2"/>
      <c r="I263" s="2"/>
      <c r="J263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413" t="s">
        <v>2093</v>
      </c>
      <c r="AG263" s="2"/>
      <c r="AH263" s="2"/>
      <c r="AI263" s="2"/>
      <c r="AJ263" s="2"/>
      <c r="AK263" s="2"/>
      <c r="AL263" s="124"/>
      <c r="AM263" s="562" t="str">
        <f>AM262 &amp; ".P"</f>
        <v>RGRS.P</v>
      </c>
      <c r="AN263" s="531" t="s">
        <v>842</v>
      </c>
      <c r="AO263" s="420" t="s">
        <v>23</v>
      </c>
      <c r="AP263" s="247">
        <f>IF(AP264=0,0,AP262*1000/AP264)</f>
        <v>0</v>
      </c>
      <c r="AQ263" s="247">
        <f>IF(AQ264=0,0,AQ262*1000/AQ264)</f>
        <v>0</v>
      </c>
      <c r="AR263" s="247">
        <f>IF(AR264=0,0,AR262*1000/AR264)</f>
        <v>0</v>
      </c>
      <c r="AS263" s="194"/>
      <c r="AT263" s="194"/>
      <c r="AU263" s="326"/>
    </row>
    <row r="264" spans="1:47" ht="12" customHeight="1">
      <c r="A264" s="2"/>
      <c r="B264" s="2"/>
      <c r="C264" s="2"/>
      <c r="D264" s="2"/>
      <c r="E264" s="2"/>
      <c r="F264" s="2"/>
      <c r="G264" s="2"/>
      <c r="H264" s="2"/>
      <c r="I264" s="2"/>
      <c r="J264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413" t="s">
        <v>2094</v>
      </c>
      <c r="AG264" s="2"/>
      <c r="AH264" s="2"/>
      <c r="AI264" s="2"/>
      <c r="AJ264" s="2"/>
      <c r="AK264" s="2"/>
      <c r="AL264" s="124"/>
      <c r="AM264" s="562" t="str">
        <f>AM262 &amp; ".V"</f>
        <v>RGRS.V</v>
      </c>
      <c r="AN264" s="531" t="s">
        <v>245</v>
      </c>
      <c r="AO264" s="420" t="s">
        <v>289</v>
      </c>
      <c r="AP264" s="247">
        <f t="shared" ref="AP264:AR265" si="70">SUMIF($AS$9:$AT$9,AP$9,$AS264:$AT264)</f>
        <v>0</v>
      </c>
      <c r="AQ264" s="247">
        <f t="shared" si="70"/>
        <v>0</v>
      </c>
      <c r="AR264" s="247">
        <f t="shared" si="70"/>
        <v>0</v>
      </c>
      <c r="AS264" s="194"/>
      <c r="AT264" s="194"/>
      <c r="AU264" s="326"/>
    </row>
    <row r="265" spans="1:47" ht="12" customHeight="1">
      <c r="A265" s="2"/>
      <c r="B265" s="2"/>
      <c r="C265" s="2"/>
      <c r="D265" s="2"/>
      <c r="E265" s="2"/>
      <c r="F265" s="2"/>
      <c r="G265" s="2"/>
      <c r="H265" s="2"/>
      <c r="I265" s="2"/>
      <c r="J26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413" t="s">
        <v>2092</v>
      </c>
      <c r="AG265" s="2"/>
      <c r="AH265" s="2"/>
      <c r="AI265" s="2"/>
      <c r="AJ265" s="2"/>
      <c r="AK265" s="2"/>
      <c r="AL265" s="124"/>
      <c r="AM265" s="561" t="s">
        <v>2025</v>
      </c>
      <c r="AN265" s="559" t="s">
        <v>1972</v>
      </c>
      <c r="AO265" s="420" t="s">
        <v>195</v>
      </c>
      <c r="AP265" s="247">
        <f t="shared" si="70"/>
        <v>0</v>
      </c>
      <c r="AQ265" s="247">
        <f t="shared" si="70"/>
        <v>0</v>
      </c>
      <c r="AR265" s="247">
        <f t="shared" si="70"/>
        <v>0</v>
      </c>
      <c r="AS265" s="194"/>
      <c r="AT265" s="194"/>
      <c r="AU265" s="326"/>
    </row>
    <row r="266" spans="1:47" ht="12" customHeight="1">
      <c r="A266" s="2"/>
      <c r="B266" s="2"/>
      <c r="C266" s="2"/>
      <c r="D266" s="2"/>
      <c r="E266" s="2"/>
      <c r="F266" s="2"/>
      <c r="G266" s="2"/>
      <c r="H266" s="2"/>
      <c r="I266" s="2"/>
      <c r="J266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413" t="s">
        <v>2093</v>
      </c>
      <c r="AG266" s="2"/>
      <c r="AH266" s="2"/>
      <c r="AI266" s="2"/>
      <c r="AJ266" s="2"/>
      <c r="AK266" s="2"/>
      <c r="AL266" s="124"/>
      <c r="AM266" s="562" t="str">
        <f>AM265 &amp; ".P"</f>
        <v>RNSL.P</v>
      </c>
      <c r="AN266" s="531" t="s">
        <v>842</v>
      </c>
      <c r="AO266" s="420" t="s">
        <v>23</v>
      </c>
      <c r="AP266" s="247">
        <f>IF(AP267=0,0,AP265*1000/AP267)</f>
        <v>0</v>
      </c>
      <c r="AQ266" s="247">
        <f>IF(AQ267=0,0,AQ265*1000/AQ267)</f>
        <v>0</v>
      </c>
      <c r="AR266" s="247">
        <f>IF(AR267=0,0,AR265*1000/AR267)</f>
        <v>0</v>
      </c>
      <c r="AS266" s="194"/>
      <c r="AT266" s="194"/>
      <c r="AU266" s="326"/>
    </row>
    <row r="267" spans="1:47" ht="12" customHeight="1">
      <c r="A267" s="2"/>
      <c r="B267" s="2"/>
      <c r="C267" s="2"/>
      <c r="D267" s="2"/>
      <c r="E267" s="2"/>
      <c r="F267" s="2"/>
      <c r="G267" s="2"/>
      <c r="H267" s="2"/>
      <c r="I267" s="2"/>
      <c r="J267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413" t="s">
        <v>2094</v>
      </c>
      <c r="AG267" s="2"/>
      <c r="AH267" s="2"/>
      <c r="AI267" s="2"/>
      <c r="AJ267" s="2"/>
      <c r="AK267" s="2"/>
      <c r="AL267" s="124"/>
      <c r="AM267" s="562" t="str">
        <f>AM265 &amp; ".V"</f>
        <v>RNSL.V</v>
      </c>
      <c r="AN267" s="531" t="s">
        <v>245</v>
      </c>
      <c r="AO267" s="420" t="s">
        <v>289</v>
      </c>
      <c r="AP267" s="247">
        <f t="shared" ref="AP267:AR268" si="71">SUMIF($AS$9:$AT$9,AP$9,$AS267:$AT267)</f>
        <v>0</v>
      </c>
      <c r="AQ267" s="247">
        <f t="shared" si="71"/>
        <v>0</v>
      </c>
      <c r="AR267" s="247">
        <f t="shared" si="71"/>
        <v>0</v>
      </c>
      <c r="AS267" s="194"/>
      <c r="AT267" s="194"/>
      <c r="AU267" s="326"/>
    </row>
    <row r="268" spans="1:47" ht="12" customHeight="1">
      <c r="A268" s="2"/>
      <c r="B268" s="2"/>
      <c r="C268" s="2"/>
      <c r="D268" s="2"/>
      <c r="E268" s="2"/>
      <c r="F268" s="2"/>
      <c r="G268" s="2"/>
      <c r="H268" s="2"/>
      <c r="I268" s="2"/>
      <c r="J268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413" t="s">
        <v>2092</v>
      </c>
      <c r="AG268" s="2"/>
      <c r="AH268" s="2"/>
      <c r="AI268" s="2"/>
      <c r="AJ268" s="2"/>
      <c r="AK268" s="2"/>
      <c r="AL268" s="124"/>
      <c r="AM268" s="561" t="s">
        <v>2078</v>
      </c>
      <c r="AN268" s="559" t="s">
        <v>1973</v>
      </c>
      <c r="AO268" s="420" t="s">
        <v>195</v>
      </c>
      <c r="AP268" s="247">
        <f t="shared" si="71"/>
        <v>0</v>
      </c>
      <c r="AQ268" s="247">
        <f t="shared" si="71"/>
        <v>0</v>
      </c>
      <c r="AR268" s="247">
        <f t="shared" si="71"/>
        <v>0</v>
      </c>
      <c r="AS268" s="194"/>
      <c r="AT268" s="194"/>
      <c r="AU268" s="326"/>
    </row>
    <row r="269" spans="1:47" ht="12" customHeight="1">
      <c r="A269" s="2"/>
      <c r="B269" s="2"/>
      <c r="C269" s="2"/>
      <c r="D269" s="2"/>
      <c r="E269" s="2"/>
      <c r="F269" s="2"/>
      <c r="G269" s="2"/>
      <c r="H269" s="2"/>
      <c r="I269" s="2"/>
      <c r="J269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413" t="s">
        <v>2093</v>
      </c>
      <c r="AG269" s="2"/>
      <c r="AH269" s="2"/>
      <c r="AI269" s="2"/>
      <c r="AJ269" s="2"/>
      <c r="AK269" s="2"/>
      <c r="AL269" s="124"/>
      <c r="AM269" s="562" t="str">
        <f>AM268 &amp; ".P"</f>
        <v>PBAC.P</v>
      </c>
      <c r="AN269" s="531" t="s">
        <v>842</v>
      </c>
      <c r="AO269" s="420" t="s">
        <v>23</v>
      </c>
      <c r="AP269" s="247">
        <f>IF(AP270=0,0,AP268*1000/AP270)</f>
        <v>0</v>
      </c>
      <c r="AQ269" s="247">
        <f>IF(AQ270=0,0,AQ268*1000/AQ270)</f>
        <v>0</v>
      </c>
      <c r="AR269" s="247">
        <f>IF(AR270=0,0,AR268*1000/AR270)</f>
        <v>0</v>
      </c>
      <c r="AS269" s="194"/>
      <c r="AT269" s="194"/>
      <c r="AU269" s="326"/>
    </row>
    <row r="270" spans="1:47" ht="12" customHeight="1">
      <c r="A270" s="2"/>
      <c r="B270" s="2"/>
      <c r="C270" s="2"/>
      <c r="D270" s="2"/>
      <c r="E270" s="2"/>
      <c r="F270" s="2"/>
      <c r="G270" s="2"/>
      <c r="H270" s="2"/>
      <c r="I270" s="2"/>
      <c r="J270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413" t="s">
        <v>2094</v>
      </c>
      <c r="AG270" s="2"/>
      <c r="AH270" s="2"/>
      <c r="AI270" s="2"/>
      <c r="AJ270" s="2"/>
      <c r="AK270" s="2"/>
      <c r="AL270" s="124"/>
      <c r="AM270" s="562" t="str">
        <f>AM268 &amp; ".V"</f>
        <v>PBAC.V</v>
      </c>
      <c r="AN270" s="531" t="s">
        <v>245</v>
      </c>
      <c r="AO270" s="420" t="s">
        <v>289</v>
      </c>
      <c r="AP270" s="247">
        <f t="shared" ref="AP270:AR271" si="72">SUMIF($AS$9:$AT$9,AP$9,$AS270:$AT270)</f>
        <v>0</v>
      </c>
      <c r="AQ270" s="247">
        <f t="shared" si="72"/>
        <v>0</v>
      </c>
      <c r="AR270" s="247">
        <f t="shared" si="72"/>
        <v>0</v>
      </c>
      <c r="AS270" s="194"/>
      <c r="AT270" s="194"/>
      <c r="AU270" s="326"/>
    </row>
    <row r="271" spans="1:47" ht="12" customHeight="1">
      <c r="A271" s="2"/>
      <c r="B271" s="2"/>
      <c r="C271" s="2"/>
      <c r="D271" s="2"/>
      <c r="E271" s="2"/>
      <c r="F271" s="2"/>
      <c r="G271" s="2"/>
      <c r="H271" s="2"/>
      <c r="I271" s="2"/>
      <c r="J27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413" t="s">
        <v>2092</v>
      </c>
      <c r="AG271" s="2"/>
      <c r="AH271" s="2"/>
      <c r="AI271" s="2"/>
      <c r="AJ271" s="2"/>
      <c r="AK271" s="2"/>
      <c r="AL271" s="124"/>
      <c r="AM271" s="561" t="s">
        <v>2079</v>
      </c>
      <c r="AN271" s="559" t="s">
        <v>1974</v>
      </c>
      <c r="AO271" s="420" t="s">
        <v>195</v>
      </c>
      <c r="AP271" s="247">
        <f t="shared" si="72"/>
        <v>0</v>
      </c>
      <c r="AQ271" s="247">
        <f t="shared" si="72"/>
        <v>0</v>
      </c>
      <c r="AR271" s="247">
        <f t="shared" si="72"/>
        <v>0</v>
      </c>
      <c r="AS271" s="194"/>
      <c r="AT271" s="194"/>
      <c r="AU271" s="326"/>
    </row>
    <row r="272" spans="1:47" ht="12" customHeight="1">
      <c r="A272" s="2"/>
      <c r="B272" s="2"/>
      <c r="C272" s="2"/>
      <c r="D272" s="2"/>
      <c r="E272" s="2"/>
      <c r="F272" s="2"/>
      <c r="G272" s="2"/>
      <c r="H272" s="2"/>
      <c r="I272" s="2"/>
      <c r="J27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413" t="s">
        <v>2093</v>
      </c>
      <c r="AG272" s="2"/>
      <c r="AH272" s="2"/>
      <c r="AI272" s="2"/>
      <c r="AJ272" s="2"/>
      <c r="AK272" s="2"/>
      <c r="AL272" s="124"/>
      <c r="AM272" s="562" t="str">
        <f>AM271 &amp; ".P"</f>
        <v>AGN.P</v>
      </c>
      <c r="AN272" s="531" t="s">
        <v>842</v>
      </c>
      <c r="AO272" s="420" t="s">
        <v>23</v>
      </c>
      <c r="AP272" s="247">
        <f>IF(AP273=0,0,AP271*1000/AP273)</f>
        <v>0</v>
      </c>
      <c r="AQ272" s="247">
        <f>IF(AQ273=0,0,AQ271*1000/AQ273)</f>
        <v>0</v>
      </c>
      <c r="AR272" s="247">
        <f>IF(AR273=0,0,AR271*1000/AR273)</f>
        <v>0</v>
      </c>
      <c r="AS272" s="194"/>
      <c r="AT272" s="194"/>
      <c r="AU272" s="326"/>
    </row>
    <row r="273" spans="1:47" ht="12" customHeight="1">
      <c r="A273" s="2"/>
      <c r="B273" s="2"/>
      <c r="C273" s="2"/>
      <c r="D273" s="2"/>
      <c r="E273" s="2"/>
      <c r="F273" s="2"/>
      <c r="G273" s="2"/>
      <c r="H273" s="2"/>
      <c r="I273" s="2"/>
      <c r="J273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413" t="s">
        <v>2094</v>
      </c>
      <c r="AG273" s="2"/>
      <c r="AH273" s="2"/>
      <c r="AI273" s="2"/>
      <c r="AJ273" s="2"/>
      <c r="AK273" s="2"/>
      <c r="AL273" s="124"/>
      <c r="AM273" s="562" t="str">
        <f>AM271 &amp; ".V"</f>
        <v>AGN.V</v>
      </c>
      <c r="AN273" s="531" t="s">
        <v>245</v>
      </c>
      <c r="AO273" s="420" t="s">
        <v>289</v>
      </c>
      <c r="AP273" s="247">
        <f t="shared" ref="AP273:AR274" si="73">SUMIF($AS$9:$AT$9,AP$9,$AS273:$AT273)</f>
        <v>0</v>
      </c>
      <c r="AQ273" s="247">
        <f t="shared" si="73"/>
        <v>0</v>
      </c>
      <c r="AR273" s="247">
        <f t="shared" si="73"/>
        <v>0</v>
      </c>
      <c r="AS273" s="194"/>
      <c r="AT273" s="194"/>
      <c r="AU273" s="326"/>
    </row>
    <row r="274" spans="1:47" ht="12" customHeight="1">
      <c r="A274" s="2"/>
      <c r="B274" s="2"/>
      <c r="C274" s="2"/>
      <c r="D274" s="2"/>
      <c r="E274" s="2"/>
      <c r="F274" s="2"/>
      <c r="G274" s="2"/>
      <c r="H274" s="2"/>
      <c r="I274" s="2"/>
      <c r="J274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413" t="s">
        <v>2092</v>
      </c>
      <c r="AG274" s="2"/>
      <c r="AH274" s="2"/>
      <c r="AI274" s="2"/>
      <c r="AJ274" s="2"/>
      <c r="AK274" s="2"/>
      <c r="AL274" s="124"/>
      <c r="AM274" s="561" t="s">
        <v>2080</v>
      </c>
      <c r="AN274" s="559" t="s">
        <v>1975</v>
      </c>
      <c r="AO274" s="420" t="s">
        <v>195</v>
      </c>
      <c r="AP274" s="247">
        <f t="shared" si="73"/>
        <v>0</v>
      </c>
      <c r="AQ274" s="247">
        <f t="shared" si="73"/>
        <v>0</v>
      </c>
      <c r="AR274" s="247">
        <f t="shared" si="73"/>
        <v>0</v>
      </c>
      <c r="AS274" s="194"/>
      <c r="AT274" s="194"/>
      <c r="AU274" s="326"/>
    </row>
    <row r="275" spans="1:47" ht="12" customHeight="1">
      <c r="A275" s="2"/>
      <c r="B275" s="2"/>
      <c r="C275" s="2"/>
      <c r="D275" s="2"/>
      <c r="E275" s="2"/>
      <c r="F275" s="2"/>
      <c r="G275" s="2"/>
      <c r="H275" s="2"/>
      <c r="I275" s="2"/>
      <c r="J27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413" t="s">
        <v>2093</v>
      </c>
      <c r="AG275" s="2"/>
      <c r="AH275" s="2"/>
      <c r="AI275" s="2"/>
      <c r="AJ275" s="2"/>
      <c r="AK275" s="2"/>
      <c r="AL275" s="124"/>
      <c r="AM275" s="562" t="str">
        <f>AM274 &amp; ".P"</f>
        <v>AGS.P</v>
      </c>
      <c r="AN275" s="531" t="s">
        <v>842</v>
      </c>
      <c r="AO275" s="420" t="s">
        <v>23</v>
      </c>
      <c r="AP275" s="247">
        <f>IF(AP276=0,0,AP274*1000/AP276)</f>
        <v>0</v>
      </c>
      <c r="AQ275" s="247">
        <f>IF(AQ276=0,0,AQ274*1000/AQ276)</f>
        <v>0</v>
      </c>
      <c r="AR275" s="247">
        <f>IF(AR276=0,0,AR274*1000/AR276)</f>
        <v>0</v>
      </c>
      <c r="AS275" s="194"/>
      <c r="AT275" s="194"/>
      <c r="AU275" s="326"/>
    </row>
    <row r="276" spans="1:47" ht="12" customHeight="1">
      <c r="A276" s="2"/>
      <c r="B276" s="2"/>
      <c r="C276" s="2"/>
      <c r="D276" s="2"/>
      <c r="E276" s="2"/>
      <c r="F276" s="2"/>
      <c r="G276" s="2"/>
      <c r="H276" s="2"/>
      <c r="I276" s="2"/>
      <c r="J276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413" t="s">
        <v>2094</v>
      </c>
      <c r="AG276" s="2"/>
      <c r="AH276" s="2"/>
      <c r="AI276" s="2"/>
      <c r="AJ276" s="2"/>
      <c r="AK276" s="2"/>
      <c r="AL276" s="124"/>
      <c r="AM276" s="562" t="str">
        <f>AM274 &amp; ".V"</f>
        <v>AGS.V</v>
      </c>
      <c r="AN276" s="531" t="s">
        <v>245</v>
      </c>
      <c r="AO276" s="420" t="s">
        <v>289</v>
      </c>
      <c r="AP276" s="247">
        <f t="shared" ref="AP276:AR277" si="74">SUMIF($AS$9:$AT$9,AP$9,$AS276:$AT276)</f>
        <v>0</v>
      </c>
      <c r="AQ276" s="247">
        <f t="shared" si="74"/>
        <v>0</v>
      </c>
      <c r="AR276" s="247">
        <f t="shared" si="74"/>
        <v>0</v>
      </c>
      <c r="AS276" s="194"/>
      <c r="AT276" s="194"/>
      <c r="AU276" s="326"/>
    </row>
    <row r="277" spans="1:47" ht="12" customHeight="1">
      <c r="A277" s="2"/>
      <c r="B277" s="2"/>
      <c r="C277" s="2"/>
      <c r="D277" s="2"/>
      <c r="E277" s="2"/>
      <c r="F277" s="2"/>
      <c r="G277" s="2"/>
      <c r="H277" s="2"/>
      <c r="I277" s="2"/>
      <c r="J277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413" t="s">
        <v>2092</v>
      </c>
      <c r="AG277" s="2"/>
      <c r="AH277" s="2"/>
      <c r="AI277" s="2"/>
      <c r="AJ277" s="2"/>
      <c r="AK277" s="2"/>
      <c r="AL277" s="124"/>
      <c r="AM277" s="561" t="s">
        <v>2018</v>
      </c>
      <c r="AN277" s="559" t="s">
        <v>1976</v>
      </c>
      <c r="AO277" s="420" t="s">
        <v>195</v>
      </c>
      <c r="AP277" s="247">
        <f t="shared" si="74"/>
        <v>0</v>
      </c>
      <c r="AQ277" s="247">
        <f t="shared" si="74"/>
        <v>0</v>
      </c>
      <c r="AR277" s="247">
        <f t="shared" si="74"/>
        <v>0</v>
      </c>
      <c r="AS277" s="194"/>
      <c r="AT277" s="194"/>
      <c r="AU277" s="326"/>
    </row>
    <row r="278" spans="1:47" ht="12" customHeight="1">
      <c r="A278" s="2"/>
      <c r="B278" s="2"/>
      <c r="C278" s="2"/>
      <c r="D278" s="2"/>
      <c r="E278" s="2"/>
      <c r="F278" s="2"/>
      <c r="G278" s="2"/>
      <c r="H278" s="2"/>
      <c r="I278" s="2"/>
      <c r="J278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413" t="s">
        <v>2093</v>
      </c>
      <c r="AG278" s="2"/>
      <c r="AH278" s="2"/>
      <c r="AI278" s="2"/>
      <c r="AJ278" s="2"/>
      <c r="AK278" s="2"/>
      <c r="AL278" s="124"/>
      <c r="AM278" s="562" t="str">
        <f>AM277 &amp; ".P"</f>
        <v>SODACA.P</v>
      </c>
      <c r="AN278" s="531" t="s">
        <v>842</v>
      </c>
      <c r="AO278" s="420" t="s">
        <v>23</v>
      </c>
      <c r="AP278" s="247">
        <f>IF(AP279=0,0,AP277*1000/AP279)</f>
        <v>0</v>
      </c>
      <c r="AQ278" s="247">
        <f>IF(AQ279=0,0,AQ277*1000/AQ279)</f>
        <v>0</v>
      </c>
      <c r="AR278" s="247">
        <f>IF(AR279=0,0,AR277*1000/AR279)</f>
        <v>0</v>
      </c>
      <c r="AS278" s="194"/>
      <c r="AT278" s="194"/>
      <c r="AU278" s="326"/>
    </row>
    <row r="279" spans="1:47" ht="12" customHeight="1">
      <c r="A279" s="2"/>
      <c r="B279" s="2"/>
      <c r="C279" s="2"/>
      <c r="D279" s="2"/>
      <c r="E279" s="2"/>
      <c r="F279" s="2"/>
      <c r="G279" s="2"/>
      <c r="H279" s="2"/>
      <c r="I279" s="2"/>
      <c r="J279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413" t="s">
        <v>2094</v>
      </c>
      <c r="AG279" s="2"/>
      <c r="AH279" s="2"/>
      <c r="AI279" s="2"/>
      <c r="AJ279" s="2"/>
      <c r="AK279" s="2"/>
      <c r="AL279" s="124"/>
      <c r="AM279" s="562" t="str">
        <f>AM277 &amp; ".V"</f>
        <v>SODACA.V</v>
      </c>
      <c r="AN279" s="531" t="s">
        <v>245</v>
      </c>
      <c r="AO279" s="420" t="s">
        <v>289</v>
      </c>
      <c r="AP279" s="247">
        <f t="shared" ref="AP279:AR280" si="75">SUMIF($AS$9:$AT$9,AP$9,$AS279:$AT279)</f>
        <v>0</v>
      </c>
      <c r="AQ279" s="247">
        <f t="shared" si="75"/>
        <v>0</v>
      </c>
      <c r="AR279" s="247">
        <f t="shared" si="75"/>
        <v>0</v>
      </c>
      <c r="AS279" s="194"/>
      <c r="AT279" s="194"/>
      <c r="AU279" s="326"/>
    </row>
    <row r="280" spans="1:47" ht="12" customHeight="1">
      <c r="A280" s="2"/>
      <c r="B280" s="2"/>
      <c r="C280" s="2"/>
      <c r="D280" s="2"/>
      <c r="E280" s="2"/>
      <c r="F280" s="2"/>
      <c r="G280" s="2"/>
      <c r="H280" s="2"/>
      <c r="I280" s="2"/>
      <c r="J280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413" t="s">
        <v>2092</v>
      </c>
      <c r="AG280" s="2"/>
      <c r="AH280" s="2"/>
      <c r="AI280" s="2"/>
      <c r="AJ280" s="2"/>
      <c r="AK280" s="2"/>
      <c r="AL280" s="124"/>
      <c r="AM280" s="561" t="s">
        <v>2019</v>
      </c>
      <c r="AN280" s="559" t="s">
        <v>1977</v>
      </c>
      <c r="AO280" s="420" t="s">
        <v>195</v>
      </c>
      <c r="AP280" s="247">
        <f t="shared" si="75"/>
        <v>0</v>
      </c>
      <c r="AQ280" s="247">
        <f t="shared" si="75"/>
        <v>0</v>
      </c>
      <c r="AR280" s="247">
        <f t="shared" si="75"/>
        <v>0</v>
      </c>
      <c r="AS280" s="194"/>
      <c r="AT280" s="194"/>
      <c r="AU280" s="326"/>
    </row>
    <row r="281" spans="1:47" ht="12" customHeight="1">
      <c r="A281" s="2"/>
      <c r="B281" s="2"/>
      <c r="C281" s="2"/>
      <c r="D281" s="2"/>
      <c r="E281" s="2"/>
      <c r="F281" s="2"/>
      <c r="G281" s="2"/>
      <c r="H281" s="2"/>
      <c r="I281" s="2"/>
      <c r="J28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413" t="s">
        <v>2093</v>
      </c>
      <c r="AG281" s="2"/>
      <c r="AH281" s="2"/>
      <c r="AI281" s="2"/>
      <c r="AJ281" s="2"/>
      <c r="AK281" s="2"/>
      <c r="AL281" s="124"/>
      <c r="AM281" s="562" t="str">
        <f>AM280 &amp; ".P"</f>
        <v>SODACS.P</v>
      </c>
      <c r="AN281" s="531" t="s">
        <v>842</v>
      </c>
      <c r="AO281" s="420" t="s">
        <v>23</v>
      </c>
      <c r="AP281" s="247">
        <f>IF(AP282=0,0,AP280*1000/AP282)</f>
        <v>0</v>
      </c>
      <c r="AQ281" s="247">
        <f>IF(AQ282=0,0,AQ280*1000/AQ282)</f>
        <v>0</v>
      </c>
      <c r="AR281" s="247">
        <f>IF(AR282=0,0,AR280*1000/AR282)</f>
        <v>0</v>
      </c>
      <c r="AS281" s="194"/>
      <c r="AT281" s="194"/>
      <c r="AU281" s="326"/>
    </row>
    <row r="282" spans="1:47" ht="12" customHeight="1">
      <c r="A282" s="2"/>
      <c r="B282" s="2"/>
      <c r="C282" s="2"/>
      <c r="D282" s="2"/>
      <c r="E282" s="2"/>
      <c r="F282" s="2"/>
      <c r="G282" s="2"/>
      <c r="H282" s="2"/>
      <c r="I282" s="2"/>
      <c r="J28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413" t="s">
        <v>2094</v>
      </c>
      <c r="AG282" s="2"/>
      <c r="AH282" s="2"/>
      <c r="AI282" s="2"/>
      <c r="AJ282" s="2"/>
      <c r="AK282" s="2"/>
      <c r="AL282" s="124"/>
      <c r="AM282" s="562" t="str">
        <f>AM280 &amp; ".V"</f>
        <v>SODACS.V</v>
      </c>
      <c r="AN282" s="531" t="s">
        <v>245</v>
      </c>
      <c r="AO282" s="420" t="s">
        <v>289</v>
      </c>
      <c r="AP282" s="247">
        <f t="shared" ref="AP282:AR283" si="76">SUMIF($AS$9:$AT$9,AP$9,$AS282:$AT282)</f>
        <v>0</v>
      </c>
      <c r="AQ282" s="247">
        <f t="shared" si="76"/>
        <v>0</v>
      </c>
      <c r="AR282" s="247">
        <f t="shared" si="76"/>
        <v>0</v>
      </c>
      <c r="AS282" s="194"/>
      <c r="AT282" s="194"/>
      <c r="AU282" s="326"/>
    </row>
    <row r="283" spans="1:47" ht="12" customHeight="1">
      <c r="A283" s="2"/>
      <c r="B283" s="2"/>
      <c r="C283" s="2"/>
      <c r="D283" s="2"/>
      <c r="E283" s="2"/>
      <c r="F283" s="2"/>
      <c r="G283" s="2"/>
      <c r="H283" s="2"/>
      <c r="I283" s="2"/>
      <c r="J283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413" t="s">
        <v>2092</v>
      </c>
      <c r="AG283" s="2"/>
      <c r="AH283" s="2"/>
      <c r="AI283" s="2"/>
      <c r="AJ283" s="2"/>
      <c r="AK283" s="2"/>
      <c r="AL283" s="124"/>
      <c r="AM283" s="561" t="s">
        <v>2017</v>
      </c>
      <c r="AN283" s="559" t="s">
        <v>2016</v>
      </c>
      <c r="AO283" s="420" t="s">
        <v>195</v>
      </c>
      <c r="AP283" s="247">
        <f t="shared" si="76"/>
        <v>0</v>
      </c>
      <c r="AQ283" s="247">
        <f t="shared" si="76"/>
        <v>0</v>
      </c>
      <c r="AR283" s="247">
        <f t="shared" si="76"/>
        <v>0</v>
      </c>
      <c r="AS283" s="194"/>
      <c r="AT283" s="194"/>
      <c r="AU283" s="326"/>
    </row>
    <row r="284" spans="1:47" ht="12" customHeight="1">
      <c r="A284" s="2"/>
      <c r="B284" s="2"/>
      <c r="C284" s="2"/>
      <c r="D284" s="2"/>
      <c r="E284" s="2"/>
      <c r="F284" s="2"/>
      <c r="G284" s="2"/>
      <c r="H284" s="2"/>
      <c r="I284" s="2"/>
      <c r="J284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413" t="s">
        <v>2093</v>
      </c>
      <c r="AG284" s="2"/>
      <c r="AH284" s="2"/>
      <c r="AI284" s="2"/>
      <c r="AJ284" s="2"/>
      <c r="AK284" s="2"/>
      <c r="AL284" s="124"/>
      <c r="AM284" s="562" t="str">
        <f>AM283 &amp; ".P"</f>
        <v>SALT1G.P</v>
      </c>
      <c r="AN284" s="531" t="s">
        <v>842</v>
      </c>
      <c r="AO284" s="420" t="s">
        <v>23</v>
      </c>
      <c r="AP284" s="247">
        <f>IF(AP285=0,0,AP283*1000/AP285)</f>
        <v>0</v>
      </c>
      <c r="AQ284" s="247">
        <f>IF(AQ285=0,0,AQ283*1000/AQ285)</f>
        <v>0</v>
      </c>
      <c r="AR284" s="247">
        <f>IF(AR285=0,0,AR283*1000/AR285)</f>
        <v>0</v>
      </c>
      <c r="AS284" s="194"/>
      <c r="AT284" s="194"/>
      <c r="AU284" s="326"/>
    </row>
    <row r="285" spans="1:47" ht="12" customHeight="1">
      <c r="A285" s="2"/>
      <c r="B285" s="2"/>
      <c r="C285" s="2"/>
      <c r="D285" s="2"/>
      <c r="E285" s="2"/>
      <c r="F285" s="2"/>
      <c r="G285" s="2"/>
      <c r="H285" s="2"/>
      <c r="I285" s="2"/>
      <c r="J28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413" t="s">
        <v>2094</v>
      </c>
      <c r="AG285" s="2"/>
      <c r="AH285" s="2"/>
      <c r="AI285" s="2"/>
      <c r="AJ285" s="2"/>
      <c r="AK285" s="2"/>
      <c r="AL285" s="124"/>
      <c r="AM285" s="562" t="str">
        <f>AM283 &amp; ".V"</f>
        <v>SALT1G.V</v>
      </c>
      <c r="AN285" s="531" t="s">
        <v>245</v>
      </c>
      <c r="AO285" s="420" t="s">
        <v>289</v>
      </c>
      <c r="AP285" s="247">
        <f t="shared" ref="AP285:AR286" si="77">SUMIF($AS$9:$AT$9,AP$9,$AS285:$AT285)</f>
        <v>0</v>
      </c>
      <c r="AQ285" s="247">
        <f t="shared" si="77"/>
        <v>0</v>
      </c>
      <c r="AR285" s="247">
        <f t="shared" si="77"/>
        <v>0</v>
      </c>
      <c r="AS285" s="194"/>
      <c r="AT285" s="194"/>
      <c r="AU285" s="326"/>
    </row>
    <row r="286" spans="1:47" ht="12" customHeight="1">
      <c r="A286" s="2"/>
      <c r="B286" s="2"/>
      <c r="C286" s="2"/>
      <c r="D286" s="2"/>
      <c r="E286" s="2"/>
      <c r="F286" s="2"/>
      <c r="G286" s="2"/>
      <c r="H286" s="2"/>
      <c r="I286" s="2"/>
      <c r="J286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413" t="s">
        <v>2092</v>
      </c>
      <c r="AG286" s="2"/>
      <c r="AH286" s="2"/>
      <c r="AI286" s="2"/>
      <c r="AJ286" s="2"/>
      <c r="AK286" s="2"/>
      <c r="AL286" s="124"/>
      <c r="AM286" s="561" t="s">
        <v>2014</v>
      </c>
      <c r="AN286" s="559" t="s">
        <v>1978</v>
      </c>
      <c r="AO286" s="420" t="s">
        <v>195</v>
      </c>
      <c r="AP286" s="247">
        <f t="shared" si="77"/>
        <v>0</v>
      </c>
      <c r="AQ286" s="247">
        <f t="shared" si="77"/>
        <v>0</v>
      </c>
      <c r="AR286" s="247">
        <f t="shared" si="77"/>
        <v>0</v>
      </c>
      <c r="AS286" s="194"/>
      <c r="AT286" s="194"/>
      <c r="AU286" s="326"/>
    </row>
    <row r="287" spans="1:47" ht="12" customHeight="1">
      <c r="A287" s="2"/>
      <c r="B287" s="2"/>
      <c r="C287" s="2"/>
      <c r="D287" s="2"/>
      <c r="E287" s="2"/>
      <c r="F287" s="2"/>
      <c r="G287" s="2"/>
      <c r="H287" s="2"/>
      <c r="I287" s="2"/>
      <c r="J287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413" t="s">
        <v>2093</v>
      </c>
      <c r="AG287" s="2"/>
      <c r="AH287" s="2"/>
      <c r="AI287" s="2"/>
      <c r="AJ287" s="2"/>
      <c r="AK287" s="2"/>
      <c r="AL287" s="124"/>
      <c r="AM287" s="562" t="str">
        <f>AM286 &amp; ".P"</f>
        <v>SALT.P</v>
      </c>
      <c r="AN287" s="531" t="s">
        <v>842</v>
      </c>
      <c r="AO287" s="420" t="s">
        <v>23</v>
      </c>
      <c r="AP287" s="247">
        <f>IF(AP288=0,0,AP286*1000/AP288)</f>
        <v>0</v>
      </c>
      <c r="AQ287" s="247">
        <f>IF(AQ288=0,0,AQ286*1000/AQ288)</f>
        <v>0</v>
      </c>
      <c r="AR287" s="247">
        <f>IF(AR288=0,0,AR286*1000/AR288)</f>
        <v>0</v>
      </c>
      <c r="AS287" s="194"/>
      <c r="AT287" s="194"/>
      <c r="AU287" s="326"/>
    </row>
    <row r="288" spans="1:47" ht="12" customHeight="1">
      <c r="A288" s="2"/>
      <c r="B288" s="2"/>
      <c r="C288" s="2"/>
      <c r="D288" s="2"/>
      <c r="E288" s="2"/>
      <c r="F288" s="2"/>
      <c r="G288" s="2"/>
      <c r="H288" s="2"/>
      <c r="I288" s="2"/>
      <c r="J288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413" t="s">
        <v>2094</v>
      </c>
      <c r="AG288" s="2"/>
      <c r="AH288" s="2"/>
      <c r="AI288" s="2"/>
      <c r="AJ288" s="2"/>
      <c r="AK288" s="2"/>
      <c r="AL288" s="124"/>
      <c r="AM288" s="562" t="str">
        <f>AM286 &amp; ".V"</f>
        <v>SALT.V</v>
      </c>
      <c r="AN288" s="531" t="s">
        <v>245</v>
      </c>
      <c r="AO288" s="420" t="s">
        <v>289</v>
      </c>
      <c r="AP288" s="247">
        <f t="shared" ref="AP288:AR289" si="78">SUMIF($AS$9:$AT$9,AP$9,$AS288:$AT288)</f>
        <v>0</v>
      </c>
      <c r="AQ288" s="247">
        <f t="shared" si="78"/>
        <v>0</v>
      </c>
      <c r="AR288" s="247">
        <f t="shared" si="78"/>
        <v>0</v>
      </c>
      <c r="AS288" s="194"/>
      <c r="AT288" s="194"/>
      <c r="AU288" s="326"/>
    </row>
    <row r="289" spans="1:47" ht="12" customHeight="1">
      <c r="A289" s="2"/>
      <c r="B289" s="2"/>
      <c r="C289" s="2"/>
      <c r="D289" s="2"/>
      <c r="E289" s="2"/>
      <c r="F289" s="2"/>
      <c r="G289" s="2"/>
      <c r="H289" s="2"/>
      <c r="I289" s="2"/>
      <c r="J289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413" t="s">
        <v>2092</v>
      </c>
      <c r="AG289" s="2"/>
      <c r="AH289" s="2"/>
      <c r="AI289" s="2"/>
      <c r="AJ289" s="2"/>
      <c r="AK289" s="2"/>
      <c r="AL289" s="124"/>
      <c r="AM289" s="561" t="s">
        <v>2024</v>
      </c>
      <c r="AN289" s="559" t="s">
        <v>1979</v>
      </c>
      <c r="AO289" s="420" t="s">
        <v>195</v>
      </c>
      <c r="AP289" s="247">
        <f t="shared" si="78"/>
        <v>0</v>
      </c>
      <c r="AQ289" s="247">
        <f t="shared" si="78"/>
        <v>0</v>
      </c>
      <c r="AR289" s="247">
        <f t="shared" si="78"/>
        <v>0</v>
      </c>
      <c r="AS289" s="194"/>
      <c r="AT289" s="194"/>
      <c r="AU289" s="326"/>
    </row>
    <row r="290" spans="1:47" ht="12" customHeight="1">
      <c r="A290" s="2"/>
      <c r="B290" s="2"/>
      <c r="C290" s="2"/>
      <c r="D290" s="2"/>
      <c r="E290" s="2"/>
      <c r="F290" s="2"/>
      <c r="G290" s="2"/>
      <c r="H290" s="2"/>
      <c r="I290" s="2"/>
      <c r="J290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413" t="s">
        <v>2093</v>
      </c>
      <c r="AG290" s="2"/>
      <c r="AH290" s="2"/>
      <c r="AI290" s="2"/>
      <c r="AJ290" s="2"/>
      <c r="AK290" s="2"/>
      <c r="AL290" s="124"/>
      <c r="AM290" s="562" t="str">
        <f>AM289 &amp; ".P"</f>
        <v>SALTPL.P</v>
      </c>
      <c r="AN290" s="531" t="s">
        <v>842</v>
      </c>
      <c r="AO290" s="420" t="s">
        <v>23</v>
      </c>
      <c r="AP290" s="247">
        <f>IF(AP291=0,0,AP289*1000/AP291)</f>
        <v>0</v>
      </c>
      <c r="AQ290" s="247">
        <f>IF(AQ291=0,0,AQ289*1000/AQ291)</f>
        <v>0</v>
      </c>
      <c r="AR290" s="247">
        <f>IF(AR291=0,0,AR289*1000/AR291)</f>
        <v>0</v>
      </c>
      <c r="AS290" s="194"/>
      <c r="AT290" s="194"/>
      <c r="AU290" s="326"/>
    </row>
    <row r="291" spans="1:47" ht="12" customHeight="1">
      <c r="A291" s="2"/>
      <c r="B291" s="2"/>
      <c r="C291" s="2"/>
      <c r="D291" s="2"/>
      <c r="E291" s="2"/>
      <c r="F291" s="2"/>
      <c r="G291" s="2"/>
      <c r="H291" s="2"/>
      <c r="I291" s="2"/>
      <c r="J29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413" t="s">
        <v>2094</v>
      </c>
      <c r="AG291" s="2"/>
      <c r="AH291" s="2"/>
      <c r="AI291" s="2"/>
      <c r="AJ291" s="2"/>
      <c r="AK291" s="2"/>
      <c r="AL291" s="124"/>
      <c r="AM291" s="562" t="str">
        <f>AM289 &amp; ".V"</f>
        <v>SALTPL.V</v>
      </c>
      <c r="AN291" s="531" t="s">
        <v>245</v>
      </c>
      <c r="AO291" s="420" t="s">
        <v>289</v>
      </c>
      <c r="AP291" s="247">
        <f t="shared" ref="AP291:AR292" si="79">SUMIF($AS$9:$AT$9,AP$9,$AS291:$AT291)</f>
        <v>0</v>
      </c>
      <c r="AQ291" s="247">
        <f t="shared" si="79"/>
        <v>0</v>
      </c>
      <c r="AR291" s="247">
        <f t="shared" si="79"/>
        <v>0</v>
      </c>
      <c r="AS291" s="194"/>
      <c r="AT291" s="194"/>
      <c r="AU291" s="326"/>
    </row>
    <row r="292" spans="1:47" ht="12" customHeight="1">
      <c r="A292" s="2"/>
      <c r="B292" s="2"/>
      <c r="C292" s="2"/>
      <c r="D292" s="2"/>
      <c r="E292" s="2"/>
      <c r="F292" s="2"/>
      <c r="G292" s="2"/>
      <c r="H292" s="2"/>
      <c r="I292" s="2"/>
      <c r="J29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413" t="s">
        <v>2092</v>
      </c>
      <c r="AG292" s="2"/>
      <c r="AH292" s="2"/>
      <c r="AI292" s="2"/>
      <c r="AJ292" s="2"/>
      <c r="AK292" s="2"/>
      <c r="AL292" s="124"/>
      <c r="AM292" s="561" t="s">
        <v>2023</v>
      </c>
      <c r="AN292" s="559" t="s">
        <v>1980</v>
      </c>
      <c r="AO292" s="420" t="s">
        <v>195</v>
      </c>
      <c r="AP292" s="247">
        <f t="shared" si="79"/>
        <v>0</v>
      </c>
      <c r="AQ292" s="247">
        <f t="shared" si="79"/>
        <v>0</v>
      </c>
      <c r="AR292" s="247">
        <f t="shared" si="79"/>
        <v>0</v>
      </c>
      <c r="AS292" s="194"/>
      <c r="AT292" s="194"/>
      <c r="AU292" s="326"/>
    </row>
    <row r="293" spans="1:47" ht="12" customHeight="1">
      <c r="A293" s="2"/>
      <c r="B293" s="2"/>
      <c r="C293" s="2"/>
      <c r="D293" s="2"/>
      <c r="E293" s="2"/>
      <c r="F293" s="2"/>
      <c r="G293" s="2"/>
      <c r="H293" s="2"/>
      <c r="I293" s="2"/>
      <c r="J293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413" t="s">
        <v>2093</v>
      </c>
      <c r="AG293" s="2"/>
      <c r="AH293" s="2"/>
      <c r="AI293" s="2"/>
      <c r="AJ293" s="2"/>
      <c r="AK293" s="2"/>
      <c r="AL293" s="124"/>
      <c r="AM293" s="562" t="str">
        <f>AM292 &amp; ".P"</f>
        <v>SALTTH.P</v>
      </c>
      <c r="AN293" s="531" t="s">
        <v>842</v>
      </c>
      <c r="AO293" s="420" t="s">
        <v>23</v>
      </c>
      <c r="AP293" s="247">
        <f>IF(AP294=0,0,AP292*1000/AP294)</f>
        <v>0</v>
      </c>
      <c r="AQ293" s="247">
        <f>IF(AQ294=0,0,AQ292*1000/AQ294)</f>
        <v>0</v>
      </c>
      <c r="AR293" s="247">
        <f>IF(AR294=0,0,AR292*1000/AR294)</f>
        <v>0</v>
      </c>
      <c r="AS293" s="194"/>
      <c r="AT293" s="194"/>
      <c r="AU293" s="326"/>
    </row>
    <row r="294" spans="1:47" ht="12" customHeight="1">
      <c r="A294" s="2"/>
      <c r="B294" s="2"/>
      <c r="C294" s="2"/>
      <c r="D294" s="2"/>
      <c r="E294" s="2"/>
      <c r="F294" s="2"/>
      <c r="G294" s="2"/>
      <c r="H294" s="2"/>
      <c r="I294" s="2"/>
      <c r="J294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413" t="s">
        <v>2094</v>
      </c>
      <c r="AG294" s="2"/>
      <c r="AH294" s="2"/>
      <c r="AI294" s="2"/>
      <c r="AJ294" s="2"/>
      <c r="AK294" s="2"/>
      <c r="AL294" s="124"/>
      <c r="AM294" s="562" t="str">
        <f>AM292 &amp; ".V"</f>
        <v>SALTTH.V</v>
      </c>
      <c r="AN294" s="531" t="s">
        <v>245</v>
      </c>
      <c r="AO294" s="420" t="s">
        <v>289</v>
      </c>
      <c r="AP294" s="247">
        <f t="shared" ref="AP294:AR295" si="80">SUMIF($AS$9:$AT$9,AP$9,$AS294:$AT294)</f>
        <v>0</v>
      </c>
      <c r="AQ294" s="247">
        <f t="shared" si="80"/>
        <v>0</v>
      </c>
      <c r="AR294" s="247">
        <f t="shared" si="80"/>
        <v>0</v>
      </c>
      <c r="AS294" s="194"/>
      <c r="AT294" s="194"/>
      <c r="AU294" s="326"/>
    </row>
    <row r="295" spans="1:47" ht="12" customHeight="1">
      <c r="A295" s="2"/>
      <c r="B295" s="2"/>
      <c r="C295" s="2"/>
      <c r="D295" s="2"/>
      <c r="E295" s="2"/>
      <c r="F295" s="2"/>
      <c r="G295" s="2"/>
      <c r="H295" s="2"/>
      <c r="I295" s="2"/>
      <c r="J29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413" t="s">
        <v>2092</v>
      </c>
      <c r="AG295" s="2"/>
      <c r="AH295" s="2"/>
      <c r="AI295" s="2"/>
      <c r="AJ295" s="2"/>
      <c r="AK295" s="2"/>
      <c r="AL295" s="124"/>
      <c r="AM295" s="561" t="s">
        <v>2022</v>
      </c>
      <c r="AN295" s="559" t="s">
        <v>1981</v>
      </c>
      <c r="AO295" s="420" t="s">
        <v>195</v>
      </c>
      <c r="AP295" s="247">
        <f t="shared" si="80"/>
        <v>0</v>
      </c>
      <c r="AQ295" s="247">
        <f t="shared" si="80"/>
        <v>0</v>
      </c>
      <c r="AR295" s="247">
        <f t="shared" si="80"/>
        <v>0</v>
      </c>
      <c r="AS295" s="194"/>
      <c r="AT295" s="194"/>
      <c r="AU295" s="326"/>
    </row>
    <row r="296" spans="1:47" ht="12" customHeight="1">
      <c r="A296" s="2"/>
      <c r="B296" s="2"/>
      <c r="C296" s="2"/>
      <c r="D296" s="2"/>
      <c r="E296" s="2"/>
      <c r="F296" s="2"/>
      <c r="G296" s="2"/>
      <c r="H296" s="2"/>
      <c r="I296" s="2"/>
      <c r="J296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413" t="s">
        <v>2093</v>
      </c>
      <c r="AG296" s="2"/>
      <c r="AH296" s="2"/>
      <c r="AI296" s="2"/>
      <c r="AJ296" s="2"/>
      <c r="AK296" s="2"/>
      <c r="AL296" s="124"/>
      <c r="AM296" s="562" t="str">
        <f>AM295 &amp; ".P"</f>
        <v>SALTEX.P</v>
      </c>
      <c r="AN296" s="531" t="s">
        <v>842</v>
      </c>
      <c r="AO296" s="420" t="s">
        <v>23</v>
      </c>
      <c r="AP296" s="247">
        <f>IF(AP297=0,0,AP295*1000/AP297)</f>
        <v>0</v>
      </c>
      <c r="AQ296" s="247">
        <f>IF(AQ297=0,0,AQ295*1000/AQ297)</f>
        <v>0</v>
      </c>
      <c r="AR296" s="247">
        <f>IF(AR297=0,0,AR295*1000/AR297)</f>
        <v>0</v>
      </c>
      <c r="AS296" s="194"/>
      <c r="AT296" s="194"/>
      <c r="AU296" s="326"/>
    </row>
    <row r="297" spans="1:47" ht="12" customHeight="1">
      <c r="A297" s="2"/>
      <c r="B297" s="2"/>
      <c r="C297" s="2"/>
      <c r="D297" s="2"/>
      <c r="E297" s="2"/>
      <c r="F297" s="2"/>
      <c r="G297" s="2"/>
      <c r="H297" s="2"/>
      <c r="I297" s="2"/>
      <c r="J297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413" t="s">
        <v>2094</v>
      </c>
      <c r="AG297" s="2"/>
      <c r="AH297" s="2"/>
      <c r="AI297" s="2"/>
      <c r="AJ297" s="2"/>
      <c r="AK297" s="2"/>
      <c r="AL297" s="124"/>
      <c r="AM297" s="562" t="str">
        <f>AM295 &amp; ".V"</f>
        <v>SALTEX.V</v>
      </c>
      <c r="AN297" s="531" t="s">
        <v>245</v>
      </c>
      <c r="AO297" s="420" t="s">
        <v>289</v>
      </c>
      <c r="AP297" s="247">
        <f t="shared" ref="AP297:AR298" si="81">SUMIF($AS$9:$AT$9,AP$9,$AS297:$AT297)</f>
        <v>0</v>
      </c>
      <c r="AQ297" s="247">
        <f t="shared" si="81"/>
        <v>0</v>
      </c>
      <c r="AR297" s="247">
        <f t="shared" si="81"/>
        <v>0</v>
      </c>
      <c r="AS297" s="194"/>
      <c r="AT297" s="194"/>
      <c r="AU297" s="326"/>
    </row>
    <row r="298" spans="1:47" ht="12" customHeight="1">
      <c r="A298" s="2"/>
      <c r="B298" s="2"/>
      <c r="C298" s="2"/>
      <c r="D298" s="2"/>
      <c r="E298" s="2"/>
      <c r="F298" s="2"/>
      <c r="G298" s="2"/>
      <c r="H298" s="2"/>
      <c r="I298" s="2"/>
      <c r="J298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413" t="s">
        <v>2092</v>
      </c>
      <c r="AG298" s="2"/>
      <c r="AH298" s="2"/>
      <c r="AI298" s="2"/>
      <c r="AJ298" s="2"/>
      <c r="AK298" s="2"/>
      <c r="AL298" s="124"/>
      <c r="AM298" s="561" t="s">
        <v>2015</v>
      </c>
      <c r="AN298" s="559" t="s">
        <v>1982</v>
      </c>
      <c r="AO298" s="420" t="s">
        <v>195</v>
      </c>
      <c r="AP298" s="247">
        <f t="shared" si="81"/>
        <v>0</v>
      </c>
      <c r="AQ298" s="247">
        <f t="shared" si="81"/>
        <v>0</v>
      </c>
      <c r="AR298" s="247">
        <f t="shared" si="81"/>
        <v>0</v>
      </c>
      <c r="AS298" s="194"/>
      <c r="AT298" s="194"/>
      <c r="AU298" s="326"/>
    </row>
    <row r="299" spans="1:47" ht="12" customHeight="1">
      <c r="A299" s="2"/>
      <c r="B299" s="2"/>
      <c r="C299" s="2"/>
      <c r="D299" s="2"/>
      <c r="E299" s="2"/>
      <c r="F299" s="2"/>
      <c r="G299" s="2"/>
      <c r="H299" s="2"/>
      <c r="I299" s="2"/>
      <c r="J299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413" t="s">
        <v>2093</v>
      </c>
      <c r="AG299" s="2"/>
      <c r="AH299" s="2"/>
      <c r="AI299" s="2"/>
      <c r="AJ299" s="2"/>
      <c r="AK299" s="2"/>
      <c r="AL299" s="124"/>
      <c r="AM299" s="562" t="str">
        <f>AM298 &amp; ".P"</f>
        <v>C2H5OH.P</v>
      </c>
      <c r="AN299" s="531" t="s">
        <v>842</v>
      </c>
      <c r="AO299" s="420" t="s">
        <v>23</v>
      </c>
      <c r="AP299" s="247">
        <f>IF(AP300=0,0,AP298*1000/AP300)</f>
        <v>0</v>
      </c>
      <c r="AQ299" s="247">
        <f>IF(AQ300=0,0,AQ298*1000/AQ300)</f>
        <v>0</v>
      </c>
      <c r="AR299" s="247">
        <f>IF(AR300=0,0,AR298*1000/AR300)</f>
        <v>0</v>
      </c>
      <c r="AS299" s="194"/>
      <c r="AT299" s="194"/>
      <c r="AU299" s="326"/>
    </row>
    <row r="300" spans="1:47" ht="12" customHeight="1">
      <c r="A300" s="2"/>
      <c r="B300" s="2"/>
      <c r="C300" s="2"/>
      <c r="D300" s="2"/>
      <c r="E300" s="2"/>
      <c r="F300" s="2"/>
      <c r="G300" s="2"/>
      <c r="H300" s="2"/>
      <c r="I300" s="2"/>
      <c r="J300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413" t="s">
        <v>2094</v>
      </c>
      <c r="AG300" s="2"/>
      <c r="AH300" s="2"/>
      <c r="AI300" s="2"/>
      <c r="AJ300" s="2"/>
      <c r="AK300" s="2"/>
      <c r="AL300" s="124"/>
      <c r="AM300" s="562" t="str">
        <f>AM298 &amp; ".V"</f>
        <v>C2H5OH.V</v>
      </c>
      <c r="AN300" s="531" t="s">
        <v>245</v>
      </c>
      <c r="AO300" s="420" t="s">
        <v>289</v>
      </c>
      <c r="AP300" s="247">
        <f t="shared" ref="AP300:AR301" si="82">SUMIF($AS$9:$AT$9,AP$9,$AS300:$AT300)</f>
        <v>0</v>
      </c>
      <c r="AQ300" s="247">
        <f t="shared" si="82"/>
        <v>0</v>
      </c>
      <c r="AR300" s="247">
        <f t="shared" si="82"/>
        <v>0</v>
      </c>
      <c r="AS300" s="194"/>
      <c r="AT300" s="194"/>
      <c r="AU300" s="326"/>
    </row>
    <row r="301" spans="1:47" ht="12" customHeight="1">
      <c r="A301" s="2"/>
      <c r="B301" s="2"/>
      <c r="C301" s="2"/>
      <c r="D301" s="2"/>
      <c r="E301" s="2"/>
      <c r="F301" s="2"/>
      <c r="G301" s="2"/>
      <c r="H301" s="2"/>
      <c r="I301" s="2"/>
      <c r="J30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413" t="s">
        <v>2092</v>
      </c>
      <c r="AG301" s="2"/>
      <c r="AH301" s="2"/>
      <c r="AI301" s="2"/>
      <c r="AJ301" s="2"/>
      <c r="AK301" s="2"/>
      <c r="AL301" s="124"/>
      <c r="AM301" s="561" t="s">
        <v>2035</v>
      </c>
      <c r="AN301" s="559" t="s">
        <v>1983</v>
      </c>
      <c r="AO301" s="420" t="s">
        <v>195</v>
      </c>
      <c r="AP301" s="247">
        <f t="shared" si="82"/>
        <v>0</v>
      </c>
      <c r="AQ301" s="247">
        <f t="shared" si="82"/>
        <v>0</v>
      </c>
      <c r="AR301" s="247">
        <f t="shared" si="82"/>
        <v>0</v>
      </c>
      <c r="AS301" s="194"/>
      <c r="AT301" s="194"/>
      <c r="AU301" s="326"/>
    </row>
    <row r="302" spans="1:47" ht="12" customHeight="1">
      <c r="A302" s="2"/>
      <c r="B302" s="2"/>
      <c r="C302" s="2"/>
      <c r="D302" s="2"/>
      <c r="E302" s="2"/>
      <c r="F302" s="2"/>
      <c r="G302" s="2"/>
      <c r="H302" s="2"/>
      <c r="I302" s="2"/>
      <c r="J30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413" t="s">
        <v>2093</v>
      </c>
      <c r="AG302" s="2"/>
      <c r="AH302" s="2"/>
      <c r="AI302" s="2"/>
      <c r="AJ302" s="2"/>
      <c r="AK302" s="2"/>
      <c r="AL302" s="124"/>
      <c r="AM302" s="562" t="str">
        <f>AM301 &amp; ".P"</f>
        <v>SFAL1G.P</v>
      </c>
      <c r="AN302" s="531" t="s">
        <v>842</v>
      </c>
      <c r="AO302" s="420" t="s">
        <v>23</v>
      </c>
      <c r="AP302" s="247">
        <f>IF(AP303=0,0,AP301*1000/AP303)</f>
        <v>0</v>
      </c>
      <c r="AQ302" s="247">
        <f>IF(AQ303=0,0,AQ301*1000/AQ303)</f>
        <v>0</v>
      </c>
      <c r="AR302" s="247">
        <f>IF(AR303=0,0,AR301*1000/AR303)</f>
        <v>0</v>
      </c>
      <c r="AS302" s="194"/>
      <c r="AT302" s="194"/>
      <c r="AU302" s="326"/>
    </row>
    <row r="303" spans="1:47" ht="12" customHeight="1">
      <c r="A303" s="2"/>
      <c r="B303" s="2"/>
      <c r="C303" s="2"/>
      <c r="D303" s="2"/>
      <c r="E303" s="2"/>
      <c r="F303" s="2"/>
      <c r="G303" s="2"/>
      <c r="H303" s="2"/>
      <c r="I303" s="2"/>
      <c r="J303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413" t="s">
        <v>2094</v>
      </c>
      <c r="AG303" s="2"/>
      <c r="AH303" s="2"/>
      <c r="AI303" s="2"/>
      <c r="AJ303" s="2"/>
      <c r="AK303" s="2"/>
      <c r="AL303" s="124"/>
      <c r="AM303" s="562" t="str">
        <f>AM301 &amp; ".V"</f>
        <v>SFAL1G.V</v>
      </c>
      <c r="AN303" s="531" t="s">
        <v>245</v>
      </c>
      <c r="AO303" s="420" t="s">
        <v>289</v>
      </c>
      <c r="AP303" s="247">
        <f t="shared" ref="AP303:AR304" si="83">SUMIF($AS$9:$AT$9,AP$9,$AS303:$AT303)</f>
        <v>0</v>
      </c>
      <c r="AQ303" s="247">
        <f t="shared" si="83"/>
        <v>0</v>
      </c>
      <c r="AR303" s="247">
        <f t="shared" si="83"/>
        <v>0</v>
      </c>
      <c r="AS303" s="194"/>
      <c r="AT303" s="194"/>
      <c r="AU303" s="326"/>
    </row>
    <row r="304" spans="1:47" ht="12" customHeight="1">
      <c r="A304" s="2"/>
      <c r="B304" s="2"/>
      <c r="C304" s="2"/>
      <c r="D304" s="2"/>
      <c r="E304" s="2"/>
      <c r="F304" s="2"/>
      <c r="G304" s="2"/>
      <c r="H304" s="2"/>
      <c r="I304" s="2"/>
      <c r="J304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413" t="s">
        <v>2092</v>
      </c>
      <c r="AG304" s="2"/>
      <c r="AH304" s="2"/>
      <c r="AI304" s="2"/>
      <c r="AJ304" s="2"/>
      <c r="AK304" s="2"/>
      <c r="AL304" s="124"/>
      <c r="AM304" s="561" t="s">
        <v>2034</v>
      </c>
      <c r="AN304" s="559" t="s">
        <v>1984</v>
      </c>
      <c r="AO304" s="420" t="s">
        <v>195</v>
      </c>
      <c r="AP304" s="247">
        <f t="shared" si="83"/>
        <v>0</v>
      </c>
      <c r="AQ304" s="247">
        <f t="shared" si="83"/>
        <v>0</v>
      </c>
      <c r="AR304" s="247">
        <f t="shared" si="83"/>
        <v>0</v>
      </c>
      <c r="AS304" s="194"/>
      <c r="AT304" s="194"/>
      <c r="AU304" s="326"/>
    </row>
    <row r="305" spans="1:47" ht="12" customHeight="1">
      <c r="A305" s="2"/>
      <c r="B305" s="2"/>
      <c r="C305" s="2"/>
      <c r="D305" s="2"/>
      <c r="E305" s="2"/>
      <c r="F305" s="2"/>
      <c r="G305" s="2"/>
      <c r="H305" s="2"/>
      <c r="I305" s="2"/>
      <c r="J30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413" t="s">
        <v>2093</v>
      </c>
      <c r="AG305" s="2"/>
      <c r="AH305" s="2"/>
      <c r="AI305" s="2"/>
      <c r="AJ305" s="2"/>
      <c r="AK305" s="2"/>
      <c r="AL305" s="124"/>
      <c r="AM305" s="562" t="str">
        <f>AM304 &amp; ".P"</f>
        <v>SFALLQD.P</v>
      </c>
      <c r="AN305" s="531" t="s">
        <v>842</v>
      </c>
      <c r="AO305" s="420" t="s">
        <v>23</v>
      </c>
      <c r="AP305" s="247">
        <f>IF(AP306=0,0,AP304*1000/AP306)</f>
        <v>0</v>
      </c>
      <c r="AQ305" s="247">
        <f>IF(AQ306=0,0,AQ304*1000/AQ306)</f>
        <v>0</v>
      </c>
      <c r="AR305" s="247">
        <f>IF(AR306=0,0,AR304*1000/AR306)</f>
        <v>0</v>
      </c>
      <c r="AS305" s="194"/>
      <c r="AT305" s="194"/>
      <c r="AU305" s="326"/>
    </row>
    <row r="306" spans="1:47" ht="12" customHeight="1">
      <c r="A306" s="2"/>
      <c r="B306" s="2"/>
      <c r="C306" s="2"/>
      <c r="D306" s="2"/>
      <c r="E306" s="2"/>
      <c r="F306" s="2"/>
      <c r="G306" s="2"/>
      <c r="H306" s="2"/>
      <c r="I306" s="2"/>
      <c r="J306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413" t="s">
        <v>2094</v>
      </c>
      <c r="AG306" s="2"/>
      <c r="AH306" s="2"/>
      <c r="AI306" s="2"/>
      <c r="AJ306" s="2"/>
      <c r="AK306" s="2"/>
      <c r="AL306" s="124"/>
      <c r="AM306" s="562" t="str">
        <f>AM304 &amp; ".V"</f>
        <v>SFALLQD.V</v>
      </c>
      <c r="AN306" s="531" t="s">
        <v>245</v>
      </c>
      <c r="AO306" s="420" t="s">
        <v>289</v>
      </c>
      <c r="AP306" s="247">
        <f t="shared" ref="AP306:AR307" si="84">SUMIF($AS$9:$AT$9,AP$9,$AS306:$AT306)</f>
        <v>0</v>
      </c>
      <c r="AQ306" s="247">
        <f t="shared" si="84"/>
        <v>0</v>
      </c>
      <c r="AR306" s="247">
        <f t="shared" si="84"/>
        <v>0</v>
      </c>
      <c r="AS306" s="194"/>
      <c r="AT306" s="194"/>
      <c r="AU306" s="326"/>
    </row>
    <row r="307" spans="1:47" ht="12" customHeight="1">
      <c r="A307" s="2"/>
      <c r="B307" s="2"/>
      <c r="C307" s="2"/>
      <c r="D307" s="2"/>
      <c r="E307" s="2"/>
      <c r="F307" s="2"/>
      <c r="G307" s="2"/>
      <c r="H307" s="2"/>
      <c r="I307" s="2"/>
      <c r="J307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413" t="s">
        <v>2092</v>
      </c>
      <c r="AG307" s="2"/>
      <c r="AH307" s="2"/>
      <c r="AI307" s="2"/>
      <c r="AJ307" s="2"/>
      <c r="AK307" s="2"/>
      <c r="AL307" s="124"/>
      <c r="AM307" s="561" t="s">
        <v>2033</v>
      </c>
      <c r="AN307" s="559" t="s">
        <v>1985</v>
      </c>
      <c r="AO307" s="420" t="s">
        <v>195</v>
      </c>
      <c r="AP307" s="247">
        <f t="shared" si="84"/>
        <v>0</v>
      </c>
      <c r="AQ307" s="247">
        <f t="shared" si="84"/>
        <v>0</v>
      </c>
      <c r="AR307" s="247">
        <f t="shared" si="84"/>
        <v>0</v>
      </c>
      <c r="AS307" s="194"/>
      <c r="AT307" s="194"/>
      <c r="AU307" s="326"/>
    </row>
    <row r="308" spans="1:47" ht="12" customHeight="1">
      <c r="A308" s="2"/>
      <c r="B308" s="2"/>
      <c r="C308" s="2"/>
      <c r="D308" s="2"/>
      <c r="E308" s="2"/>
      <c r="F308" s="2"/>
      <c r="G308" s="2"/>
      <c r="H308" s="2"/>
      <c r="I308" s="2"/>
      <c r="J308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413" t="s">
        <v>2093</v>
      </c>
      <c r="AG308" s="2"/>
      <c r="AH308" s="2"/>
      <c r="AI308" s="2"/>
      <c r="AJ308" s="2"/>
      <c r="AK308" s="2"/>
      <c r="AL308" s="124"/>
      <c r="AM308" s="562" t="str">
        <f>AM307 &amp; ".P"</f>
        <v>SFALT.P</v>
      </c>
      <c r="AN308" s="531" t="s">
        <v>842</v>
      </c>
      <c r="AO308" s="420" t="s">
        <v>23</v>
      </c>
      <c r="AP308" s="247">
        <f>IF(AP309=0,0,AP307*1000/AP309)</f>
        <v>0</v>
      </c>
      <c r="AQ308" s="247">
        <f>IF(AQ309=0,0,AQ307*1000/AQ309)</f>
        <v>0</v>
      </c>
      <c r="AR308" s="247">
        <f>IF(AR309=0,0,AR307*1000/AR309)</f>
        <v>0</v>
      </c>
      <c r="AS308" s="194"/>
      <c r="AT308" s="194"/>
      <c r="AU308" s="326"/>
    </row>
    <row r="309" spans="1:47" ht="12" customHeight="1">
      <c r="A309" s="2"/>
      <c r="B309" s="2"/>
      <c r="C309" s="2"/>
      <c r="D309" s="2"/>
      <c r="E309" s="2"/>
      <c r="F309" s="2"/>
      <c r="G309" s="2"/>
      <c r="H309" s="2"/>
      <c r="I309" s="2"/>
      <c r="J309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413" t="s">
        <v>2094</v>
      </c>
      <c r="AG309" s="2"/>
      <c r="AH309" s="2"/>
      <c r="AI309" s="2"/>
      <c r="AJ309" s="2"/>
      <c r="AK309" s="2"/>
      <c r="AL309" s="124"/>
      <c r="AM309" s="562" t="str">
        <f>AM307 &amp; ".V"</f>
        <v>SFALT.V</v>
      </c>
      <c r="AN309" s="531" t="s">
        <v>245</v>
      </c>
      <c r="AO309" s="420" t="s">
        <v>289</v>
      </c>
      <c r="AP309" s="247">
        <f t="shared" ref="AP309:AR310" si="85">SUMIF($AS$9:$AT$9,AP$9,$AS309:$AT309)</f>
        <v>0</v>
      </c>
      <c r="AQ309" s="247">
        <f t="shared" si="85"/>
        <v>0</v>
      </c>
      <c r="AR309" s="247">
        <f t="shared" si="85"/>
        <v>0</v>
      </c>
      <c r="AS309" s="194"/>
      <c r="AT309" s="194"/>
      <c r="AU309" s="326"/>
    </row>
    <row r="310" spans="1:47" ht="12" customHeight="1">
      <c r="A310" s="2"/>
      <c r="B310" s="2"/>
      <c r="C310" s="2"/>
      <c r="D310" s="2"/>
      <c r="E310" s="2"/>
      <c r="F310" s="2"/>
      <c r="G310" s="2"/>
      <c r="H310" s="2"/>
      <c r="I310" s="2"/>
      <c r="J310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413" t="s">
        <v>2092</v>
      </c>
      <c r="AG310" s="2"/>
      <c r="AH310" s="2"/>
      <c r="AI310" s="2"/>
      <c r="AJ310" s="2"/>
      <c r="AK310" s="2"/>
      <c r="AL310" s="124"/>
      <c r="AM310" s="561" t="s">
        <v>2032</v>
      </c>
      <c r="AN310" s="559" t="s">
        <v>1986</v>
      </c>
      <c r="AO310" s="420" t="s">
        <v>195</v>
      </c>
      <c r="AP310" s="247">
        <f t="shared" si="85"/>
        <v>0</v>
      </c>
      <c r="AQ310" s="247">
        <f t="shared" si="85"/>
        <v>0</v>
      </c>
      <c r="AR310" s="247">
        <f t="shared" si="85"/>
        <v>0</v>
      </c>
      <c r="AS310" s="194"/>
      <c r="AT310" s="194"/>
      <c r="AU310" s="326"/>
    </row>
    <row r="311" spans="1:47" ht="12" customHeight="1">
      <c r="A311" s="2"/>
      <c r="B311" s="2"/>
      <c r="C311" s="2"/>
      <c r="D311" s="2"/>
      <c r="E311" s="2"/>
      <c r="F311" s="2"/>
      <c r="G311" s="2"/>
      <c r="H311" s="2"/>
      <c r="I311" s="2"/>
      <c r="J3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413" t="s">
        <v>2093</v>
      </c>
      <c r="AG311" s="2"/>
      <c r="AH311" s="2"/>
      <c r="AI311" s="2"/>
      <c r="AJ311" s="2"/>
      <c r="AK311" s="2"/>
      <c r="AL311" s="124"/>
      <c r="AM311" s="562" t="str">
        <f>AM310 &amp; ".P"</f>
        <v>SFAMN.P</v>
      </c>
      <c r="AN311" s="531" t="s">
        <v>842</v>
      </c>
      <c r="AO311" s="420" t="s">
        <v>23</v>
      </c>
      <c r="AP311" s="247">
        <f>IF(AP312=0,0,AP310*1000/AP312)</f>
        <v>0</v>
      </c>
      <c r="AQ311" s="247">
        <f>IF(AQ312=0,0,AQ310*1000/AQ312)</f>
        <v>0</v>
      </c>
      <c r="AR311" s="247">
        <f>IF(AR312=0,0,AR310*1000/AR312)</f>
        <v>0</v>
      </c>
      <c r="AS311" s="194"/>
      <c r="AT311" s="194"/>
      <c r="AU311" s="326"/>
    </row>
    <row r="312" spans="1:47" ht="12" customHeight="1">
      <c r="A312" s="2"/>
      <c r="B312" s="2"/>
      <c r="C312" s="2"/>
      <c r="D312" s="2"/>
      <c r="E312" s="2"/>
      <c r="F312" s="2"/>
      <c r="G312" s="2"/>
      <c r="H312" s="2"/>
      <c r="I312" s="2"/>
      <c r="J31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413" t="s">
        <v>2094</v>
      </c>
      <c r="AG312" s="2"/>
      <c r="AH312" s="2"/>
      <c r="AI312" s="2"/>
      <c r="AJ312" s="2"/>
      <c r="AK312" s="2"/>
      <c r="AL312" s="124"/>
      <c r="AM312" s="562" t="str">
        <f>AM310 &amp; ".V"</f>
        <v>SFAMN.V</v>
      </c>
      <c r="AN312" s="531" t="s">
        <v>245</v>
      </c>
      <c r="AO312" s="420" t="s">
        <v>289</v>
      </c>
      <c r="AP312" s="247">
        <f t="shared" ref="AP312:AR313" si="86">SUMIF($AS$9:$AT$9,AP$9,$AS312:$AT312)</f>
        <v>0</v>
      </c>
      <c r="AQ312" s="247">
        <f t="shared" si="86"/>
        <v>0</v>
      </c>
      <c r="AR312" s="247">
        <f t="shared" si="86"/>
        <v>0</v>
      </c>
      <c r="AS312" s="194"/>
      <c r="AT312" s="194"/>
      <c r="AU312" s="326"/>
    </row>
    <row r="313" spans="1:47" ht="12" customHeight="1">
      <c r="A313" s="2"/>
      <c r="B313" s="2"/>
      <c r="C313" s="2"/>
      <c r="D313" s="2"/>
      <c r="E313" s="2"/>
      <c r="F313" s="2"/>
      <c r="G313" s="2"/>
      <c r="H313" s="2"/>
      <c r="I313" s="2"/>
      <c r="J313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413" t="s">
        <v>2092</v>
      </c>
      <c r="AG313" s="2"/>
      <c r="AH313" s="2"/>
      <c r="AI313" s="2"/>
      <c r="AJ313" s="2"/>
      <c r="AK313" s="2"/>
      <c r="AL313" s="124"/>
      <c r="AM313" s="561" t="s">
        <v>2031</v>
      </c>
      <c r="AN313" s="559" t="s">
        <v>1987</v>
      </c>
      <c r="AO313" s="420" t="s">
        <v>195</v>
      </c>
      <c r="AP313" s="247">
        <f t="shared" si="86"/>
        <v>0</v>
      </c>
      <c r="AQ313" s="247">
        <f t="shared" si="86"/>
        <v>0</v>
      </c>
      <c r="AR313" s="247">
        <f t="shared" si="86"/>
        <v>0</v>
      </c>
      <c r="AS313" s="194"/>
      <c r="AT313" s="194"/>
      <c r="AU313" s="326"/>
    </row>
    <row r="314" spans="1:47" ht="12" customHeight="1">
      <c r="A314" s="2"/>
      <c r="B314" s="2"/>
      <c r="C314" s="2"/>
      <c r="D314" s="2"/>
      <c r="E314" s="2"/>
      <c r="F314" s="2"/>
      <c r="G314" s="2"/>
      <c r="H314" s="2"/>
      <c r="I314" s="2"/>
      <c r="J314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413" t="s">
        <v>2093</v>
      </c>
      <c r="AG314" s="2"/>
      <c r="AH314" s="2"/>
      <c r="AI314" s="2"/>
      <c r="AJ314" s="2"/>
      <c r="AK314" s="2"/>
      <c r="AL314" s="124"/>
      <c r="AM314" s="562" t="str">
        <f>AM313 &amp; ".P"</f>
        <v>TM.P</v>
      </c>
      <c r="AN314" s="531" t="s">
        <v>842</v>
      </c>
      <c r="AO314" s="420" t="s">
        <v>23</v>
      </c>
      <c r="AP314" s="247">
        <f>IF(AP315=0,0,AP313*1000/AP315)</f>
        <v>0</v>
      </c>
      <c r="AQ314" s="247">
        <f>IF(AQ315=0,0,AQ313*1000/AQ315)</f>
        <v>0</v>
      </c>
      <c r="AR314" s="247">
        <f>IF(AR315=0,0,AR313*1000/AR315)</f>
        <v>0</v>
      </c>
      <c r="AS314" s="194"/>
      <c r="AT314" s="194"/>
      <c r="AU314" s="326"/>
    </row>
    <row r="315" spans="1:47" ht="12" customHeight="1">
      <c r="A315" s="2"/>
      <c r="B315" s="2"/>
      <c r="C315" s="2"/>
      <c r="D315" s="2"/>
      <c r="E315" s="2"/>
      <c r="F315" s="2"/>
      <c r="G315" s="2"/>
      <c r="H315" s="2"/>
      <c r="I315" s="2"/>
      <c r="J31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413" t="s">
        <v>2094</v>
      </c>
      <c r="AG315" s="2"/>
      <c r="AH315" s="2"/>
      <c r="AI315" s="2"/>
      <c r="AJ315" s="2"/>
      <c r="AK315" s="2"/>
      <c r="AL315" s="124"/>
      <c r="AM315" s="562" t="str">
        <f>AM313 &amp; ".V"</f>
        <v>TM.V</v>
      </c>
      <c r="AN315" s="531" t="s">
        <v>245</v>
      </c>
      <c r="AO315" s="420" t="s">
        <v>289</v>
      </c>
      <c r="AP315" s="247">
        <f t="shared" ref="AP315:AR316" si="87">SUMIF($AS$9:$AT$9,AP$9,$AS315:$AT315)</f>
        <v>0</v>
      </c>
      <c r="AQ315" s="247">
        <f t="shared" si="87"/>
        <v>0</v>
      </c>
      <c r="AR315" s="247">
        <f t="shared" si="87"/>
        <v>0</v>
      </c>
      <c r="AS315" s="194"/>
      <c r="AT315" s="194"/>
      <c r="AU315" s="326"/>
    </row>
    <row r="316" spans="1:47" ht="12" customHeight="1">
      <c r="A316" s="2"/>
      <c r="B316" s="2"/>
      <c r="C316" s="2"/>
      <c r="D316" s="2"/>
      <c r="E316" s="2"/>
      <c r="F316" s="2"/>
      <c r="G316" s="2"/>
      <c r="H316" s="2"/>
      <c r="I316" s="2"/>
      <c r="J316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413" t="s">
        <v>2092</v>
      </c>
      <c r="AG316" s="2"/>
      <c r="AH316" s="2"/>
      <c r="AI316" s="2"/>
      <c r="AJ316" s="2"/>
      <c r="AK316" s="2"/>
      <c r="AL316" s="124"/>
      <c r="AM316" s="561" t="s">
        <v>2030</v>
      </c>
      <c r="AN316" s="559" t="s">
        <v>1988</v>
      </c>
      <c r="AO316" s="420" t="s">
        <v>195</v>
      </c>
      <c r="AP316" s="247">
        <f t="shared" si="87"/>
        <v>0</v>
      </c>
      <c r="AQ316" s="247">
        <f t="shared" si="87"/>
        <v>0</v>
      </c>
      <c r="AR316" s="247">
        <f t="shared" si="87"/>
        <v>0</v>
      </c>
      <c r="AS316" s="194"/>
      <c r="AT316" s="194"/>
      <c r="AU316" s="326"/>
    </row>
    <row r="317" spans="1:47" ht="12" customHeight="1">
      <c r="A317" s="2"/>
      <c r="B317" s="2"/>
      <c r="C317" s="2"/>
      <c r="D317" s="2"/>
      <c r="E317" s="2"/>
      <c r="F317" s="2"/>
      <c r="G317" s="2"/>
      <c r="H317" s="2"/>
      <c r="I317" s="2"/>
      <c r="J31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413" t="s">
        <v>2093</v>
      </c>
      <c r="AG317" s="2"/>
      <c r="AH317" s="2"/>
      <c r="AI317" s="2"/>
      <c r="AJ317" s="2"/>
      <c r="AK317" s="2"/>
      <c r="AL317" s="124"/>
      <c r="AM317" s="562" t="str">
        <f>AM316 &amp; ".P"</f>
        <v>TSFNA.P</v>
      </c>
      <c r="AN317" s="531" t="s">
        <v>842</v>
      </c>
      <c r="AO317" s="420" t="s">
        <v>23</v>
      </c>
      <c r="AP317" s="247">
        <f>IF(AP318=0,0,AP316*1000/AP318)</f>
        <v>0</v>
      </c>
      <c r="AQ317" s="247">
        <f>IF(AQ318=0,0,AQ316*1000/AQ318)</f>
        <v>0</v>
      </c>
      <c r="AR317" s="247">
        <f>IF(AR318=0,0,AR316*1000/AR318)</f>
        <v>0</v>
      </c>
      <c r="AS317" s="194"/>
      <c r="AT317" s="194"/>
      <c r="AU317" s="326"/>
    </row>
    <row r="318" spans="1:47" ht="12" customHeight="1">
      <c r="A318" s="2"/>
      <c r="B318" s="2"/>
      <c r="C318" s="2"/>
      <c r="D318" s="2"/>
      <c r="E318" s="2"/>
      <c r="F318" s="2"/>
      <c r="G318" s="2"/>
      <c r="H318" s="2"/>
      <c r="I318" s="2"/>
      <c r="J318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413" t="s">
        <v>2094</v>
      </c>
      <c r="AG318" s="2"/>
      <c r="AH318" s="2"/>
      <c r="AI318" s="2"/>
      <c r="AJ318" s="2"/>
      <c r="AK318" s="2"/>
      <c r="AL318" s="124"/>
      <c r="AM318" s="562" t="str">
        <f>AM316 &amp; ".V"</f>
        <v>TSFNA.V</v>
      </c>
      <c r="AN318" s="531" t="s">
        <v>245</v>
      </c>
      <c r="AO318" s="420" t="s">
        <v>289</v>
      </c>
      <c r="AP318" s="247">
        <f t="shared" ref="AP318:AR322" si="88">SUMIF($AS$9:$AT$9,AP$9,$AS318:$AT318)</f>
        <v>0</v>
      </c>
      <c r="AQ318" s="247">
        <f t="shared" si="88"/>
        <v>0</v>
      </c>
      <c r="AR318" s="247">
        <f t="shared" si="88"/>
        <v>0</v>
      </c>
      <c r="AS318" s="194"/>
      <c r="AT318" s="194"/>
      <c r="AU318" s="326"/>
    </row>
    <row r="319" spans="1:47" ht="12" customHeight="1">
      <c r="A319" s="2"/>
      <c r="B319" s="2"/>
      <c r="C319" s="2"/>
      <c r="D319" s="2"/>
      <c r="E319" s="2"/>
      <c r="F319" s="2"/>
      <c r="G319" s="2"/>
      <c r="H319" s="2"/>
      <c r="I319" s="2"/>
      <c r="J319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413" t="s">
        <v>2092</v>
      </c>
      <c r="AG319" s="2"/>
      <c r="AH319" s="2"/>
      <c r="AI319" s="2"/>
      <c r="AJ319" s="2"/>
      <c r="AK319" s="2"/>
      <c r="AL319" s="124"/>
      <c r="AM319" s="639" t="s">
        <v>2331</v>
      </c>
      <c r="AN319" s="559" t="s">
        <v>2332</v>
      </c>
      <c r="AO319" s="420" t="s">
        <v>195</v>
      </c>
      <c r="AP319" s="247">
        <f t="shared" si="88"/>
        <v>0</v>
      </c>
      <c r="AQ319" s="247">
        <f t="shared" si="88"/>
        <v>0</v>
      </c>
      <c r="AR319" s="247">
        <f t="shared" si="88"/>
        <v>0</v>
      </c>
      <c r="AS319" s="194"/>
      <c r="AT319" s="194"/>
      <c r="AU319" s="326"/>
    </row>
    <row r="320" spans="1:47" ht="12" customHeight="1">
      <c r="A320" s="2"/>
      <c r="B320" s="2"/>
      <c r="C320" s="2"/>
      <c r="D320" s="2"/>
      <c r="E320" s="2"/>
      <c r="F320" s="2"/>
      <c r="G320" s="2"/>
      <c r="H320" s="2"/>
      <c r="I320" s="2"/>
      <c r="J320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413" t="s">
        <v>2093</v>
      </c>
      <c r="AG320" s="2"/>
      <c r="AH320" s="2"/>
      <c r="AI320" s="2"/>
      <c r="AJ320" s="2"/>
      <c r="AK320" s="2"/>
      <c r="AL320" s="124"/>
      <c r="AM320" s="639" t="str">
        <f>AM319 &amp; ".P"</f>
        <v>CARBONPWDRD.P</v>
      </c>
      <c r="AN320" s="531" t="s">
        <v>842</v>
      </c>
      <c r="AO320" s="420" t="s">
        <v>23</v>
      </c>
      <c r="AP320" s="247">
        <f>IF(AP321=0,0,AP319*1000/AP321)</f>
        <v>0</v>
      </c>
      <c r="AQ320" s="247">
        <f>IF(AQ321=0,0,AQ319*1000/AQ321)</f>
        <v>0</v>
      </c>
      <c r="AR320" s="247">
        <f>IF(AR321=0,0,AR319*1000/AR321)</f>
        <v>0</v>
      </c>
      <c r="AS320" s="194"/>
      <c r="AT320" s="194"/>
      <c r="AU320" s="326"/>
    </row>
    <row r="321" spans="1:47" ht="12" customHeight="1">
      <c r="A321" s="2"/>
      <c r="B321" s="2"/>
      <c r="C321" s="2"/>
      <c r="D321" s="2"/>
      <c r="E321" s="2"/>
      <c r="F321" s="2"/>
      <c r="G321" s="2"/>
      <c r="H321" s="2"/>
      <c r="I321" s="2"/>
      <c r="J32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413" t="s">
        <v>2094</v>
      </c>
      <c r="AG321" s="2"/>
      <c r="AH321" s="2"/>
      <c r="AI321" s="2"/>
      <c r="AJ321" s="2"/>
      <c r="AK321" s="2"/>
      <c r="AL321" s="124"/>
      <c r="AM321" s="639" t="str">
        <f>AM319 &amp; ".V"</f>
        <v>CARBONPWDRD.V</v>
      </c>
      <c r="AN321" s="531" t="s">
        <v>245</v>
      </c>
      <c r="AO321" s="420" t="s">
        <v>289</v>
      </c>
      <c r="AP321" s="247">
        <f>SUMIF($AS$9:$AT$9,AP$9,$AS321:$AT321)</f>
        <v>0</v>
      </c>
      <c r="AQ321" s="247">
        <f>SUMIF($AS$9:$AT$9,AQ$9,$AS321:$AT321)</f>
        <v>0</v>
      </c>
      <c r="AR321" s="247">
        <f>SUMIF($AS$9:$AT$9,AR$9,$AS321:$AT321)</f>
        <v>0</v>
      </c>
      <c r="AS321" s="194"/>
      <c r="AT321" s="194"/>
      <c r="AU321" s="326"/>
    </row>
    <row r="322" spans="1:47" ht="12" customHeight="1">
      <c r="A322" s="2"/>
      <c r="B322" s="2"/>
      <c r="C322" s="2"/>
      <c r="D322" s="2"/>
      <c r="E322" s="2"/>
      <c r="F322" s="2"/>
      <c r="G322" s="2"/>
      <c r="H322" s="2"/>
      <c r="I322" s="2"/>
      <c r="J32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413" t="s">
        <v>2092</v>
      </c>
      <c r="AG322" s="2"/>
      <c r="AH322" s="2"/>
      <c r="AI322" s="2"/>
      <c r="AJ322" s="2"/>
      <c r="AK322" s="2"/>
      <c r="AL322" s="124"/>
      <c r="AM322" s="561" t="s">
        <v>2021</v>
      </c>
      <c r="AN322" s="559" t="s">
        <v>1989</v>
      </c>
      <c r="AO322" s="420" t="s">
        <v>195</v>
      </c>
      <c r="AP322" s="247">
        <f t="shared" si="88"/>
        <v>0</v>
      </c>
      <c r="AQ322" s="247">
        <f t="shared" si="88"/>
        <v>0</v>
      </c>
      <c r="AR322" s="247">
        <f t="shared" si="88"/>
        <v>0</v>
      </c>
      <c r="AS322" s="194"/>
      <c r="AT322" s="194"/>
      <c r="AU322" s="326"/>
    </row>
    <row r="323" spans="1:47" ht="12" customHeight="1">
      <c r="A323" s="2"/>
      <c r="B323" s="2"/>
      <c r="C323" s="2"/>
      <c r="D323" s="2"/>
      <c r="E323" s="2"/>
      <c r="F323" s="2"/>
      <c r="G323" s="2"/>
      <c r="H323" s="2"/>
      <c r="I323" s="2"/>
      <c r="J323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413" t="s">
        <v>2093</v>
      </c>
      <c r="AG323" s="2"/>
      <c r="AH323" s="2"/>
      <c r="AI323" s="2"/>
      <c r="AJ323" s="2"/>
      <c r="AK323" s="2"/>
      <c r="AL323" s="124"/>
      <c r="AM323" s="562" t="str">
        <f>AM322 &amp; ".P"</f>
        <v>CCL4.P</v>
      </c>
      <c r="AN323" s="531" t="s">
        <v>842</v>
      </c>
      <c r="AO323" s="420" t="s">
        <v>23</v>
      </c>
      <c r="AP323" s="247">
        <f>IF(AP324=0,0,AP322*1000/AP324)</f>
        <v>0</v>
      </c>
      <c r="AQ323" s="247">
        <f>IF(AQ324=0,0,AQ322*1000/AQ324)</f>
        <v>0</v>
      </c>
      <c r="AR323" s="247">
        <f>IF(AR324=0,0,AR322*1000/AR324)</f>
        <v>0</v>
      </c>
      <c r="AS323" s="194"/>
      <c r="AT323" s="194"/>
      <c r="AU323" s="326"/>
    </row>
    <row r="324" spans="1:47" ht="12" customHeight="1">
      <c r="A324" s="2"/>
      <c r="B324" s="2"/>
      <c r="C324" s="2"/>
      <c r="D324" s="2"/>
      <c r="E324" s="2"/>
      <c r="F324" s="2"/>
      <c r="G324" s="2"/>
      <c r="H324" s="2"/>
      <c r="I324" s="2"/>
      <c r="J324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413" t="s">
        <v>2094</v>
      </c>
      <c r="AG324" s="2"/>
      <c r="AH324" s="2"/>
      <c r="AI324" s="2"/>
      <c r="AJ324" s="2"/>
      <c r="AK324" s="2"/>
      <c r="AL324" s="124"/>
      <c r="AM324" s="562" t="str">
        <f>AM322 &amp; ".V"</f>
        <v>CCL4.V</v>
      </c>
      <c r="AN324" s="531" t="s">
        <v>245</v>
      </c>
      <c r="AO324" s="420" t="s">
        <v>289</v>
      </c>
      <c r="AP324" s="247">
        <f t="shared" ref="AP324:AR325" si="89">SUMIF($AS$9:$AT$9,AP$9,$AS324:$AT324)</f>
        <v>0</v>
      </c>
      <c r="AQ324" s="247">
        <f t="shared" si="89"/>
        <v>0</v>
      </c>
      <c r="AR324" s="247">
        <f t="shared" si="89"/>
        <v>0</v>
      </c>
      <c r="AS324" s="194"/>
      <c r="AT324" s="194"/>
      <c r="AU324" s="326"/>
    </row>
    <row r="325" spans="1:47" ht="12" customHeight="1">
      <c r="A325" s="2"/>
      <c r="B325" s="2"/>
      <c r="C325" s="2"/>
      <c r="D325" s="2"/>
      <c r="E325" s="2"/>
      <c r="F325" s="2"/>
      <c r="G325" s="2"/>
      <c r="H325" s="2"/>
      <c r="I325" s="2"/>
      <c r="J32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413" t="s">
        <v>2092</v>
      </c>
      <c r="AG325" s="2"/>
      <c r="AH325" s="2"/>
      <c r="AI325" s="2"/>
      <c r="AJ325" s="2"/>
      <c r="AK325" s="2"/>
      <c r="AL325" s="124"/>
      <c r="AM325" s="561" t="s">
        <v>2013</v>
      </c>
      <c r="AN325" s="559" t="s">
        <v>1990</v>
      </c>
      <c r="AO325" s="420" t="s">
        <v>195</v>
      </c>
      <c r="AP325" s="247">
        <f t="shared" si="89"/>
        <v>0</v>
      </c>
      <c r="AQ325" s="247">
        <f t="shared" si="89"/>
        <v>0</v>
      </c>
      <c r="AR325" s="247">
        <f t="shared" si="89"/>
        <v>0</v>
      </c>
      <c r="AS325" s="194"/>
      <c r="AT325" s="194"/>
      <c r="AU325" s="326"/>
    </row>
    <row r="326" spans="1:47" ht="12" customHeight="1">
      <c r="A326" s="2"/>
      <c r="B326" s="2"/>
      <c r="C326" s="2"/>
      <c r="D326" s="2"/>
      <c r="E326" s="2"/>
      <c r="F326" s="2"/>
      <c r="G326" s="2"/>
      <c r="H326" s="2"/>
      <c r="I326" s="2"/>
      <c r="J326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413" t="s">
        <v>2093</v>
      </c>
      <c r="AG326" s="2"/>
      <c r="AH326" s="2"/>
      <c r="AI326" s="2"/>
      <c r="AJ326" s="2"/>
      <c r="AK326" s="2"/>
      <c r="AL326" s="124"/>
      <c r="AM326" s="562" t="str">
        <f>AM325 &amp; ".P"</f>
        <v>FFTLN.P</v>
      </c>
      <c r="AN326" s="531" t="s">
        <v>842</v>
      </c>
      <c r="AO326" s="420" t="s">
        <v>23</v>
      </c>
      <c r="AP326" s="247">
        <f>IF(AP327=0,0,AP325*1000/AP327)</f>
        <v>0</v>
      </c>
      <c r="AQ326" s="247">
        <f>IF(AQ327=0,0,AQ325*1000/AQ327)</f>
        <v>0</v>
      </c>
      <c r="AR326" s="247">
        <f>IF(AR327=0,0,AR325*1000/AR327)</f>
        <v>0</v>
      </c>
      <c r="AS326" s="194"/>
      <c r="AT326" s="194"/>
      <c r="AU326" s="326"/>
    </row>
    <row r="327" spans="1:47" ht="12" customHeight="1">
      <c r="A327" s="2"/>
      <c r="B327" s="2"/>
      <c r="C327" s="2"/>
      <c r="D327" s="2"/>
      <c r="E327" s="2"/>
      <c r="F327" s="2"/>
      <c r="G327" s="2"/>
      <c r="H327" s="2"/>
      <c r="I327" s="2"/>
      <c r="J327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413" t="s">
        <v>2094</v>
      </c>
      <c r="AG327" s="2"/>
      <c r="AH327" s="2"/>
      <c r="AI327" s="2"/>
      <c r="AJ327" s="2"/>
      <c r="AK327" s="2"/>
      <c r="AL327" s="124"/>
      <c r="AM327" s="562" t="str">
        <f>AM325 &amp; ".V"</f>
        <v>FFTLN.V</v>
      </c>
      <c r="AN327" s="531" t="s">
        <v>245</v>
      </c>
      <c r="AO327" s="420" t="s">
        <v>289</v>
      </c>
      <c r="AP327" s="247">
        <f t="shared" ref="AP327:AR328" si="90">SUMIF($AS$9:$AT$9,AP$9,$AS327:$AT327)</f>
        <v>0</v>
      </c>
      <c r="AQ327" s="247">
        <f t="shared" si="90"/>
        <v>0</v>
      </c>
      <c r="AR327" s="247">
        <f t="shared" si="90"/>
        <v>0</v>
      </c>
      <c r="AS327" s="194"/>
      <c r="AT327" s="194"/>
      <c r="AU327" s="326"/>
    </row>
    <row r="328" spans="1:47" ht="12" customHeight="1">
      <c r="A328" s="2"/>
      <c r="B328" s="2"/>
      <c r="C328" s="2"/>
      <c r="D328" s="2"/>
      <c r="E328" s="2"/>
      <c r="F328" s="2"/>
      <c r="G328" s="2"/>
      <c r="H328" s="2"/>
      <c r="I328" s="2"/>
      <c r="J328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413" t="s">
        <v>2092</v>
      </c>
      <c r="AG328" s="2"/>
      <c r="AH328" s="2"/>
      <c r="AI328" s="2"/>
      <c r="AJ328" s="2"/>
      <c r="AK328" s="2"/>
      <c r="AL328" s="124"/>
      <c r="AM328" s="561" t="s">
        <v>1068</v>
      </c>
      <c r="AN328" s="559" t="s">
        <v>1991</v>
      </c>
      <c r="AO328" s="420" t="s">
        <v>195</v>
      </c>
      <c r="AP328" s="247">
        <f t="shared" si="90"/>
        <v>0</v>
      </c>
      <c r="AQ328" s="247">
        <f t="shared" si="90"/>
        <v>0</v>
      </c>
      <c r="AR328" s="247">
        <f t="shared" si="90"/>
        <v>0</v>
      </c>
      <c r="AS328" s="194"/>
      <c r="AT328" s="194"/>
      <c r="AU328" s="326"/>
    </row>
    <row r="329" spans="1:47" ht="12" customHeight="1">
      <c r="A329" s="2"/>
      <c r="B329" s="2"/>
      <c r="C329" s="2"/>
      <c r="D329" s="2"/>
      <c r="E329" s="2"/>
      <c r="F329" s="2"/>
      <c r="G329" s="2"/>
      <c r="H329" s="2"/>
      <c r="I329" s="2"/>
      <c r="J329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413" t="s">
        <v>2093</v>
      </c>
      <c r="AG329" s="2"/>
      <c r="AH329" s="2"/>
      <c r="AI329" s="2"/>
      <c r="AJ329" s="2"/>
      <c r="AK329" s="2"/>
      <c r="AL329" s="124"/>
      <c r="AM329" s="562" t="str">
        <f>AM328 &amp; ".P"</f>
        <v>CL.P</v>
      </c>
      <c r="AN329" s="531" t="s">
        <v>842</v>
      </c>
      <c r="AO329" s="420" t="s">
        <v>23</v>
      </c>
      <c r="AP329" s="247">
        <f>IF(AP330=0,0,AP328*1000/AP330)</f>
        <v>0</v>
      </c>
      <c r="AQ329" s="247">
        <f>IF(AQ330=0,0,AQ328*1000/AQ330)</f>
        <v>0</v>
      </c>
      <c r="AR329" s="247">
        <f>IF(AR330=0,0,AR328*1000/AR330)</f>
        <v>0</v>
      </c>
      <c r="AS329" s="194"/>
      <c r="AT329" s="194"/>
      <c r="AU329" s="326"/>
    </row>
    <row r="330" spans="1:47" ht="12" customHeight="1">
      <c r="A330" s="2"/>
      <c r="B330" s="2"/>
      <c r="C330" s="2"/>
      <c r="D330" s="2"/>
      <c r="E330" s="2"/>
      <c r="F330" s="2"/>
      <c r="G330" s="2"/>
      <c r="H330" s="2"/>
      <c r="I330" s="2"/>
      <c r="J330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413" t="s">
        <v>2094</v>
      </c>
      <c r="AG330" s="2"/>
      <c r="AH330" s="2"/>
      <c r="AI330" s="2"/>
      <c r="AJ330" s="2"/>
      <c r="AK330" s="2"/>
      <c r="AL330" s="124"/>
      <c r="AM330" s="562" t="str">
        <f>AM328 &amp; ".V"</f>
        <v>CL.V</v>
      </c>
      <c r="AN330" s="531" t="s">
        <v>245</v>
      </c>
      <c r="AO330" s="420" t="s">
        <v>289</v>
      </c>
      <c r="AP330" s="247">
        <f t="shared" ref="AP330:AR331" si="91">SUMIF($AS$9:$AT$9,AP$9,$AS330:$AT330)</f>
        <v>0</v>
      </c>
      <c r="AQ330" s="247">
        <f t="shared" si="91"/>
        <v>0</v>
      </c>
      <c r="AR330" s="247">
        <f t="shared" si="91"/>
        <v>0</v>
      </c>
      <c r="AS330" s="194"/>
      <c r="AT330" s="194"/>
      <c r="AU330" s="326"/>
    </row>
    <row r="331" spans="1:47" ht="12" customHeight="1">
      <c r="A331" s="2"/>
      <c r="B331" s="2"/>
      <c r="C331" s="2"/>
      <c r="D331" s="2"/>
      <c r="E331" s="2"/>
      <c r="F331" s="2"/>
      <c r="G331" s="2"/>
      <c r="H331" s="2"/>
      <c r="I331" s="2"/>
      <c r="J33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413" t="s">
        <v>2092</v>
      </c>
      <c r="AG331" s="2"/>
      <c r="AH331" s="2"/>
      <c r="AI331" s="2"/>
      <c r="AJ331" s="2"/>
      <c r="AK331" s="2"/>
      <c r="AL331" s="124"/>
      <c r="AM331" s="561" t="s">
        <v>2020</v>
      </c>
      <c r="AN331" s="559" t="s">
        <v>1992</v>
      </c>
      <c r="AO331" s="420" t="s">
        <v>195</v>
      </c>
      <c r="AP331" s="247">
        <f t="shared" si="91"/>
        <v>0</v>
      </c>
      <c r="AQ331" s="247">
        <f t="shared" si="91"/>
        <v>0</v>
      </c>
      <c r="AR331" s="247">
        <f t="shared" si="91"/>
        <v>0</v>
      </c>
      <c r="AS331" s="194"/>
      <c r="AT331" s="194"/>
      <c r="AU331" s="326"/>
    </row>
    <row r="332" spans="1:47" ht="12" customHeight="1">
      <c r="A332" s="2"/>
      <c r="B332" s="2"/>
      <c r="C332" s="2"/>
      <c r="D332" s="2"/>
      <c r="E332" s="2"/>
      <c r="F332" s="2"/>
      <c r="G332" s="2"/>
      <c r="H332" s="2"/>
      <c r="I332" s="2"/>
      <c r="J33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413" t="s">
        <v>2093</v>
      </c>
      <c r="AG332" s="2"/>
      <c r="AH332" s="2"/>
      <c r="AI332" s="2"/>
      <c r="AJ332" s="2"/>
      <c r="AK332" s="2"/>
      <c r="AL332" s="124"/>
      <c r="AM332" s="562" t="str">
        <f>AM331 &amp; ".P"</f>
        <v>CLLIQ.P</v>
      </c>
      <c r="AN332" s="531" t="s">
        <v>842</v>
      </c>
      <c r="AO332" s="420" t="s">
        <v>23</v>
      </c>
      <c r="AP332" s="247">
        <f>IF(AP333=0,0,AP331*1000/AP333)</f>
        <v>0</v>
      </c>
      <c r="AQ332" s="247">
        <f>IF(AQ333=0,0,AQ331*1000/AQ333)</f>
        <v>0</v>
      </c>
      <c r="AR332" s="247">
        <f>IF(AR333=0,0,AR331*1000/AR333)</f>
        <v>0</v>
      </c>
      <c r="AS332" s="194"/>
      <c r="AT332" s="194"/>
      <c r="AU332" s="326"/>
    </row>
    <row r="333" spans="1:47" ht="12" customHeight="1">
      <c r="A333" s="2"/>
      <c r="B333" s="2"/>
      <c r="C333" s="2"/>
      <c r="D333" s="2"/>
      <c r="E333" s="2"/>
      <c r="F333" s="2"/>
      <c r="G333" s="2"/>
      <c r="H333" s="2"/>
      <c r="I333" s="2"/>
      <c r="J333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413" t="s">
        <v>2094</v>
      </c>
      <c r="AG333" s="2"/>
      <c r="AH333" s="2"/>
      <c r="AI333" s="2"/>
      <c r="AJ333" s="2"/>
      <c r="AK333" s="2"/>
      <c r="AL333" s="124"/>
      <c r="AM333" s="562" t="str">
        <f>AM331 &amp; ".V"</f>
        <v>CLLIQ.V</v>
      </c>
      <c r="AN333" s="531" t="s">
        <v>245</v>
      </c>
      <c r="AO333" s="420" t="s">
        <v>289</v>
      </c>
      <c r="AP333" s="247">
        <f t="shared" ref="AP333:AR334" si="92">SUMIF($AS$9:$AT$9,AP$9,$AS333:$AT333)</f>
        <v>0</v>
      </c>
      <c r="AQ333" s="247">
        <f t="shared" si="92"/>
        <v>0</v>
      </c>
      <c r="AR333" s="247">
        <f t="shared" si="92"/>
        <v>0</v>
      </c>
      <c r="AS333" s="194"/>
      <c r="AT333" s="194"/>
      <c r="AU333" s="326"/>
    </row>
    <row r="334" spans="1:47" ht="12" customHeight="1">
      <c r="A334" s="2"/>
      <c r="B334" s="2"/>
      <c r="C334" s="2"/>
      <c r="D334" s="2"/>
      <c r="E334" s="2"/>
      <c r="F334" s="2"/>
      <c r="G334" s="2"/>
      <c r="H334" s="2"/>
      <c r="I334" s="2"/>
      <c r="J334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413" t="s">
        <v>2092</v>
      </c>
      <c r="AG334" s="2"/>
      <c r="AH334" s="2"/>
      <c r="AI334" s="2"/>
      <c r="AJ334" s="2"/>
      <c r="AK334" s="2"/>
      <c r="AL334" s="124"/>
      <c r="AM334" s="561" t="s">
        <v>2012</v>
      </c>
      <c r="AN334" s="559" t="s">
        <v>1993</v>
      </c>
      <c r="AO334" s="420" t="s">
        <v>195</v>
      </c>
      <c r="AP334" s="247">
        <f t="shared" si="92"/>
        <v>0</v>
      </c>
      <c r="AQ334" s="247">
        <f t="shared" si="92"/>
        <v>0</v>
      </c>
      <c r="AR334" s="247">
        <f t="shared" si="92"/>
        <v>0</v>
      </c>
      <c r="AS334" s="194"/>
      <c r="AT334" s="194"/>
      <c r="AU334" s="326"/>
    </row>
    <row r="335" spans="1:47" ht="12" customHeight="1">
      <c r="A335" s="2"/>
      <c r="B335" s="2"/>
      <c r="C335" s="2"/>
      <c r="D335" s="2"/>
      <c r="E335" s="2"/>
      <c r="F335" s="2"/>
      <c r="G335" s="2"/>
      <c r="H335" s="2"/>
      <c r="I335" s="2"/>
      <c r="J33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413" t="s">
        <v>2093</v>
      </c>
      <c r="AG335" s="2"/>
      <c r="AH335" s="2"/>
      <c r="AI335" s="2"/>
      <c r="AJ335" s="2"/>
      <c r="AK335" s="2"/>
      <c r="AL335" s="124"/>
      <c r="AM335" s="562" t="str">
        <f>AM334 &amp; ".P"</f>
        <v>CLAMN.P</v>
      </c>
      <c r="AN335" s="531" t="s">
        <v>842</v>
      </c>
      <c r="AO335" s="420" t="s">
        <v>23</v>
      </c>
      <c r="AP335" s="247">
        <f>IF(AP336=0,0,AP334*1000/AP336)</f>
        <v>0</v>
      </c>
      <c r="AQ335" s="247">
        <f>IF(AQ336=0,0,AQ334*1000/AQ336)</f>
        <v>0</v>
      </c>
      <c r="AR335" s="247">
        <f>IF(AR336=0,0,AR334*1000/AR336)</f>
        <v>0</v>
      </c>
      <c r="AS335" s="194"/>
      <c r="AT335" s="194"/>
      <c r="AU335" s="326"/>
    </row>
    <row r="336" spans="1:47" ht="12" customHeight="1">
      <c r="A336" s="2"/>
      <c r="B336" s="2"/>
      <c r="C336" s="2"/>
      <c r="D336" s="2"/>
      <c r="E336" s="2"/>
      <c r="F336" s="2"/>
      <c r="G336" s="2"/>
      <c r="H336" s="2"/>
      <c r="I336" s="2"/>
      <c r="J336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413" t="s">
        <v>2094</v>
      </c>
      <c r="AG336" s="2"/>
      <c r="AH336" s="2"/>
      <c r="AI336" s="2"/>
      <c r="AJ336" s="2"/>
      <c r="AK336" s="2"/>
      <c r="AL336" s="124"/>
      <c r="AM336" s="562" t="str">
        <f>AM334 &amp; ".V"</f>
        <v>CLAMN.V</v>
      </c>
      <c r="AN336" s="531" t="s">
        <v>245</v>
      </c>
      <c r="AO336" s="420" t="s">
        <v>289</v>
      </c>
      <c r="AP336" s="247">
        <f t="shared" ref="AP336:AR337" si="93">SUMIF($AS$9:$AT$9,AP$9,$AS336:$AT336)</f>
        <v>0</v>
      </c>
      <c r="AQ336" s="247">
        <f t="shared" si="93"/>
        <v>0</v>
      </c>
      <c r="AR336" s="247">
        <f t="shared" si="93"/>
        <v>0</v>
      </c>
      <c r="AS336" s="194"/>
      <c r="AT336" s="194"/>
      <c r="AU336" s="326"/>
    </row>
    <row r="337" spans="1:48" ht="12" customHeight="1">
      <c r="A337" s="2"/>
      <c r="B337" s="2"/>
      <c r="C337" s="2"/>
      <c r="D337" s="2"/>
      <c r="E337" s="2"/>
      <c r="F337" s="2"/>
      <c r="G337" s="2"/>
      <c r="H337" s="2"/>
      <c r="I337" s="2"/>
      <c r="J337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413" t="s">
        <v>2092</v>
      </c>
      <c r="AG337" s="2"/>
      <c r="AH337" s="2"/>
      <c r="AI337" s="2"/>
      <c r="AJ337" s="2"/>
      <c r="AK337" s="2"/>
      <c r="AL337" s="124"/>
      <c r="AM337" s="561" t="s">
        <v>2028</v>
      </c>
      <c r="AN337" s="559" t="s">
        <v>1994</v>
      </c>
      <c r="AO337" s="420" t="s">
        <v>195</v>
      </c>
      <c r="AP337" s="247">
        <f t="shared" si="93"/>
        <v>0</v>
      </c>
      <c r="AQ337" s="247">
        <f t="shared" si="93"/>
        <v>0</v>
      </c>
      <c r="AR337" s="247">
        <f t="shared" si="93"/>
        <v>0</v>
      </c>
      <c r="AS337" s="194"/>
      <c r="AT337" s="194"/>
      <c r="AU337" s="326"/>
    </row>
    <row r="338" spans="1:48" ht="12" customHeight="1">
      <c r="A338" s="2"/>
      <c r="B338" s="2"/>
      <c r="C338" s="2"/>
      <c r="D338" s="2"/>
      <c r="E338" s="2"/>
      <c r="F338" s="2"/>
      <c r="G338" s="2"/>
      <c r="H338" s="2"/>
      <c r="I338" s="2"/>
      <c r="J338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413" t="s">
        <v>2093</v>
      </c>
      <c r="AG338" s="2"/>
      <c r="AH338" s="2"/>
      <c r="AI338" s="2"/>
      <c r="AJ338" s="2"/>
      <c r="AK338" s="2"/>
      <c r="AL338" s="124"/>
      <c r="AM338" s="562" t="str">
        <f>AM337 &amp; ".P"</f>
        <v>CLFRM.P</v>
      </c>
      <c r="AN338" s="531" t="s">
        <v>842</v>
      </c>
      <c r="AO338" s="420" t="s">
        <v>23</v>
      </c>
      <c r="AP338" s="247">
        <f>IF(AP339=0,0,AP337*1000/AP339)</f>
        <v>0</v>
      </c>
      <c r="AQ338" s="247">
        <f>IF(AQ339=0,0,AQ337*1000/AQ339)</f>
        <v>0</v>
      </c>
      <c r="AR338" s="247">
        <f>IF(AR339=0,0,AR337*1000/AR339)</f>
        <v>0</v>
      </c>
      <c r="AS338" s="194"/>
      <c r="AT338" s="194"/>
      <c r="AU338" s="326"/>
    </row>
    <row r="339" spans="1:48" ht="12" customHeight="1">
      <c r="A339" s="2"/>
      <c r="B339" s="2"/>
      <c r="C339" s="2"/>
      <c r="D339" s="2"/>
      <c r="E339" s="2"/>
      <c r="F339" s="2"/>
      <c r="G339" s="2"/>
      <c r="H339" s="2"/>
      <c r="I339" s="2"/>
      <c r="J339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413" t="s">
        <v>2094</v>
      </c>
      <c r="AG339" s="2"/>
      <c r="AH339" s="2"/>
      <c r="AI339" s="2"/>
      <c r="AJ339" s="2"/>
      <c r="AK339" s="2"/>
      <c r="AL339" s="124"/>
      <c r="AM339" s="562" t="str">
        <f>AM337 &amp; ".V"</f>
        <v>CLFRM.V</v>
      </c>
      <c r="AN339" s="531" t="s">
        <v>245</v>
      </c>
      <c r="AO339" s="420" t="s">
        <v>289</v>
      </c>
      <c r="AP339" s="247">
        <f t="shared" ref="AP339:AR340" si="94">SUMIF($AS$9:$AT$9,AP$9,$AS339:$AT339)</f>
        <v>0</v>
      </c>
      <c r="AQ339" s="247">
        <f t="shared" si="94"/>
        <v>0</v>
      </c>
      <c r="AR339" s="247">
        <f t="shared" si="94"/>
        <v>0</v>
      </c>
      <c r="AS339" s="194"/>
      <c r="AT339" s="194"/>
      <c r="AU339" s="326"/>
    </row>
    <row r="340" spans="1:48" ht="12" customHeight="1">
      <c r="A340" s="2"/>
      <c r="B340" s="2"/>
      <c r="C340" s="2"/>
      <c r="D340" s="2"/>
      <c r="E340" s="2"/>
      <c r="F340" s="2"/>
      <c r="G340" s="2"/>
      <c r="H340" s="2"/>
      <c r="I340" s="2"/>
      <c r="J340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413" t="s">
        <v>2092</v>
      </c>
      <c r="AG340" s="2"/>
      <c r="AH340" s="2"/>
      <c r="AI340" s="2"/>
      <c r="AJ340" s="2"/>
      <c r="AK340" s="2"/>
      <c r="AL340" s="124"/>
      <c r="AM340" s="561" t="s">
        <v>2029</v>
      </c>
      <c r="AN340" s="559" t="s">
        <v>1995</v>
      </c>
      <c r="AO340" s="420" t="s">
        <v>195</v>
      </c>
      <c r="AP340" s="247">
        <f t="shared" si="94"/>
        <v>0</v>
      </c>
      <c r="AQ340" s="247">
        <f t="shared" si="94"/>
        <v>0</v>
      </c>
      <c r="AR340" s="247">
        <f t="shared" si="94"/>
        <v>0</v>
      </c>
      <c r="AS340" s="194"/>
      <c r="AT340" s="194"/>
      <c r="AU340" s="326"/>
    </row>
    <row r="341" spans="1:48" ht="12" customHeight="1">
      <c r="A341" s="2"/>
      <c r="B341" s="2"/>
      <c r="C341" s="2"/>
      <c r="D341" s="2"/>
      <c r="E341" s="2"/>
      <c r="F341" s="2"/>
      <c r="G341" s="2"/>
      <c r="H341" s="2"/>
      <c r="I341" s="2"/>
      <c r="J34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413" t="s">
        <v>2093</v>
      </c>
      <c r="AG341" s="2"/>
      <c r="AH341" s="2"/>
      <c r="AI341" s="2"/>
      <c r="AJ341" s="2"/>
      <c r="AK341" s="2"/>
      <c r="AL341" s="124"/>
      <c r="AM341" s="562" t="str">
        <f>AM340 &amp; ".P"</f>
        <v>ETHL.P</v>
      </c>
      <c r="AN341" s="531" t="s">
        <v>842</v>
      </c>
      <c r="AO341" s="420" t="s">
        <v>23</v>
      </c>
      <c r="AP341" s="247">
        <f>IF(AP342=0,0,AP340*1000/AP342)</f>
        <v>0</v>
      </c>
      <c r="AQ341" s="247">
        <f>IF(AQ342=0,0,AQ340*1000/AQ342)</f>
        <v>0</v>
      </c>
      <c r="AR341" s="247">
        <f>IF(AR342=0,0,AR340*1000/AR342)</f>
        <v>0</v>
      </c>
      <c r="AS341" s="194"/>
      <c r="AT341" s="194"/>
      <c r="AU341" s="326"/>
    </row>
    <row r="342" spans="1:48" ht="12" customHeight="1">
      <c r="A342" s="2"/>
      <c r="B342" s="2"/>
      <c r="C342" s="2"/>
      <c r="D342" s="2"/>
      <c r="E342" s="2"/>
      <c r="F342" s="2"/>
      <c r="G342" s="2"/>
      <c r="H342" s="2"/>
      <c r="I342" s="2"/>
      <c r="J34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413" t="s">
        <v>2094</v>
      </c>
      <c r="AG342" s="2"/>
      <c r="AH342" s="2"/>
      <c r="AI342" s="2"/>
      <c r="AJ342" s="2"/>
      <c r="AK342" s="2"/>
      <c r="AL342" s="124"/>
      <c r="AM342" s="562" t="str">
        <f>AM340 &amp; ".V"</f>
        <v>ETHL.V</v>
      </c>
      <c r="AN342" s="531" t="s">
        <v>245</v>
      </c>
      <c r="AO342" s="420" t="s">
        <v>289</v>
      </c>
      <c r="AP342" s="247">
        <f t="shared" ref="AP342:AR343" si="95">SUMIF($AS$9:$AT$9,AP$9,$AS342:$AT342)</f>
        <v>0</v>
      </c>
      <c r="AQ342" s="247">
        <f t="shared" si="95"/>
        <v>0</v>
      </c>
      <c r="AR342" s="247">
        <f t="shared" si="95"/>
        <v>0</v>
      </c>
      <c r="AS342" s="194"/>
      <c r="AT342" s="194"/>
      <c r="AU342" s="326"/>
    </row>
    <row r="343" spans="1:48" ht="12" customHeight="1">
      <c r="A343" s="2"/>
      <c r="B343" s="2"/>
      <c r="C343" s="2"/>
      <c r="D343" s="2"/>
      <c r="E343" s="2"/>
      <c r="F343" s="2"/>
      <c r="G343" s="2"/>
      <c r="H343" s="2"/>
      <c r="I343" s="2"/>
      <c r="J343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413" t="s">
        <v>2091</v>
      </c>
      <c r="AG343" s="2"/>
      <c r="AH343" s="2"/>
      <c r="AI343" s="2"/>
      <c r="AJ343" s="2"/>
      <c r="AK343" s="2"/>
      <c r="AL343" s="124"/>
      <c r="AM343" s="564" t="s">
        <v>1356</v>
      </c>
      <c r="AN343" s="565" t="s">
        <v>307</v>
      </c>
      <c r="AO343" s="418" t="s">
        <v>195</v>
      </c>
      <c r="AP343" s="253">
        <f t="shared" si="95"/>
        <v>0</v>
      </c>
      <c r="AQ343" s="253">
        <f t="shared" si="95"/>
        <v>0</v>
      </c>
      <c r="AR343" s="253">
        <f t="shared" si="95"/>
        <v>0</v>
      </c>
      <c r="AS343" s="194"/>
      <c r="AT343" s="194"/>
      <c r="AU343" s="326"/>
    </row>
    <row r="344" spans="1:48" ht="0.75" hidden="1" customHeight="1">
      <c r="A344" s="2"/>
      <c r="B344" s="2"/>
      <c r="C344" s="2"/>
      <c r="D344" s="2"/>
      <c r="E344" s="2"/>
      <c r="F344" s="2"/>
      <c r="G344" s="2"/>
      <c r="H344" s="2"/>
      <c r="I344" s="2"/>
      <c r="J344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413"/>
      <c r="AG344" s="2"/>
      <c r="AH344" s="2"/>
      <c r="AI344" s="2"/>
      <c r="AJ344" s="2"/>
      <c r="AK344" s="2"/>
      <c r="AL344" s="124"/>
      <c r="AM344" s="560"/>
      <c r="AN344" s="533"/>
      <c r="AO344" s="166"/>
      <c r="AP344" s="142"/>
      <c r="AQ344" s="142"/>
      <c r="AR344" s="142"/>
      <c r="AS344" s="223"/>
      <c r="AT344" s="194"/>
    </row>
    <row r="345" spans="1:48" ht="0.75" hidden="1" customHeight="1">
      <c r="A345" s="2"/>
      <c r="B345" s="2"/>
      <c r="C345" s="2"/>
      <c r="D345" s="2"/>
      <c r="E345" s="2"/>
      <c r="F345" s="2"/>
      <c r="G345" s="2"/>
      <c r="H345" s="2"/>
      <c r="I345" s="2"/>
      <c r="J34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413"/>
      <c r="AG345" s="2"/>
      <c r="AH345" s="2"/>
      <c r="AI345" s="2"/>
      <c r="AJ345" s="2"/>
      <c r="AK345" s="2"/>
      <c r="AL345" s="124"/>
      <c r="AM345" s="560"/>
      <c r="AN345" s="533"/>
      <c r="AO345" s="166"/>
      <c r="AP345" s="142"/>
      <c r="AQ345" s="142"/>
      <c r="AR345" s="142"/>
      <c r="AS345" s="223"/>
      <c r="AT345" s="194"/>
    </row>
    <row r="346" spans="1:48" ht="12" customHeight="1">
      <c r="A346" s="2"/>
      <c r="B346" s="2"/>
      <c r="C346" s="2"/>
      <c r="D346" s="2"/>
      <c r="E346" s="2"/>
      <c r="F346" s="2"/>
      <c r="G346" s="2"/>
      <c r="H346" s="2"/>
      <c r="I346" s="2"/>
      <c r="J346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413" t="s">
        <v>2091</v>
      </c>
      <c r="AG346" s="2"/>
      <c r="AH346" s="2"/>
      <c r="AI346" s="2"/>
      <c r="AJ346" s="2"/>
      <c r="AK346" s="2"/>
      <c r="AL346" s="124"/>
      <c r="AM346" s="561" t="s">
        <v>1356</v>
      </c>
      <c r="AN346" s="567" t="s">
        <v>169</v>
      </c>
      <c r="AO346" s="163" t="s">
        <v>195</v>
      </c>
      <c r="AP346" s="247">
        <f>SUMIF($AS$9:$AT$9,AP$9,$AS346:$AT346)</f>
        <v>0</v>
      </c>
      <c r="AQ346" s="247">
        <f>SUMIF($AS$9:$AT$9,AQ$9,$AS346:$AT346)</f>
        <v>0</v>
      </c>
      <c r="AR346" s="247">
        <f>SUMIF($AS$9:$AT$9,AR$9,$AS346:$AT346)</f>
        <v>0</v>
      </c>
      <c r="AS346" s="223"/>
      <c r="AT346" s="194"/>
      <c r="AU346" s="326"/>
    </row>
    <row r="347" spans="1:48" ht="0.75" hidden="1" customHeight="1">
      <c r="A347" s="2"/>
      <c r="B347" s="2"/>
      <c r="C347" s="2"/>
      <c r="D347" s="2"/>
      <c r="E347" s="2"/>
      <c r="F347" s="2"/>
      <c r="G347" s="2"/>
      <c r="H347" s="2"/>
      <c r="I347" s="2"/>
      <c r="J347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413"/>
      <c r="AG347" s="2"/>
      <c r="AH347" s="2"/>
      <c r="AI347" s="2"/>
      <c r="AJ347" s="2"/>
      <c r="AK347" s="2"/>
      <c r="AL347" s="124"/>
      <c r="AM347" s="560"/>
      <c r="AN347" s="533"/>
      <c r="AO347" s="166"/>
      <c r="AP347" s="142"/>
      <c r="AQ347" s="142"/>
      <c r="AR347" s="142"/>
      <c r="AS347" s="223"/>
      <c r="AT347" s="194"/>
    </row>
    <row r="348" spans="1:48" customFormat="1" ht="12" customHeight="1">
      <c r="AF348" s="413"/>
      <c r="AL348" s="36"/>
      <c r="AM348" s="566" t="s">
        <v>607</v>
      </c>
      <c r="AN348" s="501" t="s">
        <v>1712</v>
      </c>
      <c r="AO348" s="163" t="s">
        <v>1026</v>
      </c>
      <c r="AP348" s="267"/>
      <c r="AQ348" s="267"/>
      <c r="AR348" s="267"/>
      <c r="AS348" s="563"/>
      <c r="AT348" s="194"/>
      <c r="AU348" s="169"/>
    </row>
    <row r="349" spans="1:48" ht="12" customHeight="1">
      <c r="A349" s="2"/>
      <c r="B349" s="2"/>
      <c r="C349" s="2"/>
      <c r="D349" s="2"/>
      <c r="E349" s="2"/>
      <c r="F349" s="2"/>
      <c r="G349" s="2"/>
      <c r="H349" s="2"/>
      <c r="I349" s="2"/>
      <c r="J349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413"/>
      <c r="AG349" s="2"/>
      <c r="AH349" s="2"/>
      <c r="AI349" s="2"/>
      <c r="AJ349" s="2"/>
      <c r="AK349" s="2"/>
      <c r="AL349" s="124"/>
      <c r="AM349" s="560"/>
      <c r="AN349" s="533"/>
      <c r="AO349" s="166"/>
      <c r="AP349" s="142"/>
      <c r="AQ349" s="142"/>
      <c r="AR349" s="142"/>
      <c r="AS349" s="223"/>
      <c r="AT349" s="194"/>
    </row>
    <row r="350" spans="1:48" s="24" customFormat="1" ht="12.7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2"/>
      <c r="AT350" s="2"/>
      <c r="AU350" s="45"/>
      <c r="AV350" s="45"/>
    </row>
    <row r="351" spans="1:48">
      <c r="AL351" s="45"/>
    </row>
  </sheetData>
  <sheetProtection password="D0EA" sheet="1" objects="1" scenarios="1" formatColumns="0" formatRows="0"/>
  <mergeCells count="6">
    <mergeCell ref="AM13:AN14"/>
    <mergeCell ref="AP14:AR14"/>
    <mergeCell ref="AM19:AM20"/>
    <mergeCell ref="AN19:AN20"/>
    <mergeCell ref="AO19:AO20"/>
    <mergeCell ref="AP19:AR20"/>
  </mergeCells>
  <pageMargins left="0.74803149606299213" right="0.74803149606299213" top="0.15748031496062992" bottom="0.23622047244094491" header="0.19685039370078741" footer="0.23622047244094491"/>
  <pageSetup paperSize="9" scale="60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_COMS">
    <tabColor indexed="31"/>
  </sheetPr>
  <dimension ref="F1:F20"/>
  <sheetViews>
    <sheetView showGridLines="0" topLeftCell="D8" zoomScale="90" zoomScaleNormal="90" workbookViewId="0"/>
  </sheetViews>
  <sheetFormatPr defaultColWidth="9.125" defaultRowHeight="11.4"/>
  <cols>
    <col min="1" max="3" width="0" style="23" hidden="1" customWidth="1"/>
    <col min="4" max="5" width="3.75" style="23" customWidth="1"/>
    <col min="6" max="6" width="75.75" style="23" customWidth="1"/>
    <col min="7" max="8" width="3.75" style="23" customWidth="1"/>
    <col min="9" max="16384" width="9.125" style="23"/>
  </cols>
  <sheetData>
    <row r="1" spans="6:6" hidden="1"/>
    <row r="2" spans="6:6" hidden="1"/>
    <row r="3" spans="6:6" hidden="1"/>
    <row r="4" spans="6:6" hidden="1"/>
    <row r="5" spans="6:6" hidden="1"/>
    <row r="6" spans="6:6" hidden="1"/>
    <row r="7" spans="6:6" ht="12" hidden="1" customHeight="1"/>
    <row r="8" spans="6:6" ht="12" customHeight="1"/>
    <row r="9" spans="6:6" ht="18" customHeight="1">
      <c r="F9" s="140" t="s">
        <v>293</v>
      </c>
    </row>
    <row r="10" spans="6:6" ht="12" customHeight="1"/>
    <row r="11" spans="6:6" ht="30" customHeight="1">
      <c r="F11" s="139"/>
    </row>
    <row r="12" spans="6:6" ht="30" customHeight="1">
      <c r="F12" s="139"/>
    </row>
    <row r="13" spans="6:6" ht="30" customHeight="1">
      <c r="F13" s="139"/>
    </row>
    <row r="14" spans="6:6" ht="30" customHeight="1">
      <c r="F14" s="139"/>
    </row>
    <row r="15" spans="6:6" ht="30" customHeight="1">
      <c r="F15" s="139"/>
    </row>
    <row r="16" spans="6:6" ht="30" customHeight="1">
      <c r="F16" s="139"/>
    </row>
    <row r="17" spans="6:6" ht="30" customHeight="1">
      <c r="F17" s="139"/>
    </row>
    <row r="18" spans="6:6" ht="30" customHeight="1">
      <c r="F18" s="139"/>
    </row>
    <row r="19" spans="6:6" ht="30" customHeight="1">
      <c r="F19" s="139"/>
    </row>
    <row r="20" spans="6:6" ht="30" customHeight="1">
      <c r="F20" s="139"/>
    </row>
  </sheetData>
  <sheetProtection password="D0EA" sheet="1" objects="1" scenarios="1" formatColumns="0" formatRows="0"/>
  <phoneticPr fontId="0" type="noConversion"/>
  <dataValidations count="1">
    <dataValidation type="textLength" operator="lessThan" allowBlank="1" showInputMessage="1" showErrorMessage="1" errorTitle="Ограничение" error="Максимальное количество символов - 1000!" sqref="F11:F20">
      <formula1>1000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CheckBeforeSave">
    <tabColor indexed="31"/>
  </sheetPr>
  <dimension ref="A1:I177"/>
  <sheetViews>
    <sheetView showGridLines="0" topLeftCell="C8" zoomScale="90" zoomScaleNormal="90" workbookViewId="0">
      <selection activeCell="E12" sqref="E12"/>
    </sheetView>
  </sheetViews>
  <sheetFormatPr defaultColWidth="9.125" defaultRowHeight="11.4"/>
  <cols>
    <col min="1" max="2" width="7.75" style="13" hidden="1" customWidth="1"/>
    <col min="3" max="3" width="2.75" style="13" customWidth="1"/>
    <col min="4" max="4" width="2.75" style="2" customWidth="1"/>
    <col min="5" max="6" width="25.75" style="10" customWidth="1"/>
    <col min="7" max="7" width="94.75" style="5" customWidth="1"/>
    <col min="8" max="8" width="20.75" style="10" customWidth="1"/>
    <col min="9" max="10" width="2.75" style="2" customWidth="1"/>
    <col min="11" max="16384" width="9.125" style="2"/>
  </cols>
  <sheetData>
    <row r="1" spans="4:9" hidden="1"/>
    <row r="2" spans="4:9" hidden="1"/>
    <row r="3" spans="4:9" hidden="1"/>
    <row r="4" spans="4:9" hidden="1"/>
    <row r="5" spans="4:9" hidden="1"/>
    <row r="6" spans="4:9" hidden="1"/>
    <row r="7" spans="4:9" hidden="1"/>
    <row r="8" spans="4:9">
      <c r="D8" s="9"/>
      <c r="E8" s="11"/>
      <c r="F8" s="11"/>
      <c r="G8" s="12"/>
      <c r="H8" s="11"/>
      <c r="I8" s="9"/>
    </row>
    <row r="9" spans="4:9" ht="18" customHeight="1">
      <c r="D9" s="9"/>
      <c r="E9" s="1024" t="s">
        <v>115</v>
      </c>
      <c r="F9" s="1024"/>
      <c r="G9" s="1024"/>
      <c r="H9" s="1024"/>
      <c r="I9" s="9"/>
    </row>
    <row r="10" spans="4:9">
      <c r="D10" s="9"/>
      <c r="E10" s="17"/>
      <c r="F10" s="17"/>
      <c r="G10" s="18"/>
      <c r="H10" s="17"/>
      <c r="I10" s="9"/>
    </row>
    <row r="11" spans="4:9" ht="24" customHeight="1">
      <c r="D11" s="9"/>
      <c r="E11" s="601" t="s">
        <v>113</v>
      </c>
      <c r="F11" s="601" t="s">
        <v>114</v>
      </c>
      <c r="G11" s="601" t="s">
        <v>116</v>
      </c>
      <c r="H11" s="601" t="s">
        <v>107</v>
      </c>
      <c r="I11" s="9"/>
    </row>
    <row r="12" spans="4:9" ht="13.2">
      <c r="E12" s="603"/>
      <c r="F12" s="603"/>
      <c r="G12" s="765"/>
      <c r="H12" s="121"/>
    </row>
    <row r="13" spans="4:9" ht="13.2">
      <c r="E13" s="237"/>
      <c r="F13" s="226"/>
      <c r="G13" s="766"/>
      <c r="H13" s="11"/>
    </row>
    <row r="14" spans="4:9" ht="13.2">
      <c r="E14" s="226"/>
      <c r="F14" s="226"/>
      <c r="G14" s="766"/>
      <c r="H14" s="11"/>
    </row>
    <row r="15" spans="4:9" ht="13.2">
      <c r="E15" s="237"/>
      <c r="F15" s="226"/>
      <c r="G15" s="766"/>
      <c r="H15" s="11"/>
    </row>
    <row r="16" spans="4:9" ht="13.2">
      <c r="E16" s="237"/>
      <c r="F16" s="226"/>
      <c r="G16" s="766"/>
      <c r="H16" s="11"/>
    </row>
    <row r="17" spans="5:8" ht="13.2">
      <c r="E17" s="237"/>
      <c r="F17" s="226"/>
      <c r="G17" s="766"/>
      <c r="H17" s="11"/>
    </row>
    <row r="18" spans="5:8" ht="13.2">
      <c r="E18" s="237"/>
      <c r="F18" s="226"/>
      <c r="G18" s="766"/>
      <c r="H18" s="11"/>
    </row>
    <row r="19" spans="5:8" ht="13.2">
      <c r="E19" s="226"/>
      <c r="F19" s="237"/>
      <c r="G19" s="766"/>
      <c r="H19" s="11"/>
    </row>
    <row r="20" spans="5:8" ht="13.2">
      <c r="E20" s="226"/>
      <c r="F20" s="226"/>
      <c r="G20" s="766"/>
      <c r="H20" s="11"/>
    </row>
    <row r="21" spans="5:8" ht="13.2">
      <c r="E21" s="226"/>
      <c r="F21" s="226"/>
      <c r="G21" s="766"/>
      <c r="H21" s="11"/>
    </row>
    <row r="22" spans="5:8" ht="13.2">
      <c r="E22" s="226"/>
      <c r="F22" s="226"/>
      <c r="G22" s="766"/>
      <c r="H22" s="11"/>
    </row>
    <row r="23" spans="5:8" ht="13.2">
      <c r="E23" s="226"/>
      <c r="F23" s="226"/>
      <c r="G23" s="766"/>
      <c r="H23" s="11"/>
    </row>
    <row r="24" spans="5:8" ht="13.2">
      <c r="E24" s="226"/>
      <c r="F24" s="226"/>
      <c r="G24" s="766"/>
      <c r="H24" s="11"/>
    </row>
    <row r="25" spans="5:8" ht="13.2">
      <c r="E25" s="226"/>
      <c r="F25" s="226"/>
      <c r="G25" s="766"/>
      <c r="H25" s="11"/>
    </row>
    <row r="26" spans="5:8" ht="13.2">
      <c r="E26" s="226"/>
      <c r="F26" s="226"/>
      <c r="G26" s="766"/>
      <c r="H26" s="11"/>
    </row>
    <row r="27" spans="5:8" ht="13.2">
      <c r="E27" s="226"/>
      <c r="F27" s="226"/>
      <c r="G27" s="766"/>
      <c r="H27" s="11"/>
    </row>
    <row r="28" spans="5:8" ht="13.2">
      <c r="E28" s="226"/>
      <c r="F28" s="226"/>
      <c r="G28" s="766"/>
      <c r="H28" s="11"/>
    </row>
    <row r="29" spans="5:8" ht="13.2">
      <c r="E29" s="226"/>
      <c r="F29" s="226"/>
      <c r="G29" s="12"/>
      <c r="H29" s="11"/>
    </row>
    <row r="30" spans="5:8" ht="13.2">
      <c r="E30" s="226"/>
      <c r="F30" s="226"/>
      <c r="G30" s="12"/>
      <c r="H30" s="11"/>
    </row>
    <row r="31" spans="5:8" ht="13.2">
      <c r="E31" s="226"/>
      <c r="F31" s="226"/>
      <c r="G31" s="12"/>
      <c r="H31" s="11"/>
    </row>
    <row r="32" spans="5:8" ht="13.2">
      <c r="E32" s="226"/>
      <c r="F32" s="226"/>
      <c r="G32" s="12"/>
      <c r="H32" s="11"/>
    </row>
    <row r="33" spans="5:8" ht="13.2">
      <c r="E33" s="226"/>
      <c r="F33" s="226"/>
      <c r="G33" s="12"/>
      <c r="H33" s="11"/>
    </row>
    <row r="34" spans="5:8" ht="13.2">
      <c r="E34" s="226"/>
      <c r="F34" s="226"/>
      <c r="G34" s="12"/>
      <c r="H34" s="11"/>
    </row>
    <row r="35" spans="5:8" ht="13.2">
      <c r="E35" s="226"/>
      <c r="F35" s="226"/>
      <c r="G35" s="12"/>
      <c r="H35" s="11"/>
    </row>
    <row r="36" spans="5:8" ht="13.2">
      <c r="E36" s="226"/>
      <c r="F36" s="226"/>
      <c r="G36" s="12"/>
      <c r="H36" s="11"/>
    </row>
    <row r="37" spans="5:8" ht="13.2">
      <c r="E37" s="226"/>
      <c r="F37" s="226"/>
      <c r="G37" s="12"/>
      <c r="H37" s="11"/>
    </row>
    <row r="38" spans="5:8" ht="13.2">
      <c r="E38" s="226"/>
      <c r="F38" s="226"/>
      <c r="G38" s="12"/>
      <c r="H38" s="11"/>
    </row>
    <row r="39" spans="5:8" ht="13.2">
      <c r="E39" s="226"/>
      <c r="F39" s="226"/>
      <c r="G39" s="12"/>
      <c r="H39" s="11"/>
    </row>
    <row r="40" spans="5:8" ht="13.2">
      <c r="E40" s="226"/>
      <c r="F40" s="226"/>
      <c r="G40" s="12"/>
      <c r="H40" s="11"/>
    </row>
    <row r="41" spans="5:8" ht="13.2">
      <c r="E41" s="226"/>
      <c r="F41" s="226"/>
      <c r="G41" s="12"/>
      <c r="H41" s="11"/>
    </row>
    <row r="42" spans="5:8" ht="13.2">
      <c r="E42" s="226"/>
      <c r="F42" s="226"/>
      <c r="G42" s="12"/>
      <c r="H42" s="11"/>
    </row>
    <row r="43" spans="5:8" ht="13.2">
      <c r="E43" s="226"/>
      <c r="F43" s="226"/>
      <c r="G43" s="12"/>
      <c r="H43" s="11"/>
    </row>
    <row r="44" spans="5:8" ht="13.2">
      <c r="E44" s="226"/>
      <c r="F44" s="226"/>
      <c r="G44" s="12"/>
      <c r="H44" s="11"/>
    </row>
    <row r="45" spans="5:8" ht="13.2">
      <c r="E45" s="226"/>
      <c r="F45" s="226"/>
      <c r="G45" s="12"/>
      <c r="H45" s="11"/>
    </row>
    <row r="46" spans="5:8" ht="13.2">
      <c r="E46" s="226"/>
      <c r="F46" s="226"/>
      <c r="G46" s="12"/>
      <c r="H46" s="11"/>
    </row>
    <row r="47" spans="5:8" ht="13.2">
      <c r="E47" s="226"/>
      <c r="F47" s="226"/>
      <c r="G47" s="12"/>
      <c r="H47" s="11"/>
    </row>
    <row r="48" spans="5:8" ht="13.2">
      <c r="E48" s="226"/>
      <c r="F48" s="226"/>
      <c r="G48" s="12"/>
      <c r="H48" s="11"/>
    </row>
    <row r="49" spans="5:8" ht="13.2">
      <c r="E49" s="226"/>
      <c r="F49" s="226"/>
      <c r="G49" s="12"/>
      <c r="H49" s="11"/>
    </row>
    <row r="50" spans="5:8" ht="13.2">
      <c r="E50" s="226"/>
      <c r="F50" s="226"/>
      <c r="G50" s="12"/>
      <c r="H50" s="11"/>
    </row>
    <row r="51" spans="5:8" ht="13.2">
      <c r="E51" s="226"/>
      <c r="F51" s="226"/>
      <c r="G51" s="12"/>
      <c r="H51" s="11"/>
    </row>
    <row r="52" spans="5:8" ht="13.2">
      <c r="E52" s="226"/>
      <c r="F52" s="226"/>
      <c r="G52" s="12"/>
      <c r="H52" s="11"/>
    </row>
    <row r="53" spans="5:8" ht="13.2">
      <c r="E53" s="226"/>
      <c r="F53" s="226"/>
      <c r="G53" s="12"/>
      <c r="H53" s="11"/>
    </row>
    <row r="54" spans="5:8" ht="13.2">
      <c r="E54" s="226"/>
      <c r="F54" s="226"/>
      <c r="G54" s="12"/>
      <c r="H54" s="11"/>
    </row>
    <row r="55" spans="5:8" ht="13.2">
      <c r="E55" s="226"/>
      <c r="F55" s="226"/>
      <c r="G55" s="12"/>
      <c r="H55" s="11"/>
    </row>
    <row r="56" spans="5:8" ht="13.2">
      <c r="E56" s="226"/>
      <c r="F56" s="226"/>
      <c r="G56" s="12"/>
      <c r="H56" s="11"/>
    </row>
    <row r="57" spans="5:8" ht="13.2">
      <c r="E57" s="226"/>
      <c r="F57" s="226"/>
      <c r="G57" s="12"/>
      <c r="H57" s="11"/>
    </row>
    <row r="58" spans="5:8" ht="13.2">
      <c r="E58" s="226"/>
      <c r="F58" s="226"/>
      <c r="G58" s="12"/>
      <c r="H58" s="11"/>
    </row>
    <row r="59" spans="5:8" ht="13.2">
      <c r="E59" s="226"/>
      <c r="F59" s="226"/>
      <c r="G59" s="12"/>
      <c r="H59" s="11"/>
    </row>
    <row r="60" spans="5:8" ht="13.2">
      <c r="E60" s="237"/>
      <c r="F60" s="237"/>
      <c r="G60" s="12"/>
      <c r="H60" s="11"/>
    </row>
    <row r="61" spans="5:8" ht="13.2">
      <c r="E61" s="226"/>
      <c r="F61" s="226"/>
      <c r="G61" s="12"/>
      <c r="H61" s="11"/>
    </row>
    <row r="62" spans="5:8" ht="13.2">
      <c r="E62" s="226"/>
      <c r="F62" s="226"/>
      <c r="G62" s="12"/>
      <c r="H62" s="11"/>
    </row>
    <row r="63" spans="5:8" ht="13.2">
      <c r="E63" s="226"/>
      <c r="F63" s="226"/>
      <c r="G63" s="12"/>
      <c r="H63" s="11"/>
    </row>
    <row r="64" spans="5:8" ht="13.2">
      <c r="E64" s="226"/>
      <c r="F64" s="226"/>
      <c r="G64" s="12"/>
      <c r="H64" s="11"/>
    </row>
    <row r="65" spans="5:8" ht="13.2">
      <c r="E65" s="226"/>
      <c r="F65" s="226"/>
      <c r="G65" s="12"/>
      <c r="H65" s="11"/>
    </row>
    <row r="66" spans="5:8" ht="13.2">
      <c r="E66" s="226"/>
      <c r="F66" s="226"/>
      <c r="G66" s="12"/>
      <c r="H66" s="11"/>
    </row>
    <row r="67" spans="5:8" ht="13.2">
      <c r="E67" s="226"/>
      <c r="F67" s="226"/>
      <c r="G67" s="12"/>
      <c r="H67" s="11"/>
    </row>
    <row r="68" spans="5:8" ht="13.2">
      <c r="E68" s="226"/>
      <c r="F68" s="226"/>
      <c r="G68" s="12"/>
      <c r="H68" s="11"/>
    </row>
    <row r="69" spans="5:8" ht="13.2">
      <c r="E69" s="226"/>
      <c r="F69" s="226"/>
      <c r="G69" s="12"/>
      <c r="H69" s="11"/>
    </row>
    <row r="70" spans="5:8" ht="13.2">
      <c r="E70" s="226"/>
      <c r="F70" s="226"/>
      <c r="G70" s="12"/>
      <c r="H70" s="11"/>
    </row>
    <row r="71" spans="5:8" ht="13.2">
      <c r="E71" s="226"/>
      <c r="F71" s="226"/>
      <c r="G71" s="12"/>
      <c r="H71" s="11"/>
    </row>
    <row r="72" spans="5:8" ht="13.2">
      <c r="E72" s="226"/>
      <c r="F72" s="226"/>
      <c r="G72" s="12"/>
      <c r="H72" s="11"/>
    </row>
    <row r="73" spans="5:8" ht="13.2">
      <c r="E73" s="226"/>
      <c r="F73" s="226"/>
      <c r="G73" s="12"/>
      <c r="H73" s="11"/>
    </row>
    <row r="74" spans="5:8" ht="13.2">
      <c r="E74" s="226"/>
      <c r="F74" s="226"/>
      <c r="G74" s="12"/>
      <c r="H74" s="11"/>
    </row>
    <row r="75" spans="5:8" ht="13.2">
      <c r="E75" s="226"/>
      <c r="F75" s="226"/>
      <c r="G75" s="12"/>
      <c r="H75" s="11"/>
    </row>
    <row r="76" spans="5:8" ht="13.2">
      <c r="E76" s="226"/>
      <c r="F76" s="226"/>
      <c r="G76" s="12"/>
      <c r="H76" s="11"/>
    </row>
    <row r="77" spans="5:8" ht="13.2">
      <c r="E77" s="226"/>
      <c r="F77" s="226"/>
      <c r="G77" s="12"/>
      <c r="H77" s="11"/>
    </row>
    <row r="78" spans="5:8" ht="13.2">
      <c r="E78" s="226"/>
      <c r="F78" s="226"/>
      <c r="G78" s="12"/>
      <c r="H78" s="11"/>
    </row>
    <row r="79" spans="5:8" ht="13.2">
      <c r="E79" s="226"/>
      <c r="F79" s="226"/>
      <c r="G79" s="12"/>
      <c r="H79" s="11"/>
    </row>
    <row r="80" spans="5:8" ht="13.2">
      <c r="E80" s="226"/>
      <c r="F80" s="226"/>
      <c r="G80" s="12"/>
      <c r="H80" s="11"/>
    </row>
    <row r="81" spans="5:8" ht="13.2">
      <c r="E81" s="226"/>
      <c r="F81" s="226"/>
      <c r="G81" s="12"/>
      <c r="H81" s="11"/>
    </row>
    <row r="82" spans="5:8" ht="13.2">
      <c r="E82" s="226"/>
      <c r="F82" s="226"/>
      <c r="G82" s="12"/>
      <c r="H82" s="11"/>
    </row>
    <row r="83" spans="5:8" ht="13.2">
      <c r="E83" s="226"/>
      <c r="F83" s="226"/>
      <c r="G83" s="12"/>
      <c r="H83" s="11"/>
    </row>
    <row r="84" spans="5:8" ht="13.2">
      <c r="E84" s="226"/>
      <c r="F84" s="226"/>
      <c r="G84" s="12"/>
      <c r="H84" s="11"/>
    </row>
    <row r="85" spans="5:8" ht="13.2">
      <c r="E85" s="226"/>
      <c r="F85" s="226"/>
      <c r="G85" s="12"/>
      <c r="H85" s="11"/>
    </row>
    <row r="86" spans="5:8" ht="13.2">
      <c r="E86" s="226"/>
      <c r="F86" s="226"/>
      <c r="G86" s="12"/>
      <c r="H86" s="11"/>
    </row>
    <row r="87" spans="5:8" ht="13.2">
      <c r="E87" s="226"/>
      <c r="F87" s="226"/>
      <c r="G87" s="12"/>
      <c r="H87" s="11"/>
    </row>
    <row r="88" spans="5:8" ht="13.2">
      <c r="E88" s="226"/>
      <c r="F88" s="226"/>
      <c r="G88" s="12"/>
      <c r="H88" s="11"/>
    </row>
    <row r="89" spans="5:8" ht="13.2">
      <c r="E89" s="226"/>
      <c r="F89" s="226"/>
      <c r="G89" s="12"/>
      <c r="H89" s="11"/>
    </row>
    <row r="90" spans="5:8" ht="13.2">
      <c r="E90" s="226"/>
      <c r="F90" s="226"/>
      <c r="G90" s="12"/>
      <c r="H90" s="11"/>
    </row>
    <row r="91" spans="5:8" ht="13.2">
      <c r="E91" s="226"/>
      <c r="F91" s="226"/>
      <c r="G91" s="12"/>
      <c r="H91" s="11"/>
    </row>
    <row r="92" spans="5:8" ht="13.2">
      <c r="E92" s="226"/>
      <c r="F92" s="226"/>
      <c r="G92" s="12"/>
      <c r="H92" s="11"/>
    </row>
    <row r="93" spans="5:8" ht="13.2">
      <c r="E93" s="226"/>
      <c r="F93" s="226"/>
      <c r="G93" s="12"/>
      <c r="H93" s="11"/>
    </row>
    <row r="94" spans="5:8" ht="13.2">
      <c r="E94" s="226"/>
      <c r="F94" s="226"/>
      <c r="G94" s="12"/>
      <c r="H94" s="11"/>
    </row>
    <row r="95" spans="5:8" ht="13.2">
      <c r="E95" s="226"/>
      <c r="F95" s="226"/>
      <c r="G95" s="12"/>
      <c r="H95" s="11"/>
    </row>
    <row r="96" spans="5:8" ht="13.2">
      <c r="E96" s="226"/>
      <c r="F96" s="226"/>
      <c r="G96" s="12"/>
      <c r="H96" s="11"/>
    </row>
    <row r="97" spans="5:8" ht="13.2">
      <c r="E97" s="226"/>
      <c r="F97" s="226"/>
      <c r="G97" s="12"/>
      <c r="H97" s="11"/>
    </row>
    <row r="98" spans="5:8" ht="13.2">
      <c r="E98" s="226"/>
      <c r="F98" s="226"/>
      <c r="G98" s="12"/>
      <c r="H98" s="11"/>
    </row>
    <row r="99" spans="5:8" ht="13.2">
      <c r="E99" s="226"/>
      <c r="F99" s="226"/>
      <c r="G99" s="12"/>
      <c r="H99" s="11"/>
    </row>
    <row r="100" spans="5:8" ht="13.2">
      <c r="E100" s="226"/>
      <c r="F100" s="226"/>
      <c r="G100" s="12"/>
      <c r="H100" s="11"/>
    </row>
    <row r="101" spans="5:8" ht="13.2">
      <c r="E101" s="226"/>
      <c r="F101" s="226"/>
      <c r="G101" s="12"/>
      <c r="H101" s="11"/>
    </row>
    <row r="102" spans="5:8" ht="13.2">
      <c r="E102" s="226"/>
      <c r="F102" s="226"/>
      <c r="G102" s="12"/>
      <c r="H102" s="11"/>
    </row>
    <row r="103" spans="5:8" ht="13.2">
      <c r="E103" s="226"/>
      <c r="F103" s="226"/>
      <c r="G103" s="12"/>
      <c r="H103" s="11"/>
    </row>
    <row r="104" spans="5:8" ht="13.2">
      <c r="E104" s="226"/>
      <c r="F104" s="226"/>
      <c r="G104" s="12"/>
      <c r="H104" s="11"/>
    </row>
    <row r="105" spans="5:8" ht="13.2">
      <c r="E105" s="226"/>
      <c r="F105" s="226"/>
      <c r="G105" s="12"/>
      <c r="H105" s="11"/>
    </row>
    <row r="106" spans="5:8" ht="13.2">
      <c r="E106" s="226"/>
      <c r="F106" s="226"/>
      <c r="G106" s="12"/>
      <c r="H106" s="11"/>
    </row>
    <row r="107" spans="5:8" ht="13.2">
      <c r="E107" s="226"/>
      <c r="F107" s="226"/>
      <c r="G107" s="12"/>
      <c r="H107" s="11"/>
    </row>
    <row r="108" spans="5:8" ht="13.2">
      <c r="E108" s="226"/>
      <c r="F108" s="226"/>
      <c r="G108" s="12"/>
      <c r="H108" s="11"/>
    </row>
    <row r="109" spans="5:8" ht="13.2">
      <c r="E109" s="226"/>
      <c r="F109" s="226"/>
      <c r="G109" s="12"/>
      <c r="H109" s="11"/>
    </row>
    <row r="110" spans="5:8" ht="13.2">
      <c r="E110" s="226"/>
      <c r="F110" s="226"/>
      <c r="G110" s="12"/>
      <c r="H110" s="11"/>
    </row>
    <row r="111" spans="5:8" ht="13.2">
      <c r="E111" s="226"/>
      <c r="F111" s="226"/>
      <c r="G111" s="12"/>
      <c r="H111" s="11"/>
    </row>
    <row r="112" spans="5:8" ht="13.2">
      <c r="E112" s="226"/>
      <c r="F112" s="226"/>
      <c r="G112" s="12"/>
      <c r="H112" s="11"/>
    </row>
    <row r="113" spans="5:8" ht="13.2">
      <c r="E113" s="226"/>
      <c r="F113" s="226"/>
      <c r="G113" s="12"/>
      <c r="H113" s="11"/>
    </row>
    <row r="114" spans="5:8" ht="13.2">
      <c r="E114" s="226"/>
      <c r="F114" s="226"/>
      <c r="G114" s="12"/>
      <c r="H114" s="11"/>
    </row>
    <row r="115" spans="5:8" ht="13.2">
      <c r="E115" s="226"/>
      <c r="F115" s="226"/>
      <c r="G115" s="12"/>
      <c r="H115" s="11"/>
    </row>
    <row r="116" spans="5:8" ht="13.2">
      <c r="E116" s="226"/>
      <c r="F116" s="226"/>
      <c r="G116" s="12"/>
      <c r="H116" s="11"/>
    </row>
    <row r="117" spans="5:8" ht="13.2">
      <c r="E117" s="226"/>
      <c r="F117" s="226"/>
      <c r="G117" s="12"/>
      <c r="H117" s="11"/>
    </row>
    <row r="118" spans="5:8" ht="13.2">
      <c r="E118" s="226"/>
      <c r="F118" s="226"/>
      <c r="G118" s="12"/>
      <c r="H118" s="11"/>
    </row>
    <row r="119" spans="5:8" ht="13.2">
      <c r="E119" s="226"/>
      <c r="F119" s="226"/>
      <c r="G119" s="12"/>
      <c r="H119" s="11"/>
    </row>
    <row r="120" spans="5:8" ht="13.2">
      <c r="E120" s="226"/>
      <c r="F120" s="226"/>
      <c r="G120" s="12"/>
      <c r="H120" s="11"/>
    </row>
    <row r="121" spans="5:8" ht="13.2">
      <c r="E121" s="226"/>
      <c r="F121" s="226"/>
      <c r="G121" s="12"/>
      <c r="H121" s="11"/>
    </row>
    <row r="122" spans="5:8" ht="13.2">
      <c r="E122" s="226"/>
      <c r="F122" s="226"/>
      <c r="G122" s="12"/>
      <c r="H122" s="11"/>
    </row>
    <row r="123" spans="5:8" ht="13.2">
      <c r="E123" s="226"/>
      <c r="F123" s="226"/>
      <c r="G123" s="12"/>
      <c r="H123" s="11"/>
    </row>
    <row r="124" spans="5:8" ht="13.2">
      <c r="E124" s="226"/>
      <c r="F124" s="226"/>
      <c r="G124" s="12"/>
      <c r="H124" s="11"/>
    </row>
    <row r="125" spans="5:8" ht="13.2">
      <c r="E125" s="226"/>
      <c r="F125" s="226"/>
      <c r="G125" s="12"/>
      <c r="H125" s="11"/>
    </row>
    <row r="126" spans="5:8" ht="13.2">
      <c r="E126" s="226"/>
      <c r="F126" s="226"/>
      <c r="G126" s="12"/>
      <c r="H126" s="11"/>
    </row>
    <row r="127" spans="5:8" ht="13.2">
      <c r="E127" s="226"/>
      <c r="F127" s="226"/>
      <c r="G127" s="12"/>
      <c r="H127" s="11"/>
    </row>
    <row r="128" spans="5:8" ht="13.2">
      <c r="E128" s="237"/>
      <c r="F128" s="237"/>
      <c r="G128" s="12"/>
      <c r="H128" s="11"/>
    </row>
    <row r="129" spans="5:8" ht="13.2">
      <c r="E129" s="226"/>
      <c r="F129" s="226"/>
      <c r="G129" s="12"/>
      <c r="H129" s="11"/>
    </row>
    <row r="130" spans="5:8" ht="13.2">
      <c r="E130" s="226"/>
      <c r="F130" s="226"/>
      <c r="G130" s="12"/>
      <c r="H130" s="11"/>
    </row>
    <row r="131" spans="5:8" ht="13.2">
      <c r="E131" s="226"/>
      <c r="F131" s="226"/>
      <c r="G131" s="12"/>
      <c r="H131" s="11"/>
    </row>
    <row r="132" spans="5:8" ht="13.2">
      <c r="E132" s="226"/>
      <c r="F132" s="226"/>
      <c r="G132" s="12"/>
      <c r="H132" s="11"/>
    </row>
    <row r="133" spans="5:8" ht="13.2">
      <c r="E133" s="226"/>
      <c r="F133" s="226"/>
      <c r="G133" s="12"/>
      <c r="H133" s="11"/>
    </row>
    <row r="134" spans="5:8" ht="13.2">
      <c r="E134" s="226"/>
      <c r="F134" s="226"/>
      <c r="G134" s="12"/>
      <c r="H134" s="11"/>
    </row>
    <row r="135" spans="5:8" ht="13.2">
      <c r="E135" s="226"/>
      <c r="F135" s="226"/>
      <c r="G135" s="12"/>
      <c r="H135" s="11"/>
    </row>
    <row r="136" spans="5:8" ht="13.2">
      <c r="E136" s="226"/>
      <c r="F136" s="226"/>
      <c r="G136" s="12"/>
      <c r="H136" s="11"/>
    </row>
    <row r="137" spans="5:8" ht="13.2">
      <c r="E137" s="226"/>
      <c r="F137" s="226"/>
      <c r="G137" s="12"/>
      <c r="H137" s="11"/>
    </row>
    <row r="138" spans="5:8" ht="13.2">
      <c r="E138" s="226"/>
      <c r="F138" s="226"/>
      <c r="G138" s="12"/>
      <c r="H138" s="11"/>
    </row>
    <row r="139" spans="5:8" ht="13.2">
      <c r="E139" s="226"/>
      <c r="F139" s="226"/>
      <c r="G139" s="12"/>
      <c r="H139" s="11"/>
    </row>
    <row r="140" spans="5:8" ht="13.2">
      <c r="E140" s="226"/>
      <c r="F140" s="226"/>
      <c r="G140" s="12"/>
      <c r="H140" s="11"/>
    </row>
    <row r="141" spans="5:8" ht="13.2">
      <c r="E141" s="226"/>
      <c r="F141" s="226"/>
      <c r="G141" s="12"/>
      <c r="H141" s="11"/>
    </row>
    <row r="142" spans="5:8" ht="13.2">
      <c r="E142" s="226"/>
      <c r="F142" s="226"/>
      <c r="G142" s="12"/>
      <c r="H142" s="11"/>
    </row>
    <row r="143" spans="5:8" ht="13.2">
      <c r="E143" s="226"/>
      <c r="F143" s="226"/>
      <c r="G143" s="12"/>
      <c r="H143" s="11"/>
    </row>
    <row r="144" spans="5:8" ht="13.2">
      <c r="E144" s="226"/>
      <c r="F144" s="226"/>
      <c r="G144" s="12"/>
      <c r="H144" s="11"/>
    </row>
    <row r="145" spans="5:8" ht="13.2">
      <c r="E145" s="226"/>
      <c r="F145" s="226"/>
      <c r="G145" s="12"/>
      <c r="H145" s="11"/>
    </row>
    <row r="146" spans="5:8" ht="13.2">
      <c r="E146" s="226"/>
      <c r="F146" s="226"/>
      <c r="G146" s="12"/>
      <c r="H146" s="11"/>
    </row>
    <row r="147" spans="5:8" ht="13.2">
      <c r="E147" s="226"/>
      <c r="F147" s="226"/>
      <c r="G147" s="12"/>
      <c r="H147" s="11"/>
    </row>
    <row r="148" spans="5:8" ht="13.2">
      <c r="E148" s="226"/>
      <c r="F148" s="226"/>
      <c r="G148" s="12"/>
      <c r="H148" s="11"/>
    </row>
    <row r="149" spans="5:8" ht="13.2">
      <c r="E149" s="226"/>
      <c r="F149" s="226"/>
      <c r="G149" s="12"/>
      <c r="H149" s="11"/>
    </row>
    <row r="150" spans="5:8" ht="13.2">
      <c r="E150" s="226"/>
      <c r="F150" s="226"/>
      <c r="G150" s="12"/>
      <c r="H150" s="11"/>
    </row>
    <row r="151" spans="5:8" ht="13.2">
      <c r="E151" s="226"/>
      <c r="F151" s="226"/>
      <c r="G151" s="12"/>
      <c r="H151" s="11"/>
    </row>
    <row r="152" spans="5:8" ht="13.2">
      <c r="E152" s="226"/>
      <c r="F152" s="226"/>
      <c r="G152" s="12"/>
      <c r="H152" s="11"/>
    </row>
    <row r="153" spans="5:8" ht="13.2">
      <c r="E153" s="226"/>
      <c r="F153" s="226"/>
      <c r="G153" s="12"/>
      <c r="H153" s="11"/>
    </row>
    <row r="154" spans="5:8" ht="13.2">
      <c r="E154" s="226"/>
      <c r="F154" s="226"/>
      <c r="G154" s="12"/>
      <c r="H154" s="11"/>
    </row>
    <row r="155" spans="5:8" ht="13.2">
      <c r="E155" s="226"/>
      <c r="F155" s="226"/>
      <c r="G155" s="12"/>
      <c r="H155" s="11"/>
    </row>
    <row r="156" spans="5:8" ht="13.2">
      <c r="E156" s="226"/>
      <c r="F156" s="226"/>
      <c r="G156" s="12"/>
      <c r="H156" s="11"/>
    </row>
    <row r="157" spans="5:8" ht="13.2">
      <c r="E157" s="226"/>
      <c r="F157" s="226"/>
      <c r="G157" s="12"/>
      <c r="H157" s="11"/>
    </row>
    <row r="158" spans="5:8" ht="13.2">
      <c r="E158" s="226"/>
      <c r="F158" s="226"/>
      <c r="G158" s="12"/>
      <c r="H158" s="11"/>
    </row>
    <row r="159" spans="5:8" ht="13.2">
      <c r="E159" s="226"/>
      <c r="F159" s="226"/>
      <c r="G159" s="12"/>
      <c r="H159" s="11"/>
    </row>
    <row r="160" spans="5:8" ht="13.2">
      <c r="E160" s="226"/>
      <c r="F160" s="226"/>
      <c r="G160" s="12"/>
      <c r="H160" s="11"/>
    </row>
    <row r="161" spans="5:8" ht="13.2">
      <c r="E161" s="226"/>
      <c r="F161" s="226"/>
      <c r="G161" s="12"/>
      <c r="H161" s="11"/>
    </row>
    <row r="162" spans="5:8" ht="13.2">
      <c r="E162" s="226"/>
      <c r="F162" s="226"/>
      <c r="G162" s="12"/>
      <c r="H162" s="11"/>
    </row>
    <row r="163" spans="5:8" ht="13.2">
      <c r="E163" s="226"/>
      <c r="F163" s="226"/>
      <c r="G163" s="12"/>
      <c r="H163" s="11"/>
    </row>
    <row r="164" spans="5:8" ht="13.2">
      <c r="E164" s="226"/>
      <c r="F164" s="226"/>
      <c r="G164" s="12"/>
      <c r="H164" s="11"/>
    </row>
    <row r="165" spans="5:8" ht="13.2">
      <c r="E165" s="226"/>
      <c r="F165" s="226"/>
      <c r="G165" s="12"/>
      <c r="H165" s="11"/>
    </row>
    <row r="166" spans="5:8" ht="13.2">
      <c r="E166" s="226"/>
      <c r="F166" s="226"/>
      <c r="G166" s="12"/>
      <c r="H166" s="11"/>
    </row>
    <row r="167" spans="5:8" ht="13.2">
      <c r="E167" s="226"/>
      <c r="F167" s="226"/>
      <c r="G167" s="12"/>
      <c r="H167" s="11"/>
    </row>
    <row r="168" spans="5:8" ht="13.2">
      <c r="E168" s="238"/>
      <c r="F168" s="238"/>
      <c r="G168" s="12"/>
      <c r="H168" s="11"/>
    </row>
    <row r="169" spans="5:8" ht="13.2">
      <c r="E169" s="238"/>
      <c r="F169" s="238"/>
      <c r="G169" s="12"/>
      <c r="H169" s="11"/>
    </row>
    <row r="170" spans="5:8" ht="13.2">
      <c r="E170" s="238"/>
      <c r="F170" s="238"/>
      <c r="G170" s="12"/>
      <c r="H170" s="11"/>
    </row>
    <row r="171" spans="5:8" ht="13.2">
      <c r="E171" s="238"/>
      <c r="F171" s="238"/>
      <c r="G171" s="12"/>
      <c r="H171" s="11"/>
    </row>
    <row r="172" spans="5:8" ht="13.2">
      <c r="E172" s="238"/>
      <c r="F172" s="238"/>
      <c r="G172" s="12"/>
      <c r="H172" s="11"/>
    </row>
    <row r="173" spans="5:8" ht="13.2">
      <c r="E173" s="238"/>
      <c r="F173" s="238"/>
      <c r="G173" s="12"/>
      <c r="H173" s="11"/>
    </row>
    <row r="174" spans="5:8" ht="13.2">
      <c r="E174" s="238"/>
      <c r="F174" s="238"/>
      <c r="G174" s="12"/>
      <c r="H174" s="11"/>
    </row>
    <row r="175" spans="5:8" ht="13.2">
      <c r="E175" s="238"/>
      <c r="F175" s="238"/>
      <c r="G175" s="12"/>
      <c r="H175" s="11"/>
    </row>
    <row r="176" spans="5:8" ht="13.2">
      <c r="E176" s="238"/>
      <c r="F176" s="238"/>
      <c r="G176" s="12"/>
      <c r="H176" s="11"/>
    </row>
    <row r="177" spans="5:8" ht="13.2">
      <c r="E177" s="238"/>
      <c r="F177" s="11"/>
      <c r="G177" s="12"/>
      <c r="H177" s="11"/>
    </row>
  </sheetData>
  <sheetProtection algorithmName="SHA-512" hashValue="4Vw9fQq4ybTZL75O5pe8asDqIk+HZsn0qSHZ9H/L0x0rKfAH5kr2SoAzM24vs/3PT9Ay87CHiPJF+MvjlJGN7Q==" saltValue="KBJ+51oG5gWriQdt6gkgnA==" spinCount="100000" sheet="1" scenarios="1" formatColumns="0" formatRows="0" autoFilter="0"/>
  <autoFilter ref="E11:H11"/>
  <mergeCells count="1">
    <mergeCell ref="E9:H9"/>
  </mergeCells>
  <phoneticPr fontId="3" type="noConversion"/>
  <pageMargins left="0.75" right="0.75" top="1" bottom="1" header="0.5" footer="0.5"/>
  <pageSetup paperSize="9" orientation="portrait" r:id="rId1"/>
  <headerFooter alignWithMargins="0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MO">
    <tabColor indexed="47"/>
  </sheetPr>
  <dimension ref="A1:S52"/>
  <sheetViews>
    <sheetView showGridLines="0" zoomScaleNormal="100" workbookViewId="0"/>
  </sheetViews>
  <sheetFormatPr defaultColWidth="9.125" defaultRowHeight="11.4"/>
  <cols>
    <col min="1" max="2" width="36.75" style="7" customWidth="1"/>
    <col min="3" max="3" width="12.75" style="7" customWidth="1"/>
    <col min="4" max="4" width="50.75" style="7" customWidth="1"/>
    <col min="5" max="5" width="24.75" style="7" customWidth="1"/>
    <col min="6" max="6" width="36.75" style="7" customWidth="1"/>
    <col min="7" max="7" width="12.75" style="7" customWidth="1"/>
    <col min="8" max="8" width="9.125" style="7"/>
    <col min="9" max="9" width="36.75" style="7" customWidth="1"/>
    <col min="10" max="10" width="9.125" style="7"/>
    <col min="11" max="11" width="36.75" style="7" customWidth="1"/>
    <col min="12" max="12" width="9.125" style="7"/>
    <col min="13" max="13" width="36.75" style="7" customWidth="1"/>
    <col min="14" max="14" width="9.125" style="7"/>
    <col min="15" max="15" width="36.75" style="7" customWidth="1"/>
    <col min="16" max="16" width="9.125" style="7"/>
    <col min="17" max="17" width="36.75" style="7" customWidth="1"/>
    <col min="18" max="18" width="9.125" style="7"/>
    <col min="19" max="19" width="36.75" style="7" customWidth="1"/>
    <col min="20" max="16384" width="9.125" style="7"/>
  </cols>
  <sheetData>
    <row r="1" spans="1:19">
      <c r="A1" s="7" t="s">
        <v>3187</v>
      </c>
      <c r="B1" s="7" t="s">
        <v>2466</v>
      </c>
      <c r="C1" s="7" t="s">
        <v>106</v>
      </c>
      <c r="D1" s="7" t="s">
        <v>3188</v>
      </c>
      <c r="E1" s="7" t="s">
        <v>3189</v>
      </c>
      <c r="F1" s="7" t="s">
        <v>3187</v>
      </c>
      <c r="G1" s="7" t="s">
        <v>3190</v>
      </c>
      <c r="I1" s="7" t="s">
        <v>3191</v>
      </c>
      <c r="K1" s="7" t="s">
        <v>3192</v>
      </c>
      <c r="M1" s="7" t="s">
        <v>3193</v>
      </c>
      <c r="O1" s="7" t="s">
        <v>3194</v>
      </c>
      <c r="Q1" s="7" t="s">
        <v>3195</v>
      </c>
      <c r="S1" s="7" t="s">
        <v>3196</v>
      </c>
    </row>
    <row r="2" spans="1:19">
      <c r="A2" s="7" t="s">
        <v>3034</v>
      </c>
      <c r="B2" s="7" t="s">
        <v>3034</v>
      </c>
      <c r="C2" s="7" t="s">
        <v>3035</v>
      </c>
      <c r="D2" s="7" t="s">
        <v>2559</v>
      </c>
      <c r="E2" s="755">
        <v>22137</v>
      </c>
      <c r="F2" s="7" t="s">
        <v>3034</v>
      </c>
      <c r="G2" s="7" t="s">
        <v>3136</v>
      </c>
      <c r="K2" s="7" t="s">
        <v>3058</v>
      </c>
      <c r="S2" s="7" t="s">
        <v>3034</v>
      </c>
    </row>
    <row r="3" spans="1:19">
      <c r="A3" s="7" t="s">
        <v>3036</v>
      </c>
      <c r="B3" s="7" t="s">
        <v>3036</v>
      </c>
      <c r="C3" s="7" t="s">
        <v>3037</v>
      </c>
      <c r="D3" s="7" t="s">
        <v>2559</v>
      </c>
      <c r="E3" s="755">
        <v>71497</v>
      </c>
      <c r="F3" s="7" t="s">
        <v>3036</v>
      </c>
      <c r="G3" s="7" t="s">
        <v>3137</v>
      </c>
      <c r="K3" s="7" t="s">
        <v>3070</v>
      </c>
      <c r="S3" s="7" t="s">
        <v>3036</v>
      </c>
    </row>
    <row r="4" spans="1:19">
      <c r="A4" s="7" t="s">
        <v>3038</v>
      </c>
      <c r="B4" s="7" t="s">
        <v>3038</v>
      </c>
      <c r="C4" s="7" t="s">
        <v>3039</v>
      </c>
      <c r="D4" s="7" t="s">
        <v>2559</v>
      </c>
      <c r="E4" s="755">
        <v>57828</v>
      </c>
      <c r="F4" s="7" t="s">
        <v>3038</v>
      </c>
      <c r="G4" s="7" t="s">
        <v>3138</v>
      </c>
      <c r="K4" s="7" t="s">
        <v>3086</v>
      </c>
      <c r="S4" s="7" t="s">
        <v>3038</v>
      </c>
    </row>
    <row r="5" spans="1:19">
      <c r="A5" s="7" t="s">
        <v>3040</v>
      </c>
      <c r="B5" s="7" t="s">
        <v>3040</v>
      </c>
      <c r="C5" s="7" t="s">
        <v>3041</v>
      </c>
      <c r="D5" s="7" t="s">
        <v>2559</v>
      </c>
      <c r="E5" s="755">
        <v>10062</v>
      </c>
      <c r="F5" s="7" t="s">
        <v>3040</v>
      </c>
      <c r="G5" s="7" t="s">
        <v>3139</v>
      </c>
      <c r="K5" s="7" t="s">
        <v>3090</v>
      </c>
      <c r="S5" s="7" t="s">
        <v>3040</v>
      </c>
    </row>
    <row r="6" spans="1:19">
      <c r="A6" s="7" t="s">
        <v>3042</v>
      </c>
      <c r="B6" s="7" t="s">
        <v>3042</v>
      </c>
      <c r="C6" s="7" t="s">
        <v>3043</v>
      </c>
      <c r="D6" s="7" t="s">
        <v>2559</v>
      </c>
      <c r="E6" s="755">
        <v>10165</v>
      </c>
      <c r="F6" s="7" t="s">
        <v>3042</v>
      </c>
      <c r="G6" s="7" t="s">
        <v>3140</v>
      </c>
      <c r="K6" s="7" t="s">
        <v>3096</v>
      </c>
      <c r="S6" s="7" t="s">
        <v>3042</v>
      </c>
    </row>
    <row r="7" spans="1:19">
      <c r="A7" s="7" t="s">
        <v>3044</v>
      </c>
      <c r="B7" s="7" t="s">
        <v>3044</v>
      </c>
      <c r="C7" s="7" t="s">
        <v>3045</v>
      </c>
      <c r="D7" s="7" t="s">
        <v>2559</v>
      </c>
      <c r="E7" s="755">
        <v>12766</v>
      </c>
      <c r="F7" s="7" t="s">
        <v>3044</v>
      </c>
      <c r="G7" s="7" t="s">
        <v>3141</v>
      </c>
      <c r="K7" s="7" t="s">
        <v>3102</v>
      </c>
      <c r="S7" s="7" t="s">
        <v>3044</v>
      </c>
    </row>
    <row r="8" spans="1:19">
      <c r="A8" s="7" t="s">
        <v>3046</v>
      </c>
      <c r="B8" s="7" t="s">
        <v>3046</v>
      </c>
      <c r="C8" s="7" t="s">
        <v>3047</v>
      </c>
      <c r="D8" s="7" t="s">
        <v>2559</v>
      </c>
      <c r="E8" s="755">
        <v>13155</v>
      </c>
      <c r="F8" s="7" t="s">
        <v>3046</v>
      </c>
      <c r="G8" s="7" t="s">
        <v>3142</v>
      </c>
      <c r="K8" s="7" t="s">
        <v>3118</v>
      </c>
      <c r="S8" s="7" t="s">
        <v>3046</v>
      </c>
    </row>
    <row r="9" spans="1:19">
      <c r="A9" s="7" t="s">
        <v>3048</v>
      </c>
      <c r="B9" s="7" t="s">
        <v>3048</v>
      </c>
      <c r="C9" s="7" t="s">
        <v>3049</v>
      </c>
      <c r="D9" s="7" t="s">
        <v>2559</v>
      </c>
      <c r="E9" s="755">
        <v>9466</v>
      </c>
      <c r="F9" s="7" t="s">
        <v>3048</v>
      </c>
      <c r="G9" s="7" t="s">
        <v>3143</v>
      </c>
      <c r="K9" s="7" t="s">
        <v>3120</v>
      </c>
      <c r="S9" s="7" t="s">
        <v>3048</v>
      </c>
    </row>
    <row r="10" spans="1:19">
      <c r="A10" s="7" t="s">
        <v>3050</v>
      </c>
      <c r="B10" s="7" t="s">
        <v>3050</v>
      </c>
      <c r="C10" s="7" t="s">
        <v>3051</v>
      </c>
      <c r="D10" s="7" t="s">
        <v>2559</v>
      </c>
      <c r="E10" s="755">
        <v>16513</v>
      </c>
      <c r="F10" s="7" t="s">
        <v>3050</v>
      </c>
      <c r="G10" s="7" t="s">
        <v>3144</v>
      </c>
      <c r="K10" s="7" t="s">
        <v>3122</v>
      </c>
      <c r="S10" s="7" t="s">
        <v>3050</v>
      </c>
    </row>
    <row r="11" spans="1:19">
      <c r="A11" s="7" t="s">
        <v>3052</v>
      </c>
      <c r="B11" s="7" t="s">
        <v>3052</v>
      </c>
      <c r="C11" s="7" t="s">
        <v>3053</v>
      </c>
      <c r="D11" s="7" t="s">
        <v>2559</v>
      </c>
      <c r="E11" s="755">
        <v>12359</v>
      </c>
      <c r="F11" s="7" t="s">
        <v>3052</v>
      </c>
      <c r="G11" s="7" t="s">
        <v>3145</v>
      </c>
      <c r="K11" s="7" t="s">
        <v>3124</v>
      </c>
      <c r="S11" s="7" t="s">
        <v>3052</v>
      </c>
    </row>
    <row r="12" spans="1:19">
      <c r="A12" s="7" t="s">
        <v>3054</v>
      </c>
      <c r="B12" s="7" t="s">
        <v>3054</v>
      </c>
      <c r="C12" s="7" t="s">
        <v>3055</v>
      </c>
      <c r="D12" s="7" t="s">
        <v>2559</v>
      </c>
      <c r="E12" s="755">
        <v>14132</v>
      </c>
      <c r="F12" s="7" t="s">
        <v>3054</v>
      </c>
      <c r="G12" s="7" t="s">
        <v>3146</v>
      </c>
      <c r="K12" s="7" t="s">
        <v>3126</v>
      </c>
      <c r="S12" s="7" t="s">
        <v>3054</v>
      </c>
    </row>
    <row r="13" spans="1:19">
      <c r="A13" s="7" t="s">
        <v>3056</v>
      </c>
      <c r="B13" s="7" t="s">
        <v>3056</v>
      </c>
      <c r="C13" s="7" t="s">
        <v>3057</v>
      </c>
      <c r="D13" s="7" t="s">
        <v>2559</v>
      </c>
      <c r="E13" s="755">
        <v>47710</v>
      </c>
      <c r="F13" s="7" t="s">
        <v>3056</v>
      </c>
      <c r="G13" s="7" t="s">
        <v>3147</v>
      </c>
      <c r="K13" s="7" t="s">
        <v>3128</v>
      </c>
      <c r="S13" s="7" t="s">
        <v>3056</v>
      </c>
    </row>
    <row r="14" spans="1:19">
      <c r="A14" s="7" t="s">
        <v>3058</v>
      </c>
      <c r="B14" s="7" t="s">
        <v>3058</v>
      </c>
      <c r="C14" s="7" t="s">
        <v>3059</v>
      </c>
      <c r="D14" s="7" t="s">
        <v>2560</v>
      </c>
      <c r="E14" s="755">
        <v>13105</v>
      </c>
      <c r="F14" s="7" t="s">
        <v>3058</v>
      </c>
      <c r="G14" s="7" t="s">
        <v>3148</v>
      </c>
      <c r="K14" s="7" t="s">
        <v>3130</v>
      </c>
      <c r="S14" s="7" t="s">
        <v>3060</v>
      </c>
    </row>
    <row r="15" spans="1:19">
      <c r="A15" s="7" t="s">
        <v>3060</v>
      </c>
      <c r="B15" s="7" t="s">
        <v>3060</v>
      </c>
      <c r="C15" s="7" t="s">
        <v>3061</v>
      </c>
      <c r="D15" s="7" t="s">
        <v>2559</v>
      </c>
      <c r="E15" s="755">
        <v>15800</v>
      </c>
      <c r="F15" s="7" t="s">
        <v>3060</v>
      </c>
      <c r="G15" s="7" t="s">
        <v>3149</v>
      </c>
      <c r="K15" s="7" t="s">
        <v>3132</v>
      </c>
      <c r="S15" s="7" t="s">
        <v>3062</v>
      </c>
    </row>
    <row r="16" spans="1:19">
      <c r="A16" s="7" t="s">
        <v>3062</v>
      </c>
      <c r="B16" s="7" t="s">
        <v>3062</v>
      </c>
      <c r="C16" s="7" t="s">
        <v>3063</v>
      </c>
      <c r="D16" s="7" t="s">
        <v>2559</v>
      </c>
      <c r="E16" s="755">
        <v>9475</v>
      </c>
      <c r="F16" s="7" t="s">
        <v>3062</v>
      </c>
      <c r="G16" s="7" t="s">
        <v>3150</v>
      </c>
      <c r="K16" s="7" t="s">
        <v>3134</v>
      </c>
      <c r="S16" s="7" t="s">
        <v>3064</v>
      </c>
    </row>
    <row r="17" spans="1:19">
      <c r="A17" s="7" t="s">
        <v>3064</v>
      </c>
      <c r="B17" s="7" t="s">
        <v>3064</v>
      </c>
      <c r="C17" s="7" t="s">
        <v>3065</v>
      </c>
      <c r="D17" s="7" t="s">
        <v>2559</v>
      </c>
      <c r="E17" s="755">
        <v>79491</v>
      </c>
      <c r="F17" s="7" t="s">
        <v>3064</v>
      </c>
      <c r="G17" s="7" t="s">
        <v>3151</v>
      </c>
      <c r="S17" s="7" t="s">
        <v>3066</v>
      </c>
    </row>
    <row r="18" spans="1:19">
      <c r="A18" s="7" t="s">
        <v>3066</v>
      </c>
      <c r="B18" s="7" t="s">
        <v>3066</v>
      </c>
      <c r="C18" s="7" t="s">
        <v>3067</v>
      </c>
      <c r="D18" s="7" t="s">
        <v>2559</v>
      </c>
      <c r="E18" s="755">
        <v>20279</v>
      </c>
      <c r="F18" s="7" t="s">
        <v>3066</v>
      </c>
      <c r="G18" s="7" t="s">
        <v>3152</v>
      </c>
      <c r="S18" s="7" t="s">
        <v>3068</v>
      </c>
    </row>
    <row r="19" spans="1:19">
      <c r="A19" s="7" t="s">
        <v>3068</v>
      </c>
      <c r="B19" s="7" t="s">
        <v>3068</v>
      </c>
      <c r="C19" s="7" t="s">
        <v>3069</v>
      </c>
      <c r="D19" s="7" t="s">
        <v>2559</v>
      </c>
      <c r="E19" s="755">
        <v>14737</v>
      </c>
      <c r="F19" s="7" t="s">
        <v>3068</v>
      </c>
      <c r="G19" s="7" t="s">
        <v>3153</v>
      </c>
      <c r="S19" s="7" t="s">
        <v>3072</v>
      </c>
    </row>
    <row r="20" spans="1:19">
      <c r="A20" s="7" t="s">
        <v>3070</v>
      </c>
      <c r="B20" s="7" t="s">
        <v>3070</v>
      </c>
      <c r="C20" s="7" t="s">
        <v>3071</v>
      </c>
      <c r="D20" s="7" t="s">
        <v>2560</v>
      </c>
      <c r="E20" s="755">
        <v>93493</v>
      </c>
      <c r="F20" s="7" t="s">
        <v>3070</v>
      </c>
      <c r="G20" s="7" t="s">
        <v>3154</v>
      </c>
      <c r="S20" s="7" t="s">
        <v>3074</v>
      </c>
    </row>
    <row r="21" spans="1:19">
      <c r="A21" s="7" t="s">
        <v>3072</v>
      </c>
      <c r="B21" s="7" t="s">
        <v>3072</v>
      </c>
      <c r="C21" s="7" t="s">
        <v>3073</v>
      </c>
      <c r="D21" s="7" t="s">
        <v>2559</v>
      </c>
      <c r="E21" s="755">
        <v>10690</v>
      </c>
      <c r="F21" s="7" t="s">
        <v>3072</v>
      </c>
      <c r="G21" s="7" t="s">
        <v>3155</v>
      </c>
      <c r="S21" s="7" t="s">
        <v>3076</v>
      </c>
    </row>
    <row r="22" spans="1:19">
      <c r="A22" s="7" t="s">
        <v>3074</v>
      </c>
      <c r="B22" s="7" t="s">
        <v>3074</v>
      </c>
      <c r="C22" s="7" t="s">
        <v>3075</v>
      </c>
      <c r="D22" s="7" t="s">
        <v>2559</v>
      </c>
      <c r="E22" s="755">
        <v>16938</v>
      </c>
      <c r="F22" s="7" t="s">
        <v>3074</v>
      </c>
      <c r="G22" s="7" t="s">
        <v>3156</v>
      </c>
      <c r="S22" s="7" t="s">
        <v>3078</v>
      </c>
    </row>
    <row r="23" spans="1:19">
      <c r="A23" s="7" t="s">
        <v>3076</v>
      </c>
      <c r="B23" s="7" t="s">
        <v>3076</v>
      </c>
      <c r="C23" s="7" t="s">
        <v>3077</v>
      </c>
      <c r="D23" s="7" t="s">
        <v>2559</v>
      </c>
      <c r="E23" s="755">
        <v>18276</v>
      </c>
      <c r="F23" s="7" t="s">
        <v>3076</v>
      </c>
      <c r="G23" s="7" t="s">
        <v>3157</v>
      </c>
      <c r="S23" s="7" t="s">
        <v>3080</v>
      </c>
    </row>
    <row r="24" spans="1:19">
      <c r="A24" s="7" t="s">
        <v>3078</v>
      </c>
      <c r="B24" s="7" t="s">
        <v>3078</v>
      </c>
      <c r="C24" s="7" t="s">
        <v>3079</v>
      </c>
      <c r="D24" s="7" t="s">
        <v>2559</v>
      </c>
      <c r="E24" s="755">
        <v>8417</v>
      </c>
      <c r="F24" s="7" t="s">
        <v>3078</v>
      </c>
      <c r="G24" s="7" t="s">
        <v>3158</v>
      </c>
      <c r="S24" s="7" t="s">
        <v>3082</v>
      </c>
    </row>
    <row r="25" spans="1:19">
      <c r="A25" s="7" t="s">
        <v>3080</v>
      </c>
      <c r="B25" s="7" t="s">
        <v>3080</v>
      </c>
      <c r="C25" s="7" t="s">
        <v>3081</v>
      </c>
      <c r="D25" s="7" t="s">
        <v>2559</v>
      </c>
      <c r="E25" s="755">
        <v>121322</v>
      </c>
      <c r="F25" s="7" t="s">
        <v>3080</v>
      </c>
      <c r="G25" s="7" t="s">
        <v>3159</v>
      </c>
      <c r="S25" s="7" t="s">
        <v>3084</v>
      </c>
    </row>
    <row r="26" spans="1:19">
      <c r="A26" s="7" t="s">
        <v>3082</v>
      </c>
      <c r="B26" s="7" t="s">
        <v>3082</v>
      </c>
      <c r="C26" s="7" t="s">
        <v>3083</v>
      </c>
      <c r="D26" s="7" t="s">
        <v>2559</v>
      </c>
      <c r="E26" s="755">
        <v>25406</v>
      </c>
      <c r="F26" s="7" t="s">
        <v>3082</v>
      </c>
      <c r="G26" s="7" t="s">
        <v>3160</v>
      </c>
      <c r="S26" s="7" t="s">
        <v>3088</v>
      </c>
    </row>
    <row r="27" spans="1:19">
      <c r="A27" s="7" t="s">
        <v>3084</v>
      </c>
      <c r="B27" s="7" t="s">
        <v>3084</v>
      </c>
      <c r="C27" s="7" t="s">
        <v>3085</v>
      </c>
      <c r="D27" s="7" t="s">
        <v>2559</v>
      </c>
      <c r="E27" s="755">
        <v>33667</v>
      </c>
      <c r="F27" s="7" t="s">
        <v>3084</v>
      </c>
      <c r="G27" s="7" t="s">
        <v>3161</v>
      </c>
      <c r="S27" s="7" t="s">
        <v>3092</v>
      </c>
    </row>
    <row r="28" spans="1:19">
      <c r="A28" s="7" t="s">
        <v>3086</v>
      </c>
      <c r="B28" s="7" t="s">
        <v>3086</v>
      </c>
      <c r="C28" s="7" t="s">
        <v>3087</v>
      </c>
      <c r="D28" s="7" t="s">
        <v>2560</v>
      </c>
      <c r="E28" s="755">
        <v>20357</v>
      </c>
      <c r="F28" s="7" t="s">
        <v>3086</v>
      </c>
      <c r="G28" s="7" t="s">
        <v>3162</v>
      </c>
      <c r="S28" s="7" t="s">
        <v>3094</v>
      </c>
    </row>
    <row r="29" spans="1:19">
      <c r="A29" s="7" t="s">
        <v>3088</v>
      </c>
      <c r="B29" s="7" t="s">
        <v>3088</v>
      </c>
      <c r="C29" s="7" t="s">
        <v>3089</v>
      </c>
      <c r="D29" s="7" t="s">
        <v>2559</v>
      </c>
      <c r="E29" s="755">
        <v>90990</v>
      </c>
      <c r="F29" s="7" t="s">
        <v>3088</v>
      </c>
      <c r="G29" s="7" t="s">
        <v>3163</v>
      </c>
      <c r="S29" s="7" t="s">
        <v>3098</v>
      </c>
    </row>
    <row r="30" spans="1:19">
      <c r="A30" s="7" t="s">
        <v>3090</v>
      </c>
      <c r="B30" s="7" t="s">
        <v>3090</v>
      </c>
      <c r="C30" s="7" t="s">
        <v>3091</v>
      </c>
      <c r="D30" s="7" t="s">
        <v>2560</v>
      </c>
      <c r="E30" s="755">
        <v>15872</v>
      </c>
      <c r="F30" s="7" t="s">
        <v>3090</v>
      </c>
      <c r="G30" s="7" t="s">
        <v>3164</v>
      </c>
      <c r="S30" s="7" t="s">
        <v>3100</v>
      </c>
    </row>
    <row r="31" spans="1:19">
      <c r="A31" s="7" t="s">
        <v>3092</v>
      </c>
      <c r="B31" s="7" t="s">
        <v>3092</v>
      </c>
      <c r="C31" s="7" t="s">
        <v>3093</v>
      </c>
      <c r="D31" s="7" t="s">
        <v>2559</v>
      </c>
      <c r="E31" s="755">
        <v>17858</v>
      </c>
      <c r="F31" s="7" t="s">
        <v>3092</v>
      </c>
      <c r="G31" s="7" t="s">
        <v>3165</v>
      </c>
      <c r="S31" s="7" t="s">
        <v>3104</v>
      </c>
    </row>
    <row r="32" spans="1:19">
      <c r="A32" s="7" t="s">
        <v>3094</v>
      </c>
      <c r="B32" s="7" t="s">
        <v>3094</v>
      </c>
      <c r="C32" s="7" t="s">
        <v>3095</v>
      </c>
      <c r="D32" s="7" t="s">
        <v>2559</v>
      </c>
      <c r="E32" s="755">
        <v>25041</v>
      </c>
      <c r="F32" s="7" t="s">
        <v>3094</v>
      </c>
      <c r="G32" s="7" t="s">
        <v>3166</v>
      </c>
      <c r="S32" s="7" t="s">
        <v>3106</v>
      </c>
    </row>
    <row r="33" spans="1:19">
      <c r="A33" s="7" t="s">
        <v>3096</v>
      </c>
      <c r="B33" s="7" t="s">
        <v>3096</v>
      </c>
      <c r="C33" s="7" t="s">
        <v>3097</v>
      </c>
      <c r="D33" s="7" t="s">
        <v>2560</v>
      </c>
      <c r="E33" s="755">
        <v>45118</v>
      </c>
      <c r="F33" s="7" t="s">
        <v>3096</v>
      </c>
      <c r="G33" s="7" t="s">
        <v>3167</v>
      </c>
      <c r="S33" s="7" t="s">
        <v>3108</v>
      </c>
    </row>
    <row r="34" spans="1:19">
      <c r="A34" s="7" t="s">
        <v>3098</v>
      </c>
      <c r="B34" s="7" t="s">
        <v>3098</v>
      </c>
      <c r="C34" s="7" t="s">
        <v>3099</v>
      </c>
      <c r="D34" s="7" t="s">
        <v>2559</v>
      </c>
      <c r="E34" s="755">
        <v>26402</v>
      </c>
      <c r="F34" s="7" t="s">
        <v>3098</v>
      </c>
      <c r="G34" s="7" t="s">
        <v>3168</v>
      </c>
      <c r="S34" s="7" t="s">
        <v>3110</v>
      </c>
    </row>
    <row r="35" spans="1:19">
      <c r="A35" s="7" t="s">
        <v>3100</v>
      </c>
      <c r="B35" s="7" t="s">
        <v>3100</v>
      </c>
      <c r="C35" s="7" t="s">
        <v>3101</v>
      </c>
      <c r="D35" s="7" t="s">
        <v>2559</v>
      </c>
      <c r="E35" s="755">
        <v>13223</v>
      </c>
      <c r="F35" s="7" t="s">
        <v>3100</v>
      </c>
      <c r="G35" s="7" t="s">
        <v>3169</v>
      </c>
      <c r="S35" s="7" t="s">
        <v>3112</v>
      </c>
    </row>
    <row r="36" spans="1:19">
      <c r="A36" s="7" t="s">
        <v>3102</v>
      </c>
      <c r="B36" s="7" t="s">
        <v>3102</v>
      </c>
      <c r="C36" s="7" t="s">
        <v>3103</v>
      </c>
      <c r="D36" s="7" t="s">
        <v>2560</v>
      </c>
      <c r="E36" s="755">
        <v>10704</v>
      </c>
      <c r="F36" s="7" t="s">
        <v>3102</v>
      </c>
      <c r="G36" s="7" t="s">
        <v>3170</v>
      </c>
      <c r="S36" s="7" t="s">
        <v>3114</v>
      </c>
    </row>
    <row r="37" spans="1:19">
      <c r="A37" s="7" t="s">
        <v>3104</v>
      </c>
      <c r="B37" s="7" t="s">
        <v>3104</v>
      </c>
      <c r="C37" s="7" t="s">
        <v>3105</v>
      </c>
      <c r="D37" s="7" t="s">
        <v>2559</v>
      </c>
      <c r="E37" s="755">
        <v>15984</v>
      </c>
      <c r="F37" s="7" t="s">
        <v>3104</v>
      </c>
      <c r="G37" s="7" t="s">
        <v>3171</v>
      </c>
      <c r="S37" s="7" t="s">
        <v>3116</v>
      </c>
    </row>
    <row r="38" spans="1:19">
      <c r="A38" s="7" t="s">
        <v>3106</v>
      </c>
      <c r="B38" s="7" t="s">
        <v>3106</v>
      </c>
      <c r="C38" s="7" t="s">
        <v>3107</v>
      </c>
      <c r="D38" s="7" t="s">
        <v>2559</v>
      </c>
      <c r="E38" s="755">
        <v>9222</v>
      </c>
      <c r="F38" s="7" t="s">
        <v>3106</v>
      </c>
      <c r="G38" s="7" t="s">
        <v>3172</v>
      </c>
    </row>
    <row r="39" spans="1:19">
      <c r="A39" s="7" t="s">
        <v>3108</v>
      </c>
      <c r="B39" s="7" t="s">
        <v>3108</v>
      </c>
      <c r="C39" s="7" t="s">
        <v>3109</v>
      </c>
      <c r="D39" s="7" t="s">
        <v>2559</v>
      </c>
      <c r="E39" s="755">
        <v>6892</v>
      </c>
      <c r="F39" s="7" t="s">
        <v>3108</v>
      </c>
      <c r="G39" s="7" t="s">
        <v>3173</v>
      </c>
    </row>
    <row r="40" spans="1:19">
      <c r="A40" s="7" t="s">
        <v>3110</v>
      </c>
      <c r="B40" s="7" t="s">
        <v>3110</v>
      </c>
      <c r="C40" s="7" t="s">
        <v>3111</v>
      </c>
      <c r="D40" s="7" t="s">
        <v>2559</v>
      </c>
      <c r="E40" s="755">
        <v>14215</v>
      </c>
      <c r="F40" s="7" t="s">
        <v>3110</v>
      </c>
      <c r="G40" s="7" t="s">
        <v>3174</v>
      </c>
    </row>
    <row r="41" spans="1:19">
      <c r="A41" s="7" t="s">
        <v>3112</v>
      </c>
      <c r="B41" s="7" t="s">
        <v>3112</v>
      </c>
      <c r="C41" s="7" t="s">
        <v>3113</v>
      </c>
      <c r="D41" s="7" t="s">
        <v>2559</v>
      </c>
      <c r="E41" s="755">
        <v>27699</v>
      </c>
      <c r="F41" s="7" t="s">
        <v>3112</v>
      </c>
      <c r="G41" s="7" t="s">
        <v>3175</v>
      </c>
    </row>
    <row r="42" spans="1:19">
      <c r="A42" s="7" t="s">
        <v>3114</v>
      </c>
      <c r="B42" s="7" t="s">
        <v>3114</v>
      </c>
      <c r="C42" s="7" t="s">
        <v>3115</v>
      </c>
      <c r="D42" s="7" t="s">
        <v>2559</v>
      </c>
      <c r="E42" s="755">
        <v>11232</v>
      </c>
      <c r="F42" s="7" t="s">
        <v>3114</v>
      </c>
      <c r="G42" s="7" t="s">
        <v>3176</v>
      </c>
    </row>
    <row r="43" spans="1:19">
      <c r="A43" s="7" t="s">
        <v>3116</v>
      </c>
      <c r="B43" s="7" t="s">
        <v>3116</v>
      </c>
      <c r="C43" s="7" t="s">
        <v>3117</v>
      </c>
      <c r="D43" s="7" t="s">
        <v>2559</v>
      </c>
      <c r="E43" s="755">
        <v>22342</v>
      </c>
      <c r="F43" s="7" t="s">
        <v>3116</v>
      </c>
      <c r="G43" s="7" t="s">
        <v>3177</v>
      </c>
    </row>
    <row r="44" spans="1:19">
      <c r="A44" s="7" t="s">
        <v>3118</v>
      </c>
      <c r="B44" s="7" t="s">
        <v>3118</v>
      </c>
      <c r="C44" s="7" t="s">
        <v>3119</v>
      </c>
      <c r="D44" s="7" t="s">
        <v>2560</v>
      </c>
      <c r="E44" s="755">
        <v>144336</v>
      </c>
      <c r="F44" s="7" t="s">
        <v>3118</v>
      </c>
      <c r="G44" s="7" t="s">
        <v>3178</v>
      </c>
    </row>
    <row r="45" spans="1:19">
      <c r="A45" s="7" t="s">
        <v>3120</v>
      </c>
      <c r="B45" s="7" t="s">
        <v>3120</v>
      </c>
      <c r="C45" s="7" t="s">
        <v>3121</v>
      </c>
      <c r="D45" s="7" t="s">
        <v>2560</v>
      </c>
      <c r="E45" s="755">
        <v>117287</v>
      </c>
      <c r="F45" s="7" t="s">
        <v>3120</v>
      </c>
      <c r="G45" s="7" t="s">
        <v>3179</v>
      </c>
    </row>
    <row r="46" spans="1:19">
      <c r="A46" s="7" t="s">
        <v>3122</v>
      </c>
      <c r="B46" s="7" t="s">
        <v>3122</v>
      </c>
      <c r="C46" s="7" t="s">
        <v>3123</v>
      </c>
      <c r="D46" s="7" t="s">
        <v>2560</v>
      </c>
      <c r="E46" s="755">
        <v>72351</v>
      </c>
      <c r="F46" s="7" t="s">
        <v>3122</v>
      </c>
      <c r="G46" s="7" t="s">
        <v>3180</v>
      </c>
    </row>
    <row r="47" spans="1:19">
      <c r="A47" s="7" t="s">
        <v>3124</v>
      </c>
      <c r="B47" s="7" t="s">
        <v>3124</v>
      </c>
      <c r="C47" s="7" t="s">
        <v>3125</v>
      </c>
      <c r="D47" s="7" t="s">
        <v>2560</v>
      </c>
      <c r="E47" s="755">
        <v>223327</v>
      </c>
      <c r="F47" s="7" t="s">
        <v>3124</v>
      </c>
      <c r="G47" s="7" t="s">
        <v>3181</v>
      </c>
    </row>
    <row r="48" spans="1:19">
      <c r="A48" s="7" t="s">
        <v>3126</v>
      </c>
      <c r="B48" s="7" t="s">
        <v>3126</v>
      </c>
      <c r="C48" s="7" t="s">
        <v>3127</v>
      </c>
      <c r="D48" s="7" t="s">
        <v>2560</v>
      </c>
      <c r="E48" s="755">
        <v>44505</v>
      </c>
      <c r="F48" s="7" t="s">
        <v>3126</v>
      </c>
      <c r="G48" s="7" t="s">
        <v>3182</v>
      </c>
    </row>
    <row r="49" spans="1:7">
      <c r="A49" s="7" t="s">
        <v>3128</v>
      </c>
      <c r="B49" s="7" t="s">
        <v>3128</v>
      </c>
      <c r="C49" s="7" t="s">
        <v>3129</v>
      </c>
      <c r="D49" s="7" t="s">
        <v>2560</v>
      </c>
      <c r="E49" s="755">
        <v>1222172</v>
      </c>
      <c r="F49" s="7" t="s">
        <v>3128</v>
      </c>
      <c r="G49" s="7" t="s">
        <v>3183</v>
      </c>
    </row>
    <row r="50" spans="1:7">
      <c r="A50" s="7" t="s">
        <v>3130</v>
      </c>
      <c r="B50" s="7" t="s">
        <v>3130</v>
      </c>
      <c r="C50" s="7" t="s">
        <v>3131</v>
      </c>
      <c r="D50" s="7" t="s">
        <v>2560</v>
      </c>
      <c r="E50" s="755">
        <v>16829</v>
      </c>
      <c r="F50" s="7" t="s">
        <v>3130</v>
      </c>
      <c r="G50" s="7" t="s">
        <v>3184</v>
      </c>
    </row>
    <row r="51" spans="1:7">
      <c r="A51" s="7" t="s">
        <v>3132</v>
      </c>
      <c r="B51" s="7" t="s">
        <v>3132</v>
      </c>
      <c r="C51" s="7" t="s">
        <v>3133</v>
      </c>
      <c r="D51" s="7" t="s">
        <v>2560</v>
      </c>
      <c r="E51" s="755">
        <v>18698</v>
      </c>
      <c r="F51" s="7" t="s">
        <v>3132</v>
      </c>
      <c r="G51" s="7" t="s">
        <v>3185</v>
      </c>
    </row>
    <row r="52" spans="1:7">
      <c r="A52" s="7" t="s">
        <v>3134</v>
      </c>
      <c r="B52" s="7" t="s">
        <v>3134</v>
      </c>
      <c r="C52" s="7" t="s">
        <v>3135</v>
      </c>
      <c r="D52" s="7" t="s">
        <v>2560</v>
      </c>
      <c r="E52" s="755">
        <v>27879</v>
      </c>
      <c r="F52" s="7" t="s">
        <v>3134</v>
      </c>
      <c r="G52" s="7" t="s">
        <v>3186</v>
      </c>
    </row>
  </sheetData>
  <sheetProtection formatColumns="0" formatRows="0"/>
  <phoneticPr fontId="12" type="noConversion"/>
  <pageMargins left="0.75" right="0.75" top="1" bottom="1" header="0.5" footer="0.5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OCATION">
    <tabColor indexed="47"/>
  </sheetPr>
  <dimension ref="A1:B4842"/>
  <sheetViews>
    <sheetView showGridLines="0" zoomScaleNormal="100" workbookViewId="0"/>
  </sheetViews>
  <sheetFormatPr defaultColWidth="9.125" defaultRowHeight="11.4"/>
  <cols>
    <col min="1" max="16384" width="9.125" style="7"/>
  </cols>
  <sheetData>
    <row r="1" spans="1:2">
      <c r="A1" s="7" t="s">
        <v>1201</v>
      </c>
      <c r="B1" s="7" t="s">
        <v>818</v>
      </c>
    </row>
    <row r="2" spans="1:2">
      <c r="A2" s="7" t="s">
        <v>3198</v>
      </c>
      <c r="B2" s="7" t="s">
        <v>3199</v>
      </c>
    </row>
    <row r="3" spans="1:2">
      <c r="A3" s="7" t="s">
        <v>3200</v>
      </c>
      <c r="B3" s="7" t="s">
        <v>3201</v>
      </c>
    </row>
    <row r="4" spans="1:2">
      <c r="A4" s="7" t="s">
        <v>3202</v>
      </c>
      <c r="B4" s="7" t="s">
        <v>3203</v>
      </c>
    </row>
    <row r="5" spans="1:2">
      <c r="A5" s="7" t="s">
        <v>3204</v>
      </c>
      <c r="B5" s="7" t="s">
        <v>3205</v>
      </c>
    </row>
    <row r="6" spans="1:2">
      <c r="A6" s="7" t="s">
        <v>3206</v>
      </c>
      <c r="B6" s="7" t="s">
        <v>3207</v>
      </c>
    </row>
    <row r="7" spans="1:2">
      <c r="A7" s="7" t="s">
        <v>3208</v>
      </c>
      <c r="B7" s="7" t="s">
        <v>3209</v>
      </c>
    </row>
    <row r="8" spans="1:2">
      <c r="A8" s="7" t="s">
        <v>3210</v>
      </c>
      <c r="B8" s="7" t="s">
        <v>3211</v>
      </c>
    </row>
    <row r="9" spans="1:2">
      <c r="A9" s="7" t="s">
        <v>3212</v>
      </c>
      <c r="B9" s="7" t="s">
        <v>3213</v>
      </c>
    </row>
    <row r="10" spans="1:2">
      <c r="A10" s="7" t="s">
        <v>3214</v>
      </c>
      <c r="B10" s="7" t="s">
        <v>3215</v>
      </c>
    </row>
    <row r="11" spans="1:2">
      <c r="A11" s="7" t="s">
        <v>3216</v>
      </c>
      <c r="B11" s="7" t="s">
        <v>3217</v>
      </c>
    </row>
    <row r="12" spans="1:2">
      <c r="A12" s="7" t="s">
        <v>3218</v>
      </c>
      <c r="B12" s="7" t="s">
        <v>3219</v>
      </c>
    </row>
    <row r="13" spans="1:2">
      <c r="A13" s="7" t="s">
        <v>3220</v>
      </c>
      <c r="B13" s="7" t="s">
        <v>3221</v>
      </c>
    </row>
    <row r="14" spans="1:2">
      <c r="A14" s="7" t="s">
        <v>3222</v>
      </c>
      <c r="B14" s="7" t="s">
        <v>3223</v>
      </c>
    </row>
    <row r="15" spans="1:2">
      <c r="A15" s="7" t="s">
        <v>3224</v>
      </c>
      <c r="B15" s="7" t="s">
        <v>3225</v>
      </c>
    </row>
    <row r="16" spans="1:2">
      <c r="A16" s="7" t="s">
        <v>3226</v>
      </c>
      <c r="B16" s="7" t="s">
        <v>3227</v>
      </c>
    </row>
    <row r="17" spans="1:2">
      <c r="A17" s="7" t="s">
        <v>3228</v>
      </c>
      <c r="B17" s="7" t="s">
        <v>3229</v>
      </c>
    </row>
    <row r="18" spans="1:2">
      <c r="A18" s="7" t="s">
        <v>3230</v>
      </c>
      <c r="B18" s="7" t="s">
        <v>3231</v>
      </c>
    </row>
    <row r="19" spans="1:2">
      <c r="A19" s="7" t="s">
        <v>3232</v>
      </c>
      <c r="B19" s="7" t="s">
        <v>3233</v>
      </c>
    </row>
    <row r="20" spans="1:2">
      <c r="A20" s="7" t="s">
        <v>3234</v>
      </c>
      <c r="B20" s="7" t="s">
        <v>3235</v>
      </c>
    </row>
    <row r="21" spans="1:2">
      <c r="A21" s="7" t="s">
        <v>3236</v>
      </c>
      <c r="B21" s="7" t="s">
        <v>3237</v>
      </c>
    </row>
    <row r="22" spans="1:2">
      <c r="A22" s="7" t="s">
        <v>3238</v>
      </c>
      <c r="B22" s="7" t="s">
        <v>3239</v>
      </c>
    </row>
    <row r="23" spans="1:2">
      <c r="A23" s="7" t="s">
        <v>3240</v>
      </c>
      <c r="B23" s="7" t="s">
        <v>3241</v>
      </c>
    </row>
    <row r="24" spans="1:2">
      <c r="A24" s="7" t="s">
        <v>3242</v>
      </c>
      <c r="B24" s="7" t="s">
        <v>3243</v>
      </c>
    </row>
    <row r="25" spans="1:2">
      <c r="A25" s="7" t="s">
        <v>3244</v>
      </c>
      <c r="B25" s="7" t="s">
        <v>3245</v>
      </c>
    </row>
    <row r="26" spans="1:2">
      <c r="A26" s="7" t="s">
        <v>3246</v>
      </c>
      <c r="B26" s="7" t="s">
        <v>3247</v>
      </c>
    </row>
    <row r="27" spans="1:2">
      <c r="A27" s="7" t="s">
        <v>3248</v>
      </c>
      <c r="B27" s="7" t="s">
        <v>3249</v>
      </c>
    </row>
    <row r="28" spans="1:2">
      <c r="A28" s="7" t="s">
        <v>3250</v>
      </c>
      <c r="B28" s="7" t="s">
        <v>3251</v>
      </c>
    </row>
    <row r="29" spans="1:2">
      <c r="A29" s="7" t="s">
        <v>3252</v>
      </c>
      <c r="B29" s="7" t="s">
        <v>3253</v>
      </c>
    </row>
    <row r="30" spans="1:2">
      <c r="A30" s="7" t="s">
        <v>3254</v>
      </c>
      <c r="B30" s="7" t="s">
        <v>3255</v>
      </c>
    </row>
    <row r="31" spans="1:2">
      <c r="A31" s="7" t="s">
        <v>3256</v>
      </c>
      <c r="B31" s="7" t="s">
        <v>3257</v>
      </c>
    </row>
    <row r="32" spans="1:2">
      <c r="A32" s="7" t="s">
        <v>3258</v>
      </c>
      <c r="B32" s="7" t="s">
        <v>3259</v>
      </c>
    </row>
    <row r="33" spans="1:2">
      <c r="A33" s="7" t="s">
        <v>3260</v>
      </c>
      <c r="B33" s="7" t="s">
        <v>3261</v>
      </c>
    </row>
    <row r="34" spans="1:2">
      <c r="A34" s="7" t="s">
        <v>3262</v>
      </c>
      <c r="B34" s="7" t="s">
        <v>3263</v>
      </c>
    </row>
    <row r="35" spans="1:2">
      <c r="A35" s="7" t="s">
        <v>3264</v>
      </c>
      <c r="B35" s="7" t="s">
        <v>3265</v>
      </c>
    </row>
    <row r="36" spans="1:2">
      <c r="A36" s="7" t="s">
        <v>3266</v>
      </c>
      <c r="B36" s="7" t="s">
        <v>3267</v>
      </c>
    </row>
    <row r="37" spans="1:2">
      <c r="A37" s="7" t="s">
        <v>3268</v>
      </c>
      <c r="B37" s="7" t="s">
        <v>3269</v>
      </c>
    </row>
    <row r="38" spans="1:2">
      <c r="A38" s="7" t="s">
        <v>3270</v>
      </c>
      <c r="B38" s="7" t="s">
        <v>3271</v>
      </c>
    </row>
    <row r="39" spans="1:2">
      <c r="A39" s="7" t="s">
        <v>3272</v>
      </c>
      <c r="B39" s="7" t="s">
        <v>3273</v>
      </c>
    </row>
    <row r="40" spans="1:2">
      <c r="A40" s="7" t="s">
        <v>3274</v>
      </c>
      <c r="B40" s="7" t="s">
        <v>3275</v>
      </c>
    </row>
    <row r="41" spans="1:2">
      <c r="A41" s="7" t="s">
        <v>3276</v>
      </c>
      <c r="B41" s="7" t="s">
        <v>3277</v>
      </c>
    </row>
    <row r="42" spans="1:2">
      <c r="A42" s="7" t="s">
        <v>3278</v>
      </c>
      <c r="B42" s="7" t="s">
        <v>3279</v>
      </c>
    </row>
    <row r="43" spans="1:2">
      <c r="A43" s="7" t="s">
        <v>3280</v>
      </c>
      <c r="B43" s="7" t="s">
        <v>3281</v>
      </c>
    </row>
    <row r="44" spans="1:2">
      <c r="A44" s="7" t="s">
        <v>3282</v>
      </c>
      <c r="B44" s="7" t="s">
        <v>3283</v>
      </c>
    </row>
    <row r="45" spans="1:2">
      <c r="A45" s="7" t="s">
        <v>3284</v>
      </c>
      <c r="B45" s="7" t="s">
        <v>3285</v>
      </c>
    </row>
    <row r="46" spans="1:2">
      <c r="A46" s="7" t="s">
        <v>3286</v>
      </c>
      <c r="B46" s="7" t="s">
        <v>3287</v>
      </c>
    </row>
    <row r="47" spans="1:2">
      <c r="A47" s="7" t="s">
        <v>3288</v>
      </c>
      <c r="B47" s="7" t="s">
        <v>3289</v>
      </c>
    </row>
    <row r="48" spans="1:2">
      <c r="A48" s="7" t="s">
        <v>3290</v>
      </c>
      <c r="B48" s="7" t="s">
        <v>3291</v>
      </c>
    </row>
    <row r="49" spans="1:2">
      <c r="A49" s="7" t="s">
        <v>3292</v>
      </c>
      <c r="B49" s="7" t="s">
        <v>3293</v>
      </c>
    </row>
    <row r="50" spans="1:2">
      <c r="A50" s="7" t="s">
        <v>3294</v>
      </c>
      <c r="B50" s="7" t="s">
        <v>3295</v>
      </c>
    </row>
    <row r="51" spans="1:2">
      <c r="A51" s="7" t="s">
        <v>3296</v>
      </c>
      <c r="B51" s="7" t="s">
        <v>3297</v>
      </c>
    </row>
    <row r="52" spans="1:2">
      <c r="A52" s="7" t="s">
        <v>3298</v>
      </c>
      <c r="B52" s="7" t="s">
        <v>3299</v>
      </c>
    </row>
    <row r="53" spans="1:2">
      <c r="A53" s="7" t="s">
        <v>3300</v>
      </c>
      <c r="B53" s="7" t="s">
        <v>3301</v>
      </c>
    </row>
    <row r="54" spans="1:2">
      <c r="A54" s="7" t="s">
        <v>3302</v>
      </c>
      <c r="B54" s="7" t="s">
        <v>3303</v>
      </c>
    </row>
    <row r="55" spans="1:2">
      <c r="A55" s="7" t="s">
        <v>3304</v>
      </c>
      <c r="B55" s="7" t="s">
        <v>3305</v>
      </c>
    </row>
    <row r="56" spans="1:2">
      <c r="A56" s="7" t="s">
        <v>3306</v>
      </c>
      <c r="B56" s="7" t="s">
        <v>3307</v>
      </c>
    </row>
    <row r="57" spans="1:2">
      <c r="A57" s="7" t="s">
        <v>3308</v>
      </c>
      <c r="B57" s="7" t="s">
        <v>3309</v>
      </c>
    </row>
    <row r="58" spans="1:2">
      <c r="A58" s="7" t="s">
        <v>3310</v>
      </c>
      <c r="B58" s="7" t="s">
        <v>3311</v>
      </c>
    </row>
    <row r="59" spans="1:2">
      <c r="A59" s="7" t="s">
        <v>3312</v>
      </c>
      <c r="B59" s="7" t="s">
        <v>3313</v>
      </c>
    </row>
    <row r="60" spans="1:2">
      <c r="A60" s="7" t="s">
        <v>3314</v>
      </c>
      <c r="B60" s="7" t="s">
        <v>3315</v>
      </c>
    </row>
    <row r="61" spans="1:2">
      <c r="A61" s="7" t="s">
        <v>3316</v>
      </c>
      <c r="B61" s="7" t="s">
        <v>3317</v>
      </c>
    </row>
    <row r="62" spans="1:2">
      <c r="A62" s="7" t="s">
        <v>3318</v>
      </c>
      <c r="B62" s="7" t="s">
        <v>3319</v>
      </c>
    </row>
    <row r="63" spans="1:2">
      <c r="A63" s="7" t="s">
        <v>3320</v>
      </c>
      <c r="B63" s="7" t="s">
        <v>3321</v>
      </c>
    </row>
    <row r="64" spans="1:2">
      <c r="A64" s="7" t="s">
        <v>3322</v>
      </c>
      <c r="B64" s="7" t="s">
        <v>3323</v>
      </c>
    </row>
    <row r="65" spans="1:2">
      <c r="A65" s="7" t="s">
        <v>3324</v>
      </c>
      <c r="B65" s="7" t="s">
        <v>3325</v>
      </c>
    </row>
    <row r="66" spans="1:2">
      <c r="A66" s="7" t="s">
        <v>3326</v>
      </c>
      <c r="B66" s="7" t="s">
        <v>3327</v>
      </c>
    </row>
    <row r="67" spans="1:2">
      <c r="A67" s="7" t="s">
        <v>3328</v>
      </c>
      <c r="B67" s="7" t="s">
        <v>3329</v>
      </c>
    </row>
    <row r="68" spans="1:2">
      <c r="A68" s="7" t="s">
        <v>3330</v>
      </c>
      <c r="B68" s="7" t="s">
        <v>3331</v>
      </c>
    </row>
    <row r="69" spans="1:2">
      <c r="A69" s="7" t="s">
        <v>3332</v>
      </c>
      <c r="B69" s="7" t="s">
        <v>3333</v>
      </c>
    </row>
    <row r="70" spans="1:2">
      <c r="A70" s="7" t="s">
        <v>3334</v>
      </c>
      <c r="B70" s="7" t="s">
        <v>3335</v>
      </c>
    </row>
    <row r="71" spans="1:2">
      <c r="A71" s="7" t="s">
        <v>3336</v>
      </c>
      <c r="B71" s="7" t="s">
        <v>3337</v>
      </c>
    </row>
    <row r="72" spans="1:2">
      <c r="A72" s="7" t="s">
        <v>3338</v>
      </c>
      <c r="B72" s="7" t="s">
        <v>3339</v>
      </c>
    </row>
    <row r="73" spans="1:2">
      <c r="A73" s="7" t="s">
        <v>3340</v>
      </c>
      <c r="B73" s="7" t="s">
        <v>3341</v>
      </c>
    </row>
    <row r="74" spans="1:2">
      <c r="A74" s="7" t="s">
        <v>3342</v>
      </c>
      <c r="B74" s="7" t="s">
        <v>3343</v>
      </c>
    </row>
    <row r="75" spans="1:2">
      <c r="A75" s="7" t="s">
        <v>3344</v>
      </c>
      <c r="B75" s="7" t="s">
        <v>3345</v>
      </c>
    </row>
    <row r="76" spans="1:2">
      <c r="A76" s="7" t="s">
        <v>3346</v>
      </c>
      <c r="B76" s="7" t="s">
        <v>3347</v>
      </c>
    </row>
    <row r="77" spans="1:2">
      <c r="A77" s="7" t="s">
        <v>3348</v>
      </c>
      <c r="B77" s="7" t="s">
        <v>3349</v>
      </c>
    </row>
    <row r="78" spans="1:2">
      <c r="A78" s="7" t="s">
        <v>3350</v>
      </c>
      <c r="B78" s="7" t="s">
        <v>3351</v>
      </c>
    </row>
    <row r="79" spans="1:2">
      <c r="A79" s="7" t="s">
        <v>3352</v>
      </c>
      <c r="B79" s="7" t="s">
        <v>3353</v>
      </c>
    </row>
    <row r="80" spans="1:2">
      <c r="A80" s="7" t="s">
        <v>3354</v>
      </c>
      <c r="B80" s="7" t="s">
        <v>3355</v>
      </c>
    </row>
    <row r="81" spans="1:2">
      <c r="A81" s="7" t="s">
        <v>3356</v>
      </c>
      <c r="B81" s="7" t="s">
        <v>3357</v>
      </c>
    </row>
    <row r="82" spans="1:2">
      <c r="A82" s="7" t="s">
        <v>3358</v>
      </c>
      <c r="B82" s="7" t="s">
        <v>3359</v>
      </c>
    </row>
    <row r="83" spans="1:2">
      <c r="A83" s="7" t="s">
        <v>3360</v>
      </c>
      <c r="B83" s="7" t="s">
        <v>3361</v>
      </c>
    </row>
    <row r="84" spans="1:2">
      <c r="A84" s="7" t="s">
        <v>3362</v>
      </c>
      <c r="B84" s="7" t="s">
        <v>3363</v>
      </c>
    </row>
    <row r="85" spans="1:2">
      <c r="A85" s="7" t="s">
        <v>3364</v>
      </c>
      <c r="B85" s="7" t="s">
        <v>3365</v>
      </c>
    </row>
    <row r="86" spans="1:2">
      <c r="A86" s="7" t="s">
        <v>3366</v>
      </c>
      <c r="B86" s="7" t="s">
        <v>3367</v>
      </c>
    </row>
    <row r="87" spans="1:2">
      <c r="A87" s="7" t="s">
        <v>3368</v>
      </c>
      <c r="B87" s="7" t="s">
        <v>3369</v>
      </c>
    </row>
    <row r="88" spans="1:2">
      <c r="A88" s="7" t="s">
        <v>3370</v>
      </c>
      <c r="B88" s="7" t="s">
        <v>3371</v>
      </c>
    </row>
    <row r="89" spans="1:2">
      <c r="A89" s="7" t="s">
        <v>3372</v>
      </c>
      <c r="B89" s="7" t="s">
        <v>3373</v>
      </c>
    </row>
    <row r="90" spans="1:2">
      <c r="A90" s="7" t="s">
        <v>3374</v>
      </c>
      <c r="B90" s="7" t="s">
        <v>3375</v>
      </c>
    </row>
    <row r="91" spans="1:2">
      <c r="A91" s="7" t="s">
        <v>3376</v>
      </c>
      <c r="B91" s="7" t="s">
        <v>3377</v>
      </c>
    </row>
    <row r="92" spans="1:2">
      <c r="A92" s="7" t="s">
        <v>3378</v>
      </c>
      <c r="B92" s="7" t="s">
        <v>3379</v>
      </c>
    </row>
    <row r="93" spans="1:2">
      <c r="A93" s="7" t="s">
        <v>3380</v>
      </c>
      <c r="B93" s="7" t="s">
        <v>3381</v>
      </c>
    </row>
    <row r="94" spans="1:2">
      <c r="A94" s="7" t="s">
        <v>3382</v>
      </c>
      <c r="B94" s="7" t="s">
        <v>3383</v>
      </c>
    </row>
    <row r="95" spans="1:2">
      <c r="A95" s="7" t="s">
        <v>3384</v>
      </c>
      <c r="B95" s="7" t="s">
        <v>3385</v>
      </c>
    </row>
    <row r="96" spans="1:2">
      <c r="A96" s="7" t="s">
        <v>3386</v>
      </c>
      <c r="B96" s="7" t="s">
        <v>3387</v>
      </c>
    </row>
    <row r="97" spans="1:2">
      <c r="A97" s="7" t="s">
        <v>3388</v>
      </c>
      <c r="B97" s="7" t="s">
        <v>3389</v>
      </c>
    </row>
    <row r="98" spans="1:2">
      <c r="A98" s="7" t="s">
        <v>3390</v>
      </c>
      <c r="B98" s="7" t="s">
        <v>3391</v>
      </c>
    </row>
    <row r="99" spans="1:2">
      <c r="A99" s="7" t="s">
        <v>3392</v>
      </c>
      <c r="B99" s="7" t="s">
        <v>3393</v>
      </c>
    </row>
    <row r="100" spans="1:2">
      <c r="A100" s="7" t="s">
        <v>3394</v>
      </c>
      <c r="B100" s="7" t="s">
        <v>3395</v>
      </c>
    </row>
    <row r="101" spans="1:2">
      <c r="A101" s="7" t="s">
        <v>3396</v>
      </c>
      <c r="B101" s="7" t="s">
        <v>3397</v>
      </c>
    </row>
    <row r="102" spans="1:2">
      <c r="A102" s="7" t="s">
        <v>3398</v>
      </c>
      <c r="B102" s="7" t="s">
        <v>3399</v>
      </c>
    </row>
    <row r="103" spans="1:2">
      <c r="A103" s="7" t="s">
        <v>3400</v>
      </c>
      <c r="B103" s="7" t="s">
        <v>3401</v>
      </c>
    </row>
    <row r="104" spans="1:2">
      <c r="A104" s="7" t="s">
        <v>3402</v>
      </c>
      <c r="B104" s="7" t="s">
        <v>3403</v>
      </c>
    </row>
    <row r="105" spans="1:2">
      <c r="A105" s="7" t="s">
        <v>3404</v>
      </c>
      <c r="B105" s="7" t="s">
        <v>3405</v>
      </c>
    </row>
    <row r="106" spans="1:2">
      <c r="A106" s="7" t="s">
        <v>3406</v>
      </c>
      <c r="B106" s="7" t="s">
        <v>3407</v>
      </c>
    </row>
    <row r="107" spans="1:2">
      <c r="A107" s="7" t="s">
        <v>3408</v>
      </c>
      <c r="B107" s="7" t="s">
        <v>3409</v>
      </c>
    </row>
    <row r="108" spans="1:2">
      <c r="A108" s="7" t="s">
        <v>3410</v>
      </c>
      <c r="B108" s="7" t="s">
        <v>3411</v>
      </c>
    </row>
    <row r="109" spans="1:2">
      <c r="A109" s="7" t="s">
        <v>3412</v>
      </c>
      <c r="B109" s="7" t="s">
        <v>3413</v>
      </c>
    </row>
    <row r="110" spans="1:2">
      <c r="A110" s="7" t="s">
        <v>3414</v>
      </c>
      <c r="B110" s="7" t="s">
        <v>3415</v>
      </c>
    </row>
    <row r="111" spans="1:2">
      <c r="A111" s="7" t="s">
        <v>3416</v>
      </c>
      <c r="B111" s="7" t="s">
        <v>3417</v>
      </c>
    </row>
    <row r="112" spans="1:2">
      <c r="A112" s="7" t="s">
        <v>3418</v>
      </c>
      <c r="B112" s="7" t="s">
        <v>3419</v>
      </c>
    </row>
    <row r="113" spans="1:2">
      <c r="A113" s="7" t="s">
        <v>3420</v>
      </c>
      <c r="B113" s="7" t="s">
        <v>3421</v>
      </c>
    </row>
    <row r="114" spans="1:2">
      <c r="A114" s="7" t="s">
        <v>3422</v>
      </c>
      <c r="B114" s="7" t="s">
        <v>3423</v>
      </c>
    </row>
    <row r="115" spans="1:2">
      <c r="A115" s="7" t="s">
        <v>3424</v>
      </c>
      <c r="B115" s="7" t="s">
        <v>3425</v>
      </c>
    </row>
    <row r="116" spans="1:2">
      <c r="A116" s="7" t="s">
        <v>3426</v>
      </c>
      <c r="B116" s="7" t="s">
        <v>3427</v>
      </c>
    </row>
    <row r="117" spans="1:2">
      <c r="A117" s="7" t="s">
        <v>3428</v>
      </c>
      <c r="B117" s="7" t="s">
        <v>3429</v>
      </c>
    </row>
    <row r="118" spans="1:2">
      <c r="A118" s="7" t="s">
        <v>3430</v>
      </c>
      <c r="B118" s="7" t="s">
        <v>3431</v>
      </c>
    </row>
    <row r="119" spans="1:2">
      <c r="A119" s="7" t="s">
        <v>3432</v>
      </c>
      <c r="B119" s="7" t="s">
        <v>3433</v>
      </c>
    </row>
    <row r="120" spans="1:2">
      <c r="A120" s="7" t="s">
        <v>3434</v>
      </c>
      <c r="B120" s="7" t="s">
        <v>3435</v>
      </c>
    </row>
    <row r="121" spans="1:2">
      <c r="A121" s="7" t="s">
        <v>3436</v>
      </c>
      <c r="B121" s="7" t="s">
        <v>3437</v>
      </c>
    </row>
    <row r="122" spans="1:2">
      <c r="A122" s="7" t="s">
        <v>3438</v>
      </c>
      <c r="B122" s="7" t="s">
        <v>3439</v>
      </c>
    </row>
    <row r="123" spans="1:2">
      <c r="A123" s="7" t="s">
        <v>3440</v>
      </c>
      <c r="B123" s="7" t="s">
        <v>3441</v>
      </c>
    </row>
    <row r="124" spans="1:2">
      <c r="A124" s="7" t="s">
        <v>3442</v>
      </c>
      <c r="B124" s="7" t="s">
        <v>3443</v>
      </c>
    </row>
    <row r="125" spans="1:2">
      <c r="A125" s="7" t="s">
        <v>3444</v>
      </c>
      <c r="B125" s="7" t="s">
        <v>3445</v>
      </c>
    </row>
    <row r="126" spans="1:2">
      <c r="A126" s="7" t="s">
        <v>3446</v>
      </c>
      <c r="B126" s="7" t="s">
        <v>3447</v>
      </c>
    </row>
    <row r="127" spans="1:2">
      <c r="A127" s="7" t="s">
        <v>3448</v>
      </c>
      <c r="B127" s="7" t="s">
        <v>3449</v>
      </c>
    </row>
    <row r="128" spans="1:2">
      <c r="A128" s="7" t="s">
        <v>3450</v>
      </c>
      <c r="B128" s="7" t="s">
        <v>3451</v>
      </c>
    </row>
    <row r="129" spans="1:2">
      <c r="A129" s="7" t="s">
        <v>3452</v>
      </c>
      <c r="B129" s="7" t="s">
        <v>3453</v>
      </c>
    </row>
    <row r="130" spans="1:2">
      <c r="A130" s="7" t="s">
        <v>3454</v>
      </c>
      <c r="B130" s="7" t="s">
        <v>3455</v>
      </c>
    </row>
    <row r="131" spans="1:2">
      <c r="A131" s="7" t="s">
        <v>3456</v>
      </c>
      <c r="B131" s="7" t="s">
        <v>3457</v>
      </c>
    </row>
    <row r="132" spans="1:2">
      <c r="A132" s="7" t="s">
        <v>3458</v>
      </c>
      <c r="B132" s="7" t="s">
        <v>3459</v>
      </c>
    </row>
    <row r="133" spans="1:2">
      <c r="A133" s="7" t="s">
        <v>3460</v>
      </c>
      <c r="B133" s="7" t="s">
        <v>3461</v>
      </c>
    </row>
    <row r="134" spans="1:2">
      <c r="A134" s="7" t="s">
        <v>3462</v>
      </c>
      <c r="B134" s="7" t="s">
        <v>3463</v>
      </c>
    </row>
    <row r="135" spans="1:2">
      <c r="A135" s="7" t="s">
        <v>3464</v>
      </c>
      <c r="B135" s="7" t="s">
        <v>3465</v>
      </c>
    </row>
    <row r="136" spans="1:2">
      <c r="A136" s="7" t="s">
        <v>3466</v>
      </c>
      <c r="B136" s="7" t="s">
        <v>3467</v>
      </c>
    </row>
    <row r="137" spans="1:2">
      <c r="A137" s="7" t="s">
        <v>3468</v>
      </c>
      <c r="B137" s="7" t="s">
        <v>3469</v>
      </c>
    </row>
    <row r="138" spans="1:2">
      <c r="A138" s="7" t="s">
        <v>3470</v>
      </c>
      <c r="B138" s="7" t="s">
        <v>3471</v>
      </c>
    </row>
    <row r="139" spans="1:2">
      <c r="A139" s="7" t="s">
        <v>3472</v>
      </c>
      <c r="B139" s="7" t="s">
        <v>3473</v>
      </c>
    </row>
    <row r="140" spans="1:2">
      <c r="A140" s="7" t="s">
        <v>3474</v>
      </c>
      <c r="B140" s="7" t="s">
        <v>3475</v>
      </c>
    </row>
    <row r="141" spans="1:2">
      <c r="A141" s="7" t="s">
        <v>3476</v>
      </c>
      <c r="B141" s="7" t="s">
        <v>3477</v>
      </c>
    </row>
    <row r="142" spans="1:2">
      <c r="A142" s="7" t="s">
        <v>3478</v>
      </c>
      <c r="B142" s="7" t="s">
        <v>3479</v>
      </c>
    </row>
    <row r="143" spans="1:2">
      <c r="A143" s="7" t="s">
        <v>3480</v>
      </c>
      <c r="B143" s="7" t="s">
        <v>3481</v>
      </c>
    </row>
    <row r="144" spans="1:2">
      <c r="A144" s="7" t="s">
        <v>3482</v>
      </c>
      <c r="B144" s="7" t="s">
        <v>3483</v>
      </c>
    </row>
    <row r="145" spans="1:2">
      <c r="A145" s="7" t="s">
        <v>3484</v>
      </c>
      <c r="B145" s="7" t="s">
        <v>3485</v>
      </c>
    </row>
    <row r="146" spans="1:2">
      <c r="A146" s="7" t="s">
        <v>3486</v>
      </c>
      <c r="B146" s="7" t="s">
        <v>3487</v>
      </c>
    </row>
    <row r="147" spans="1:2">
      <c r="A147" s="7" t="s">
        <v>3488</v>
      </c>
      <c r="B147" s="7" t="s">
        <v>3489</v>
      </c>
    </row>
    <row r="148" spans="1:2">
      <c r="A148" s="7" t="s">
        <v>3490</v>
      </c>
      <c r="B148" s="7" t="s">
        <v>3491</v>
      </c>
    </row>
    <row r="149" spans="1:2">
      <c r="A149" s="7" t="s">
        <v>3492</v>
      </c>
      <c r="B149" s="7" t="s">
        <v>3493</v>
      </c>
    </row>
    <row r="150" spans="1:2">
      <c r="A150" s="7" t="s">
        <v>3494</v>
      </c>
      <c r="B150" s="7" t="s">
        <v>3427</v>
      </c>
    </row>
    <row r="151" spans="1:2">
      <c r="A151" s="7" t="s">
        <v>3495</v>
      </c>
      <c r="B151" s="7" t="s">
        <v>3496</v>
      </c>
    </row>
    <row r="152" spans="1:2">
      <c r="A152" s="7" t="s">
        <v>3497</v>
      </c>
      <c r="B152" s="7" t="s">
        <v>3498</v>
      </c>
    </row>
    <row r="153" spans="1:2">
      <c r="A153" s="7" t="s">
        <v>3499</v>
      </c>
      <c r="B153" s="7" t="s">
        <v>3500</v>
      </c>
    </row>
    <row r="154" spans="1:2">
      <c r="A154" s="7" t="s">
        <v>3501</v>
      </c>
      <c r="B154" s="7" t="s">
        <v>3502</v>
      </c>
    </row>
    <row r="155" spans="1:2">
      <c r="A155" s="7" t="s">
        <v>3503</v>
      </c>
      <c r="B155" s="7" t="s">
        <v>3504</v>
      </c>
    </row>
    <row r="156" spans="1:2">
      <c r="A156" s="7" t="s">
        <v>3505</v>
      </c>
      <c r="B156" s="7" t="s">
        <v>3506</v>
      </c>
    </row>
    <row r="157" spans="1:2">
      <c r="A157" s="7" t="s">
        <v>3507</v>
      </c>
      <c r="B157" s="7" t="s">
        <v>3508</v>
      </c>
    </row>
    <row r="158" spans="1:2">
      <c r="A158" s="7" t="s">
        <v>3509</v>
      </c>
      <c r="B158" s="7" t="s">
        <v>3510</v>
      </c>
    </row>
    <row r="159" spans="1:2">
      <c r="A159" s="7" t="s">
        <v>3511</v>
      </c>
      <c r="B159" s="7" t="s">
        <v>3393</v>
      </c>
    </row>
    <row r="160" spans="1:2">
      <c r="A160" s="7" t="s">
        <v>3512</v>
      </c>
      <c r="B160" s="7" t="s">
        <v>3513</v>
      </c>
    </row>
    <row r="161" spans="1:2">
      <c r="A161" s="7" t="s">
        <v>3514</v>
      </c>
      <c r="B161" s="7" t="s">
        <v>3515</v>
      </c>
    </row>
    <row r="162" spans="1:2">
      <c r="A162" s="7" t="s">
        <v>3516</v>
      </c>
      <c r="B162" s="7" t="s">
        <v>3517</v>
      </c>
    </row>
    <row r="163" spans="1:2">
      <c r="A163" s="7" t="s">
        <v>3518</v>
      </c>
      <c r="B163" s="7" t="s">
        <v>3519</v>
      </c>
    </row>
    <row r="164" spans="1:2">
      <c r="A164" s="7" t="s">
        <v>3520</v>
      </c>
      <c r="B164" s="7" t="s">
        <v>3521</v>
      </c>
    </row>
    <row r="165" spans="1:2">
      <c r="A165" s="7" t="s">
        <v>3522</v>
      </c>
      <c r="B165" s="7" t="s">
        <v>3523</v>
      </c>
    </row>
    <row r="166" spans="1:2">
      <c r="A166" s="7" t="s">
        <v>3524</v>
      </c>
      <c r="B166" s="7" t="s">
        <v>3525</v>
      </c>
    </row>
    <row r="167" spans="1:2">
      <c r="A167" s="7" t="s">
        <v>3526</v>
      </c>
      <c r="B167" s="7" t="s">
        <v>3527</v>
      </c>
    </row>
    <row r="168" spans="1:2">
      <c r="A168" s="7" t="s">
        <v>3528</v>
      </c>
      <c r="B168" s="7" t="s">
        <v>3529</v>
      </c>
    </row>
    <row r="169" spans="1:2">
      <c r="A169" s="7" t="s">
        <v>3530</v>
      </c>
      <c r="B169" s="7" t="s">
        <v>3531</v>
      </c>
    </row>
    <row r="170" spans="1:2">
      <c r="A170" s="7" t="s">
        <v>3532</v>
      </c>
      <c r="B170" s="7" t="s">
        <v>3533</v>
      </c>
    </row>
    <row r="171" spans="1:2">
      <c r="A171" s="7" t="s">
        <v>3534</v>
      </c>
      <c r="B171" s="7" t="s">
        <v>3535</v>
      </c>
    </row>
    <row r="172" spans="1:2">
      <c r="A172" s="7" t="s">
        <v>3536</v>
      </c>
      <c r="B172" s="7" t="s">
        <v>3537</v>
      </c>
    </row>
    <row r="173" spans="1:2">
      <c r="A173" s="7" t="s">
        <v>3538</v>
      </c>
      <c r="B173" s="7" t="s">
        <v>3539</v>
      </c>
    </row>
    <row r="174" spans="1:2">
      <c r="A174" s="7" t="s">
        <v>3540</v>
      </c>
      <c r="B174" s="7" t="s">
        <v>3541</v>
      </c>
    </row>
    <row r="175" spans="1:2">
      <c r="A175" s="7" t="s">
        <v>3542</v>
      </c>
      <c r="B175" s="7" t="s">
        <v>3543</v>
      </c>
    </row>
    <row r="176" spans="1:2">
      <c r="A176" s="7" t="s">
        <v>3544</v>
      </c>
      <c r="B176" s="7" t="s">
        <v>3545</v>
      </c>
    </row>
    <row r="177" spans="1:2">
      <c r="A177" s="7" t="s">
        <v>3546</v>
      </c>
      <c r="B177" s="7" t="s">
        <v>3547</v>
      </c>
    </row>
    <row r="178" spans="1:2">
      <c r="A178" s="7" t="s">
        <v>3548</v>
      </c>
      <c r="B178" s="7" t="s">
        <v>3549</v>
      </c>
    </row>
    <row r="179" spans="1:2">
      <c r="A179" s="7" t="s">
        <v>3550</v>
      </c>
      <c r="B179" s="7" t="s">
        <v>3551</v>
      </c>
    </row>
    <row r="180" spans="1:2">
      <c r="A180" s="7" t="s">
        <v>3552</v>
      </c>
      <c r="B180" s="7" t="s">
        <v>3553</v>
      </c>
    </row>
    <row r="181" spans="1:2">
      <c r="A181" s="7" t="s">
        <v>3554</v>
      </c>
      <c r="B181" s="7" t="s">
        <v>3555</v>
      </c>
    </row>
    <row r="182" spans="1:2">
      <c r="A182" s="7" t="s">
        <v>3556</v>
      </c>
      <c r="B182" s="7" t="s">
        <v>3557</v>
      </c>
    </row>
    <row r="183" spans="1:2">
      <c r="A183" s="7" t="s">
        <v>3558</v>
      </c>
      <c r="B183" s="7" t="s">
        <v>3559</v>
      </c>
    </row>
    <row r="184" spans="1:2">
      <c r="A184" s="7" t="s">
        <v>3560</v>
      </c>
      <c r="B184" s="7" t="s">
        <v>3561</v>
      </c>
    </row>
    <row r="185" spans="1:2">
      <c r="A185" s="7" t="s">
        <v>3562</v>
      </c>
      <c r="B185" s="7" t="s">
        <v>3563</v>
      </c>
    </row>
    <row r="186" spans="1:2">
      <c r="A186" s="7" t="s">
        <v>3564</v>
      </c>
      <c r="B186" s="7" t="s">
        <v>3565</v>
      </c>
    </row>
    <row r="187" spans="1:2">
      <c r="A187" s="7" t="s">
        <v>3566</v>
      </c>
      <c r="B187" s="7" t="s">
        <v>3567</v>
      </c>
    </row>
    <row r="188" spans="1:2">
      <c r="A188" s="7" t="s">
        <v>3568</v>
      </c>
      <c r="B188" s="7" t="s">
        <v>3569</v>
      </c>
    </row>
    <row r="189" spans="1:2">
      <c r="A189" s="7" t="s">
        <v>3570</v>
      </c>
      <c r="B189" s="7" t="s">
        <v>3571</v>
      </c>
    </row>
    <row r="190" spans="1:2">
      <c r="A190" s="7" t="s">
        <v>3572</v>
      </c>
      <c r="B190" s="7" t="s">
        <v>3573</v>
      </c>
    </row>
    <row r="191" spans="1:2">
      <c r="A191" s="7" t="s">
        <v>3574</v>
      </c>
      <c r="B191" s="7" t="s">
        <v>3575</v>
      </c>
    </row>
    <row r="192" spans="1:2">
      <c r="A192" s="7" t="s">
        <v>3576</v>
      </c>
      <c r="B192" s="7" t="s">
        <v>3577</v>
      </c>
    </row>
    <row r="193" spans="1:2">
      <c r="A193" s="7" t="s">
        <v>3578</v>
      </c>
      <c r="B193" s="7" t="s">
        <v>3579</v>
      </c>
    </row>
    <row r="194" spans="1:2">
      <c r="A194" s="7" t="s">
        <v>3580</v>
      </c>
      <c r="B194" s="7" t="s">
        <v>3581</v>
      </c>
    </row>
    <row r="195" spans="1:2">
      <c r="A195" s="7" t="s">
        <v>3582</v>
      </c>
      <c r="B195" s="7" t="s">
        <v>3583</v>
      </c>
    </row>
    <row r="196" spans="1:2">
      <c r="A196" s="7" t="s">
        <v>3584</v>
      </c>
      <c r="B196" s="7" t="s">
        <v>3585</v>
      </c>
    </row>
    <row r="197" spans="1:2">
      <c r="A197" s="7" t="s">
        <v>3586</v>
      </c>
      <c r="B197" s="7" t="s">
        <v>3587</v>
      </c>
    </row>
    <row r="198" spans="1:2">
      <c r="A198" s="7" t="s">
        <v>3588</v>
      </c>
      <c r="B198" s="7" t="s">
        <v>3589</v>
      </c>
    </row>
    <row r="199" spans="1:2">
      <c r="A199" s="7" t="s">
        <v>3590</v>
      </c>
      <c r="B199" s="7" t="s">
        <v>3591</v>
      </c>
    </row>
    <row r="200" spans="1:2">
      <c r="A200" s="7" t="s">
        <v>3592</v>
      </c>
      <c r="B200" s="7" t="s">
        <v>3593</v>
      </c>
    </row>
    <row r="201" spans="1:2">
      <c r="A201" s="7" t="s">
        <v>3594</v>
      </c>
      <c r="B201" s="7" t="s">
        <v>3595</v>
      </c>
    </row>
    <row r="202" spans="1:2">
      <c r="A202" s="7" t="s">
        <v>3596</v>
      </c>
      <c r="B202" s="7" t="s">
        <v>3597</v>
      </c>
    </row>
    <row r="203" spans="1:2">
      <c r="A203" s="7" t="s">
        <v>3598</v>
      </c>
      <c r="B203" s="7" t="s">
        <v>3599</v>
      </c>
    </row>
    <row r="204" spans="1:2">
      <c r="A204" s="7" t="s">
        <v>3600</v>
      </c>
      <c r="B204" s="7" t="s">
        <v>3601</v>
      </c>
    </row>
    <row r="205" spans="1:2">
      <c r="A205" s="7" t="s">
        <v>3602</v>
      </c>
      <c r="B205" s="7" t="s">
        <v>3603</v>
      </c>
    </row>
    <row r="206" spans="1:2">
      <c r="A206" s="7" t="s">
        <v>3604</v>
      </c>
      <c r="B206" s="7" t="s">
        <v>3605</v>
      </c>
    </row>
    <row r="207" spans="1:2">
      <c r="A207" s="7" t="s">
        <v>3606</v>
      </c>
      <c r="B207" s="7" t="s">
        <v>3607</v>
      </c>
    </row>
    <row r="208" spans="1:2">
      <c r="A208" s="7" t="s">
        <v>3608</v>
      </c>
      <c r="B208" s="7" t="s">
        <v>3609</v>
      </c>
    </row>
    <row r="209" spans="1:2">
      <c r="A209" s="7" t="s">
        <v>3610</v>
      </c>
      <c r="B209" s="7" t="s">
        <v>3611</v>
      </c>
    </row>
    <row r="210" spans="1:2">
      <c r="A210" s="7" t="s">
        <v>3612</v>
      </c>
      <c r="B210" s="7" t="s">
        <v>3613</v>
      </c>
    </row>
    <row r="211" spans="1:2">
      <c r="A211" s="7" t="s">
        <v>3614</v>
      </c>
      <c r="B211" s="7" t="s">
        <v>3615</v>
      </c>
    </row>
    <row r="212" spans="1:2">
      <c r="A212" s="7" t="s">
        <v>3616</v>
      </c>
      <c r="B212" s="7" t="s">
        <v>3617</v>
      </c>
    </row>
    <row r="213" spans="1:2">
      <c r="A213" s="7" t="s">
        <v>3618</v>
      </c>
      <c r="B213" s="7" t="s">
        <v>3619</v>
      </c>
    </row>
    <row r="214" spans="1:2">
      <c r="A214" s="7" t="s">
        <v>3620</v>
      </c>
      <c r="B214" s="7" t="s">
        <v>3621</v>
      </c>
    </row>
    <row r="215" spans="1:2">
      <c r="A215" s="7" t="s">
        <v>3622</v>
      </c>
      <c r="B215" s="7" t="s">
        <v>3623</v>
      </c>
    </row>
    <row r="216" spans="1:2">
      <c r="A216" s="7" t="s">
        <v>3624</v>
      </c>
      <c r="B216" s="7" t="s">
        <v>3625</v>
      </c>
    </row>
    <row r="217" spans="1:2">
      <c r="A217" s="7" t="s">
        <v>3626</v>
      </c>
      <c r="B217" s="7" t="s">
        <v>3627</v>
      </c>
    </row>
    <row r="218" spans="1:2">
      <c r="A218" s="7" t="s">
        <v>3628</v>
      </c>
      <c r="B218" s="7" t="s">
        <v>3629</v>
      </c>
    </row>
    <row r="219" spans="1:2">
      <c r="A219" s="7" t="s">
        <v>3630</v>
      </c>
      <c r="B219" s="7" t="s">
        <v>3331</v>
      </c>
    </row>
    <row r="220" spans="1:2">
      <c r="A220" s="7" t="s">
        <v>3631</v>
      </c>
      <c r="B220" s="7" t="s">
        <v>3632</v>
      </c>
    </row>
    <row r="221" spans="1:2">
      <c r="A221" s="7" t="s">
        <v>3633</v>
      </c>
      <c r="B221" s="7" t="s">
        <v>3634</v>
      </c>
    </row>
    <row r="222" spans="1:2">
      <c r="A222" s="7" t="s">
        <v>3635</v>
      </c>
      <c r="B222" s="7" t="s">
        <v>3636</v>
      </c>
    </row>
    <row r="223" spans="1:2">
      <c r="A223" s="7" t="s">
        <v>3637</v>
      </c>
      <c r="B223" s="7" t="s">
        <v>3638</v>
      </c>
    </row>
    <row r="224" spans="1:2">
      <c r="A224" s="7" t="s">
        <v>3639</v>
      </c>
      <c r="B224" s="7" t="s">
        <v>3640</v>
      </c>
    </row>
    <row r="225" spans="1:2">
      <c r="A225" s="7" t="s">
        <v>3641</v>
      </c>
      <c r="B225" s="7" t="s">
        <v>3642</v>
      </c>
    </row>
    <row r="226" spans="1:2">
      <c r="A226" s="7" t="s">
        <v>3643</v>
      </c>
      <c r="B226" s="7" t="s">
        <v>3644</v>
      </c>
    </row>
    <row r="227" spans="1:2">
      <c r="A227" s="7" t="s">
        <v>3645</v>
      </c>
      <c r="B227" s="7" t="s">
        <v>3646</v>
      </c>
    </row>
    <row r="228" spans="1:2">
      <c r="A228" s="7" t="s">
        <v>3647</v>
      </c>
      <c r="B228" s="7" t="s">
        <v>3648</v>
      </c>
    </row>
    <row r="229" spans="1:2">
      <c r="A229" s="7" t="s">
        <v>3649</v>
      </c>
      <c r="B229" s="7" t="s">
        <v>3650</v>
      </c>
    </row>
    <row r="230" spans="1:2">
      <c r="A230" s="7" t="s">
        <v>3651</v>
      </c>
      <c r="B230" s="7" t="s">
        <v>3652</v>
      </c>
    </row>
    <row r="231" spans="1:2">
      <c r="A231" s="7" t="s">
        <v>3653</v>
      </c>
      <c r="B231" s="7" t="s">
        <v>3654</v>
      </c>
    </row>
    <row r="232" spans="1:2">
      <c r="A232" s="7" t="s">
        <v>3655</v>
      </c>
      <c r="B232" s="7" t="s">
        <v>3656</v>
      </c>
    </row>
    <row r="233" spans="1:2">
      <c r="A233" s="7" t="s">
        <v>3657</v>
      </c>
      <c r="B233" s="7" t="s">
        <v>3658</v>
      </c>
    </row>
    <row r="234" spans="1:2">
      <c r="A234" s="7" t="s">
        <v>3659</v>
      </c>
      <c r="B234" s="7" t="s">
        <v>3660</v>
      </c>
    </row>
    <row r="235" spans="1:2">
      <c r="A235" s="7" t="s">
        <v>3661</v>
      </c>
      <c r="B235" s="7" t="s">
        <v>3662</v>
      </c>
    </row>
    <row r="236" spans="1:2">
      <c r="A236" s="7" t="s">
        <v>3663</v>
      </c>
      <c r="B236" s="7" t="s">
        <v>3664</v>
      </c>
    </row>
    <row r="237" spans="1:2">
      <c r="A237" s="7" t="s">
        <v>3665</v>
      </c>
      <c r="B237" s="7" t="s">
        <v>3666</v>
      </c>
    </row>
    <row r="238" spans="1:2">
      <c r="A238" s="7" t="s">
        <v>3667</v>
      </c>
      <c r="B238" s="7" t="s">
        <v>3253</v>
      </c>
    </row>
    <row r="239" spans="1:2">
      <c r="A239" s="7" t="s">
        <v>3668</v>
      </c>
      <c r="B239" s="7" t="s">
        <v>3669</v>
      </c>
    </row>
    <row r="240" spans="1:2">
      <c r="A240" s="7" t="s">
        <v>3670</v>
      </c>
      <c r="B240" s="7" t="s">
        <v>3671</v>
      </c>
    </row>
    <row r="241" spans="1:2">
      <c r="A241" s="7" t="s">
        <v>3672</v>
      </c>
      <c r="B241" s="7" t="s">
        <v>3673</v>
      </c>
    </row>
    <row r="242" spans="1:2">
      <c r="A242" s="7" t="s">
        <v>3674</v>
      </c>
      <c r="B242" s="7" t="s">
        <v>3675</v>
      </c>
    </row>
    <row r="243" spans="1:2">
      <c r="A243" s="7" t="s">
        <v>3676</v>
      </c>
      <c r="B243" s="7" t="s">
        <v>3677</v>
      </c>
    </row>
    <row r="244" spans="1:2">
      <c r="A244" s="7" t="s">
        <v>3678</v>
      </c>
      <c r="B244" s="7" t="s">
        <v>3679</v>
      </c>
    </row>
    <row r="245" spans="1:2">
      <c r="A245" s="7" t="s">
        <v>3680</v>
      </c>
      <c r="B245" s="7" t="s">
        <v>3681</v>
      </c>
    </row>
    <row r="246" spans="1:2">
      <c r="A246" s="7" t="s">
        <v>3682</v>
      </c>
      <c r="B246" s="7" t="s">
        <v>3683</v>
      </c>
    </row>
    <row r="247" spans="1:2">
      <c r="A247" s="7" t="s">
        <v>3684</v>
      </c>
      <c r="B247" s="7" t="s">
        <v>3685</v>
      </c>
    </row>
    <row r="248" spans="1:2">
      <c r="A248" s="7" t="s">
        <v>3686</v>
      </c>
      <c r="B248" s="7" t="s">
        <v>3687</v>
      </c>
    </row>
    <row r="249" spans="1:2">
      <c r="A249" s="7" t="s">
        <v>3688</v>
      </c>
      <c r="B249" s="7" t="s">
        <v>3689</v>
      </c>
    </row>
    <row r="250" spans="1:2">
      <c r="A250" s="7" t="s">
        <v>3690</v>
      </c>
      <c r="B250" s="7" t="s">
        <v>3691</v>
      </c>
    </row>
    <row r="251" spans="1:2">
      <c r="A251" s="7" t="s">
        <v>3692</v>
      </c>
      <c r="B251" s="7" t="s">
        <v>3693</v>
      </c>
    </row>
    <row r="252" spans="1:2">
      <c r="A252" s="7" t="s">
        <v>3694</v>
      </c>
      <c r="B252" s="7" t="s">
        <v>3695</v>
      </c>
    </row>
    <row r="253" spans="1:2">
      <c r="A253" s="7" t="s">
        <v>3696</v>
      </c>
      <c r="B253" s="7" t="s">
        <v>3697</v>
      </c>
    </row>
    <row r="254" spans="1:2">
      <c r="A254" s="7" t="s">
        <v>3698</v>
      </c>
      <c r="B254" s="7" t="s">
        <v>3699</v>
      </c>
    </row>
    <row r="255" spans="1:2">
      <c r="A255" s="7" t="s">
        <v>3700</v>
      </c>
      <c r="B255" s="7" t="s">
        <v>3701</v>
      </c>
    </row>
    <row r="256" spans="1:2">
      <c r="A256" s="7" t="s">
        <v>3702</v>
      </c>
      <c r="B256" s="7" t="s">
        <v>3703</v>
      </c>
    </row>
    <row r="257" spans="1:2">
      <c r="A257" s="7" t="s">
        <v>3704</v>
      </c>
      <c r="B257" s="7" t="s">
        <v>3705</v>
      </c>
    </row>
    <row r="258" spans="1:2">
      <c r="A258" s="7" t="s">
        <v>3706</v>
      </c>
      <c r="B258" s="7" t="s">
        <v>3707</v>
      </c>
    </row>
    <row r="259" spans="1:2">
      <c r="A259" s="7" t="s">
        <v>3708</v>
      </c>
      <c r="B259" s="7" t="s">
        <v>3709</v>
      </c>
    </row>
    <row r="260" spans="1:2">
      <c r="A260" s="7" t="s">
        <v>3710</v>
      </c>
      <c r="B260" s="7" t="s">
        <v>3711</v>
      </c>
    </row>
    <row r="261" spans="1:2">
      <c r="A261" s="7" t="s">
        <v>3712</v>
      </c>
      <c r="B261" s="7" t="s">
        <v>3713</v>
      </c>
    </row>
    <row r="262" spans="1:2">
      <c r="A262" s="7" t="s">
        <v>3714</v>
      </c>
      <c r="B262" s="7" t="s">
        <v>3715</v>
      </c>
    </row>
    <row r="263" spans="1:2">
      <c r="A263" s="7" t="s">
        <v>3716</v>
      </c>
      <c r="B263" s="7" t="s">
        <v>3717</v>
      </c>
    </row>
    <row r="264" spans="1:2">
      <c r="A264" s="7" t="s">
        <v>3718</v>
      </c>
      <c r="B264" s="7" t="s">
        <v>3719</v>
      </c>
    </row>
    <row r="265" spans="1:2">
      <c r="A265" s="7" t="s">
        <v>3720</v>
      </c>
      <c r="B265" s="7" t="s">
        <v>3721</v>
      </c>
    </row>
    <row r="266" spans="1:2">
      <c r="A266" s="7" t="s">
        <v>3722</v>
      </c>
      <c r="B266" s="7" t="s">
        <v>3723</v>
      </c>
    </row>
    <row r="267" spans="1:2">
      <c r="A267" s="7" t="s">
        <v>3724</v>
      </c>
      <c r="B267" s="7" t="s">
        <v>3725</v>
      </c>
    </row>
    <row r="268" spans="1:2">
      <c r="A268" s="7" t="s">
        <v>3726</v>
      </c>
      <c r="B268" s="7" t="s">
        <v>3727</v>
      </c>
    </row>
    <row r="269" spans="1:2">
      <c r="A269" s="7" t="s">
        <v>3728</v>
      </c>
      <c r="B269" s="7" t="s">
        <v>3729</v>
      </c>
    </row>
    <row r="270" spans="1:2">
      <c r="A270" s="7" t="s">
        <v>3730</v>
      </c>
      <c r="B270" s="7" t="s">
        <v>3731</v>
      </c>
    </row>
    <row r="271" spans="1:2">
      <c r="A271" s="7" t="s">
        <v>3732</v>
      </c>
      <c r="B271" s="7" t="s">
        <v>3733</v>
      </c>
    </row>
    <row r="272" spans="1:2">
      <c r="A272" s="7" t="s">
        <v>3734</v>
      </c>
      <c r="B272" s="7" t="s">
        <v>3735</v>
      </c>
    </row>
    <row r="273" spans="1:2">
      <c r="A273" s="7" t="s">
        <v>3736</v>
      </c>
      <c r="B273" s="7" t="s">
        <v>3737</v>
      </c>
    </row>
    <row r="274" spans="1:2">
      <c r="A274" s="7" t="s">
        <v>3738</v>
      </c>
      <c r="B274" s="7" t="s">
        <v>3739</v>
      </c>
    </row>
    <row r="275" spans="1:2">
      <c r="A275" s="7" t="s">
        <v>3740</v>
      </c>
      <c r="B275" s="7" t="s">
        <v>3741</v>
      </c>
    </row>
    <row r="276" spans="1:2">
      <c r="A276" s="7" t="s">
        <v>3742</v>
      </c>
      <c r="B276" s="7" t="s">
        <v>3743</v>
      </c>
    </row>
    <row r="277" spans="1:2">
      <c r="A277" s="7" t="s">
        <v>3744</v>
      </c>
      <c r="B277" s="7" t="s">
        <v>3745</v>
      </c>
    </row>
    <row r="278" spans="1:2">
      <c r="A278" s="7" t="s">
        <v>3746</v>
      </c>
      <c r="B278" s="7" t="s">
        <v>3747</v>
      </c>
    </row>
    <row r="279" spans="1:2">
      <c r="A279" s="7" t="s">
        <v>3748</v>
      </c>
      <c r="B279" s="7" t="s">
        <v>3749</v>
      </c>
    </row>
    <row r="280" spans="1:2">
      <c r="A280" s="7" t="s">
        <v>3750</v>
      </c>
      <c r="B280" s="7" t="s">
        <v>3751</v>
      </c>
    </row>
    <row r="281" spans="1:2">
      <c r="A281" s="7" t="s">
        <v>3752</v>
      </c>
      <c r="B281" s="7" t="s">
        <v>3753</v>
      </c>
    </row>
    <row r="282" spans="1:2">
      <c r="A282" s="7" t="s">
        <v>3754</v>
      </c>
      <c r="B282" s="7" t="s">
        <v>3755</v>
      </c>
    </row>
    <row r="283" spans="1:2">
      <c r="A283" s="7" t="s">
        <v>3756</v>
      </c>
      <c r="B283" s="7" t="s">
        <v>3757</v>
      </c>
    </row>
    <row r="284" spans="1:2">
      <c r="A284" s="7" t="s">
        <v>3758</v>
      </c>
      <c r="B284" s="7" t="s">
        <v>3759</v>
      </c>
    </row>
    <row r="285" spans="1:2">
      <c r="A285" s="7" t="s">
        <v>3760</v>
      </c>
      <c r="B285" s="7" t="s">
        <v>3331</v>
      </c>
    </row>
    <row r="286" spans="1:2">
      <c r="A286" s="7" t="s">
        <v>3761</v>
      </c>
      <c r="B286" s="7" t="s">
        <v>3762</v>
      </c>
    </row>
    <row r="287" spans="1:2">
      <c r="A287" s="7" t="s">
        <v>3763</v>
      </c>
      <c r="B287" s="7" t="s">
        <v>3764</v>
      </c>
    </row>
    <row r="288" spans="1:2">
      <c r="A288" s="7" t="s">
        <v>3765</v>
      </c>
      <c r="B288" s="7" t="s">
        <v>3766</v>
      </c>
    </row>
    <row r="289" spans="1:2">
      <c r="A289" s="7" t="s">
        <v>3767</v>
      </c>
      <c r="B289" s="7" t="s">
        <v>3768</v>
      </c>
    </row>
    <row r="290" spans="1:2">
      <c r="A290" s="7" t="s">
        <v>3769</v>
      </c>
      <c r="B290" s="7" t="s">
        <v>3770</v>
      </c>
    </row>
    <row r="291" spans="1:2">
      <c r="A291" s="7" t="s">
        <v>3771</v>
      </c>
      <c r="B291" s="7" t="s">
        <v>3772</v>
      </c>
    </row>
    <row r="292" spans="1:2">
      <c r="A292" s="7" t="s">
        <v>3773</v>
      </c>
      <c r="B292" s="7" t="s">
        <v>3774</v>
      </c>
    </row>
    <row r="293" spans="1:2">
      <c r="A293" s="7" t="s">
        <v>3775</v>
      </c>
      <c r="B293" s="7" t="s">
        <v>3776</v>
      </c>
    </row>
    <row r="294" spans="1:2">
      <c r="A294" s="7" t="s">
        <v>3777</v>
      </c>
      <c r="B294" s="7" t="s">
        <v>3778</v>
      </c>
    </row>
    <row r="295" spans="1:2">
      <c r="A295" s="7" t="s">
        <v>3779</v>
      </c>
      <c r="B295" s="7" t="s">
        <v>3780</v>
      </c>
    </row>
    <row r="296" spans="1:2">
      <c r="A296" s="7" t="s">
        <v>3781</v>
      </c>
      <c r="B296" s="7" t="s">
        <v>3782</v>
      </c>
    </row>
    <row r="297" spans="1:2">
      <c r="A297" s="7" t="s">
        <v>3783</v>
      </c>
      <c r="B297" s="7" t="s">
        <v>3784</v>
      </c>
    </row>
    <row r="298" spans="1:2">
      <c r="A298" s="7" t="s">
        <v>3785</v>
      </c>
      <c r="B298" s="7" t="s">
        <v>3786</v>
      </c>
    </row>
    <row r="299" spans="1:2">
      <c r="A299" s="7" t="s">
        <v>3787</v>
      </c>
      <c r="B299" s="7" t="s">
        <v>3788</v>
      </c>
    </row>
    <row r="300" spans="1:2">
      <c r="A300" s="7" t="s">
        <v>3789</v>
      </c>
      <c r="B300" s="7" t="s">
        <v>3790</v>
      </c>
    </row>
    <row r="301" spans="1:2">
      <c r="A301" s="7" t="s">
        <v>3791</v>
      </c>
      <c r="B301" s="7" t="s">
        <v>3792</v>
      </c>
    </row>
    <row r="302" spans="1:2">
      <c r="A302" s="7" t="s">
        <v>3793</v>
      </c>
      <c r="B302" s="7" t="s">
        <v>3794</v>
      </c>
    </row>
    <row r="303" spans="1:2">
      <c r="A303" s="7" t="s">
        <v>3795</v>
      </c>
      <c r="B303" s="7" t="s">
        <v>3796</v>
      </c>
    </row>
    <row r="304" spans="1:2">
      <c r="A304" s="7" t="s">
        <v>3797</v>
      </c>
      <c r="B304" s="7" t="s">
        <v>3798</v>
      </c>
    </row>
    <row r="305" spans="1:2">
      <c r="A305" s="7" t="s">
        <v>3799</v>
      </c>
      <c r="B305" s="7" t="s">
        <v>3800</v>
      </c>
    </row>
    <row r="306" spans="1:2">
      <c r="A306" s="7" t="s">
        <v>3801</v>
      </c>
      <c r="B306" s="7" t="s">
        <v>3802</v>
      </c>
    </row>
    <row r="307" spans="1:2">
      <c r="A307" s="7" t="s">
        <v>3803</v>
      </c>
      <c r="B307" s="7" t="s">
        <v>3804</v>
      </c>
    </row>
    <row r="308" spans="1:2">
      <c r="A308" s="7" t="s">
        <v>3805</v>
      </c>
      <c r="B308" s="7" t="s">
        <v>3806</v>
      </c>
    </row>
    <row r="309" spans="1:2">
      <c r="A309" s="7" t="s">
        <v>3807</v>
      </c>
      <c r="B309" s="7" t="s">
        <v>3808</v>
      </c>
    </row>
    <row r="310" spans="1:2">
      <c r="A310" s="7" t="s">
        <v>3809</v>
      </c>
      <c r="B310" s="7" t="s">
        <v>3810</v>
      </c>
    </row>
    <row r="311" spans="1:2">
      <c r="A311" s="7" t="s">
        <v>3811</v>
      </c>
      <c r="B311" s="7" t="s">
        <v>3812</v>
      </c>
    </row>
    <row r="312" spans="1:2">
      <c r="A312" s="7" t="s">
        <v>3813</v>
      </c>
      <c r="B312" s="7" t="s">
        <v>3814</v>
      </c>
    </row>
    <row r="313" spans="1:2">
      <c r="A313" s="7" t="s">
        <v>3815</v>
      </c>
      <c r="B313" s="7" t="s">
        <v>3816</v>
      </c>
    </row>
    <row r="314" spans="1:2">
      <c r="A314" s="7" t="s">
        <v>3817</v>
      </c>
      <c r="B314" s="7" t="s">
        <v>3818</v>
      </c>
    </row>
    <row r="315" spans="1:2">
      <c r="A315" s="7" t="s">
        <v>3819</v>
      </c>
      <c r="B315" s="7" t="s">
        <v>3820</v>
      </c>
    </row>
    <row r="316" spans="1:2">
      <c r="A316" s="7" t="s">
        <v>3821</v>
      </c>
      <c r="B316" s="7" t="s">
        <v>3822</v>
      </c>
    </row>
    <row r="317" spans="1:2">
      <c r="A317" s="7" t="s">
        <v>3823</v>
      </c>
      <c r="B317" s="7" t="s">
        <v>3824</v>
      </c>
    </row>
    <row r="318" spans="1:2">
      <c r="A318" s="7" t="s">
        <v>3825</v>
      </c>
      <c r="B318" s="7" t="s">
        <v>3826</v>
      </c>
    </row>
    <row r="319" spans="1:2">
      <c r="A319" s="7" t="s">
        <v>3827</v>
      </c>
      <c r="B319" s="7" t="s">
        <v>3828</v>
      </c>
    </row>
    <row r="320" spans="1:2">
      <c r="A320" s="7" t="s">
        <v>3829</v>
      </c>
      <c r="B320" s="7" t="s">
        <v>3830</v>
      </c>
    </row>
    <row r="321" spans="1:2">
      <c r="A321" s="7" t="s">
        <v>3831</v>
      </c>
      <c r="B321" s="7" t="s">
        <v>3832</v>
      </c>
    </row>
    <row r="322" spans="1:2">
      <c r="A322" s="7" t="s">
        <v>3833</v>
      </c>
      <c r="B322" s="7" t="s">
        <v>3834</v>
      </c>
    </row>
    <row r="323" spans="1:2">
      <c r="A323" s="7" t="s">
        <v>3835</v>
      </c>
      <c r="B323" s="7" t="s">
        <v>3836</v>
      </c>
    </row>
    <row r="324" spans="1:2">
      <c r="A324" s="7" t="s">
        <v>3837</v>
      </c>
      <c r="B324" s="7" t="s">
        <v>3617</v>
      </c>
    </row>
    <row r="325" spans="1:2">
      <c r="A325" s="7" t="s">
        <v>3838</v>
      </c>
      <c r="B325" s="7" t="s">
        <v>3839</v>
      </c>
    </row>
    <row r="326" spans="1:2">
      <c r="A326" s="7" t="s">
        <v>3840</v>
      </c>
      <c r="B326" s="7" t="s">
        <v>3841</v>
      </c>
    </row>
    <row r="327" spans="1:2">
      <c r="A327" s="7" t="s">
        <v>3842</v>
      </c>
      <c r="B327" s="7" t="s">
        <v>3843</v>
      </c>
    </row>
    <row r="328" spans="1:2">
      <c r="A328" s="7" t="s">
        <v>3844</v>
      </c>
      <c r="B328" s="7" t="s">
        <v>3621</v>
      </c>
    </row>
    <row r="329" spans="1:2">
      <c r="A329" s="7" t="s">
        <v>3845</v>
      </c>
      <c r="B329" s="7" t="s">
        <v>3846</v>
      </c>
    </row>
    <row r="330" spans="1:2">
      <c r="A330" s="7" t="s">
        <v>3847</v>
      </c>
      <c r="B330" s="7" t="s">
        <v>3848</v>
      </c>
    </row>
    <row r="331" spans="1:2">
      <c r="A331" s="7" t="s">
        <v>3849</v>
      </c>
      <c r="B331" s="7" t="s">
        <v>3850</v>
      </c>
    </row>
    <row r="332" spans="1:2">
      <c r="A332" s="7" t="s">
        <v>3851</v>
      </c>
      <c r="B332" s="7" t="s">
        <v>3852</v>
      </c>
    </row>
    <row r="333" spans="1:2">
      <c r="A333" s="7" t="s">
        <v>3853</v>
      </c>
      <c r="B333" s="7" t="s">
        <v>3677</v>
      </c>
    </row>
    <row r="334" spans="1:2">
      <c r="A334" s="7" t="s">
        <v>3854</v>
      </c>
      <c r="B334" s="7" t="s">
        <v>3855</v>
      </c>
    </row>
    <row r="335" spans="1:2">
      <c r="A335" s="7" t="s">
        <v>3856</v>
      </c>
      <c r="B335" s="7" t="s">
        <v>3857</v>
      </c>
    </row>
    <row r="336" spans="1:2">
      <c r="A336" s="7" t="s">
        <v>3858</v>
      </c>
      <c r="B336" s="7" t="s">
        <v>3859</v>
      </c>
    </row>
    <row r="337" spans="1:2">
      <c r="A337" s="7" t="s">
        <v>3860</v>
      </c>
      <c r="B337" s="7" t="s">
        <v>3861</v>
      </c>
    </row>
    <row r="338" spans="1:2">
      <c r="A338" s="7" t="s">
        <v>3862</v>
      </c>
      <c r="B338" s="7" t="s">
        <v>3863</v>
      </c>
    </row>
    <row r="339" spans="1:2">
      <c r="A339" s="7" t="s">
        <v>3864</v>
      </c>
      <c r="B339" s="7" t="s">
        <v>3865</v>
      </c>
    </row>
    <row r="340" spans="1:2">
      <c r="A340" s="7" t="s">
        <v>3866</v>
      </c>
      <c r="B340" s="7" t="s">
        <v>3867</v>
      </c>
    </row>
    <row r="341" spans="1:2">
      <c r="A341" s="7" t="s">
        <v>3868</v>
      </c>
      <c r="B341" s="7" t="s">
        <v>3869</v>
      </c>
    </row>
    <row r="342" spans="1:2">
      <c r="A342" s="7" t="s">
        <v>3870</v>
      </c>
      <c r="B342" s="7" t="s">
        <v>3871</v>
      </c>
    </row>
    <row r="343" spans="1:2">
      <c r="A343" s="7" t="s">
        <v>3872</v>
      </c>
      <c r="B343" s="7" t="s">
        <v>3873</v>
      </c>
    </row>
    <row r="344" spans="1:2">
      <c r="A344" s="7" t="s">
        <v>3874</v>
      </c>
      <c r="B344" s="7" t="s">
        <v>3875</v>
      </c>
    </row>
    <row r="345" spans="1:2">
      <c r="A345" s="7" t="s">
        <v>3876</v>
      </c>
      <c r="B345" s="7" t="s">
        <v>3877</v>
      </c>
    </row>
    <row r="346" spans="1:2">
      <c r="A346" s="7" t="s">
        <v>3878</v>
      </c>
      <c r="B346" s="7" t="s">
        <v>3879</v>
      </c>
    </row>
    <row r="347" spans="1:2">
      <c r="A347" s="7" t="s">
        <v>3880</v>
      </c>
      <c r="B347" s="7" t="s">
        <v>3881</v>
      </c>
    </row>
    <row r="348" spans="1:2">
      <c r="A348" s="7" t="s">
        <v>3882</v>
      </c>
      <c r="B348" s="7" t="s">
        <v>3883</v>
      </c>
    </row>
    <row r="349" spans="1:2">
      <c r="A349" s="7" t="s">
        <v>3884</v>
      </c>
      <c r="B349" s="7" t="s">
        <v>3885</v>
      </c>
    </row>
    <row r="350" spans="1:2">
      <c r="A350" s="7" t="s">
        <v>3886</v>
      </c>
      <c r="B350" s="7" t="s">
        <v>3887</v>
      </c>
    </row>
    <row r="351" spans="1:2">
      <c r="A351" s="7" t="s">
        <v>3888</v>
      </c>
      <c r="B351" s="7" t="s">
        <v>3889</v>
      </c>
    </row>
    <row r="352" spans="1:2">
      <c r="A352" s="7" t="s">
        <v>3890</v>
      </c>
      <c r="B352" s="7" t="s">
        <v>3891</v>
      </c>
    </row>
    <row r="353" spans="1:2">
      <c r="A353" s="7" t="s">
        <v>3892</v>
      </c>
      <c r="B353" s="7" t="s">
        <v>3893</v>
      </c>
    </row>
    <row r="354" spans="1:2">
      <c r="A354" s="7" t="s">
        <v>3894</v>
      </c>
      <c r="B354" s="7" t="s">
        <v>3895</v>
      </c>
    </row>
    <row r="355" spans="1:2">
      <c r="A355" s="7" t="s">
        <v>3896</v>
      </c>
      <c r="B355" s="7" t="s">
        <v>3897</v>
      </c>
    </row>
    <row r="356" spans="1:2">
      <c r="A356" s="7" t="s">
        <v>3898</v>
      </c>
      <c r="B356" s="7" t="s">
        <v>3899</v>
      </c>
    </row>
    <row r="357" spans="1:2">
      <c r="A357" s="7" t="s">
        <v>3900</v>
      </c>
      <c r="B357" s="7" t="s">
        <v>3901</v>
      </c>
    </row>
    <row r="358" spans="1:2">
      <c r="A358" s="7" t="s">
        <v>3902</v>
      </c>
      <c r="B358" s="7" t="s">
        <v>3903</v>
      </c>
    </row>
    <row r="359" spans="1:2">
      <c r="A359" s="7" t="s">
        <v>3904</v>
      </c>
      <c r="B359" s="7" t="s">
        <v>3551</v>
      </c>
    </row>
    <row r="360" spans="1:2">
      <c r="A360" s="7" t="s">
        <v>3905</v>
      </c>
      <c r="B360" s="7" t="s">
        <v>3906</v>
      </c>
    </row>
    <row r="361" spans="1:2">
      <c r="A361" s="7" t="s">
        <v>3907</v>
      </c>
      <c r="B361" s="7" t="s">
        <v>3908</v>
      </c>
    </row>
    <row r="362" spans="1:2">
      <c r="A362" s="7" t="s">
        <v>3909</v>
      </c>
      <c r="B362" s="7" t="s">
        <v>3910</v>
      </c>
    </row>
    <row r="363" spans="1:2">
      <c r="A363" s="7" t="s">
        <v>3911</v>
      </c>
      <c r="B363" s="7" t="s">
        <v>3912</v>
      </c>
    </row>
    <row r="364" spans="1:2">
      <c r="A364" s="7" t="s">
        <v>3913</v>
      </c>
      <c r="B364" s="7" t="s">
        <v>3914</v>
      </c>
    </row>
    <row r="365" spans="1:2">
      <c r="A365" s="7" t="s">
        <v>3915</v>
      </c>
      <c r="B365" s="7" t="s">
        <v>3916</v>
      </c>
    </row>
    <row r="366" spans="1:2">
      <c r="A366" s="7" t="s">
        <v>3917</v>
      </c>
      <c r="B366" s="7" t="s">
        <v>3918</v>
      </c>
    </row>
    <row r="367" spans="1:2">
      <c r="A367" s="7" t="s">
        <v>3919</v>
      </c>
      <c r="B367" s="7" t="s">
        <v>3920</v>
      </c>
    </row>
    <row r="368" spans="1:2">
      <c r="A368" s="7" t="s">
        <v>3921</v>
      </c>
      <c r="B368" s="7" t="s">
        <v>3922</v>
      </c>
    </row>
    <row r="369" spans="1:2">
      <c r="A369" s="7" t="s">
        <v>3923</v>
      </c>
      <c r="B369" s="7" t="s">
        <v>3924</v>
      </c>
    </row>
    <row r="370" spans="1:2">
      <c r="A370" s="7" t="s">
        <v>3925</v>
      </c>
      <c r="B370" s="7" t="s">
        <v>3926</v>
      </c>
    </row>
    <row r="371" spans="1:2">
      <c r="A371" s="7" t="s">
        <v>3927</v>
      </c>
      <c r="B371" s="7" t="s">
        <v>3928</v>
      </c>
    </row>
    <row r="372" spans="1:2">
      <c r="A372" s="7" t="s">
        <v>3929</v>
      </c>
      <c r="B372" s="7" t="s">
        <v>3930</v>
      </c>
    </row>
    <row r="373" spans="1:2">
      <c r="A373" s="7" t="s">
        <v>3931</v>
      </c>
      <c r="B373" s="7" t="s">
        <v>3932</v>
      </c>
    </row>
    <row r="374" spans="1:2">
      <c r="A374" s="7" t="s">
        <v>3933</v>
      </c>
      <c r="B374" s="7" t="s">
        <v>3934</v>
      </c>
    </row>
    <row r="375" spans="1:2">
      <c r="A375" s="7" t="s">
        <v>3935</v>
      </c>
      <c r="B375" s="7" t="s">
        <v>3936</v>
      </c>
    </row>
    <row r="376" spans="1:2">
      <c r="A376" s="7" t="s">
        <v>3937</v>
      </c>
      <c r="B376" s="7" t="s">
        <v>3938</v>
      </c>
    </row>
    <row r="377" spans="1:2">
      <c r="A377" s="7" t="s">
        <v>3939</v>
      </c>
      <c r="B377" s="7" t="s">
        <v>3940</v>
      </c>
    </row>
    <row r="378" spans="1:2">
      <c r="A378" s="7" t="s">
        <v>3941</v>
      </c>
      <c r="B378" s="7" t="s">
        <v>3942</v>
      </c>
    </row>
    <row r="379" spans="1:2">
      <c r="A379" s="7" t="s">
        <v>3943</v>
      </c>
      <c r="B379" s="7" t="s">
        <v>3944</v>
      </c>
    </row>
    <row r="380" spans="1:2">
      <c r="A380" s="7" t="s">
        <v>3945</v>
      </c>
      <c r="B380" s="7" t="s">
        <v>3946</v>
      </c>
    </row>
    <row r="381" spans="1:2">
      <c r="A381" s="7" t="s">
        <v>3947</v>
      </c>
      <c r="B381" s="7" t="s">
        <v>3948</v>
      </c>
    </row>
    <row r="382" spans="1:2">
      <c r="A382" s="7" t="s">
        <v>3949</v>
      </c>
      <c r="B382" s="7" t="s">
        <v>3950</v>
      </c>
    </row>
    <row r="383" spans="1:2">
      <c r="A383" s="7" t="s">
        <v>3951</v>
      </c>
      <c r="B383" s="7" t="s">
        <v>3952</v>
      </c>
    </row>
    <row r="384" spans="1:2">
      <c r="A384" s="7" t="s">
        <v>3953</v>
      </c>
      <c r="B384" s="7" t="s">
        <v>3954</v>
      </c>
    </row>
    <row r="385" spans="1:2">
      <c r="A385" s="7" t="s">
        <v>3955</v>
      </c>
      <c r="B385" s="7" t="s">
        <v>3956</v>
      </c>
    </row>
    <row r="386" spans="1:2">
      <c r="A386" s="7" t="s">
        <v>3957</v>
      </c>
      <c r="B386" s="7" t="s">
        <v>3958</v>
      </c>
    </row>
    <row r="387" spans="1:2">
      <c r="A387" s="7" t="s">
        <v>3959</v>
      </c>
      <c r="B387" s="7" t="s">
        <v>3960</v>
      </c>
    </row>
    <row r="388" spans="1:2">
      <c r="A388" s="7" t="s">
        <v>3961</v>
      </c>
      <c r="B388" s="7" t="s">
        <v>3962</v>
      </c>
    </row>
    <row r="389" spans="1:2">
      <c r="A389" s="7" t="s">
        <v>3963</v>
      </c>
      <c r="B389" s="7" t="s">
        <v>3964</v>
      </c>
    </row>
    <row r="390" spans="1:2">
      <c r="A390" s="7" t="s">
        <v>3965</v>
      </c>
      <c r="B390" s="7" t="s">
        <v>3966</v>
      </c>
    </row>
    <row r="391" spans="1:2">
      <c r="A391" s="7" t="s">
        <v>3967</v>
      </c>
      <c r="B391" s="7" t="s">
        <v>3968</v>
      </c>
    </row>
    <row r="392" spans="1:2">
      <c r="A392" s="7" t="s">
        <v>3969</v>
      </c>
      <c r="B392" s="7" t="s">
        <v>3970</v>
      </c>
    </row>
    <row r="393" spans="1:2">
      <c r="A393" s="7" t="s">
        <v>3971</v>
      </c>
      <c r="B393" s="7" t="s">
        <v>3972</v>
      </c>
    </row>
    <row r="394" spans="1:2">
      <c r="A394" s="7" t="s">
        <v>3973</v>
      </c>
      <c r="B394" s="7" t="s">
        <v>3974</v>
      </c>
    </row>
    <row r="395" spans="1:2">
      <c r="A395" s="7" t="s">
        <v>3975</v>
      </c>
      <c r="B395" s="7" t="s">
        <v>3976</v>
      </c>
    </row>
    <row r="396" spans="1:2">
      <c r="A396" s="7" t="s">
        <v>3977</v>
      </c>
      <c r="B396" s="7" t="s">
        <v>3978</v>
      </c>
    </row>
    <row r="397" spans="1:2">
      <c r="A397" s="7" t="s">
        <v>3979</v>
      </c>
      <c r="B397" s="7" t="s">
        <v>3980</v>
      </c>
    </row>
    <row r="398" spans="1:2">
      <c r="A398" s="7" t="s">
        <v>3981</v>
      </c>
      <c r="B398" s="7" t="s">
        <v>3982</v>
      </c>
    </row>
    <row r="399" spans="1:2">
      <c r="A399" s="7" t="s">
        <v>3983</v>
      </c>
      <c r="B399" s="7" t="s">
        <v>3984</v>
      </c>
    </row>
    <row r="400" spans="1:2">
      <c r="A400" s="7" t="s">
        <v>3985</v>
      </c>
      <c r="B400" s="7" t="s">
        <v>3986</v>
      </c>
    </row>
    <row r="401" spans="1:2">
      <c r="A401" s="7" t="s">
        <v>3987</v>
      </c>
      <c r="B401" s="7" t="s">
        <v>3988</v>
      </c>
    </row>
    <row r="402" spans="1:2">
      <c r="A402" s="7" t="s">
        <v>3989</v>
      </c>
      <c r="B402" s="7" t="s">
        <v>3912</v>
      </c>
    </row>
    <row r="403" spans="1:2">
      <c r="A403" s="7" t="s">
        <v>3990</v>
      </c>
      <c r="B403" s="7" t="s">
        <v>3991</v>
      </c>
    </row>
    <row r="404" spans="1:2">
      <c r="A404" s="7" t="s">
        <v>3992</v>
      </c>
      <c r="B404" s="7" t="s">
        <v>3993</v>
      </c>
    </row>
    <row r="405" spans="1:2">
      <c r="A405" s="7" t="s">
        <v>3994</v>
      </c>
      <c r="B405" s="7" t="s">
        <v>3995</v>
      </c>
    </row>
    <row r="406" spans="1:2">
      <c r="A406" s="7" t="s">
        <v>3996</v>
      </c>
      <c r="B406" s="7" t="s">
        <v>3997</v>
      </c>
    </row>
    <row r="407" spans="1:2">
      <c r="A407" s="7" t="s">
        <v>3998</v>
      </c>
      <c r="B407" s="7" t="s">
        <v>3999</v>
      </c>
    </row>
    <row r="408" spans="1:2">
      <c r="A408" s="7" t="s">
        <v>4000</v>
      </c>
      <c r="B408" s="7" t="s">
        <v>4001</v>
      </c>
    </row>
    <row r="409" spans="1:2">
      <c r="A409" s="7" t="s">
        <v>4002</v>
      </c>
      <c r="B409" s="7" t="s">
        <v>4003</v>
      </c>
    </row>
    <row r="410" spans="1:2">
      <c r="A410" s="7" t="s">
        <v>4004</v>
      </c>
      <c r="B410" s="7" t="s">
        <v>3331</v>
      </c>
    </row>
    <row r="411" spans="1:2">
      <c r="A411" s="7" t="s">
        <v>4005</v>
      </c>
      <c r="B411" s="7" t="s">
        <v>4006</v>
      </c>
    </row>
    <row r="412" spans="1:2">
      <c r="A412" s="7" t="s">
        <v>4007</v>
      </c>
      <c r="B412" s="7" t="s">
        <v>4008</v>
      </c>
    </row>
    <row r="413" spans="1:2">
      <c r="A413" s="7" t="s">
        <v>4009</v>
      </c>
      <c r="B413" s="7" t="s">
        <v>4010</v>
      </c>
    </row>
    <row r="414" spans="1:2">
      <c r="A414" s="7" t="s">
        <v>4011</v>
      </c>
      <c r="B414" s="7" t="s">
        <v>4012</v>
      </c>
    </row>
    <row r="415" spans="1:2">
      <c r="A415" s="7" t="s">
        <v>4013</v>
      </c>
      <c r="B415" s="7" t="s">
        <v>4014</v>
      </c>
    </row>
    <row r="416" spans="1:2">
      <c r="A416" s="7" t="s">
        <v>4015</v>
      </c>
      <c r="B416" s="7" t="s">
        <v>4016</v>
      </c>
    </row>
    <row r="417" spans="1:2">
      <c r="A417" s="7" t="s">
        <v>4017</v>
      </c>
      <c r="B417" s="7" t="s">
        <v>4018</v>
      </c>
    </row>
    <row r="418" spans="1:2">
      <c r="A418" s="7" t="s">
        <v>4019</v>
      </c>
      <c r="B418" s="7" t="s">
        <v>4020</v>
      </c>
    </row>
    <row r="419" spans="1:2">
      <c r="A419" s="7" t="s">
        <v>4021</v>
      </c>
      <c r="B419" s="7" t="s">
        <v>4022</v>
      </c>
    </row>
    <row r="420" spans="1:2">
      <c r="A420" s="7" t="s">
        <v>4023</v>
      </c>
      <c r="B420" s="7" t="s">
        <v>4024</v>
      </c>
    </row>
    <row r="421" spans="1:2">
      <c r="A421" s="7" t="s">
        <v>4025</v>
      </c>
      <c r="B421" s="7" t="s">
        <v>4026</v>
      </c>
    </row>
    <row r="422" spans="1:2">
      <c r="A422" s="7" t="s">
        <v>4027</v>
      </c>
      <c r="B422" s="7" t="s">
        <v>4028</v>
      </c>
    </row>
    <row r="423" spans="1:2">
      <c r="A423" s="7" t="s">
        <v>4029</v>
      </c>
      <c r="B423" s="7" t="s">
        <v>4030</v>
      </c>
    </row>
    <row r="424" spans="1:2">
      <c r="A424" s="7" t="s">
        <v>4031</v>
      </c>
      <c r="B424" s="7" t="s">
        <v>4032</v>
      </c>
    </row>
    <row r="425" spans="1:2">
      <c r="A425" s="7" t="s">
        <v>4033</v>
      </c>
      <c r="B425" s="7" t="s">
        <v>4034</v>
      </c>
    </row>
    <row r="426" spans="1:2">
      <c r="A426" s="7" t="s">
        <v>4035</v>
      </c>
      <c r="B426" s="7" t="s">
        <v>3207</v>
      </c>
    </row>
    <row r="427" spans="1:2">
      <c r="A427" s="7" t="s">
        <v>4036</v>
      </c>
      <c r="B427" s="7" t="s">
        <v>4037</v>
      </c>
    </row>
    <row r="428" spans="1:2">
      <c r="A428" s="7" t="s">
        <v>4038</v>
      </c>
      <c r="B428" s="7" t="s">
        <v>4039</v>
      </c>
    </row>
    <row r="429" spans="1:2">
      <c r="A429" s="7" t="s">
        <v>4040</v>
      </c>
      <c r="B429" s="7" t="s">
        <v>4041</v>
      </c>
    </row>
    <row r="430" spans="1:2">
      <c r="A430" s="7" t="s">
        <v>4042</v>
      </c>
      <c r="B430" s="7" t="s">
        <v>4043</v>
      </c>
    </row>
    <row r="431" spans="1:2">
      <c r="A431" s="7" t="s">
        <v>4044</v>
      </c>
      <c r="B431" s="7" t="s">
        <v>4045</v>
      </c>
    </row>
    <row r="432" spans="1:2">
      <c r="A432" s="7" t="s">
        <v>4046</v>
      </c>
      <c r="B432" s="7" t="s">
        <v>3928</v>
      </c>
    </row>
    <row r="433" spans="1:2">
      <c r="A433" s="7" t="s">
        <v>4047</v>
      </c>
      <c r="B433" s="7" t="s">
        <v>4048</v>
      </c>
    </row>
    <row r="434" spans="1:2">
      <c r="A434" s="7" t="s">
        <v>4049</v>
      </c>
      <c r="B434" s="7" t="s">
        <v>4050</v>
      </c>
    </row>
    <row r="435" spans="1:2">
      <c r="A435" s="7" t="s">
        <v>4051</v>
      </c>
      <c r="B435" s="7" t="s">
        <v>4052</v>
      </c>
    </row>
    <row r="436" spans="1:2">
      <c r="A436" s="7" t="s">
        <v>4053</v>
      </c>
      <c r="B436" s="7" t="s">
        <v>4054</v>
      </c>
    </row>
    <row r="437" spans="1:2">
      <c r="A437" s="7" t="s">
        <v>4055</v>
      </c>
      <c r="B437" s="7" t="s">
        <v>4056</v>
      </c>
    </row>
    <row r="438" spans="1:2">
      <c r="A438" s="7" t="s">
        <v>4057</v>
      </c>
      <c r="B438" s="7" t="s">
        <v>4058</v>
      </c>
    </row>
    <row r="439" spans="1:2">
      <c r="A439" s="7" t="s">
        <v>4059</v>
      </c>
      <c r="B439" s="7" t="s">
        <v>4060</v>
      </c>
    </row>
    <row r="440" spans="1:2">
      <c r="A440" s="7" t="s">
        <v>4061</v>
      </c>
      <c r="B440" s="7" t="s">
        <v>4062</v>
      </c>
    </row>
    <row r="441" spans="1:2">
      <c r="A441" s="7" t="s">
        <v>4063</v>
      </c>
      <c r="B441" s="7" t="s">
        <v>4064</v>
      </c>
    </row>
    <row r="442" spans="1:2">
      <c r="A442" s="7" t="s">
        <v>4065</v>
      </c>
      <c r="B442" s="7" t="s">
        <v>4066</v>
      </c>
    </row>
    <row r="443" spans="1:2">
      <c r="A443" s="7" t="s">
        <v>4067</v>
      </c>
      <c r="B443" s="7" t="s">
        <v>4068</v>
      </c>
    </row>
    <row r="444" spans="1:2">
      <c r="A444" s="7" t="s">
        <v>4069</v>
      </c>
      <c r="B444" s="7" t="s">
        <v>4070</v>
      </c>
    </row>
    <row r="445" spans="1:2">
      <c r="A445" s="7" t="s">
        <v>4071</v>
      </c>
      <c r="B445" s="7" t="s">
        <v>4072</v>
      </c>
    </row>
    <row r="446" spans="1:2">
      <c r="A446" s="7" t="s">
        <v>4073</v>
      </c>
      <c r="B446" s="7" t="s">
        <v>4074</v>
      </c>
    </row>
    <row r="447" spans="1:2">
      <c r="A447" s="7" t="s">
        <v>4075</v>
      </c>
      <c r="B447" s="7" t="s">
        <v>4076</v>
      </c>
    </row>
    <row r="448" spans="1:2">
      <c r="A448" s="7" t="s">
        <v>4077</v>
      </c>
      <c r="B448" s="7" t="s">
        <v>3901</v>
      </c>
    </row>
    <row r="449" spans="1:2">
      <c r="A449" s="7" t="s">
        <v>4078</v>
      </c>
      <c r="B449" s="7" t="s">
        <v>4079</v>
      </c>
    </row>
    <row r="450" spans="1:2">
      <c r="A450" s="7" t="s">
        <v>4080</v>
      </c>
      <c r="B450" s="7" t="s">
        <v>4081</v>
      </c>
    </row>
    <row r="451" spans="1:2">
      <c r="A451" s="7" t="s">
        <v>4082</v>
      </c>
      <c r="B451" s="7" t="s">
        <v>4083</v>
      </c>
    </row>
    <row r="452" spans="1:2">
      <c r="A452" s="7" t="s">
        <v>4084</v>
      </c>
      <c r="B452" s="7" t="s">
        <v>3527</v>
      </c>
    </row>
    <row r="453" spans="1:2">
      <c r="A453" s="7" t="s">
        <v>4085</v>
      </c>
      <c r="B453" s="7" t="s">
        <v>4086</v>
      </c>
    </row>
    <row r="454" spans="1:2">
      <c r="A454" s="7" t="s">
        <v>4087</v>
      </c>
      <c r="B454" s="7" t="s">
        <v>4088</v>
      </c>
    </row>
    <row r="455" spans="1:2">
      <c r="A455" s="7" t="s">
        <v>4089</v>
      </c>
      <c r="B455" s="7" t="s">
        <v>4090</v>
      </c>
    </row>
    <row r="456" spans="1:2">
      <c r="A456" s="7" t="s">
        <v>4091</v>
      </c>
      <c r="B456" s="7" t="s">
        <v>4092</v>
      </c>
    </row>
    <row r="457" spans="1:2">
      <c r="A457" s="7" t="s">
        <v>4093</v>
      </c>
      <c r="B457" s="7" t="s">
        <v>4094</v>
      </c>
    </row>
    <row r="458" spans="1:2">
      <c r="A458" s="7" t="s">
        <v>4095</v>
      </c>
      <c r="B458" s="7" t="s">
        <v>3974</v>
      </c>
    </row>
    <row r="459" spans="1:2">
      <c r="A459" s="7" t="s">
        <v>4096</v>
      </c>
      <c r="B459" s="7" t="s">
        <v>4097</v>
      </c>
    </row>
    <row r="460" spans="1:2">
      <c r="A460" s="7" t="s">
        <v>4098</v>
      </c>
      <c r="B460" s="7" t="s">
        <v>4099</v>
      </c>
    </row>
    <row r="461" spans="1:2">
      <c r="A461" s="7" t="s">
        <v>4100</v>
      </c>
      <c r="B461" s="7" t="s">
        <v>4101</v>
      </c>
    </row>
    <row r="462" spans="1:2">
      <c r="A462" s="7" t="s">
        <v>4102</v>
      </c>
      <c r="B462" s="7" t="s">
        <v>4103</v>
      </c>
    </row>
    <row r="463" spans="1:2">
      <c r="A463" s="7" t="s">
        <v>4104</v>
      </c>
      <c r="B463" s="7" t="s">
        <v>4105</v>
      </c>
    </row>
    <row r="464" spans="1:2">
      <c r="A464" s="7" t="s">
        <v>4106</v>
      </c>
      <c r="B464" s="7" t="s">
        <v>4107</v>
      </c>
    </row>
    <row r="465" spans="1:2">
      <c r="A465" s="7" t="s">
        <v>4108</v>
      </c>
      <c r="B465" s="7" t="s">
        <v>4109</v>
      </c>
    </row>
    <row r="466" spans="1:2">
      <c r="A466" s="7" t="s">
        <v>4110</v>
      </c>
      <c r="B466" s="7" t="s">
        <v>4111</v>
      </c>
    </row>
    <row r="467" spans="1:2">
      <c r="A467" s="7" t="s">
        <v>4112</v>
      </c>
      <c r="B467" s="7" t="s">
        <v>4113</v>
      </c>
    </row>
    <row r="468" spans="1:2">
      <c r="A468" s="7" t="s">
        <v>4114</v>
      </c>
      <c r="B468" s="7" t="s">
        <v>4115</v>
      </c>
    </row>
    <row r="469" spans="1:2">
      <c r="A469" s="7" t="s">
        <v>4116</v>
      </c>
      <c r="B469" s="7" t="s">
        <v>4117</v>
      </c>
    </row>
    <row r="470" spans="1:2">
      <c r="A470" s="7" t="s">
        <v>4118</v>
      </c>
      <c r="B470" s="7" t="s">
        <v>4119</v>
      </c>
    </row>
    <row r="471" spans="1:2">
      <c r="A471" s="7" t="s">
        <v>4120</v>
      </c>
      <c r="B471" s="7" t="s">
        <v>4121</v>
      </c>
    </row>
    <row r="472" spans="1:2">
      <c r="A472" s="7" t="s">
        <v>4122</v>
      </c>
      <c r="B472" s="7" t="s">
        <v>4123</v>
      </c>
    </row>
    <row r="473" spans="1:2">
      <c r="A473" s="7" t="s">
        <v>4124</v>
      </c>
      <c r="B473" s="7" t="s">
        <v>3459</v>
      </c>
    </row>
    <row r="474" spans="1:2">
      <c r="A474" s="7" t="s">
        <v>4125</v>
      </c>
      <c r="B474" s="7" t="s">
        <v>4126</v>
      </c>
    </row>
    <row r="475" spans="1:2">
      <c r="A475" s="7" t="s">
        <v>4127</v>
      </c>
      <c r="B475" s="7" t="s">
        <v>4128</v>
      </c>
    </row>
    <row r="476" spans="1:2">
      <c r="A476" s="7" t="s">
        <v>4129</v>
      </c>
      <c r="B476" s="7" t="s">
        <v>4130</v>
      </c>
    </row>
    <row r="477" spans="1:2">
      <c r="A477" s="7" t="s">
        <v>4131</v>
      </c>
      <c r="B477" s="7" t="s">
        <v>4132</v>
      </c>
    </row>
    <row r="478" spans="1:2">
      <c r="A478" s="7" t="s">
        <v>4133</v>
      </c>
      <c r="B478" s="7" t="s">
        <v>4134</v>
      </c>
    </row>
    <row r="479" spans="1:2">
      <c r="A479" s="7" t="s">
        <v>4135</v>
      </c>
      <c r="B479" s="7" t="s">
        <v>4136</v>
      </c>
    </row>
    <row r="480" spans="1:2">
      <c r="A480" s="7" t="s">
        <v>4137</v>
      </c>
      <c r="B480" s="7" t="s">
        <v>4138</v>
      </c>
    </row>
    <row r="481" spans="1:2">
      <c r="A481" s="7" t="s">
        <v>4139</v>
      </c>
      <c r="B481" s="7" t="s">
        <v>4140</v>
      </c>
    </row>
    <row r="482" spans="1:2">
      <c r="A482" s="7" t="s">
        <v>4141</v>
      </c>
      <c r="B482" s="7" t="s">
        <v>4142</v>
      </c>
    </row>
    <row r="483" spans="1:2">
      <c r="A483" s="7" t="s">
        <v>4143</v>
      </c>
      <c r="B483" s="7" t="s">
        <v>3331</v>
      </c>
    </row>
    <row r="484" spans="1:2">
      <c r="A484" s="7" t="s">
        <v>4144</v>
      </c>
      <c r="B484" s="7" t="s">
        <v>4145</v>
      </c>
    </row>
    <row r="485" spans="1:2">
      <c r="A485" s="7" t="s">
        <v>4146</v>
      </c>
      <c r="B485" s="7" t="s">
        <v>4147</v>
      </c>
    </row>
    <row r="486" spans="1:2">
      <c r="A486" s="7" t="s">
        <v>4148</v>
      </c>
      <c r="B486" s="7" t="s">
        <v>4149</v>
      </c>
    </row>
    <row r="487" spans="1:2">
      <c r="A487" s="7" t="s">
        <v>4150</v>
      </c>
      <c r="B487" s="7" t="s">
        <v>4151</v>
      </c>
    </row>
    <row r="488" spans="1:2">
      <c r="A488" s="7" t="s">
        <v>4152</v>
      </c>
      <c r="B488" s="7" t="s">
        <v>4153</v>
      </c>
    </row>
    <row r="489" spans="1:2">
      <c r="A489" s="7" t="s">
        <v>4154</v>
      </c>
      <c r="B489" s="7" t="s">
        <v>4155</v>
      </c>
    </row>
    <row r="490" spans="1:2">
      <c r="A490" s="7" t="s">
        <v>4156</v>
      </c>
      <c r="B490" s="7" t="s">
        <v>4157</v>
      </c>
    </row>
    <row r="491" spans="1:2">
      <c r="A491" s="7" t="s">
        <v>4158</v>
      </c>
      <c r="B491" s="7" t="s">
        <v>4159</v>
      </c>
    </row>
    <row r="492" spans="1:2">
      <c r="A492" s="7" t="s">
        <v>4160</v>
      </c>
      <c r="B492" s="7" t="s">
        <v>4161</v>
      </c>
    </row>
    <row r="493" spans="1:2">
      <c r="A493" s="7" t="s">
        <v>4162</v>
      </c>
      <c r="B493" s="7" t="s">
        <v>4163</v>
      </c>
    </row>
    <row r="494" spans="1:2">
      <c r="A494" s="7" t="s">
        <v>4164</v>
      </c>
      <c r="B494" s="7" t="s">
        <v>4165</v>
      </c>
    </row>
    <row r="495" spans="1:2">
      <c r="A495" s="7" t="s">
        <v>4166</v>
      </c>
      <c r="B495" s="7" t="s">
        <v>4167</v>
      </c>
    </row>
    <row r="496" spans="1:2">
      <c r="A496" s="7" t="s">
        <v>4168</v>
      </c>
      <c r="B496" s="7" t="s">
        <v>4169</v>
      </c>
    </row>
    <row r="497" spans="1:2">
      <c r="A497" s="7" t="s">
        <v>4170</v>
      </c>
      <c r="B497" s="7" t="s">
        <v>4171</v>
      </c>
    </row>
    <row r="498" spans="1:2">
      <c r="A498" s="7" t="s">
        <v>4172</v>
      </c>
      <c r="B498" s="7" t="s">
        <v>4173</v>
      </c>
    </row>
    <row r="499" spans="1:2">
      <c r="A499" s="7" t="s">
        <v>4174</v>
      </c>
      <c r="B499" s="7" t="s">
        <v>4175</v>
      </c>
    </row>
    <row r="500" spans="1:2">
      <c r="A500" s="7" t="s">
        <v>4176</v>
      </c>
      <c r="B500" s="7" t="s">
        <v>4177</v>
      </c>
    </row>
    <row r="501" spans="1:2">
      <c r="A501" s="7" t="s">
        <v>4178</v>
      </c>
      <c r="B501" s="7" t="s">
        <v>3523</v>
      </c>
    </row>
    <row r="502" spans="1:2">
      <c r="A502" s="7" t="s">
        <v>4179</v>
      </c>
      <c r="B502" s="7" t="s">
        <v>4180</v>
      </c>
    </row>
    <row r="503" spans="1:2">
      <c r="A503" s="7" t="s">
        <v>4181</v>
      </c>
      <c r="B503" s="7" t="s">
        <v>4182</v>
      </c>
    </row>
    <row r="504" spans="1:2">
      <c r="A504" s="7" t="s">
        <v>4183</v>
      </c>
      <c r="B504" s="7" t="s">
        <v>4184</v>
      </c>
    </row>
    <row r="505" spans="1:2">
      <c r="A505" s="7" t="s">
        <v>4185</v>
      </c>
      <c r="B505" s="7" t="s">
        <v>4186</v>
      </c>
    </row>
    <row r="506" spans="1:2">
      <c r="A506" s="7" t="s">
        <v>4187</v>
      </c>
      <c r="B506" s="7" t="s">
        <v>4188</v>
      </c>
    </row>
    <row r="507" spans="1:2">
      <c r="A507" s="7" t="s">
        <v>4189</v>
      </c>
      <c r="B507" s="7" t="s">
        <v>4190</v>
      </c>
    </row>
    <row r="508" spans="1:2">
      <c r="A508" s="7" t="s">
        <v>4191</v>
      </c>
      <c r="B508" s="7" t="s">
        <v>4192</v>
      </c>
    </row>
    <row r="509" spans="1:2">
      <c r="A509" s="7" t="s">
        <v>4193</v>
      </c>
      <c r="B509" s="7" t="s">
        <v>4194</v>
      </c>
    </row>
    <row r="510" spans="1:2">
      <c r="A510" s="7" t="s">
        <v>4195</v>
      </c>
      <c r="B510" s="7" t="s">
        <v>4196</v>
      </c>
    </row>
    <row r="511" spans="1:2">
      <c r="A511" s="7" t="s">
        <v>4197</v>
      </c>
      <c r="B511" s="7" t="s">
        <v>4198</v>
      </c>
    </row>
    <row r="512" spans="1:2">
      <c r="A512" s="7" t="s">
        <v>4199</v>
      </c>
      <c r="B512" s="7" t="s">
        <v>4200</v>
      </c>
    </row>
    <row r="513" spans="1:2">
      <c r="A513" s="7" t="s">
        <v>4201</v>
      </c>
      <c r="B513" s="7" t="s">
        <v>4202</v>
      </c>
    </row>
    <row r="514" spans="1:2">
      <c r="A514" s="7" t="s">
        <v>4203</v>
      </c>
      <c r="B514" s="7" t="s">
        <v>4204</v>
      </c>
    </row>
    <row r="515" spans="1:2">
      <c r="A515" s="7" t="s">
        <v>4205</v>
      </c>
      <c r="B515" s="7" t="s">
        <v>4206</v>
      </c>
    </row>
    <row r="516" spans="1:2">
      <c r="A516" s="7" t="s">
        <v>4207</v>
      </c>
      <c r="B516" s="7" t="s">
        <v>4208</v>
      </c>
    </row>
    <row r="517" spans="1:2">
      <c r="A517" s="7" t="s">
        <v>4209</v>
      </c>
      <c r="B517" s="7" t="s">
        <v>4210</v>
      </c>
    </row>
    <row r="518" spans="1:2">
      <c r="A518" s="7" t="s">
        <v>4211</v>
      </c>
      <c r="B518" s="7" t="s">
        <v>4212</v>
      </c>
    </row>
    <row r="519" spans="1:2">
      <c r="A519" s="7" t="s">
        <v>4213</v>
      </c>
      <c r="B519" s="7" t="s">
        <v>4214</v>
      </c>
    </row>
    <row r="520" spans="1:2">
      <c r="A520" s="7" t="s">
        <v>4215</v>
      </c>
      <c r="B520" s="7" t="s">
        <v>4216</v>
      </c>
    </row>
    <row r="521" spans="1:2">
      <c r="A521" s="7" t="s">
        <v>4217</v>
      </c>
      <c r="B521" s="7" t="s">
        <v>4218</v>
      </c>
    </row>
    <row r="522" spans="1:2">
      <c r="A522" s="7" t="s">
        <v>4219</v>
      </c>
      <c r="B522" s="7" t="s">
        <v>4220</v>
      </c>
    </row>
    <row r="523" spans="1:2">
      <c r="A523" s="7" t="s">
        <v>4221</v>
      </c>
      <c r="B523" s="7" t="s">
        <v>4222</v>
      </c>
    </row>
    <row r="524" spans="1:2">
      <c r="A524" s="7" t="s">
        <v>4223</v>
      </c>
      <c r="B524" s="7" t="s">
        <v>4224</v>
      </c>
    </row>
    <row r="525" spans="1:2">
      <c r="A525" s="7" t="s">
        <v>4225</v>
      </c>
      <c r="B525" s="7" t="s">
        <v>4226</v>
      </c>
    </row>
    <row r="526" spans="1:2">
      <c r="A526" s="7" t="s">
        <v>4227</v>
      </c>
      <c r="B526" s="7" t="s">
        <v>4228</v>
      </c>
    </row>
    <row r="527" spans="1:2">
      <c r="A527" s="7" t="s">
        <v>4229</v>
      </c>
      <c r="B527" s="7" t="s">
        <v>4230</v>
      </c>
    </row>
    <row r="528" spans="1:2">
      <c r="A528" s="7" t="s">
        <v>4231</v>
      </c>
      <c r="B528" s="7" t="s">
        <v>4232</v>
      </c>
    </row>
    <row r="529" spans="1:2">
      <c r="A529" s="7" t="s">
        <v>4233</v>
      </c>
      <c r="B529" s="7" t="s">
        <v>4234</v>
      </c>
    </row>
    <row r="530" spans="1:2">
      <c r="A530" s="7" t="s">
        <v>4235</v>
      </c>
      <c r="B530" s="7" t="s">
        <v>4236</v>
      </c>
    </row>
    <row r="531" spans="1:2">
      <c r="A531" s="7" t="s">
        <v>4237</v>
      </c>
      <c r="B531" s="7" t="s">
        <v>3638</v>
      </c>
    </row>
    <row r="532" spans="1:2">
      <c r="A532" s="7" t="s">
        <v>4238</v>
      </c>
      <c r="B532" s="7" t="s">
        <v>4239</v>
      </c>
    </row>
    <row r="533" spans="1:2">
      <c r="A533" s="7" t="s">
        <v>4240</v>
      </c>
      <c r="B533" s="7" t="s">
        <v>4241</v>
      </c>
    </row>
    <row r="534" spans="1:2">
      <c r="A534" s="7" t="s">
        <v>4242</v>
      </c>
      <c r="B534" s="7" t="s">
        <v>4243</v>
      </c>
    </row>
    <row r="535" spans="1:2">
      <c r="A535" s="7" t="s">
        <v>4244</v>
      </c>
      <c r="B535" s="7" t="s">
        <v>4245</v>
      </c>
    </row>
    <row r="536" spans="1:2">
      <c r="A536" s="7" t="s">
        <v>4246</v>
      </c>
      <c r="B536" s="7" t="s">
        <v>4247</v>
      </c>
    </row>
    <row r="537" spans="1:2">
      <c r="A537" s="7" t="s">
        <v>4248</v>
      </c>
      <c r="B537" s="7" t="s">
        <v>4249</v>
      </c>
    </row>
    <row r="538" spans="1:2">
      <c r="A538" s="7" t="s">
        <v>4250</v>
      </c>
      <c r="B538" s="7" t="s">
        <v>4251</v>
      </c>
    </row>
    <row r="539" spans="1:2">
      <c r="A539" s="7" t="s">
        <v>4252</v>
      </c>
      <c r="B539" s="7" t="s">
        <v>4253</v>
      </c>
    </row>
    <row r="540" spans="1:2">
      <c r="A540" s="7" t="s">
        <v>4254</v>
      </c>
      <c r="B540" s="7" t="s">
        <v>4255</v>
      </c>
    </row>
    <row r="541" spans="1:2">
      <c r="A541" s="7" t="s">
        <v>4256</v>
      </c>
      <c r="B541" s="7" t="s">
        <v>4257</v>
      </c>
    </row>
    <row r="542" spans="1:2">
      <c r="A542" s="7" t="s">
        <v>4258</v>
      </c>
      <c r="B542" s="7" t="s">
        <v>4259</v>
      </c>
    </row>
    <row r="543" spans="1:2">
      <c r="A543" s="7" t="s">
        <v>4260</v>
      </c>
      <c r="B543" s="7" t="s">
        <v>4261</v>
      </c>
    </row>
    <row r="544" spans="1:2">
      <c r="A544" s="7" t="s">
        <v>4262</v>
      </c>
      <c r="B544" s="7" t="s">
        <v>4263</v>
      </c>
    </row>
    <row r="545" spans="1:2">
      <c r="A545" s="7" t="s">
        <v>4264</v>
      </c>
      <c r="B545" s="7" t="s">
        <v>4265</v>
      </c>
    </row>
    <row r="546" spans="1:2">
      <c r="A546" s="7" t="s">
        <v>4266</v>
      </c>
      <c r="B546" s="7" t="s">
        <v>4267</v>
      </c>
    </row>
    <row r="547" spans="1:2">
      <c r="A547" s="7" t="s">
        <v>4268</v>
      </c>
      <c r="B547" s="7" t="s">
        <v>4269</v>
      </c>
    </row>
    <row r="548" spans="1:2">
      <c r="A548" s="7" t="s">
        <v>4270</v>
      </c>
      <c r="B548" s="7" t="s">
        <v>4271</v>
      </c>
    </row>
    <row r="549" spans="1:2">
      <c r="A549" s="7" t="s">
        <v>4272</v>
      </c>
      <c r="B549" s="7" t="s">
        <v>4273</v>
      </c>
    </row>
    <row r="550" spans="1:2">
      <c r="A550" s="7" t="s">
        <v>4274</v>
      </c>
      <c r="B550" s="7" t="s">
        <v>4275</v>
      </c>
    </row>
    <row r="551" spans="1:2">
      <c r="A551" s="7" t="s">
        <v>4276</v>
      </c>
      <c r="B551" s="7" t="s">
        <v>4277</v>
      </c>
    </row>
    <row r="552" spans="1:2">
      <c r="A552" s="7" t="s">
        <v>4278</v>
      </c>
      <c r="B552" s="7" t="s">
        <v>4279</v>
      </c>
    </row>
    <row r="553" spans="1:2">
      <c r="A553" s="7" t="s">
        <v>4280</v>
      </c>
      <c r="B553" s="7" t="s">
        <v>4281</v>
      </c>
    </row>
    <row r="554" spans="1:2">
      <c r="A554" s="7" t="s">
        <v>4282</v>
      </c>
      <c r="B554" s="7" t="s">
        <v>4283</v>
      </c>
    </row>
    <row r="555" spans="1:2">
      <c r="A555" s="7" t="s">
        <v>4284</v>
      </c>
      <c r="B555" s="7" t="s">
        <v>4285</v>
      </c>
    </row>
    <row r="556" spans="1:2">
      <c r="A556" s="7" t="s">
        <v>4286</v>
      </c>
      <c r="B556" s="7" t="s">
        <v>4287</v>
      </c>
    </row>
    <row r="557" spans="1:2">
      <c r="A557" s="7" t="s">
        <v>4288</v>
      </c>
      <c r="B557" s="7" t="s">
        <v>4289</v>
      </c>
    </row>
    <row r="558" spans="1:2">
      <c r="A558" s="7" t="s">
        <v>4290</v>
      </c>
      <c r="B558" s="7" t="s">
        <v>4291</v>
      </c>
    </row>
    <row r="559" spans="1:2">
      <c r="A559" s="7" t="s">
        <v>4292</v>
      </c>
      <c r="B559" s="7" t="s">
        <v>4293</v>
      </c>
    </row>
    <row r="560" spans="1:2">
      <c r="A560" s="7" t="s">
        <v>4294</v>
      </c>
      <c r="B560" s="7" t="s">
        <v>4295</v>
      </c>
    </row>
    <row r="561" spans="1:2">
      <c r="A561" s="7" t="s">
        <v>4296</v>
      </c>
      <c r="B561" s="7" t="s">
        <v>4297</v>
      </c>
    </row>
    <row r="562" spans="1:2">
      <c r="A562" s="7" t="s">
        <v>4298</v>
      </c>
      <c r="B562" s="7" t="s">
        <v>4299</v>
      </c>
    </row>
    <row r="563" spans="1:2">
      <c r="A563" s="7" t="s">
        <v>4300</v>
      </c>
      <c r="B563" s="7" t="s">
        <v>4301</v>
      </c>
    </row>
    <row r="564" spans="1:2">
      <c r="A564" s="7" t="s">
        <v>4302</v>
      </c>
      <c r="B564" s="7" t="s">
        <v>4303</v>
      </c>
    </row>
    <row r="565" spans="1:2">
      <c r="A565" s="7" t="s">
        <v>4304</v>
      </c>
      <c r="B565" s="7" t="s">
        <v>4305</v>
      </c>
    </row>
    <row r="566" spans="1:2">
      <c r="A566" s="7" t="s">
        <v>4306</v>
      </c>
      <c r="B566" s="7" t="s">
        <v>4307</v>
      </c>
    </row>
    <row r="567" spans="1:2">
      <c r="A567" s="7" t="s">
        <v>4308</v>
      </c>
      <c r="B567" s="7" t="s">
        <v>4309</v>
      </c>
    </row>
    <row r="568" spans="1:2">
      <c r="A568" s="7" t="s">
        <v>4310</v>
      </c>
      <c r="B568" s="7" t="s">
        <v>4311</v>
      </c>
    </row>
    <row r="569" spans="1:2">
      <c r="A569" s="7" t="s">
        <v>4312</v>
      </c>
      <c r="B569" s="7" t="s">
        <v>4313</v>
      </c>
    </row>
    <row r="570" spans="1:2">
      <c r="A570" s="7" t="s">
        <v>4314</v>
      </c>
      <c r="B570" s="7" t="s">
        <v>4315</v>
      </c>
    </row>
    <row r="571" spans="1:2">
      <c r="A571" s="7" t="s">
        <v>4316</v>
      </c>
      <c r="B571" s="7" t="s">
        <v>4317</v>
      </c>
    </row>
    <row r="572" spans="1:2">
      <c r="A572" s="7" t="s">
        <v>4318</v>
      </c>
      <c r="B572" s="7" t="s">
        <v>4319</v>
      </c>
    </row>
    <row r="573" spans="1:2">
      <c r="A573" s="7" t="s">
        <v>4320</v>
      </c>
      <c r="B573" s="7" t="s">
        <v>4321</v>
      </c>
    </row>
    <row r="574" spans="1:2">
      <c r="A574" s="7" t="s">
        <v>4322</v>
      </c>
      <c r="B574" s="7" t="s">
        <v>4323</v>
      </c>
    </row>
    <row r="575" spans="1:2">
      <c r="A575" s="7" t="s">
        <v>4324</v>
      </c>
      <c r="B575" s="7" t="s">
        <v>4325</v>
      </c>
    </row>
    <row r="576" spans="1:2">
      <c r="A576" s="7" t="s">
        <v>4326</v>
      </c>
      <c r="B576" s="7" t="s">
        <v>4327</v>
      </c>
    </row>
    <row r="577" spans="1:2">
      <c r="A577" s="7" t="s">
        <v>4328</v>
      </c>
      <c r="B577" s="7" t="s">
        <v>4329</v>
      </c>
    </row>
    <row r="578" spans="1:2">
      <c r="A578" s="7" t="s">
        <v>4330</v>
      </c>
      <c r="B578" s="7" t="s">
        <v>4331</v>
      </c>
    </row>
    <row r="579" spans="1:2">
      <c r="A579" s="7" t="s">
        <v>4332</v>
      </c>
      <c r="B579" s="7" t="s">
        <v>4333</v>
      </c>
    </row>
    <row r="580" spans="1:2">
      <c r="A580" s="7" t="s">
        <v>4334</v>
      </c>
      <c r="B580" s="7" t="s">
        <v>4335</v>
      </c>
    </row>
    <row r="581" spans="1:2">
      <c r="A581" s="7" t="s">
        <v>4336</v>
      </c>
      <c r="B581" s="7" t="s">
        <v>4337</v>
      </c>
    </row>
    <row r="582" spans="1:2">
      <c r="A582" s="7" t="s">
        <v>4338</v>
      </c>
      <c r="B582" s="7" t="s">
        <v>4339</v>
      </c>
    </row>
    <row r="583" spans="1:2">
      <c r="A583" s="7" t="s">
        <v>4340</v>
      </c>
      <c r="B583" s="7" t="s">
        <v>4341</v>
      </c>
    </row>
    <row r="584" spans="1:2">
      <c r="A584" s="7" t="s">
        <v>4342</v>
      </c>
      <c r="B584" s="7" t="s">
        <v>4343</v>
      </c>
    </row>
    <row r="585" spans="1:2">
      <c r="A585" s="7" t="s">
        <v>4344</v>
      </c>
      <c r="B585" s="7" t="s">
        <v>4345</v>
      </c>
    </row>
    <row r="586" spans="1:2">
      <c r="A586" s="7" t="s">
        <v>4346</v>
      </c>
      <c r="B586" s="7" t="s">
        <v>4347</v>
      </c>
    </row>
    <row r="587" spans="1:2">
      <c r="A587" s="7" t="s">
        <v>4348</v>
      </c>
      <c r="B587" s="7" t="s">
        <v>4349</v>
      </c>
    </row>
    <row r="588" spans="1:2">
      <c r="A588" s="7" t="s">
        <v>4350</v>
      </c>
      <c r="B588" s="7" t="s">
        <v>4351</v>
      </c>
    </row>
    <row r="589" spans="1:2">
      <c r="A589" s="7" t="s">
        <v>4352</v>
      </c>
      <c r="B589" s="7" t="s">
        <v>4353</v>
      </c>
    </row>
    <row r="590" spans="1:2">
      <c r="A590" s="7" t="s">
        <v>4354</v>
      </c>
      <c r="B590" s="7" t="s">
        <v>4355</v>
      </c>
    </row>
    <row r="591" spans="1:2">
      <c r="A591" s="7" t="s">
        <v>4356</v>
      </c>
      <c r="B591" s="7" t="s">
        <v>3850</v>
      </c>
    </row>
    <row r="592" spans="1:2">
      <c r="A592" s="7" t="s">
        <v>4357</v>
      </c>
      <c r="B592" s="7" t="s">
        <v>4358</v>
      </c>
    </row>
    <row r="593" spans="1:2">
      <c r="A593" s="7" t="s">
        <v>4359</v>
      </c>
      <c r="B593" s="7" t="s">
        <v>4360</v>
      </c>
    </row>
    <row r="594" spans="1:2">
      <c r="A594" s="7" t="s">
        <v>4361</v>
      </c>
      <c r="B594" s="7" t="s">
        <v>4362</v>
      </c>
    </row>
    <row r="595" spans="1:2">
      <c r="A595" s="7" t="s">
        <v>4363</v>
      </c>
      <c r="B595" s="7" t="s">
        <v>4364</v>
      </c>
    </row>
    <row r="596" spans="1:2">
      <c r="A596" s="7" t="s">
        <v>4365</v>
      </c>
      <c r="B596" s="7" t="s">
        <v>4366</v>
      </c>
    </row>
    <row r="597" spans="1:2">
      <c r="A597" s="7" t="s">
        <v>4367</v>
      </c>
      <c r="B597" s="7" t="s">
        <v>4368</v>
      </c>
    </row>
    <row r="598" spans="1:2">
      <c r="A598" s="7" t="s">
        <v>4369</v>
      </c>
      <c r="B598" s="7" t="s">
        <v>4370</v>
      </c>
    </row>
    <row r="599" spans="1:2">
      <c r="A599" s="7" t="s">
        <v>4371</v>
      </c>
      <c r="B599" s="7" t="s">
        <v>4372</v>
      </c>
    </row>
    <row r="600" spans="1:2">
      <c r="A600" s="7" t="s">
        <v>4373</v>
      </c>
      <c r="B600" s="7" t="s">
        <v>3381</v>
      </c>
    </row>
    <row r="601" spans="1:2">
      <c r="A601" s="7" t="s">
        <v>4374</v>
      </c>
      <c r="B601" s="7" t="s">
        <v>4375</v>
      </c>
    </row>
    <row r="602" spans="1:2">
      <c r="A602" s="7" t="s">
        <v>4376</v>
      </c>
      <c r="B602" s="7" t="s">
        <v>4377</v>
      </c>
    </row>
    <row r="603" spans="1:2">
      <c r="A603" s="7" t="s">
        <v>4378</v>
      </c>
      <c r="B603" s="7" t="s">
        <v>4379</v>
      </c>
    </row>
    <row r="604" spans="1:2">
      <c r="A604" s="7" t="s">
        <v>4380</v>
      </c>
      <c r="B604" s="7" t="s">
        <v>4381</v>
      </c>
    </row>
    <row r="605" spans="1:2">
      <c r="A605" s="7" t="s">
        <v>4382</v>
      </c>
      <c r="B605" s="7" t="s">
        <v>4383</v>
      </c>
    </row>
    <row r="606" spans="1:2">
      <c r="A606" s="7" t="s">
        <v>4384</v>
      </c>
      <c r="B606" s="7" t="s">
        <v>4385</v>
      </c>
    </row>
    <row r="607" spans="1:2">
      <c r="A607" s="7" t="s">
        <v>4386</v>
      </c>
      <c r="B607" s="7" t="s">
        <v>4387</v>
      </c>
    </row>
    <row r="608" spans="1:2">
      <c r="A608" s="7" t="s">
        <v>4388</v>
      </c>
      <c r="B608" s="7" t="s">
        <v>4389</v>
      </c>
    </row>
    <row r="609" spans="1:2">
      <c r="A609" s="7" t="s">
        <v>4390</v>
      </c>
      <c r="B609" s="7" t="s">
        <v>4391</v>
      </c>
    </row>
    <row r="610" spans="1:2">
      <c r="A610" s="7" t="s">
        <v>4392</v>
      </c>
      <c r="B610" s="7" t="s">
        <v>3753</v>
      </c>
    </row>
    <row r="611" spans="1:2">
      <c r="A611" s="7" t="s">
        <v>4393</v>
      </c>
      <c r="B611" s="7" t="s">
        <v>4394</v>
      </c>
    </row>
    <row r="612" spans="1:2">
      <c r="A612" s="7" t="s">
        <v>4395</v>
      </c>
      <c r="B612" s="7" t="s">
        <v>4396</v>
      </c>
    </row>
    <row r="613" spans="1:2">
      <c r="A613" s="7" t="s">
        <v>4397</v>
      </c>
      <c r="B613" s="7" t="s">
        <v>4398</v>
      </c>
    </row>
    <row r="614" spans="1:2">
      <c r="A614" s="7" t="s">
        <v>4399</v>
      </c>
      <c r="B614" s="7" t="s">
        <v>4400</v>
      </c>
    </row>
    <row r="615" spans="1:2">
      <c r="A615" s="7" t="s">
        <v>4401</v>
      </c>
      <c r="B615" s="7" t="s">
        <v>4402</v>
      </c>
    </row>
    <row r="616" spans="1:2">
      <c r="A616" s="7" t="s">
        <v>4403</v>
      </c>
      <c r="B616" s="7" t="s">
        <v>4404</v>
      </c>
    </row>
    <row r="617" spans="1:2">
      <c r="A617" s="7" t="s">
        <v>4405</v>
      </c>
      <c r="B617" s="7" t="s">
        <v>4406</v>
      </c>
    </row>
    <row r="618" spans="1:2">
      <c r="A618" s="7" t="s">
        <v>4407</v>
      </c>
      <c r="B618" s="7" t="s">
        <v>4408</v>
      </c>
    </row>
    <row r="619" spans="1:2">
      <c r="A619" s="7" t="s">
        <v>4409</v>
      </c>
      <c r="B619" s="7" t="s">
        <v>4410</v>
      </c>
    </row>
    <row r="620" spans="1:2">
      <c r="A620" s="7" t="s">
        <v>4411</v>
      </c>
      <c r="B620" s="7" t="s">
        <v>4412</v>
      </c>
    </row>
    <row r="621" spans="1:2">
      <c r="A621" s="7" t="s">
        <v>4413</v>
      </c>
      <c r="B621" s="7" t="s">
        <v>3634</v>
      </c>
    </row>
    <row r="622" spans="1:2">
      <c r="A622" s="7" t="s">
        <v>4414</v>
      </c>
      <c r="B622" s="7" t="s">
        <v>4415</v>
      </c>
    </row>
    <row r="623" spans="1:2">
      <c r="A623" s="7" t="s">
        <v>4416</v>
      </c>
      <c r="B623" s="7" t="s">
        <v>4417</v>
      </c>
    </row>
    <row r="624" spans="1:2">
      <c r="A624" s="7" t="s">
        <v>4418</v>
      </c>
      <c r="B624" s="7" t="s">
        <v>4419</v>
      </c>
    </row>
    <row r="625" spans="1:2">
      <c r="A625" s="7" t="s">
        <v>4420</v>
      </c>
      <c r="B625" s="7" t="s">
        <v>4421</v>
      </c>
    </row>
    <row r="626" spans="1:2">
      <c r="A626" s="7" t="s">
        <v>4422</v>
      </c>
      <c r="B626" s="7" t="s">
        <v>4423</v>
      </c>
    </row>
    <row r="627" spans="1:2">
      <c r="A627" s="7" t="s">
        <v>4424</v>
      </c>
      <c r="B627" s="7" t="s">
        <v>4425</v>
      </c>
    </row>
    <row r="628" spans="1:2">
      <c r="A628" s="7" t="s">
        <v>4426</v>
      </c>
      <c r="B628" s="7" t="s">
        <v>4427</v>
      </c>
    </row>
    <row r="629" spans="1:2">
      <c r="A629" s="7" t="s">
        <v>4428</v>
      </c>
      <c r="B629" s="7" t="s">
        <v>4429</v>
      </c>
    </row>
    <row r="630" spans="1:2">
      <c r="A630" s="7" t="s">
        <v>4430</v>
      </c>
      <c r="B630" s="7" t="s">
        <v>4431</v>
      </c>
    </row>
    <row r="631" spans="1:2">
      <c r="A631" s="7" t="s">
        <v>4432</v>
      </c>
      <c r="B631" s="7" t="s">
        <v>4433</v>
      </c>
    </row>
    <row r="632" spans="1:2">
      <c r="A632" s="7" t="s">
        <v>4434</v>
      </c>
      <c r="B632" s="7" t="s">
        <v>4435</v>
      </c>
    </row>
    <row r="633" spans="1:2">
      <c r="A633" s="7" t="s">
        <v>4436</v>
      </c>
      <c r="B633" s="7" t="s">
        <v>4437</v>
      </c>
    </row>
    <row r="634" spans="1:2">
      <c r="A634" s="7" t="s">
        <v>4438</v>
      </c>
      <c r="B634" s="7" t="s">
        <v>4439</v>
      </c>
    </row>
    <row r="635" spans="1:2">
      <c r="A635" s="7" t="s">
        <v>4440</v>
      </c>
      <c r="B635" s="7" t="s">
        <v>4441</v>
      </c>
    </row>
    <row r="636" spans="1:2">
      <c r="A636" s="7" t="s">
        <v>4442</v>
      </c>
      <c r="B636" s="7" t="s">
        <v>3205</v>
      </c>
    </row>
    <row r="637" spans="1:2">
      <c r="A637" s="7" t="s">
        <v>4443</v>
      </c>
      <c r="B637" s="7" t="s">
        <v>4444</v>
      </c>
    </row>
    <row r="638" spans="1:2">
      <c r="A638" s="7" t="s">
        <v>4445</v>
      </c>
      <c r="B638" s="7" t="s">
        <v>4446</v>
      </c>
    </row>
    <row r="639" spans="1:2">
      <c r="A639" s="7" t="s">
        <v>4447</v>
      </c>
      <c r="B639" s="7" t="s">
        <v>4448</v>
      </c>
    </row>
    <row r="640" spans="1:2">
      <c r="A640" s="7" t="s">
        <v>4449</v>
      </c>
      <c r="B640" s="7" t="s">
        <v>4450</v>
      </c>
    </row>
    <row r="641" spans="1:2">
      <c r="A641" s="7" t="s">
        <v>4451</v>
      </c>
      <c r="B641" s="7" t="s">
        <v>4452</v>
      </c>
    </row>
    <row r="642" spans="1:2">
      <c r="A642" s="7" t="s">
        <v>4453</v>
      </c>
      <c r="B642" s="7" t="s">
        <v>3693</v>
      </c>
    </row>
    <row r="643" spans="1:2">
      <c r="A643" s="7" t="s">
        <v>4454</v>
      </c>
      <c r="B643" s="7" t="s">
        <v>4455</v>
      </c>
    </row>
    <row r="644" spans="1:2">
      <c r="A644" s="7" t="s">
        <v>4456</v>
      </c>
      <c r="B644" s="7" t="s">
        <v>4457</v>
      </c>
    </row>
    <row r="645" spans="1:2">
      <c r="A645" s="7" t="s">
        <v>4458</v>
      </c>
      <c r="B645" s="7" t="s">
        <v>4459</v>
      </c>
    </row>
    <row r="646" spans="1:2">
      <c r="A646" s="7" t="s">
        <v>4460</v>
      </c>
      <c r="B646" s="7" t="s">
        <v>4461</v>
      </c>
    </row>
    <row r="647" spans="1:2">
      <c r="A647" s="7" t="s">
        <v>4462</v>
      </c>
      <c r="B647" s="7" t="s">
        <v>4463</v>
      </c>
    </row>
    <row r="648" spans="1:2">
      <c r="A648" s="7" t="s">
        <v>4464</v>
      </c>
      <c r="B648" s="7" t="s">
        <v>4465</v>
      </c>
    </row>
    <row r="649" spans="1:2">
      <c r="A649" s="7" t="s">
        <v>4466</v>
      </c>
      <c r="B649" s="7" t="s">
        <v>3431</v>
      </c>
    </row>
    <row r="650" spans="1:2">
      <c r="A650" s="7" t="s">
        <v>4467</v>
      </c>
      <c r="B650" s="7" t="s">
        <v>4468</v>
      </c>
    </row>
    <row r="651" spans="1:2">
      <c r="A651" s="7" t="s">
        <v>4469</v>
      </c>
      <c r="B651" s="7" t="s">
        <v>4470</v>
      </c>
    </row>
    <row r="652" spans="1:2">
      <c r="A652" s="7" t="s">
        <v>4471</v>
      </c>
      <c r="B652" s="7" t="s">
        <v>4472</v>
      </c>
    </row>
    <row r="653" spans="1:2">
      <c r="A653" s="7" t="s">
        <v>4473</v>
      </c>
      <c r="B653" s="7" t="s">
        <v>4474</v>
      </c>
    </row>
    <row r="654" spans="1:2">
      <c r="A654" s="7" t="s">
        <v>4475</v>
      </c>
      <c r="B654" s="7" t="s">
        <v>3253</v>
      </c>
    </row>
    <row r="655" spans="1:2">
      <c r="A655" s="7" t="s">
        <v>4476</v>
      </c>
      <c r="B655" s="7" t="s">
        <v>4477</v>
      </c>
    </row>
    <row r="656" spans="1:2">
      <c r="A656" s="7" t="s">
        <v>4478</v>
      </c>
      <c r="B656" s="7" t="s">
        <v>4479</v>
      </c>
    </row>
    <row r="657" spans="1:2">
      <c r="A657" s="7" t="s">
        <v>4480</v>
      </c>
      <c r="B657" s="7" t="s">
        <v>4481</v>
      </c>
    </row>
    <row r="658" spans="1:2">
      <c r="A658" s="7" t="s">
        <v>4482</v>
      </c>
      <c r="B658" s="7" t="s">
        <v>3567</v>
      </c>
    </row>
    <row r="659" spans="1:2">
      <c r="A659" s="7" t="s">
        <v>4483</v>
      </c>
      <c r="B659" s="7" t="s">
        <v>4484</v>
      </c>
    </row>
    <row r="660" spans="1:2">
      <c r="A660" s="7" t="s">
        <v>4485</v>
      </c>
      <c r="B660" s="7" t="s">
        <v>4486</v>
      </c>
    </row>
    <row r="661" spans="1:2">
      <c r="A661" s="7" t="s">
        <v>4487</v>
      </c>
      <c r="B661" s="7" t="s">
        <v>4488</v>
      </c>
    </row>
    <row r="662" spans="1:2">
      <c r="A662" s="7" t="s">
        <v>4489</v>
      </c>
      <c r="B662" s="7" t="s">
        <v>4490</v>
      </c>
    </row>
    <row r="663" spans="1:2">
      <c r="A663" s="7" t="s">
        <v>4491</v>
      </c>
      <c r="B663" s="7" t="s">
        <v>4492</v>
      </c>
    </row>
    <row r="664" spans="1:2">
      <c r="A664" s="7" t="s">
        <v>4493</v>
      </c>
      <c r="B664" s="7" t="s">
        <v>4494</v>
      </c>
    </row>
    <row r="665" spans="1:2">
      <c r="A665" s="7" t="s">
        <v>4495</v>
      </c>
      <c r="B665" s="7" t="s">
        <v>4496</v>
      </c>
    </row>
    <row r="666" spans="1:2">
      <c r="A666" s="7" t="s">
        <v>4497</v>
      </c>
      <c r="B666" s="7" t="s">
        <v>4498</v>
      </c>
    </row>
    <row r="667" spans="1:2">
      <c r="A667" s="7" t="s">
        <v>4499</v>
      </c>
      <c r="B667" s="7" t="s">
        <v>4500</v>
      </c>
    </row>
    <row r="668" spans="1:2">
      <c r="A668" s="7" t="s">
        <v>4501</v>
      </c>
      <c r="B668" s="7" t="s">
        <v>4502</v>
      </c>
    </row>
    <row r="669" spans="1:2">
      <c r="A669" s="7" t="s">
        <v>4503</v>
      </c>
      <c r="B669" s="7" t="s">
        <v>4504</v>
      </c>
    </row>
    <row r="670" spans="1:2">
      <c r="A670" s="7" t="s">
        <v>4505</v>
      </c>
      <c r="B670" s="7" t="s">
        <v>4506</v>
      </c>
    </row>
    <row r="671" spans="1:2">
      <c r="A671" s="7" t="s">
        <v>4507</v>
      </c>
      <c r="B671" s="7" t="s">
        <v>4508</v>
      </c>
    </row>
    <row r="672" spans="1:2">
      <c r="A672" s="7" t="s">
        <v>4509</v>
      </c>
      <c r="B672" s="7" t="s">
        <v>4510</v>
      </c>
    </row>
    <row r="673" spans="1:2">
      <c r="A673" s="7" t="s">
        <v>4511</v>
      </c>
      <c r="B673" s="7" t="s">
        <v>4512</v>
      </c>
    </row>
    <row r="674" spans="1:2">
      <c r="A674" s="7" t="s">
        <v>4513</v>
      </c>
      <c r="B674" s="7" t="s">
        <v>4514</v>
      </c>
    </row>
    <row r="675" spans="1:2">
      <c r="A675" s="7" t="s">
        <v>4515</v>
      </c>
      <c r="B675" s="7" t="s">
        <v>4516</v>
      </c>
    </row>
    <row r="676" spans="1:2">
      <c r="A676" s="7" t="s">
        <v>4517</v>
      </c>
      <c r="B676" s="7" t="s">
        <v>4518</v>
      </c>
    </row>
    <row r="677" spans="1:2">
      <c r="A677" s="7" t="s">
        <v>4519</v>
      </c>
      <c r="B677" s="7" t="s">
        <v>4520</v>
      </c>
    </row>
    <row r="678" spans="1:2">
      <c r="A678" s="7" t="s">
        <v>4521</v>
      </c>
      <c r="B678" s="7" t="s">
        <v>4522</v>
      </c>
    </row>
    <row r="679" spans="1:2">
      <c r="A679" s="7" t="s">
        <v>4523</v>
      </c>
      <c r="B679" s="7" t="s">
        <v>4524</v>
      </c>
    </row>
    <row r="680" spans="1:2">
      <c r="A680" s="7" t="s">
        <v>4525</v>
      </c>
      <c r="B680" s="7" t="s">
        <v>4526</v>
      </c>
    </row>
    <row r="681" spans="1:2">
      <c r="A681" s="7" t="s">
        <v>4527</v>
      </c>
      <c r="B681" s="7" t="s">
        <v>4528</v>
      </c>
    </row>
    <row r="682" spans="1:2">
      <c r="A682" s="7" t="s">
        <v>4529</v>
      </c>
      <c r="B682" s="7" t="s">
        <v>4530</v>
      </c>
    </row>
    <row r="683" spans="1:2">
      <c r="A683" s="7" t="s">
        <v>4531</v>
      </c>
      <c r="B683" s="7" t="s">
        <v>4532</v>
      </c>
    </row>
    <row r="684" spans="1:2">
      <c r="A684" s="7" t="s">
        <v>4533</v>
      </c>
      <c r="B684" s="7" t="s">
        <v>4534</v>
      </c>
    </row>
    <row r="685" spans="1:2">
      <c r="A685" s="7" t="s">
        <v>4535</v>
      </c>
      <c r="B685" s="7" t="s">
        <v>4536</v>
      </c>
    </row>
    <row r="686" spans="1:2">
      <c r="A686" s="7" t="s">
        <v>4537</v>
      </c>
      <c r="B686" s="7" t="s">
        <v>4538</v>
      </c>
    </row>
    <row r="687" spans="1:2">
      <c r="A687" s="7" t="s">
        <v>4539</v>
      </c>
      <c r="B687" s="7" t="s">
        <v>4540</v>
      </c>
    </row>
    <row r="688" spans="1:2">
      <c r="A688" s="7" t="s">
        <v>4541</v>
      </c>
      <c r="B688" s="7" t="s">
        <v>4542</v>
      </c>
    </row>
    <row r="689" spans="1:2">
      <c r="A689" s="7" t="s">
        <v>4543</v>
      </c>
      <c r="B689" s="7" t="s">
        <v>4544</v>
      </c>
    </row>
    <row r="690" spans="1:2">
      <c r="A690" s="7" t="s">
        <v>4545</v>
      </c>
      <c r="B690" s="7" t="s">
        <v>4546</v>
      </c>
    </row>
    <row r="691" spans="1:2">
      <c r="A691" s="7" t="s">
        <v>4547</v>
      </c>
      <c r="B691" s="7" t="s">
        <v>4548</v>
      </c>
    </row>
    <row r="692" spans="1:2">
      <c r="A692" s="7" t="s">
        <v>4549</v>
      </c>
      <c r="B692" s="7" t="s">
        <v>4550</v>
      </c>
    </row>
    <row r="693" spans="1:2">
      <c r="A693" s="7" t="s">
        <v>4551</v>
      </c>
      <c r="B693" s="7" t="s">
        <v>4552</v>
      </c>
    </row>
    <row r="694" spans="1:2">
      <c r="A694" s="7" t="s">
        <v>4553</v>
      </c>
      <c r="B694" s="7" t="s">
        <v>4554</v>
      </c>
    </row>
    <row r="695" spans="1:2">
      <c r="A695" s="7" t="s">
        <v>4555</v>
      </c>
      <c r="B695" s="7" t="s">
        <v>4556</v>
      </c>
    </row>
    <row r="696" spans="1:2">
      <c r="A696" s="7" t="s">
        <v>4557</v>
      </c>
      <c r="B696" s="7" t="s">
        <v>4558</v>
      </c>
    </row>
    <row r="697" spans="1:2">
      <c r="A697" s="7" t="s">
        <v>4559</v>
      </c>
      <c r="B697" s="7" t="s">
        <v>4560</v>
      </c>
    </row>
    <row r="698" spans="1:2">
      <c r="A698" s="7" t="s">
        <v>4561</v>
      </c>
      <c r="B698" s="7" t="s">
        <v>4383</v>
      </c>
    </row>
    <row r="699" spans="1:2">
      <c r="A699" s="7" t="s">
        <v>4562</v>
      </c>
      <c r="B699" s="7" t="s">
        <v>4563</v>
      </c>
    </row>
    <row r="700" spans="1:2">
      <c r="A700" s="7" t="s">
        <v>4564</v>
      </c>
      <c r="B700" s="7" t="s">
        <v>4565</v>
      </c>
    </row>
    <row r="701" spans="1:2">
      <c r="A701" s="7" t="s">
        <v>4566</v>
      </c>
      <c r="B701" s="7" t="s">
        <v>3533</v>
      </c>
    </row>
    <row r="702" spans="1:2">
      <c r="A702" s="7" t="s">
        <v>4567</v>
      </c>
      <c r="B702" s="7" t="s">
        <v>4568</v>
      </c>
    </row>
    <row r="703" spans="1:2">
      <c r="A703" s="7" t="s">
        <v>4569</v>
      </c>
      <c r="B703" s="7" t="s">
        <v>4570</v>
      </c>
    </row>
    <row r="704" spans="1:2">
      <c r="A704" s="7" t="s">
        <v>4571</v>
      </c>
      <c r="B704" s="7" t="s">
        <v>4572</v>
      </c>
    </row>
    <row r="705" spans="1:2">
      <c r="A705" s="7" t="s">
        <v>4573</v>
      </c>
      <c r="B705" s="7" t="s">
        <v>4574</v>
      </c>
    </row>
    <row r="706" spans="1:2">
      <c r="A706" s="7" t="s">
        <v>4575</v>
      </c>
      <c r="B706" s="7" t="s">
        <v>4576</v>
      </c>
    </row>
    <row r="707" spans="1:2">
      <c r="A707" s="7" t="s">
        <v>4577</v>
      </c>
      <c r="B707" s="7" t="s">
        <v>4578</v>
      </c>
    </row>
    <row r="708" spans="1:2">
      <c r="A708" s="7" t="s">
        <v>4579</v>
      </c>
      <c r="B708" s="7" t="s">
        <v>4580</v>
      </c>
    </row>
    <row r="709" spans="1:2">
      <c r="A709" s="7" t="s">
        <v>4581</v>
      </c>
      <c r="B709" s="7" t="s">
        <v>4582</v>
      </c>
    </row>
    <row r="710" spans="1:2">
      <c r="A710" s="7" t="s">
        <v>4583</v>
      </c>
      <c r="B710" s="7" t="s">
        <v>4584</v>
      </c>
    </row>
    <row r="711" spans="1:2">
      <c r="A711" s="7" t="s">
        <v>4585</v>
      </c>
      <c r="B711" s="7" t="s">
        <v>4586</v>
      </c>
    </row>
    <row r="712" spans="1:2">
      <c r="A712" s="7" t="s">
        <v>4587</v>
      </c>
      <c r="B712" s="7" t="s">
        <v>4588</v>
      </c>
    </row>
    <row r="713" spans="1:2">
      <c r="A713" s="7" t="s">
        <v>4589</v>
      </c>
      <c r="B713" s="7" t="s">
        <v>4590</v>
      </c>
    </row>
    <row r="714" spans="1:2">
      <c r="A714" s="7" t="s">
        <v>4591</v>
      </c>
      <c r="B714" s="7" t="s">
        <v>4592</v>
      </c>
    </row>
    <row r="715" spans="1:2">
      <c r="A715" s="7" t="s">
        <v>4593</v>
      </c>
      <c r="B715" s="7" t="s">
        <v>4594</v>
      </c>
    </row>
    <row r="716" spans="1:2">
      <c r="A716" s="7" t="s">
        <v>4595</v>
      </c>
      <c r="B716" s="7" t="s">
        <v>4596</v>
      </c>
    </row>
    <row r="717" spans="1:2">
      <c r="A717" s="7" t="s">
        <v>4597</v>
      </c>
      <c r="B717" s="7" t="s">
        <v>4598</v>
      </c>
    </row>
    <row r="718" spans="1:2">
      <c r="A718" s="7" t="s">
        <v>4599</v>
      </c>
      <c r="B718" s="7" t="s">
        <v>4600</v>
      </c>
    </row>
    <row r="719" spans="1:2">
      <c r="A719" s="7" t="s">
        <v>4601</v>
      </c>
      <c r="B719" s="7" t="s">
        <v>4602</v>
      </c>
    </row>
    <row r="720" spans="1:2">
      <c r="A720" s="7" t="s">
        <v>4603</v>
      </c>
      <c r="B720" s="7" t="s">
        <v>4604</v>
      </c>
    </row>
    <row r="721" spans="1:2">
      <c r="A721" s="7" t="s">
        <v>4605</v>
      </c>
      <c r="B721" s="7" t="s">
        <v>4606</v>
      </c>
    </row>
    <row r="722" spans="1:2">
      <c r="A722" s="7" t="s">
        <v>4607</v>
      </c>
      <c r="B722" s="7" t="s">
        <v>4608</v>
      </c>
    </row>
    <row r="723" spans="1:2">
      <c r="A723" s="7" t="s">
        <v>4609</v>
      </c>
      <c r="B723" s="7" t="s">
        <v>4610</v>
      </c>
    </row>
    <row r="724" spans="1:2">
      <c r="A724" s="7" t="s">
        <v>4611</v>
      </c>
      <c r="B724" s="7" t="s">
        <v>4612</v>
      </c>
    </row>
    <row r="725" spans="1:2">
      <c r="A725" s="7" t="s">
        <v>4613</v>
      </c>
      <c r="B725" s="7" t="s">
        <v>4614</v>
      </c>
    </row>
    <row r="726" spans="1:2">
      <c r="A726" s="7" t="s">
        <v>4615</v>
      </c>
      <c r="B726" s="7" t="s">
        <v>4616</v>
      </c>
    </row>
    <row r="727" spans="1:2">
      <c r="A727" s="7" t="s">
        <v>4617</v>
      </c>
      <c r="B727" s="7" t="s">
        <v>4618</v>
      </c>
    </row>
    <row r="728" spans="1:2">
      <c r="A728" s="7" t="s">
        <v>4619</v>
      </c>
      <c r="B728" s="7" t="s">
        <v>4620</v>
      </c>
    </row>
    <row r="729" spans="1:2">
      <c r="A729" s="7" t="s">
        <v>4621</v>
      </c>
      <c r="B729" s="7" t="s">
        <v>4622</v>
      </c>
    </row>
    <row r="730" spans="1:2">
      <c r="A730" s="7" t="s">
        <v>4623</v>
      </c>
      <c r="B730" s="7" t="s">
        <v>4220</v>
      </c>
    </row>
    <row r="731" spans="1:2">
      <c r="A731" s="7" t="s">
        <v>4624</v>
      </c>
      <c r="B731" s="7" t="s">
        <v>4625</v>
      </c>
    </row>
    <row r="732" spans="1:2">
      <c r="A732" s="7" t="s">
        <v>4626</v>
      </c>
      <c r="B732" s="7" t="s">
        <v>4627</v>
      </c>
    </row>
    <row r="733" spans="1:2">
      <c r="A733" s="7" t="s">
        <v>4628</v>
      </c>
      <c r="B733" s="7" t="s">
        <v>4629</v>
      </c>
    </row>
    <row r="734" spans="1:2">
      <c r="A734" s="7" t="s">
        <v>4630</v>
      </c>
      <c r="B734" s="7" t="s">
        <v>4631</v>
      </c>
    </row>
    <row r="735" spans="1:2">
      <c r="A735" s="7" t="s">
        <v>4632</v>
      </c>
      <c r="B735" s="7" t="s">
        <v>4633</v>
      </c>
    </row>
    <row r="736" spans="1:2">
      <c r="A736" s="7" t="s">
        <v>4634</v>
      </c>
      <c r="B736" s="7" t="s">
        <v>4635</v>
      </c>
    </row>
    <row r="737" spans="1:2">
      <c r="A737" s="7" t="s">
        <v>4636</v>
      </c>
      <c r="B737" s="7" t="s">
        <v>4637</v>
      </c>
    </row>
    <row r="738" spans="1:2">
      <c r="A738" s="7" t="s">
        <v>4638</v>
      </c>
      <c r="B738" s="7" t="s">
        <v>4639</v>
      </c>
    </row>
    <row r="739" spans="1:2">
      <c r="A739" s="7" t="s">
        <v>4640</v>
      </c>
      <c r="B739" s="7" t="s">
        <v>4641</v>
      </c>
    </row>
    <row r="740" spans="1:2">
      <c r="A740" s="7" t="s">
        <v>4642</v>
      </c>
      <c r="B740" s="7" t="s">
        <v>4643</v>
      </c>
    </row>
    <row r="741" spans="1:2">
      <c r="A741" s="7" t="s">
        <v>4644</v>
      </c>
      <c r="B741" s="7" t="s">
        <v>4645</v>
      </c>
    </row>
    <row r="742" spans="1:2">
      <c r="A742" s="7" t="s">
        <v>4646</v>
      </c>
      <c r="B742" s="7" t="s">
        <v>4647</v>
      </c>
    </row>
    <row r="743" spans="1:2">
      <c r="A743" s="7" t="s">
        <v>4648</v>
      </c>
      <c r="B743" s="7" t="s">
        <v>4649</v>
      </c>
    </row>
    <row r="744" spans="1:2">
      <c r="A744" s="7" t="s">
        <v>4650</v>
      </c>
      <c r="B744" s="7" t="s">
        <v>4651</v>
      </c>
    </row>
    <row r="745" spans="1:2">
      <c r="A745" s="7" t="s">
        <v>4652</v>
      </c>
      <c r="B745" s="7" t="s">
        <v>4653</v>
      </c>
    </row>
    <row r="746" spans="1:2">
      <c r="A746" s="7" t="s">
        <v>4654</v>
      </c>
      <c r="B746" s="7" t="s">
        <v>4655</v>
      </c>
    </row>
    <row r="747" spans="1:2">
      <c r="A747" s="7" t="s">
        <v>4656</v>
      </c>
      <c r="B747" s="7" t="s">
        <v>4657</v>
      </c>
    </row>
    <row r="748" spans="1:2">
      <c r="A748" s="7" t="s">
        <v>4658</v>
      </c>
      <c r="B748" s="7" t="s">
        <v>4659</v>
      </c>
    </row>
    <row r="749" spans="1:2">
      <c r="A749" s="7" t="s">
        <v>4660</v>
      </c>
      <c r="B749" s="7" t="s">
        <v>4167</v>
      </c>
    </row>
    <row r="750" spans="1:2">
      <c r="A750" s="7" t="s">
        <v>4661</v>
      </c>
      <c r="B750" s="7" t="s">
        <v>4662</v>
      </c>
    </row>
    <row r="751" spans="1:2">
      <c r="A751" s="7" t="s">
        <v>4663</v>
      </c>
      <c r="B751" s="7" t="s">
        <v>4664</v>
      </c>
    </row>
    <row r="752" spans="1:2">
      <c r="A752" s="7" t="s">
        <v>4665</v>
      </c>
      <c r="B752" s="7" t="s">
        <v>4666</v>
      </c>
    </row>
    <row r="753" spans="1:2">
      <c r="A753" s="7" t="s">
        <v>4667</v>
      </c>
      <c r="B753" s="7" t="s">
        <v>4668</v>
      </c>
    </row>
    <row r="754" spans="1:2">
      <c r="A754" s="7" t="s">
        <v>4669</v>
      </c>
      <c r="B754" s="7" t="s">
        <v>4670</v>
      </c>
    </row>
    <row r="755" spans="1:2">
      <c r="A755" s="7" t="s">
        <v>4671</v>
      </c>
      <c r="B755" s="7" t="s">
        <v>4672</v>
      </c>
    </row>
    <row r="756" spans="1:2">
      <c r="A756" s="7" t="s">
        <v>4673</v>
      </c>
      <c r="B756" s="7" t="s">
        <v>4674</v>
      </c>
    </row>
    <row r="757" spans="1:2">
      <c r="A757" s="7" t="s">
        <v>4675</v>
      </c>
      <c r="B757" s="7" t="s">
        <v>4676</v>
      </c>
    </row>
    <row r="758" spans="1:2">
      <c r="A758" s="7" t="s">
        <v>4677</v>
      </c>
      <c r="B758" s="7" t="s">
        <v>3431</v>
      </c>
    </row>
    <row r="759" spans="1:2">
      <c r="A759" s="7" t="s">
        <v>4678</v>
      </c>
      <c r="B759" s="7" t="s">
        <v>4679</v>
      </c>
    </row>
    <row r="760" spans="1:2">
      <c r="A760" s="7" t="s">
        <v>4680</v>
      </c>
      <c r="B760" s="7" t="s">
        <v>4681</v>
      </c>
    </row>
    <row r="761" spans="1:2">
      <c r="A761" s="7" t="s">
        <v>4682</v>
      </c>
      <c r="B761" s="7" t="s">
        <v>4683</v>
      </c>
    </row>
    <row r="762" spans="1:2">
      <c r="A762" s="7" t="s">
        <v>4684</v>
      </c>
      <c r="B762" s="7" t="s">
        <v>4685</v>
      </c>
    </row>
    <row r="763" spans="1:2">
      <c r="A763" s="7" t="s">
        <v>4686</v>
      </c>
      <c r="B763" s="7" t="s">
        <v>3433</v>
      </c>
    </row>
    <row r="764" spans="1:2">
      <c r="A764" s="7" t="s">
        <v>4687</v>
      </c>
      <c r="B764" s="7" t="s">
        <v>4688</v>
      </c>
    </row>
    <row r="765" spans="1:2">
      <c r="A765" s="7" t="s">
        <v>4689</v>
      </c>
      <c r="B765" s="7" t="s">
        <v>4690</v>
      </c>
    </row>
    <row r="766" spans="1:2">
      <c r="A766" s="7" t="s">
        <v>4691</v>
      </c>
      <c r="B766" s="7" t="s">
        <v>4692</v>
      </c>
    </row>
    <row r="767" spans="1:2">
      <c r="A767" s="7" t="s">
        <v>4693</v>
      </c>
      <c r="B767" s="7" t="s">
        <v>4694</v>
      </c>
    </row>
    <row r="768" spans="1:2">
      <c r="A768" s="7" t="s">
        <v>4695</v>
      </c>
      <c r="B768" s="7" t="s">
        <v>4696</v>
      </c>
    </row>
    <row r="769" spans="1:2">
      <c r="A769" s="7" t="s">
        <v>4697</v>
      </c>
      <c r="B769" s="7" t="s">
        <v>4698</v>
      </c>
    </row>
    <row r="770" spans="1:2">
      <c r="A770" s="7" t="s">
        <v>4699</v>
      </c>
      <c r="B770" s="7" t="s">
        <v>4700</v>
      </c>
    </row>
    <row r="771" spans="1:2">
      <c r="A771" s="7" t="s">
        <v>4701</v>
      </c>
      <c r="B771" s="7" t="s">
        <v>4702</v>
      </c>
    </row>
    <row r="772" spans="1:2">
      <c r="A772" s="7" t="s">
        <v>4703</v>
      </c>
      <c r="B772" s="7" t="s">
        <v>4704</v>
      </c>
    </row>
    <row r="773" spans="1:2">
      <c r="A773" s="7" t="s">
        <v>4705</v>
      </c>
      <c r="B773" s="7" t="s">
        <v>4706</v>
      </c>
    </row>
    <row r="774" spans="1:2">
      <c r="A774" s="7" t="s">
        <v>4707</v>
      </c>
      <c r="B774" s="7" t="s">
        <v>4708</v>
      </c>
    </row>
    <row r="775" spans="1:2">
      <c r="A775" s="7" t="s">
        <v>4709</v>
      </c>
      <c r="B775" s="7" t="s">
        <v>4710</v>
      </c>
    </row>
    <row r="776" spans="1:2">
      <c r="A776" s="7" t="s">
        <v>4711</v>
      </c>
      <c r="B776" s="7" t="s">
        <v>4712</v>
      </c>
    </row>
    <row r="777" spans="1:2">
      <c r="A777" s="7" t="s">
        <v>4713</v>
      </c>
      <c r="B777" s="7" t="s">
        <v>4714</v>
      </c>
    </row>
    <row r="778" spans="1:2">
      <c r="A778" s="7" t="s">
        <v>4715</v>
      </c>
      <c r="B778" s="7" t="s">
        <v>4716</v>
      </c>
    </row>
    <row r="779" spans="1:2">
      <c r="A779" s="7" t="s">
        <v>4717</v>
      </c>
      <c r="B779" s="7" t="s">
        <v>4718</v>
      </c>
    </row>
    <row r="780" spans="1:2">
      <c r="A780" s="7" t="s">
        <v>4719</v>
      </c>
      <c r="B780" s="7" t="s">
        <v>4720</v>
      </c>
    </row>
    <row r="781" spans="1:2">
      <c r="A781" s="7" t="s">
        <v>4721</v>
      </c>
      <c r="B781" s="7" t="s">
        <v>4722</v>
      </c>
    </row>
    <row r="782" spans="1:2">
      <c r="A782" s="7" t="s">
        <v>4723</v>
      </c>
      <c r="B782" s="7" t="s">
        <v>4724</v>
      </c>
    </row>
    <row r="783" spans="1:2">
      <c r="A783" s="7" t="s">
        <v>4725</v>
      </c>
      <c r="B783" s="7" t="s">
        <v>4726</v>
      </c>
    </row>
    <row r="784" spans="1:2">
      <c r="A784" s="7" t="s">
        <v>4727</v>
      </c>
      <c r="B784" s="7" t="s">
        <v>4236</v>
      </c>
    </row>
    <row r="785" spans="1:2">
      <c r="A785" s="7" t="s">
        <v>4728</v>
      </c>
      <c r="B785" s="7" t="s">
        <v>4729</v>
      </c>
    </row>
    <row r="786" spans="1:2">
      <c r="A786" s="7" t="s">
        <v>4730</v>
      </c>
      <c r="B786" s="7" t="s">
        <v>4731</v>
      </c>
    </row>
    <row r="787" spans="1:2">
      <c r="A787" s="7" t="s">
        <v>4732</v>
      </c>
      <c r="B787" s="7" t="s">
        <v>4733</v>
      </c>
    </row>
    <row r="788" spans="1:2">
      <c r="A788" s="7" t="s">
        <v>4734</v>
      </c>
      <c r="B788" s="7" t="s">
        <v>4735</v>
      </c>
    </row>
    <row r="789" spans="1:2">
      <c r="A789" s="7" t="s">
        <v>4736</v>
      </c>
      <c r="B789" s="7" t="s">
        <v>4737</v>
      </c>
    </row>
    <row r="790" spans="1:2">
      <c r="A790" s="7" t="s">
        <v>4738</v>
      </c>
      <c r="B790" s="7" t="s">
        <v>4739</v>
      </c>
    </row>
    <row r="791" spans="1:2">
      <c r="A791" s="7" t="s">
        <v>4740</v>
      </c>
      <c r="B791" s="7" t="s">
        <v>4741</v>
      </c>
    </row>
    <row r="792" spans="1:2">
      <c r="A792" s="7" t="s">
        <v>4742</v>
      </c>
      <c r="B792" s="7" t="s">
        <v>4743</v>
      </c>
    </row>
    <row r="793" spans="1:2">
      <c r="A793" s="7" t="s">
        <v>4744</v>
      </c>
      <c r="B793" s="7" t="s">
        <v>4745</v>
      </c>
    </row>
    <row r="794" spans="1:2">
      <c r="A794" s="7" t="s">
        <v>4746</v>
      </c>
      <c r="B794" s="7" t="s">
        <v>4747</v>
      </c>
    </row>
    <row r="795" spans="1:2">
      <c r="A795" s="7" t="s">
        <v>4748</v>
      </c>
      <c r="B795" s="7" t="s">
        <v>4749</v>
      </c>
    </row>
    <row r="796" spans="1:2">
      <c r="A796" s="7" t="s">
        <v>4750</v>
      </c>
      <c r="B796" s="7" t="s">
        <v>4751</v>
      </c>
    </row>
    <row r="797" spans="1:2">
      <c r="A797" s="7" t="s">
        <v>4752</v>
      </c>
      <c r="B797" s="7" t="s">
        <v>4753</v>
      </c>
    </row>
    <row r="798" spans="1:2">
      <c r="A798" s="7" t="s">
        <v>4754</v>
      </c>
      <c r="B798" s="7" t="s">
        <v>4755</v>
      </c>
    </row>
    <row r="799" spans="1:2">
      <c r="A799" s="7" t="s">
        <v>4756</v>
      </c>
      <c r="B799" s="7" t="s">
        <v>4757</v>
      </c>
    </row>
    <row r="800" spans="1:2">
      <c r="A800" s="7" t="s">
        <v>4758</v>
      </c>
      <c r="B800" s="7" t="s">
        <v>4759</v>
      </c>
    </row>
    <row r="801" spans="1:2">
      <c r="A801" s="7" t="s">
        <v>4760</v>
      </c>
      <c r="B801" s="7" t="s">
        <v>4761</v>
      </c>
    </row>
    <row r="802" spans="1:2">
      <c r="A802" s="7" t="s">
        <v>4762</v>
      </c>
      <c r="B802" s="7" t="s">
        <v>4763</v>
      </c>
    </row>
    <row r="803" spans="1:2">
      <c r="A803" s="7" t="s">
        <v>4764</v>
      </c>
      <c r="B803" s="7" t="s">
        <v>4765</v>
      </c>
    </row>
    <row r="804" spans="1:2">
      <c r="A804" s="7" t="s">
        <v>4766</v>
      </c>
      <c r="B804" s="7" t="s">
        <v>4767</v>
      </c>
    </row>
    <row r="805" spans="1:2">
      <c r="A805" s="7" t="s">
        <v>4768</v>
      </c>
      <c r="B805" s="7" t="s">
        <v>4769</v>
      </c>
    </row>
    <row r="806" spans="1:2">
      <c r="A806" s="7" t="s">
        <v>4770</v>
      </c>
      <c r="B806" s="7" t="s">
        <v>4771</v>
      </c>
    </row>
    <row r="807" spans="1:2">
      <c r="A807" s="7" t="s">
        <v>4772</v>
      </c>
      <c r="B807" s="7" t="s">
        <v>4773</v>
      </c>
    </row>
    <row r="808" spans="1:2">
      <c r="A808" s="7" t="s">
        <v>4774</v>
      </c>
      <c r="B808" s="7" t="s">
        <v>4775</v>
      </c>
    </row>
    <row r="809" spans="1:2">
      <c r="A809" s="7" t="s">
        <v>4776</v>
      </c>
      <c r="B809" s="7" t="s">
        <v>4777</v>
      </c>
    </row>
    <row r="810" spans="1:2">
      <c r="A810" s="7" t="s">
        <v>4778</v>
      </c>
      <c r="B810" s="7" t="s">
        <v>3901</v>
      </c>
    </row>
    <row r="811" spans="1:2">
      <c r="A811" s="7" t="s">
        <v>4779</v>
      </c>
      <c r="B811" s="7" t="s">
        <v>4780</v>
      </c>
    </row>
    <row r="812" spans="1:2">
      <c r="A812" s="7" t="s">
        <v>4781</v>
      </c>
      <c r="B812" s="7" t="s">
        <v>4782</v>
      </c>
    </row>
    <row r="813" spans="1:2">
      <c r="A813" s="7" t="s">
        <v>4783</v>
      </c>
      <c r="B813" s="7" t="s">
        <v>4784</v>
      </c>
    </row>
    <row r="814" spans="1:2">
      <c r="A814" s="7" t="s">
        <v>4785</v>
      </c>
      <c r="B814" s="7" t="s">
        <v>4786</v>
      </c>
    </row>
    <row r="815" spans="1:2">
      <c r="A815" s="7" t="s">
        <v>4787</v>
      </c>
      <c r="B815" s="7" t="s">
        <v>4788</v>
      </c>
    </row>
    <row r="816" spans="1:2">
      <c r="A816" s="7" t="s">
        <v>4789</v>
      </c>
      <c r="B816" s="7" t="s">
        <v>4790</v>
      </c>
    </row>
    <row r="817" spans="1:2">
      <c r="A817" s="7" t="s">
        <v>4791</v>
      </c>
      <c r="B817" s="7" t="s">
        <v>4792</v>
      </c>
    </row>
    <row r="818" spans="1:2">
      <c r="A818" s="7" t="s">
        <v>4793</v>
      </c>
      <c r="B818" s="7" t="s">
        <v>4794</v>
      </c>
    </row>
    <row r="819" spans="1:2">
      <c r="A819" s="7" t="s">
        <v>4795</v>
      </c>
      <c r="B819" s="7" t="s">
        <v>4796</v>
      </c>
    </row>
    <row r="820" spans="1:2">
      <c r="A820" s="7" t="s">
        <v>4797</v>
      </c>
      <c r="B820" s="7" t="s">
        <v>4798</v>
      </c>
    </row>
    <row r="821" spans="1:2">
      <c r="A821" s="7" t="s">
        <v>4799</v>
      </c>
      <c r="B821" s="7" t="s">
        <v>4800</v>
      </c>
    </row>
    <row r="822" spans="1:2">
      <c r="A822" s="7" t="s">
        <v>4801</v>
      </c>
      <c r="B822" s="7" t="s">
        <v>4802</v>
      </c>
    </row>
    <row r="823" spans="1:2">
      <c r="A823" s="7" t="s">
        <v>4803</v>
      </c>
      <c r="B823" s="7" t="s">
        <v>4804</v>
      </c>
    </row>
    <row r="824" spans="1:2">
      <c r="A824" s="7" t="s">
        <v>4805</v>
      </c>
      <c r="B824" s="7" t="s">
        <v>4806</v>
      </c>
    </row>
    <row r="825" spans="1:2">
      <c r="A825" s="7" t="s">
        <v>4807</v>
      </c>
      <c r="B825" s="7" t="s">
        <v>4808</v>
      </c>
    </row>
    <row r="826" spans="1:2">
      <c r="A826" s="7" t="s">
        <v>4809</v>
      </c>
      <c r="B826" s="7" t="s">
        <v>4810</v>
      </c>
    </row>
    <row r="827" spans="1:2">
      <c r="A827" s="7" t="s">
        <v>4811</v>
      </c>
      <c r="B827" s="7" t="s">
        <v>4812</v>
      </c>
    </row>
    <row r="828" spans="1:2">
      <c r="A828" s="7" t="s">
        <v>4813</v>
      </c>
      <c r="B828" s="7" t="s">
        <v>4814</v>
      </c>
    </row>
    <row r="829" spans="1:2">
      <c r="A829" s="7" t="s">
        <v>4815</v>
      </c>
      <c r="B829" s="7" t="s">
        <v>4816</v>
      </c>
    </row>
    <row r="830" spans="1:2">
      <c r="A830" s="7" t="s">
        <v>4817</v>
      </c>
      <c r="B830" s="7" t="s">
        <v>4818</v>
      </c>
    </row>
    <row r="831" spans="1:2">
      <c r="A831" s="7" t="s">
        <v>4819</v>
      </c>
      <c r="B831" s="7" t="s">
        <v>4820</v>
      </c>
    </row>
    <row r="832" spans="1:2">
      <c r="A832" s="7" t="s">
        <v>4821</v>
      </c>
      <c r="B832" s="7" t="s">
        <v>4822</v>
      </c>
    </row>
    <row r="833" spans="1:2">
      <c r="A833" s="7" t="s">
        <v>4823</v>
      </c>
      <c r="B833" s="7" t="s">
        <v>4824</v>
      </c>
    </row>
    <row r="834" spans="1:2">
      <c r="A834" s="7" t="s">
        <v>4825</v>
      </c>
      <c r="B834" s="7" t="s">
        <v>4826</v>
      </c>
    </row>
    <row r="835" spans="1:2">
      <c r="A835" s="7" t="s">
        <v>4827</v>
      </c>
      <c r="B835" s="7" t="s">
        <v>4415</v>
      </c>
    </row>
    <row r="836" spans="1:2">
      <c r="A836" s="7" t="s">
        <v>4828</v>
      </c>
      <c r="B836" s="7" t="s">
        <v>4829</v>
      </c>
    </row>
    <row r="837" spans="1:2">
      <c r="A837" s="7" t="s">
        <v>4830</v>
      </c>
      <c r="B837" s="7" t="s">
        <v>4831</v>
      </c>
    </row>
    <row r="838" spans="1:2">
      <c r="A838" s="7" t="s">
        <v>4832</v>
      </c>
      <c r="B838" s="7" t="s">
        <v>4833</v>
      </c>
    </row>
    <row r="839" spans="1:2">
      <c r="A839" s="7" t="s">
        <v>4834</v>
      </c>
      <c r="B839" s="7" t="s">
        <v>4835</v>
      </c>
    </row>
    <row r="840" spans="1:2">
      <c r="A840" s="7" t="s">
        <v>4836</v>
      </c>
      <c r="B840" s="7" t="s">
        <v>4837</v>
      </c>
    </row>
    <row r="841" spans="1:2">
      <c r="A841" s="7" t="s">
        <v>4838</v>
      </c>
      <c r="B841" s="7" t="s">
        <v>4839</v>
      </c>
    </row>
    <row r="842" spans="1:2">
      <c r="A842" s="7" t="s">
        <v>4840</v>
      </c>
      <c r="B842" s="7" t="s">
        <v>4841</v>
      </c>
    </row>
    <row r="843" spans="1:2">
      <c r="A843" s="7" t="s">
        <v>4842</v>
      </c>
      <c r="B843" s="7" t="s">
        <v>4843</v>
      </c>
    </row>
    <row r="844" spans="1:2">
      <c r="A844" s="7" t="s">
        <v>4844</v>
      </c>
      <c r="B844" s="7" t="s">
        <v>4845</v>
      </c>
    </row>
    <row r="845" spans="1:2">
      <c r="A845" s="7" t="s">
        <v>4846</v>
      </c>
      <c r="B845" s="7" t="s">
        <v>4847</v>
      </c>
    </row>
    <row r="846" spans="1:2">
      <c r="A846" s="7" t="s">
        <v>4848</v>
      </c>
      <c r="B846" s="7" t="s">
        <v>4849</v>
      </c>
    </row>
    <row r="847" spans="1:2">
      <c r="A847" s="7" t="s">
        <v>4850</v>
      </c>
      <c r="B847" s="7" t="s">
        <v>4851</v>
      </c>
    </row>
    <row r="848" spans="1:2">
      <c r="A848" s="7" t="s">
        <v>4852</v>
      </c>
      <c r="B848" s="7" t="s">
        <v>4853</v>
      </c>
    </row>
    <row r="849" spans="1:2">
      <c r="A849" s="7" t="s">
        <v>4854</v>
      </c>
      <c r="B849" s="7" t="s">
        <v>4855</v>
      </c>
    </row>
    <row r="850" spans="1:2">
      <c r="A850" s="7" t="s">
        <v>4856</v>
      </c>
      <c r="B850" s="7" t="s">
        <v>4857</v>
      </c>
    </row>
    <row r="851" spans="1:2">
      <c r="A851" s="7" t="s">
        <v>4858</v>
      </c>
      <c r="B851" s="7" t="s">
        <v>4859</v>
      </c>
    </row>
    <row r="852" spans="1:2">
      <c r="A852" s="7" t="s">
        <v>4860</v>
      </c>
      <c r="B852" s="7" t="s">
        <v>4861</v>
      </c>
    </row>
    <row r="853" spans="1:2">
      <c r="A853" s="7" t="s">
        <v>4862</v>
      </c>
      <c r="B853" s="7" t="s">
        <v>4863</v>
      </c>
    </row>
    <row r="854" spans="1:2">
      <c r="A854" s="7" t="s">
        <v>4864</v>
      </c>
      <c r="B854" s="7" t="s">
        <v>4865</v>
      </c>
    </row>
    <row r="855" spans="1:2">
      <c r="A855" s="7" t="s">
        <v>4866</v>
      </c>
      <c r="B855" s="7" t="s">
        <v>4867</v>
      </c>
    </row>
    <row r="856" spans="1:2">
      <c r="A856" s="7" t="s">
        <v>4868</v>
      </c>
      <c r="B856" s="7" t="s">
        <v>4869</v>
      </c>
    </row>
    <row r="857" spans="1:2">
      <c r="A857" s="7" t="s">
        <v>4870</v>
      </c>
      <c r="B857" s="7" t="s">
        <v>4871</v>
      </c>
    </row>
    <row r="858" spans="1:2">
      <c r="A858" s="7" t="s">
        <v>4872</v>
      </c>
      <c r="B858" s="7" t="s">
        <v>4873</v>
      </c>
    </row>
    <row r="859" spans="1:2">
      <c r="A859" s="7" t="s">
        <v>4874</v>
      </c>
      <c r="B859" s="7" t="s">
        <v>4875</v>
      </c>
    </row>
    <row r="860" spans="1:2">
      <c r="A860" s="7" t="s">
        <v>4876</v>
      </c>
      <c r="B860" s="7" t="s">
        <v>4877</v>
      </c>
    </row>
    <row r="861" spans="1:2">
      <c r="A861" s="7" t="s">
        <v>4878</v>
      </c>
      <c r="B861" s="7" t="s">
        <v>4879</v>
      </c>
    </row>
    <row r="862" spans="1:2">
      <c r="A862" s="7" t="s">
        <v>4880</v>
      </c>
      <c r="B862" s="7" t="s">
        <v>4881</v>
      </c>
    </row>
    <row r="863" spans="1:2">
      <c r="A863" s="7" t="s">
        <v>4882</v>
      </c>
      <c r="B863" s="7" t="s">
        <v>3792</v>
      </c>
    </row>
    <row r="864" spans="1:2">
      <c r="A864" s="7" t="s">
        <v>4883</v>
      </c>
      <c r="B864" s="7" t="s">
        <v>4884</v>
      </c>
    </row>
    <row r="865" spans="1:2">
      <c r="A865" s="7" t="s">
        <v>4885</v>
      </c>
      <c r="B865" s="7" t="s">
        <v>4886</v>
      </c>
    </row>
    <row r="866" spans="1:2">
      <c r="A866" s="7" t="s">
        <v>4887</v>
      </c>
      <c r="B866" s="7" t="s">
        <v>4888</v>
      </c>
    </row>
    <row r="867" spans="1:2">
      <c r="A867" s="7" t="s">
        <v>4889</v>
      </c>
      <c r="B867" s="7" t="s">
        <v>4890</v>
      </c>
    </row>
    <row r="868" spans="1:2">
      <c r="A868" s="7" t="s">
        <v>4891</v>
      </c>
      <c r="B868" s="7" t="s">
        <v>4892</v>
      </c>
    </row>
    <row r="869" spans="1:2">
      <c r="A869" s="7" t="s">
        <v>4893</v>
      </c>
      <c r="B869" s="7" t="s">
        <v>4894</v>
      </c>
    </row>
    <row r="870" spans="1:2">
      <c r="A870" s="7" t="s">
        <v>4895</v>
      </c>
      <c r="B870" s="7" t="s">
        <v>4896</v>
      </c>
    </row>
    <row r="871" spans="1:2">
      <c r="A871" s="7" t="s">
        <v>4897</v>
      </c>
      <c r="B871" s="7" t="s">
        <v>4898</v>
      </c>
    </row>
    <row r="872" spans="1:2">
      <c r="A872" s="7" t="s">
        <v>4899</v>
      </c>
      <c r="B872" s="7" t="s">
        <v>4900</v>
      </c>
    </row>
    <row r="873" spans="1:2">
      <c r="A873" s="7" t="s">
        <v>4901</v>
      </c>
      <c r="B873" s="7" t="s">
        <v>4902</v>
      </c>
    </row>
    <row r="874" spans="1:2">
      <c r="A874" s="7" t="s">
        <v>4903</v>
      </c>
      <c r="B874" s="7" t="s">
        <v>4904</v>
      </c>
    </row>
    <row r="875" spans="1:2">
      <c r="A875" s="7" t="s">
        <v>4905</v>
      </c>
      <c r="B875" s="7" t="s">
        <v>4906</v>
      </c>
    </row>
    <row r="876" spans="1:2">
      <c r="A876" s="7" t="s">
        <v>4907</v>
      </c>
      <c r="B876" s="7" t="s">
        <v>4908</v>
      </c>
    </row>
    <row r="877" spans="1:2">
      <c r="A877" s="7" t="s">
        <v>4909</v>
      </c>
      <c r="B877" s="7" t="s">
        <v>4910</v>
      </c>
    </row>
    <row r="878" spans="1:2">
      <c r="A878" s="7" t="s">
        <v>4911</v>
      </c>
      <c r="B878" s="7" t="s">
        <v>4912</v>
      </c>
    </row>
    <row r="879" spans="1:2">
      <c r="A879" s="7" t="s">
        <v>4913</v>
      </c>
      <c r="B879" s="7" t="s">
        <v>4914</v>
      </c>
    </row>
    <row r="880" spans="1:2">
      <c r="A880" s="7" t="s">
        <v>4915</v>
      </c>
      <c r="B880" s="7" t="s">
        <v>4916</v>
      </c>
    </row>
    <row r="881" spans="1:2">
      <c r="A881" s="7" t="s">
        <v>4917</v>
      </c>
      <c r="B881" s="7" t="s">
        <v>4918</v>
      </c>
    </row>
    <row r="882" spans="1:2">
      <c r="A882" s="7" t="s">
        <v>4919</v>
      </c>
      <c r="B882" s="7" t="s">
        <v>4920</v>
      </c>
    </row>
    <row r="883" spans="1:2">
      <c r="A883" s="7" t="s">
        <v>4921</v>
      </c>
      <c r="B883" s="7" t="s">
        <v>4922</v>
      </c>
    </row>
    <row r="884" spans="1:2">
      <c r="A884" s="7" t="s">
        <v>4923</v>
      </c>
      <c r="B884" s="7" t="s">
        <v>4924</v>
      </c>
    </row>
    <row r="885" spans="1:2">
      <c r="A885" s="7" t="s">
        <v>4925</v>
      </c>
      <c r="B885" s="7" t="s">
        <v>4926</v>
      </c>
    </row>
    <row r="886" spans="1:2">
      <c r="A886" s="7" t="s">
        <v>4927</v>
      </c>
      <c r="B886" s="7" t="s">
        <v>4928</v>
      </c>
    </row>
    <row r="887" spans="1:2">
      <c r="A887" s="7" t="s">
        <v>4929</v>
      </c>
      <c r="B887" s="7" t="s">
        <v>4930</v>
      </c>
    </row>
    <row r="888" spans="1:2">
      <c r="A888" s="7" t="s">
        <v>4931</v>
      </c>
      <c r="B888" s="7" t="s">
        <v>4932</v>
      </c>
    </row>
    <row r="889" spans="1:2">
      <c r="A889" s="7" t="s">
        <v>4933</v>
      </c>
      <c r="B889" s="7" t="s">
        <v>4504</v>
      </c>
    </row>
    <row r="890" spans="1:2">
      <c r="A890" s="7" t="s">
        <v>4934</v>
      </c>
      <c r="B890" s="7" t="s">
        <v>4935</v>
      </c>
    </row>
    <row r="891" spans="1:2">
      <c r="A891" s="7" t="s">
        <v>4936</v>
      </c>
      <c r="B891" s="7" t="s">
        <v>4937</v>
      </c>
    </row>
    <row r="892" spans="1:2">
      <c r="A892" s="7" t="s">
        <v>4938</v>
      </c>
      <c r="B892" s="7" t="s">
        <v>4939</v>
      </c>
    </row>
    <row r="893" spans="1:2">
      <c r="A893" s="7" t="s">
        <v>4940</v>
      </c>
      <c r="B893" s="7" t="s">
        <v>4941</v>
      </c>
    </row>
    <row r="894" spans="1:2">
      <c r="A894" s="7" t="s">
        <v>4942</v>
      </c>
      <c r="B894" s="7" t="s">
        <v>4943</v>
      </c>
    </row>
    <row r="895" spans="1:2">
      <c r="A895" s="7" t="s">
        <v>4944</v>
      </c>
      <c r="B895" s="7" t="s">
        <v>4945</v>
      </c>
    </row>
    <row r="896" spans="1:2">
      <c r="A896" s="7" t="s">
        <v>4946</v>
      </c>
      <c r="B896" s="7" t="s">
        <v>4947</v>
      </c>
    </row>
    <row r="897" spans="1:2">
      <c r="A897" s="7" t="s">
        <v>4948</v>
      </c>
      <c r="B897" s="7" t="s">
        <v>4949</v>
      </c>
    </row>
    <row r="898" spans="1:2">
      <c r="A898" s="7" t="s">
        <v>4950</v>
      </c>
      <c r="B898" s="7" t="s">
        <v>4951</v>
      </c>
    </row>
    <row r="899" spans="1:2">
      <c r="A899" s="7" t="s">
        <v>4952</v>
      </c>
      <c r="B899" s="7" t="s">
        <v>4953</v>
      </c>
    </row>
    <row r="900" spans="1:2">
      <c r="A900" s="7" t="s">
        <v>4954</v>
      </c>
      <c r="B900" s="7" t="s">
        <v>4955</v>
      </c>
    </row>
    <row r="901" spans="1:2">
      <c r="A901" s="7" t="s">
        <v>4956</v>
      </c>
      <c r="B901" s="7" t="s">
        <v>4957</v>
      </c>
    </row>
    <row r="902" spans="1:2">
      <c r="A902" s="7" t="s">
        <v>4958</v>
      </c>
      <c r="B902" s="7" t="s">
        <v>4959</v>
      </c>
    </row>
    <row r="903" spans="1:2">
      <c r="A903" s="7" t="s">
        <v>4960</v>
      </c>
      <c r="B903" s="7" t="s">
        <v>4961</v>
      </c>
    </row>
    <row r="904" spans="1:2">
      <c r="A904" s="7" t="s">
        <v>4962</v>
      </c>
      <c r="B904" s="7" t="s">
        <v>4963</v>
      </c>
    </row>
    <row r="905" spans="1:2">
      <c r="A905" s="7" t="s">
        <v>4964</v>
      </c>
      <c r="B905" s="7" t="s">
        <v>4965</v>
      </c>
    </row>
    <row r="906" spans="1:2">
      <c r="A906" s="7" t="s">
        <v>4966</v>
      </c>
      <c r="B906" s="7" t="s">
        <v>4967</v>
      </c>
    </row>
    <row r="907" spans="1:2">
      <c r="A907" s="7" t="s">
        <v>4968</v>
      </c>
      <c r="B907" s="7" t="s">
        <v>4969</v>
      </c>
    </row>
    <row r="908" spans="1:2">
      <c r="A908" s="7" t="s">
        <v>4970</v>
      </c>
      <c r="B908" s="7" t="s">
        <v>4971</v>
      </c>
    </row>
    <row r="909" spans="1:2">
      <c r="A909" s="7" t="s">
        <v>4972</v>
      </c>
      <c r="B909" s="7" t="s">
        <v>4973</v>
      </c>
    </row>
    <row r="910" spans="1:2">
      <c r="A910" s="7" t="s">
        <v>4974</v>
      </c>
      <c r="B910" s="7" t="s">
        <v>4975</v>
      </c>
    </row>
    <row r="911" spans="1:2">
      <c r="A911" s="7" t="s">
        <v>4976</v>
      </c>
      <c r="B911" s="7" t="s">
        <v>4977</v>
      </c>
    </row>
    <row r="912" spans="1:2">
      <c r="A912" s="7" t="s">
        <v>4978</v>
      </c>
      <c r="B912" s="7" t="s">
        <v>4132</v>
      </c>
    </row>
    <row r="913" spans="1:2">
      <c r="A913" s="7" t="s">
        <v>4979</v>
      </c>
      <c r="B913" s="7" t="s">
        <v>4980</v>
      </c>
    </row>
    <row r="914" spans="1:2">
      <c r="A914" s="7" t="s">
        <v>4981</v>
      </c>
      <c r="B914" s="7" t="s">
        <v>4982</v>
      </c>
    </row>
    <row r="915" spans="1:2">
      <c r="A915" s="7" t="s">
        <v>4983</v>
      </c>
      <c r="B915" s="7" t="s">
        <v>4984</v>
      </c>
    </row>
    <row r="916" spans="1:2">
      <c r="A916" s="7" t="s">
        <v>4985</v>
      </c>
      <c r="B916" s="7" t="s">
        <v>4986</v>
      </c>
    </row>
    <row r="917" spans="1:2">
      <c r="A917" s="7" t="s">
        <v>4987</v>
      </c>
      <c r="B917" s="7" t="s">
        <v>4988</v>
      </c>
    </row>
    <row r="918" spans="1:2">
      <c r="A918" s="7" t="s">
        <v>4989</v>
      </c>
      <c r="B918" s="7" t="s">
        <v>4990</v>
      </c>
    </row>
    <row r="919" spans="1:2">
      <c r="A919" s="7" t="s">
        <v>4991</v>
      </c>
      <c r="B919" s="7" t="s">
        <v>4992</v>
      </c>
    </row>
    <row r="920" spans="1:2">
      <c r="A920" s="7" t="s">
        <v>4993</v>
      </c>
      <c r="B920" s="7" t="s">
        <v>4994</v>
      </c>
    </row>
    <row r="921" spans="1:2">
      <c r="A921" s="7" t="s">
        <v>4995</v>
      </c>
      <c r="B921" s="7" t="s">
        <v>4996</v>
      </c>
    </row>
    <row r="922" spans="1:2">
      <c r="A922" s="7" t="s">
        <v>4997</v>
      </c>
      <c r="B922" s="7" t="s">
        <v>4998</v>
      </c>
    </row>
    <row r="923" spans="1:2">
      <c r="A923" s="7" t="s">
        <v>4999</v>
      </c>
      <c r="B923" s="7" t="s">
        <v>5000</v>
      </c>
    </row>
    <row r="924" spans="1:2">
      <c r="A924" s="7" t="s">
        <v>5001</v>
      </c>
      <c r="B924" s="7" t="s">
        <v>5002</v>
      </c>
    </row>
    <row r="925" spans="1:2">
      <c r="A925" s="7" t="s">
        <v>5003</v>
      </c>
      <c r="B925" s="7" t="s">
        <v>5004</v>
      </c>
    </row>
    <row r="926" spans="1:2">
      <c r="A926" s="7" t="s">
        <v>5005</v>
      </c>
      <c r="B926" s="7" t="s">
        <v>3431</v>
      </c>
    </row>
    <row r="927" spans="1:2">
      <c r="A927" s="7" t="s">
        <v>5006</v>
      </c>
      <c r="B927" s="7" t="s">
        <v>4679</v>
      </c>
    </row>
    <row r="928" spans="1:2">
      <c r="A928" s="7" t="s">
        <v>5007</v>
      </c>
      <c r="B928" s="7" t="s">
        <v>5008</v>
      </c>
    </row>
    <row r="929" spans="1:2">
      <c r="A929" s="7" t="s">
        <v>5009</v>
      </c>
      <c r="B929" s="7" t="s">
        <v>5010</v>
      </c>
    </row>
    <row r="930" spans="1:2">
      <c r="A930" s="7" t="s">
        <v>5011</v>
      </c>
      <c r="B930" s="7" t="s">
        <v>5012</v>
      </c>
    </row>
    <row r="931" spans="1:2">
      <c r="A931" s="7" t="s">
        <v>5013</v>
      </c>
      <c r="B931" s="7" t="s">
        <v>4117</v>
      </c>
    </row>
    <row r="932" spans="1:2">
      <c r="A932" s="7" t="s">
        <v>5014</v>
      </c>
      <c r="B932" s="7" t="s">
        <v>5015</v>
      </c>
    </row>
    <row r="933" spans="1:2">
      <c r="A933" s="7" t="s">
        <v>5016</v>
      </c>
      <c r="B933" s="7" t="s">
        <v>5017</v>
      </c>
    </row>
    <row r="934" spans="1:2">
      <c r="A934" s="7" t="s">
        <v>5018</v>
      </c>
      <c r="B934" s="7" t="s">
        <v>5019</v>
      </c>
    </row>
    <row r="935" spans="1:2">
      <c r="A935" s="7" t="s">
        <v>5020</v>
      </c>
      <c r="B935" s="7" t="s">
        <v>5021</v>
      </c>
    </row>
    <row r="936" spans="1:2">
      <c r="A936" s="7" t="s">
        <v>5022</v>
      </c>
      <c r="B936" s="7" t="s">
        <v>5023</v>
      </c>
    </row>
    <row r="937" spans="1:2">
      <c r="A937" s="7" t="s">
        <v>5024</v>
      </c>
      <c r="B937" s="7" t="s">
        <v>5025</v>
      </c>
    </row>
    <row r="938" spans="1:2">
      <c r="A938" s="7" t="s">
        <v>5026</v>
      </c>
      <c r="B938" s="7" t="s">
        <v>4761</v>
      </c>
    </row>
    <row r="939" spans="1:2">
      <c r="A939" s="7" t="s">
        <v>5027</v>
      </c>
      <c r="B939" s="7" t="s">
        <v>5028</v>
      </c>
    </row>
    <row r="940" spans="1:2">
      <c r="A940" s="7" t="s">
        <v>5029</v>
      </c>
      <c r="B940" s="7" t="s">
        <v>5030</v>
      </c>
    </row>
    <row r="941" spans="1:2">
      <c r="A941" s="7" t="s">
        <v>5031</v>
      </c>
      <c r="B941" s="7" t="s">
        <v>5032</v>
      </c>
    </row>
    <row r="942" spans="1:2">
      <c r="A942" s="7" t="s">
        <v>5033</v>
      </c>
      <c r="B942" s="7" t="s">
        <v>5034</v>
      </c>
    </row>
    <row r="943" spans="1:2">
      <c r="A943" s="7" t="s">
        <v>5035</v>
      </c>
      <c r="B943" s="7" t="s">
        <v>5036</v>
      </c>
    </row>
    <row r="944" spans="1:2">
      <c r="A944" s="7" t="s">
        <v>5037</v>
      </c>
      <c r="B944" s="7" t="s">
        <v>5038</v>
      </c>
    </row>
    <row r="945" spans="1:2">
      <c r="A945" s="7" t="s">
        <v>5039</v>
      </c>
      <c r="B945" s="7" t="s">
        <v>3901</v>
      </c>
    </row>
    <row r="946" spans="1:2">
      <c r="A946" s="7" t="s">
        <v>5040</v>
      </c>
      <c r="B946" s="7" t="s">
        <v>5041</v>
      </c>
    </row>
    <row r="947" spans="1:2">
      <c r="A947" s="7" t="s">
        <v>5042</v>
      </c>
      <c r="B947" s="7" t="s">
        <v>5043</v>
      </c>
    </row>
    <row r="948" spans="1:2">
      <c r="A948" s="7" t="s">
        <v>5044</v>
      </c>
      <c r="B948" s="7" t="s">
        <v>5045</v>
      </c>
    </row>
    <row r="949" spans="1:2">
      <c r="A949" s="7" t="s">
        <v>5046</v>
      </c>
      <c r="B949" s="7" t="s">
        <v>5047</v>
      </c>
    </row>
    <row r="950" spans="1:2">
      <c r="A950" s="7" t="s">
        <v>5048</v>
      </c>
      <c r="B950" s="7" t="s">
        <v>5049</v>
      </c>
    </row>
    <row r="951" spans="1:2">
      <c r="A951" s="7" t="s">
        <v>5050</v>
      </c>
      <c r="B951" s="7" t="s">
        <v>5051</v>
      </c>
    </row>
    <row r="952" spans="1:2">
      <c r="A952" s="7" t="s">
        <v>5052</v>
      </c>
      <c r="B952" s="7" t="s">
        <v>5053</v>
      </c>
    </row>
    <row r="953" spans="1:2">
      <c r="A953" s="7" t="s">
        <v>5054</v>
      </c>
      <c r="B953" s="7" t="s">
        <v>5055</v>
      </c>
    </row>
    <row r="954" spans="1:2">
      <c r="A954" s="7" t="s">
        <v>5056</v>
      </c>
      <c r="B954" s="7" t="s">
        <v>3776</v>
      </c>
    </row>
    <row r="955" spans="1:2">
      <c r="A955" s="7" t="s">
        <v>5057</v>
      </c>
      <c r="B955" s="7" t="s">
        <v>5058</v>
      </c>
    </row>
    <row r="956" spans="1:2">
      <c r="A956" s="7" t="s">
        <v>5059</v>
      </c>
      <c r="B956" s="7" t="s">
        <v>5060</v>
      </c>
    </row>
    <row r="957" spans="1:2">
      <c r="A957" s="7" t="s">
        <v>5061</v>
      </c>
      <c r="B957" s="7" t="s">
        <v>5062</v>
      </c>
    </row>
    <row r="958" spans="1:2">
      <c r="A958" s="7" t="s">
        <v>5063</v>
      </c>
      <c r="B958" s="7" t="s">
        <v>5064</v>
      </c>
    </row>
    <row r="959" spans="1:2">
      <c r="A959" s="7" t="s">
        <v>5065</v>
      </c>
      <c r="B959" s="7" t="s">
        <v>5066</v>
      </c>
    </row>
    <row r="960" spans="1:2">
      <c r="A960" s="7" t="s">
        <v>5067</v>
      </c>
      <c r="B960" s="7" t="s">
        <v>5068</v>
      </c>
    </row>
    <row r="961" spans="1:2">
      <c r="A961" s="7" t="s">
        <v>5069</v>
      </c>
      <c r="B961" s="7" t="s">
        <v>4582</v>
      </c>
    </row>
    <row r="962" spans="1:2">
      <c r="A962" s="7" t="s">
        <v>5070</v>
      </c>
      <c r="B962" s="7" t="s">
        <v>5071</v>
      </c>
    </row>
    <row r="963" spans="1:2">
      <c r="A963" s="7" t="s">
        <v>5072</v>
      </c>
      <c r="B963" s="7" t="s">
        <v>5073</v>
      </c>
    </row>
    <row r="964" spans="1:2">
      <c r="A964" s="7" t="s">
        <v>5074</v>
      </c>
      <c r="B964" s="7" t="s">
        <v>5075</v>
      </c>
    </row>
    <row r="965" spans="1:2">
      <c r="A965" s="7" t="s">
        <v>5076</v>
      </c>
      <c r="B965" s="7" t="s">
        <v>5077</v>
      </c>
    </row>
    <row r="966" spans="1:2">
      <c r="A966" s="7" t="s">
        <v>5078</v>
      </c>
      <c r="B966" s="7" t="s">
        <v>5079</v>
      </c>
    </row>
    <row r="967" spans="1:2">
      <c r="A967" s="7" t="s">
        <v>5080</v>
      </c>
      <c r="B967" s="7" t="s">
        <v>5081</v>
      </c>
    </row>
    <row r="968" spans="1:2">
      <c r="A968" s="7" t="s">
        <v>5082</v>
      </c>
      <c r="B968" s="7" t="s">
        <v>5083</v>
      </c>
    </row>
    <row r="969" spans="1:2">
      <c r="A969" s="7" t="s">
        <v>5084</v>
      </c>
      <c r="B969" s="7" t="s">
        <v>5085</v>
      </c>
    </row>
    <row r="970" spans="1:2">
      <c r="A970" s="7" t="s">
        <v>5086</v>
      </c>
      <c r="B970" s="7" t="s">
        <v>5087</v>
      </c>
    </row>
    <row r="971" spans="1:2">
      <c r="A971" s="7" t="s">
        <v>5088</v>
      </c>
      <c r="B971" s="7" t="s">
        <v>5089</v>
      </c>
    </row>
    <row r="972" spans="1:2">
      <c r="A972" s="7" t="s">
        <v>5090</v>
      </c>
      <c r="B972" s="7" t="s">
        <v>5091</v>
      </c>
    </row>
    <row r="973" spans="1:2">
      <c r="A973" s="7" t="s">
        <v>5092</v>
      </c>
      <c r="B973" s="7" t="s">
        <v>5093</v>
      </c>
    </row>
    <row r="974" spans="1:2">
      <c r="A974" s="7" t="s">
        <v>5094</v>
      </c>
      <c r="B974" s="7" t="s">
        <v>5095</v>
      </c>
    </row>
    <row r="975" spans="1:2">
      <c r="A975" s="7" t="s">
        <v>5096</v>
      </c>
      <c r="B975" s="7" t="s">
        <v>5097</v>
      </c>
    </row>
    <row r="976" spans="1:2">
      <c r="A976" s="7" t="s">
        <v>5098</v>
      </c>
      <c r="B976" s="7" t="s">
        <v>5099</v>
      </c>
    </row>
    <row r="977" spans="1:2">
      <c r="A977" s="7" t="s">
        <v>5100</v>
      </c>
      <c r="B977" s="7" t="s">
        <v>5101</v>
      </c>
    </row>
    <row r="978" spans="1:2">
      <c r="A978" s="7" t="s">
        <v>5102</v>
      </c>
      <c r="B978" s="7" t="s">
        <v>5103</v>
      </c>
    </row>
    <row r="979" spans="1:2">
      <c r="A979" s="7" t="s">
        <v>5104</v>
      </c>
      <c r="B979" s="7" t="s">
        <v>5105</v>
      </c>
    </row>
    <row r="980" spans="1:2">
      <c r="A980" s="7" t="s">
        <v>5106</v>
      </c>
      <c r="B980" s="7" t="s">
        <v>5107</v>
      </c>
    </row>
    <row r="981" spans="1:2">
      <c r="A981" s="7" t="s">
        <v>5108</v>
      </c>
      <c r="B981" s="7" t="s">
        <v>5109</v>
      </c>
    </row>
    <row r="982" spans="1:2">
      <c r="A982" s="7" t="s">
        <v>5110</v>
      </c>
      <c r="B982" s="7" t="s">
        <v>5111</v>
      </c>
    </row>
    <row r="983" spans="1:2">
      <c r="A983" s="7" t="s">
        <v>5112</v>
      </c>
      <c r="B983" s="7" t="s">
        <v>5113</v>
      </c>
    </row>
    <row r="984" spans="1:2">
      <c r="A984" s="7" t="s">
        <v>5114</v>
      </c>
      <c r="B984" s="7" t="s">
        <v>5115</v>
      </c>
    </row>
    <row r="985" spans="1:2">
      <c r="A985" s="7" t="s">
        <v>5116</v>
      </c>
      <c r="B985" s="7" t="s">
        <v>5117</v>
      </c>
    </row>
    <row r="986" spans="1:2">
      <c r="A986" s="7" t="s">
        <v>5118</v>
      </c>
      <c r="B986" s="7" t="s">
        <v>5119</v>
      </c>
    </row>
    <row r="987" spans="1:2">
      <c r="A987" s="7" t="s">
        <v>5120</v>
      </c>
      <c r="B987" s="7" t="s">
        <v>5121</v>
      </c>
    </row>
    <row r="988" spans="1:2">
      <c r="A988" s="7" t="s">
        <v>5122</v>
      </c>
      <c r="B988" s="7" t="s">
        <v>5123</v>
      </c>
    </row>
    <row r="989" spans="1:2">
      <c r="A989" s="7" t="s">
        <v>5124</v>
      </c>
      <c r="B989" s="7" t="s">
        <v>5125</v>
      </c>
    </row>
    <row r="990" spans="1:2">
      <c r="A990" s="7" t="s">
        <v>5126</v>
      </c>
      <c r="B990" s="7" t="s">
        <v>5127</v>
      </c>
    </row>
    <row r="991" spans="1:2">
      <c r="A991" s="7" t="s">
        <v>5128</v>
      </c>
      <c r="B991" s="7" t="s">
        <v>4251</v>
      </c>
    </row>
    <row r="992" spans="1:2">
      <c r="A992" s="7" t="s">
        <v>5129</v>
      </c>
      <c r="B992" s="7" t="s">
        <v>5130</v>
      </c>
    </row>
    <row r="993" spans="1:2">
      <c r="A993" s="7" t="s">
        <v>5131</v>
      </c>
      <c r="B993" s="7" t="s">
        <v>5132</v>
      </c>
    </row>
    <row r="994" spans="1:2">
      <c r="A994" s="7" t="s">
        <v>5133</v>
      </c>
      <c r="B994" s="7" t="s">
        <v>5134</v>
      </c>
    </row>
    <row r="995" spans="1:2">
      <c r="A995" s="7" t="s">
        <v>5135</v>
      </c>
      <c r="B995" s="7" t="s">
        <v>5136</v>
      </c>
    </row>
    <row r="996" spans="1:2">
      <c r="A996" s="7" t="s">
        <v>5137</v>
      </c>
      <c r="B996" s="7" t="s">
        <v>5138</v>
      </c>
    </row>
    <row r="997" spans="1:2">
      <c r="A997" s="7" t="s">
        <v>5139</v>
      </c>
      <c r="B997" s="7" t="s">
        <v>5140</v>
      </c>
    </row>
    <row r="998" spans="1:2">
      <c r="A998" s="7" t="s">
        <v>5141</v>
      </c>
      <c r="B998" s="7" t="s">
        <v>5142</v>
      </c>
    </row>
    <row r="999" spans="1:2">
      <c r="A999" s="7" t="s">
        <v>5143</v>
      </c>
      <c r="B999" s="7" t="s">
        <v>5144</v>
      </c>
    </row>
    <row r="1000" spans="1:2">
      <c r="A1000" s="7" t="s">
        <v>5145</v>
      </c>
      <c r="B1000" s="7" t="s">
        <v>5146</v>
      </c>
    </row>
    <row r="1001" spans="1:2">
      <c r="A1001" s="7" t="s">
        <v>5147</v>
      </c>
      <c r="B1001" s="7" t="s">
        <v>5148</v>
      </c>
    </row>
    <row r="1002" spans="1:2">
      <c r="A1002" s="7" t="s">
        <v>5149</v>
      </c>
      <c r="B1002" s="7" t="s">
        <v>5150</v>
      </c>
    </row>
    <row r="1003" spans="1:2">
      <c r="A1003" s="7" t="s">
        <v>5151</v>
      </c>
      <c r="B1003" s="7" t="s">
        <v>5152</v>
      </c>
    </row>
    <row r="1004" spans="1:2">
      <c r="A1004" s="7" t="s">
        <v>5153</v>
      </c>
      <c r="B1004" s="7" t="s">
        <v>5154</v>
      </c>
    </row>
    <row r="1005" spans="1:2">
      <c r="A1005" s="7" t="s">
        <v>5155</v>
      </c>
      <c r="B1005" s="7" t="s">
        <v>5156</v>
      </c>
    </row>
    <row r="1006" spans="1:2">
      <c r="A1006" s="7" t="s">
        <v>5157</v>
      </c>
      <c r="B1006" s="7" t="s">
        <v>3523</v>
      </c>
    </row>
    <row r="1007" spans="1:2">
      <c r="A1007" s="7" t="s">
        <v>5158</v>
      </c>
      <c r="B1007" s="7" t="s">
        <v>5159</v>
      </c>
    </row>
    <row r="1008" spans="1:2">
      <c r="A1008" s="7" t="s">
        <v>5160</v>
      </c>
      <c r="B1008" s="7" t="s">
        <v>5161</v>
      </c>
    </row>
    <row r="1009" spans="1:2">
      <c r="A1009" s="7" t="s">
        <v>5162</v>
      </c>
      <c r="B1009" s="7" t="s">
        <v>5163</v>
      </c>
    </row>
    <row r="1010" spans="1:2">
      <c r="A1010" s="7" t="s">
        <v>5164</v>
      </c>
      <c r="B1010" s="7" t="s">
        <v>5165</v>
      </c>
    </row>
    <row r="1011" spans="1:2">
      <c r="A1011" s="7" t="s">
        <v>5166</v>
      </c>
      <c r="B1011" s="7" t="s">
        <v>5167</v>
      </c>
    </row>
    <row r="1012" spans="1:2">
      <c r="A1012" s="7" t="s">
        <v>5168</v>
      </c>
      <c r="B1012" s="7" t="s">
        <v>5169</v>
      </c>
    </row>
    <row r="1013" spans="1:2">
      <c r="A1013" s="7" t="s">
        <v>5170</v>
      </c>
      <c r="B1013" s="7" t="s">
        <v>5171</v>
      </c>
    </row>
    <row r="1014" spans="1:2">
      <c r="A1014" s="7" t="s">
        <v>5172</v>
      </c>
      <c r="B1014" s="7" t="s">
        <v>5173</v>
      </c>
    </row>
    <row r="1015" spans="1:2">
      <c r="A1015" s="7" t="s">
        <v>5174</v>
      </c>
      <c r="B1015" s="7" t="s">
        <v>5175</v>
      </c>
    </row>
    <row r="1016" spans="1:2">
      <c r="A1016" s="7" t="s">
        <v>5176</v>
      </c>
      <c r="B1016" s="7" t="s">
        <v>5177</v>
      </c>
    </row>
    <row r="1017" spans="1:2">
      <c r="A1017" s="7" t="s">
        <v>5178</v>
      </c>
      <c r="B1017" s="7" t="s">
        <v>5179</v>
      </c>
    </row>
    <row r="1018" spans="1:2">
      <c r="A1018" s="7" t="s">
        <v>5180</v>
      </c>
      <c r="B1018" s="7" t="s">
        <v>5181</v>
      </c>
    </row>
    <row r="1019" spans="1:2">
      <c r="A1019" s="7" t="s">
        <v>5182</v>
      </c>
      <c r="B1019" s="7" t="s">
        <v>5183</v>
      </c>
    </row>
    <row r="1020" spans="1:2">
      <c r="A1020" s="7" t="s">
        <v>5184</v>
      </c>
      <c r="B1020" s="7" t="s">
        <v>5185</v>
      </c>
    </row>
    <row r="1021" spans="1:2">
      <c r="A1021" s="7" t="s">
        <v>5186</v>
      </c>
      <c r="B1021" s="7" t="s">
        <v>5187</v>
      </c>
    </row>
    <row r="1022" spans="1:2">
      <c r="A1022" s="7" t="s">
        <v>5188</v>
      </c>
      <c r="B1022" s="7" t="s">
        <v>5189</v>
      </c>
    </row>
    <row r="1023" spans="1:2">
      <c r="A1023" s="7" t="s">
        <v>5190</v>
      </c>
      <c r="B1023" s="7" t="s">
        <v>5191</v>
      </c>
    </row>
    <row r="1024" spans="1:2">
      <c r="A1024" s="7" t="s">
        <v>5192</v>
      </c>
      <c r="B1024" s="7" t="s">
        <v>5193</v>
      </c>
    </row>
    <row r="1025" spans="1:2">
      <c r="A1025" s="7" t="s">
        <v>5194</v>
      </c>
      <c r="B1025" s="7" t="s">
        <v>5195</v>
      </c>
    </row>
    <row r="1026" spans="1:2">
      <c r="A1026" s="7" t="s">
        <v>5196</v>
      </c>
      <c r="B1026" s="7" t="s">
        <v>4243</v>
      </c>
    </row>
    <row r="1027" spans="1:2">
      <c r="A1027" s="7" t="s">
        <v>5197</v>
      </c>
      <c r="B1027" s="7" t="s">
        <v>5198</v>
      </c>
    </row>
    <row r="1028" spans="1:2">
      <c r="A1028" s="7" t="s">
        <v>5199</v>
      </c>
      <c r="B1028" s="7" t="s">
        <v>5200</v>
      </c>
    </row>
    <row r="1029" spans="1:2">
      <c r="A1029" s="7" t="s">
        <v>5201</v>
      </c>
      <c r="B1029" s="7" t="s">
        <v>4672</v>
      </c>
    </row>
    <row r="1030" spans="1:2">
      <c r="A1030" s="7" t="s">
        <v>5202</v>
      </c>
      <c r="B1030" s="7" t="s">
        <v>5203</v>
      </c>
    </row>
    <row r="1031" spans="1:2">
      <c r="A1031" s="7" t="s">
        <v>5204</v>
      </c>
      <c r="B1031" s="7" t="s">
        <v>5205</v>
      </c>
    </row>
    <row r="1032" spans="1:2">
      <c r="A1032" s="7" t="s">
        <v>5206</v>
      </c>
      <c r="B1032" s="7" t="s">
        <v>5207</v>
      </c>
    </row>
    <row r="1033" spans="1:2">
      <c r="A1033" s="7" t="s">
        <v>5208</v>
      </c>
      <c r="B1033" s="7" t="s">
        <v>5209</v>
      </c>
    </row>
    <row r="1034" spans="1:2">
      <c r="A1034" s="7" t="s">
        <v>5210</v>
      </c>
      <c r="B1034" s="7" t="s">
        <v>5211</v>
      </c>
    </row>
    <row r="1035" spans="1:2">
      <c r="A1035" s="7" t="s">
        <v>5212</v>
      </c>
      <c r="B1035" s="7" t="s">
        <v>5213</v>
      </c>
    </row>
    <row r="1036" spans="1:2">
      <c r="A1036" s="7" t="s">
        <v>5214</v>
      </c>
      <c r="B1036" s="7" t="s">
        <v>5215</v>
      </c>
    </row>
    <row r="1037" spans="1:2">
      <c r="A1037" s="7" t="s">
        <v>5216</v>
      </c>
      <c r="B1037" s="7" t="s">
        <v>3679</v>
      </c>
    </row>
    <row r="1038" spans="1:2">
      <c r="A1038" s="7" t="s">
        <v>5217</v>
      </c>
      <c r="B1038" s="7" t="s">
        <v>5218</v>
      </c>
    </row>
    <row r="1039" spans="1:2">
      <c r="A1039" s="7" t="s">
        <v>5219</v>
      </c>
      <c r="B1039" s="7" t="s">
        <v>5220</v>
      </c>
    </row>
    <row r="1040" spans="1:2">
      <c r="A1040" s="7" t="s">
        <v>5221</v>
      </c>
      <c r="B1040" s="7" t="s">
        <v>4826</v>
      </c>
    </row>
    <row r="1041" spans="1:2">
      <c r="A1041" s="7" t="s">
        <v>5222</v>
      </c>
      <c r="B1041" s="7" t="s">
        <v>5223</v>
      </c>
    </row>
    <row r="1042" spans="1:2">
      <c r="A1042" s="7" t="s">
        <v>5224</v>
      </c>
      <c r="B1042" s="7" t="s">
        <v>5225</v>
      </c>
    </row>
    <row r="1043" spans="1:2">
      <c r="A1043" s="7" t="s">
        <v>5226</v>
      </c>
      <c r="B1043" s="7" t="s">
        <v>5227</v>
      </c>
    </row>
    <row r="1044" spans="1:2">
      <c r="A1044" s="7" t="s">
        <v>5228</v>
      </c>
      <c r="B1044" s="7" t="s">
        <v>5229</v>
      </c>
    </row>
    <row r="1045" spans="1:2">
      <c r="A1045" s="7" t="s">
        <v>5230</v>
      </c>
      <c r="B1045" s="7" t="s">
        <v>5231</v>
      </c>
    </row>
    <row r="1046" spans="1:2">
      <c r="A1046" s="7" t="s">
        <v>5232</v>
      </c>
      <c r="B1046" s="7" t="s">
        <v>5233</v>
      </c>
    </row>
    <row r="1047" spans="1:2">
      <c r="A1047" s="7" t="s">
        <v>5234</v>
      </c>
      <c r="B1047" s="7" t="s">
        <v>5235</v>
      </c>
    </row>
    <row r="1048" spans="1:2">
      <c r="A1048" s="7" t="s">
        <v>5236</v>
      </c>
      <c r="B1048" s="7" t="s">
        <v>5237</v>
      </c>
    </row>
    <row r="1049" spans="1:2">
      <c r="A1049" s="7" t="s">
        <v>5238</v>
      </c>
      <c r="B1049" s="7" t="s">
        <v>5239</v>
      </c>
    </row>
    <row r="1050" spans="1:2">
      <c r="A1050" s="7" t="s">
        <v>5240</v>
      </c>
      <c r="B1050" s="7" t="s">
        <v>5241</v>
      </c>
    </row>
    <row r="1051" spans="1:2">
      <c r="A1051" s="7" t="s">
        <v>5242</v>
      </c>
      <c r="B1051" s="7" t="s">
        <v>5243</v>
      </c>
    </row>
    <row r="1052" spans="1:2">
      <c r="A1052" s="7" t="s">
        <v>5244</v>
      </c>
      <c r="B1052" s="7" t="s">
        <v>4039</v>
      </c>
    </row>
    <row r="1053" spans="1:2">
      <c r="A1053" s="7" t="s">
        <v>5245</v>
      </c>
      <c r="B1053" s="7" t="s">
        <v>3539</v>
      </c>
    </row>
    <row r="1054" spans="1:2">
      <c r="A1054" s="7" t="s">
        <v>5246</v>
      </c>
      <c r="B1054" s="7" t="s">
        <v>5247</v>
      </c>
    </row>
    <row r="1055" spans="1:2">
      <c r="A1055" s="7" t="s">
        <v>5248</v>
      </c>
      <c r="B1055" s="7" t="s">
        <v>5249</v>
      </c>
    </row>
    <row r="1056" spans="1:2">
      <c r="A1056" s="7" t="s">
        <v>5250</v>
      </c>
      <c r="B1056" s="7" t="s">
        <v>5251</v>
      </c>
    </row>
    <row r="1057" spans="1:2">
      <c r="A1057" s="7" t="s">
        <v>5252</v>
      </c>
      <c r="B1057" s="7" t="s">
        <v>5253</v>
      </c>
    </row>
    <row r="1058" spans="1:2">
      <c r="A1058" s="7" t="s">
        <v>5254</v>
      </c>
      <c r="B1058" s="7" t="s">
        <v>5255</v>
      </c>
    </row>
    <row r="1059" spans="1:2">
      <c r="A1059" s="7" t="s">
        <v>5256</v>
      </c>
      <c r="B1059" s="7" t="s">
        <v>5257</v>
      </c>
    </row>
    <row r="1060" spans="1:2">
      <c r="A1060" s="7" t="s">
        <v>5258</v>
      </c>
      <c r="B1060" s="7" t="s">
        <v>5259</v>
      </c>
    </row>
    <row r="1061" spans="1:2">
      <c r="A1061" s="7" t="s">
        <v>5260</v>
      </c>
      <c r="B1061" s="7" t="s">
        <v>5261</v>
      </c>
    </row>
    <row r="1062" spans="1:2">
      <c r="A1062" s="7" t="s">
        <v>5262</v>
      </c>
      <c r="B1062" s="7" t="s">
        <v>5263</v>
      </c>
    </row>
    <row r="1063" spans="1:2">
      <c r="A1063" s="7" t="s">
        <v>5264</v>
      </c>
      <c r="B1063" s="7" t="s">
        <v>3475</v>
      </c>
    </row>
    <row r="1064" spans="1:2">
      <c r="A1064" s="7" t="s">
        <v>5265</v>
      </c>
      <c r="B1064" s="7" t="s">
        <v>5266</v>
      </c>
    </row>
    <row r="1065" spans="1:2">
      <c r="A1065" s="7" t="s">
        <v>5267</v>
      </c>
      <c r="B1065" s="7" t="s">
        <v>5268</v>
      </c>
    </row>
    <row r="1066" spans="1:2">
      <c r="A1066" s="7" t="s">
        <v>5269</v>
      </c>
      <c r="B1066" s="7" t="s">
        <v>5270</v>
      </c>
    </row>
    <row r="1067" spans="1:2">
      <c r="A1067" s="7" t="s">
        <v>5271</v>
      </c>
      <c r="B1067" s="7" t="s">
        <v>5272</v>
      </c>
    </row>
    <row r="1068" spans="1:2">
      <c r="A1068" s="7" t="s">
        <v>5273</v>
      </c>
      <c r="B1068" s="7" t="s">
        <v>5274</v>
      </c>
    </row>
    <row r="1069" spans="1:2">
      <c r="A1069" s="7" t="s">
        <v>5275</v>
      </c>
      <c r="B1069" s="7" t="s">
        <v>5276</v>
      </c>
    </row>
    <row r="1070" spans="1:2">
      <c r="A1070" s="7" t="s">
        <v>5277</v>
      </c>
      <c r="B1070" s="7" t="s">
        <v>5278</v>
      </c>
    </row>
    <row r="1071" spans="1:2">
      <c r="A1071" s="7" t="s">
        <v>5279</v>
      </c>
      <c r="B1071" s="7" t="s">
        <v>5280</v>
      </c>
    </row>
    <row r="1072" spans="1:2">
      <c r="A1072" s="7" t="s">
        <v>5281</v>
      </c>
      <c r="B1072" s="7" t="s">
        <v>5282</v>
      </c>
    </row>
    <row r="1073" spans="1:2">
      <c r="A1073" s="7" t="s">
        <v>5283</v>
      </c>
      <c r="B1073" s="7" t="s">
        <v>5284</v>
      </c>
    </row>
    <row r="1074" spans="1:2">
      <c r="A1074" s="7" t="s">
        <v>5285</v>
      </c>
      <c r="B1074" s="7" t="s">
        <v>5286</v>
      </c>
    </row>
    <row r="1075" spans="1:2">
      <c r="A1075" s="7" t="s">
        <v>5287</v>
      </c>
      <c r="B1075" s="7" t="s">
        <v>5288</v>
      </c>
    </row>
    <row r="1076" spans="1:2">
      <c r="A1076" s="7" t="s">
        <v>5289</v>
      </c>
      <c r="B1076" s="7" t="s">
        <v>5290</v>
      </c>
    </row>
    <row r="1077" spans="1:2">
      <c r="A1077" s="7" t="s">
        <v>5291</v>
      </c>
      <c r="B1077" s="7" t="s">
        <v>5292</v>
      </c>
    </row>
    <row r="1078" spans="1:2">
      <c r="A1078" s="7" t="s">
        <v>5293</v>
      </c>
      <c r="B1078" s="7" t="s">
        <v>5294</v>
      </c>
    </row>
    <row r="1079" spans="1:2">
      <c r="A1079" s="7" t="s">
        <v>5295</v>
      </c>
      <c r="B1079" s="7" t="s">
        <v>5296</v>
      </c>
    </row>
    <row r="1080" spans="1:2">
      <c r="A1080" s="7" t="s">
        <v>5297</v>
      </c>
      <c r="B1080" s="7" t="s">
        <v>5298</v>
      </c>
    </row>
    <row r="1081" spans="1:2">
      <c r="A1081" s="7" t="s">
        <v>5299</v>
      </c>
      <c r="B1081" s="7" t="s">
        <v>5300</v>
      </c>
    </row>
    <row r="1082" spans="1:2">
      <c r="A1082" s="7" t="s">
        <v>5301</v>
      </c>
      <c r="B1082" s="7" t="s">
        <v>5302</v>
      </c>
    </row>
    <row r="1083" spans="1:2">
      <c r="A1083" s="7" t="s">
        <v>5303</v>
      </c>
      <c r="B1083" s="7" t="s">
        <v>5304</v>
      </c>
    </row>
    <row r="1084" spans="1:2">
      <c r="A1084" s="7" t="s">
        <v>5305</v>
      </c>
      <c r="B1084" s="7" t="s">
        <v>5306</v>
      </c>
    </row>
    <row r="1085" spans="1:2">
      <c r="A1085" s="7" t="s">
        <v>5307</v>
      </c>
      <c r="B1085" s="7" t="s">
        <v>5308</v>
      </c>
    </row>
    <row r="1086" spans="1:2">
      <c r="A1086" s="7" t="s">
        <v>5309</v>
      </c>
      <c r="B1086" s="7" t="s">
        <v>5310</v>
      </c>
    </row>
    <row r="1087" spans="1:2">
      <c r="A1087" s="7" t="s">
        <v>5311</v>
      </c>
      <c r="B1087" s="7" t="s">
        <v>5312</v>
      </c>
    </row>
    <row r="1088" spans="1:2">
      <c r="A1088" s="7" t="s">
        <v>5313</v>
      </c>
      <c r="B1088" s="7" t="s">
        <v>5314</v>
      </c>
    </row>
    <row r="1089" spans="1:2">
      <c r="A1089" s="7" t="s">
        <v>5315</v>
      </c>
      <c r="B1089" s="7" t="s">
        <v>5316</v>
      </c>
    </row>
    <row r="1090" spans="1:2">
      <c r="A1090" s="7" t="s">
        <v>5317</v>
      </c>
      <c r="B1090" s="7" t="s">
        <v>5318</v>
      </c>
    </row>
    <row r="1091" spans="1:2">
      <c r="A1091" s="7" t="s">
        <v>5319</v>
      </c>
      <c r="B1091" s="7" t="s">
        <v>5320</v>
      </c>
    </row>
    <row r="1092" spans="1:2">
      <c r="A1092" s="7" t="s">
        <v>5321</v>
      </c>
      <c r="B1092" s="7" t="s">
        <v>5322</v>
      </c>
    </row>
    <row r="1093" spans="1:2">
      <c r="A1093" s="7" t="s">
        <v>5323</v>
      </c>
      <c r="B1093" s="7" t="s">
        <v>5324</v>
      </c>
    </row>
    <row r="1094" spans="1:2">
      <c r="A1094" s="7" t="s">
        <v>5325</v>
      </c>
      <c r="B1094" s="7" t="s">
        <v>5326</v>
      </c>
    </row>
    <row r="1095" spans="1:2">
      <c r="A1095" s="7" t="s">
        <v>5327</v>
      </c>
      <c r="B1095" s="7" t="s">
        <v>3723</v>
      </c>
    </row>
    <row r="1096" spans="1:2">
      <c r="A1096" s="7" t="s">
        <v>5328</v>
      </c>
      <c r="B1096" s="7" t="s">
        <v>5329</v>
      </c>
    </row>
    <row r="1097" spans="1:2">
      <c r="A1097" s="7" t="s">
        <v>5330</v>
      </c>
      <c r="B1097" s="7" t="s">
        <v>5331</v>
      </c>
    </row>
    <row r="1098" spans="1:2">
      <c r="A1098" s="7" t="s">
        <v>5332</v>
      </c>
      <c r="B1098" s="7" t="s">
        <v>5333</v>
      </c>
    </row>
    <row r="1099" spans="1:2">
      <c r="A1099" s="7" t="s">
        <v>5334</v>
      </c>
      <c r="B1099" s="7" t="s">
        <v>5335</v>
      </c>
    </row>
    <row r="1100" spans="1:2">
      <c r="A1100" s="7" t="s">
        <v>5336</v>
      </c>
      <c r="B1100" s="7" t="s">
        <v>5337</v>
      </c>
    </row>
    <row r="1101" spans="1:2">
      <c r="A1101" s="7" t="s">
        <v>5338</v>
      </c>
      <c r="B1101" s="7" t="s">
        <v>5339</v>
      </c>
    </row>
    <row r="1102" spans="1:2">
      <c r="A1102" s="7" t="s">
        <v>5340</v>
      </c>
      <c r="B1102" s="7" t="s">
        <v>5341</v>
      </c>
    </row>
    <row r="1103" spans="1:2">
      <c r="A1103" s="7" t="s">
        <v>5342</v>
      </c>
      <c r="B1103" s="7" t="s">
        <v>5343</v>
      </c>
    </row>
    <row r="1104" spans="1:2">
      <c r="A1104" s="7" t="s">
        <v>5344</v>
      </c>
      <c r="B1104" s="7" t="s">
        <v>5345</v>
      </c>
    </row>
    <row r="1105" spans="1:2">
      <c r="A1105" s="7" t="s">
        <v>5346</v>
      </c>
      <c r="B1105" s="7" t="s">
        <v>4325</v>
      </c>
    </row>
    <row r="1106" spans="1:2">
      <c r="A1106" s="7" t="s">
        <v>5347</v>
      </c>
      <c r="B1106" s="7" t="s">
        <v>5348</v>
      </c>
    </row>
    <row r="1107" spans="1:2">
      <c r="A1107" s="7" t="s">
        <v>5349</v>
      </c>
      <c r="B1107" s="7" t="s">
        <v>5350</v>
      </c>
    </row>
    <row r="1108" spans="1:2">
      <c r="A1108" s="7" t="s">
        <v>5351</v>
      </c>
      <c r="B1108" s="7" t="s">
        <v>5352</v>
      </c>
    </row>
    <row r="1109" spans="1:2">
      <c r="A1109" s="7" t="s">
        <v>5353</v>
      </c>
      <c r="B1109" s="7" t="s">
        <v>5354</v>
      </c>
    </row>
    <row r="1110" spans="1:2">
      <c r="A1110" s="7" t="s">
        <v>5355</v>
      </c>
      <c r="B1110" s="7" t="s">
        <v>5356</v>
      </c>
    </row>
    <row r="1111" spans="1:2">
      <c r="A1111" s="7" t="s">
        <v>5357</v>
      </c>
      <c r="B1111" s="7" t="s">
        <v>3743</v>
      </c>
    </row>
    <row r="1112" spans="1:2">
      <c r="A1112" s="7" t="s">
        <v>5358</v>
      </c>
      <c r="B1112" s="7" t="s">
        <v>5359</v>
      </c>
    </row>
    <row r="1113" spans="1:2">
      <c r="A1113" s="7" t="s">
        <v>5360</v>
      </c>
      <c r="B1113" s="7" t="s">
        <v>5361</v>
      </c>
    </row>
    <row r="1114" spans="1:2">
      <c r="A1114" s="7" t="s">
        <v>5362</v>
      </c>
      <c r="B1114" s="7" t="s">
        <v>5363</v>
      </c>
    </row>
    <row r="1115" spans="1:2">
      <c r="A1115" s="7" t="s">
        <v>5364</v>
      </c>
      <c r="B1115" s="7" t="s">
        <v>5365</v>
      </c>
    </row>
    <row r="1116" spans="1:2">
      <c r="A1116" s="7" t="s">
        <v>5366</v>
      </c>
      <c r="B1116" s="7" t="s">
        <v>5367</v>
      </c>
    </row>
    <row r="1117" spans="1:2">
      <c r="A1117" s="7" t="s">
        <v>5368</v>
      </c>
      <c r="B1117" s="7" t="s">
        <v>5369</v>
      </c>
    </row>
    <row r="1118" spans="1:2">
      <c r="A1118" s="7" t="s">
        <v>5370</v>
      </c>
      <c r="B1118" s="7" t="s">
        <v>5371</v>
      </c>
    </row>
    <row r="1119" spans="1:2">
      <c r="A1119" s="7" t="s">
        <v>5372</v>
      </c>
      <c r="B1119" s="7" t="s">
        <v>5373</v>
      </c>
    </row>
    <row r="1120" spans="1:2">
      <c r="A1120" s="7" t="s">
        <v>5374</v>
      </c>
      <c r="B1120" s="7" t="s">
        <v>5375</v>
      </c>
    </row>
    <row r="1121" spans="1:2">
      <c r="A1121" s="7" t="s">
        <v>5376</v>
      </c>
      <c r="B1121" s="7" t="s">
        <v>5377</v>
      </c>
    </row>
    <row r="1122" spans="1:2">
      <c r="A1122" s="7" t="s">
        <v>5378</v>
      </c>
      <c r="B1122" s="7" t="s">
        <v>5379</v>
      </c>
    </row>
    <row r="1123" spans="1:2">
      <c r="A1123" s="7" t="s">
        <v>5380</v>
      </c>
      <c r="B1123" s="7" t="s">
        <v>5381</v>
      </c>
    </row>
    <row r="1124" spans="1:2">
      <c r="A1124" s="7" t="s">
        <v>5382</v>
      </c>
      <c r="B1124" s="7" t="s">
        <v>5383</v>
      </c>
    </row>
    <row r="1125" spans="1:2">
      <c r="A1125" s="7" t="s">
        <v>5384</v>
      </c>
      <c r="B1125" s="7" t="s">
        <v>5385</v>
      </c>
    </row>
    <row r="1126" spans="1:2">
      <c r="A1126" s="7" t="s">
        <v>5386</v>
      </c>
      <c r="B1126" s="7" t="s">
        <v>5387</v>
      </c>
    </row>
    <row r="1127" spans="1:2">
      <c r="A1127" s="7" t="s">
        <v>5388</v>
      </c>
      <c r="B1127" s="7" t="s">
        <v>5389</v>
      </c>
    </row>
    <row r="1128" spans="1:2">
      <c r="A1128" s="7" t="s">
        <v>5390</v>
      </c>
      <c r="B1128" s="7" t="s">
        <v>5391</v>
      </c>
    </row>
    <row r="1129" spans="1:2">
      <c r="A1129" s="7" t="s">
        <v>5392</v>
      </c>
      <c r="B1129" s="7" t="s">
        <v>5393</v>
      </c>
    </row>
    <row r="1130" spans="1:2">
      <c r="A1130" s="7" t="s">
        <v>5394</v>
      </c>
      <c r="B1130" s="7" t="s">
        <v>5395</v>
      </c>
    </row>
    <row r="1131" spans="1:2">
      <c r="A1131" s="7" t="s">
        <v>5396</v>
      </c>
      <c r="B1131" s="7" t="s">
        <v>5397</v>
      </c>
    </row>
    <row r="1132" spans="1:2">
      <c r="A1132" s="7" t="s">
        <v>5398</v>
      </c>
      <c r="B1132" s="7" t="s">
        <v>5399</v>
      </c>
    </row>
    <row r="1133" spans="1:2">
      <c r="A1133" s="7" t="s">
        <v>5400</v>
      </c>
      <c r="B1133" s="7" t="s">
        <v>5401</v>
      </c>
    </row>
    <row r="1134" spans="1:2">
      <c r="A1134" s="7" t="s">
        <v>5402</v>
      </c>
      <c r="B1134" s="7" t="s">
        <v>5403</v>
      </c>
    </row>
    <row r="1135" spans="1:2">
      <c r="A1135" s="7" t="s">
        <v>5404</v>
      </c>
      <c r="B1135" s="7" t="s">
        <v>5405</v>
      </c>
    </row>
    <row r="1136" spans="1:2">
      <c r="A1136" s="7" t="s">
        <v>5406</v>
      </c>
      <c r="B1136" s="7" t="s">
        <v>5407</v>
      </c>
    </row>
    <row r="1137" spans="1:2">
      <c r="A1137" s="7" t="s">
        <v>5408</v>
      </c>
      <c r="B1137" s="7" t="s">
        <v>5409</v>
      </c>
    </row>
    <row r="1138" spans="1:2">
      <c r="A1138" s="7" t="s">
        <v>5410</v>
      </c>
      <c r="B1138" s="7" t="s">
        <v>5411</v>
      </c>
    </row>
    <row r="1139" spans="1:2">
      <c r="A1139" s="7" t="s">
        <v>5412</v>
      </c>
      <c r="B1139" s="7" t="s">
        <v>5413</v>
      </c>
    </row>
    <row r="1140" spans="1:2">
      <c r="A1140" s="7" t="s">
        <v>5414</v>
      </c>
      <c r="B1140" s="7" t="s">
        <v>5415</v>
      </c>
    </row>
    <row r="1141" spans="1:2">
      <c r="A1141" s="7" t="s">
        <v>5416</v>
      </c>
      <c r="B1141" s="7" t="s">
        <v>5417</v>
      </c>
    </row>
    <row r="1142" spans="1:2">
      <c r="A1142" s="7" t="s">
        <v>5418</v>
      </c>
      <c r="B1142" s="7" t="s">
        <v>5419</v>
      </c>
    </row>
    <row r="1143" spans="1:2">
      <c r="A1143" s="7" t="s">
        <v>5420</v>
      </c>
      <c r="B1143" s="7" t="s">
        <v>5421</v>
      </c>
    </row>
    <row r="1144" spans="1:2">
      <c r="A1144" s="7" t="s">
        <v>5422</v>
      </c>
      <c r="B1144" s="7" t="s">
        <v>5423</v>
      </c>
    </row>
    <row r="1145" spans="1:2">
      <c r="A1145" s="7" t="s">
        <v>5424</v>
      </c>
      <c r="B1145" s="7" t="s">
        <v>5425</v>
      </c>
    </row>
    <row r="1146" spans="1:2">
      <c r="A1146" s="7" t="s">
        <v>5426</v>
      </c>
      <c r="B1146" s="7" t="s">
        <v>5427</v>
      </c>
    </row>
    <row r="1147" spans="1:2">
      <c r="A1147" s="7" t="s">
        <v>5428</v>
      </c>
      <c r="B1147" s="7" t="s">
        <v>5429</v>
      </c>
    </row>
    <row r="1148" spans="1:2">
      <c r="A1148" s="7" t="s">
        <v>5430</v>
      </c>
      <c r="B1148" s="7" t="s">
        <v>5431</v>
      </c>
    </row>
    <row r="1149" spans="1:2">
      <c r="A1149" s="7" t="s">
        <v>5432</v>
      </c>
      <c r="B1149" s="7" t="s">
        <v>5433</v>
      </c>
    </row>
    <row r="1150" spans="1:2">
      <c r="A1150" s="7" t="s">
        <v>5434</v>
      </c>
      <c r="B1150" s="7" t="s">
        <v>5023</v>
      </c>
    </row>
    <row r="1151" spans="1:2">
      <c r="A1151" s="7" t="s">
        <v>5435</v>
      </c>
      <c r="B1151" s="7" t="s">
        <v>5436</v>
      </c>
    </row>
    <row r="1152" spans="1:2">
      <c r="A1152" s="7" t="s">
        <v>5437</v>
      </c>
      <c r="B1152" s="7" t="s">
        <v>5438</v>
      </c>
    </row>
    <row r="1153" spans="1:2">
      <c r="A1153" s="7" t="s">
        <v>5439</v>
      </c>
      <c r="B1153" s="7" t="s">
        <v>5440</v>
      </c>
    </row>
    <row r="1154" spans="1:2">
      <c r="A1154" s="7" t="s">
        <v>5441</v>
      </c>
      <c r="B1154" s="7" t="s">
        <v>5442</v>
      </c>
    </row>
    <row r="1155" spans="1:2">
      <c r="A1155" s="7" t="s">
        <v>5443</v>
      </c>
      <c r="B1155" s="7" t="s">
        <v>5444</v>
      </c>
    </row>
    <row r="1156" spans="1:2">
      <c r="A1156" s="7" t="s">
        <v>5445</v>
      </c>
      <c r="B1156" s="7" t="s">
        <v>5446</v>
      </c>
    </row>
    <row r="1157" spans="1:2">
      <c r="A1157" s="7" t="s">
        <v>5447</v>
      </c>
      <c r="B1157" s="7" t="s">
        <v>5448</v>
      </c>
    </row>
    <row r="1158" spans="1:2">
      <c r="A1158" s="7" t="s">
        <v>5449</v>
      </c>
      <c r="B1158" s="7" t="s">
        <v>5450</v>
      </c>
    </row>
    <row r="1159" spans="1:2">
      <c r="A1159" s="7" t="s">
        <v>5451</v>
      </c>
      <c r="B1159" s="7" t="s">
        <v>5452</v>
      </c>
    </row>
    <row r="1160" spans="1:2">
      <c r="A1160" s="7" t="s">
        <v>5453</v>
      </c>
      <c r="B1160" s="7" t="s">
        <v>5454</v>
      </c>
    </row>
    <row r="1161" spans="1:2">
      <c r="A1161" s="7" t="s">
        <v>5455</v>
      </c>
      <c r="B1161" s="7" t="s">
        <v>5456</v>
      </c>
    </row>
    <row r="1162" spans="1:2">
      <c r="A1162" s="7" t="s">
        <v>5457</v>
      </c>
      <c r="B1162" s="7" t="s">
        <v>5458</v>
      </c>
    </row>
    <row r="1163" spans="1:2">
      <c r="A1163" s="7" t="s">
        <v>5459</v>
      </c>
      <c r="B1163" s="7" t="s">
        <v>5460</v>
      </c>
    </row>
    <row r="1164" spans="1:2">
      <c r="A1164" s="7" t="s">
        <v>5461</v>
      </c>
      <c r="B1164" s="7" t="s">
        <v>5462</v>
      </c>
    </row>
    <row r="1165" spans="1:2">
      <c r="A1165" s="7" t="s">
        <v>5463</v>
      </c>
      <c r="B1165" s="7" t="s">
        <v>3683</v>
      </c>
    </row>
    <row r="1166" spans="1:2">
      <c r="A1166" s="7" t="s">
        <v>5464</v>
      </c>
      <c r="B1166" s="7" t="s">
        <v>5465</v>
      </c>
    </row>
    <row r="1167" spans="1:2">
      <c r="A1167" s="7" t="s">
        <v>5466</v>
      </c>
      <c r="B1167" s="7" t="s">
        <v>5467</v>
      </c>
    </row>
    <row r="1168" spans="1:2">
      <c r="A1168" s="7" t="s">
        <v>5468</v>
      </c>
      <c r="B1168" s="7" t="s">
        <v>5469</v>
      </c>
    </row>
    <row r="1169" spans="1:2">
      <c r="A1169" s="7" t="s">
        <v>5470</v>
      </c>
      <c r="B1169" s="7" t="s">
        <v>5471</v>
      </c>
    </row>
    <row r="1170" spans="1:2">
      <c r="A1170" s="7" t="s">
        <v>5472</v>
      </c>
      <c r="B1170" s="7" t="s">
        <v>5473</v>
      </c>
    </row>
    <row r="1171" spans="1:2">
      <c r="A1171" s="7" t="s">
        <v>5474</v>
      </c>
      <c r="B1171" s="7" t="s">
        <v>5475</v>
      </c>
    </row>
    <row r="1172" spans="1:2">
      <c r="A1172" s="7" t="s">
        <v>5476</v>
      </c>
      <c r="B1172" s="7" t="s">
        <v>5477</v>
      </c>
    </row>
    <row r="1173" spans="1:2">
      <c r="A1173" s="7" t="s">
        <v>5478</v>
      </c>
      <c r="B1173" s="7" t="s">
        <v>5479</v>
      </c>
    </row>
    <row r="1174" spans="1:2">
      <c r="A1174" s="7" t="s">
        <v>5480</v>
      </c>
      <c r="B1174" s="7" t="s">
        <v>5481</v>
      </c>
    </row>
    <row r="1175" spans="1:2">
      <c r="A1175" s="7" t="s">
        <v>5482</v>
      </c>
      <c r="B1175" s="7" t="s">
        <v>5483</v>
      </c>
    </row>
    <row r="1176" spans="1:2">
      <c r="A1176" s="7" t="s">
        <v>5484</v>
      </c>
      <c r="B1176" s="7" t="s">
        <v>5485</v>
      </c>
    </row>
    <row r="1177" spans="1:2">
      <c r="A1177" s="7" t="s">
        <v>5486</v>
      </c>
      <c r="B1177" s="7" t="s">
        <v>5487</v>
      </c>
    </row>
    <row r="1178" spans="1:2">
      <c r="A1178" s="7" t="s">
        <v>5488</v>
      </c>
      <c r="B1178" s="7" t="s">
        <v>5489</v>
      </c>
    </row>
    <row r="1179" spans="1:2">
      <c r="A1179" s="7" t="s">
        <v>5490</v>
      </c>
      <c r="B1179" s="7" t="s">
        <v>5163</v>
      </c>
    </row>
    <row r="1180" spans="1:2">
      <c r="A1180" s="7" t="s">
        <v>5491</v>
      </c>
      <c r="B1180" s="7" t="s">
        <v>5492</v>
      </c>
    </row>
    <row r="1181" spans="1:2">
      <c r="A1181" s="7" t="s">
        <v>5493</v>
      </c>
      <c r="B1181" s="7" t="s">
        <v>5494</v>
      </c>
    </row>
    <row r="1182" spans="1:2">
      <c r="A1182" s="7" t="s">
        <v>5495</v>
      </c>
      <c r="B1182" s="7" t="s">
        <v>5496</v>
      </c>
    </row>
    <row r="1183" spans="1:2">
      <c r="A1183" s="7" t="s">
        <v>5497</v>
      </c>
      <c r="B1183" s="7" t="s">
        <v>5498</v>
      </c>
    </row>
    <row r="1184" spans="1:2">
      <c r="A1184" s="7" t="s">
        <v>5499</v>
      </c>
      <c r="B1184" s="7" t="s">
        <v>5500</v>
      </c>
    </row>
    <row r="1185" spans="1:2">
      <c r="A1185" s="7" t="s">
        <v>5501</v>
      </c>
      <c r="B1185" s="7" t="s">
        <v>5502</v>
      </c>
    </row>
    <row r="1186" spans="1:2">
      <c r="A1186" s="7" t="s">
        <v>5503</v>
      </c>
      <c r="B1186" s="7" t="s">
        <v>5504</v>
      </c>
    </row>
    <row r="1187" spans="1:2">
      <c r="A1187" s="7" t="s">
        <v>5505</v>
      </c>
      <c r="B1187" s="7" t="s">
        <v>5506</v>
      </c>
    </row>
    <row r="1188" spans="1:2">
      <c r="A1188" s="7" t="s">
        <v>5507</v>
      </c>
      <c r="B1188" s="7" t="s">
        <v>5508</v>
      </c>
    </row>
    <row r="1189" spans="1:2">
      <c r="A1189" s="7" t="s">
        <v>5509</v>
      </c>
      <c r="B1189" s="7" t="s">
        <v>5510</v>
      </c>
    </row>
    <row r="1190" spans="1:2">
      <c r="A1190" s="7" t="s">
        <v>5511</v>
      </c>
      <c r="B1190" s="7" t="s">
        <v>5512</v>
      </c>
    </row>
    <row r="1191" spans="1:2">
      <c r="A1191" s="7" t="s">
        <v>5513</v>
      </c>
      <c r="B1191" s="7" t="s">
        <v>5514</v>
      </c>
    </row>
    <row r="1192" spans="1:2">
      <c r="A1192" s="7" t="s">
        <v>5515</v>
      </c>
      <c r="B1192" s="7" t="s">
        <v>5516</v>
      </c>
    </row>
    <row r="1193" spans="1:2">
      <c r="A1193" s="7" t="s">
        <v>5517</v>
      </c>
      <c r="B1193" s="7" t="s">
        <v>5518</v>
      </c>
    </row>
    <row r="1194" spans="1:2">
      <c r="A1194" s="7" t="s">
        <v>5519</v>
      </c>
      <c r="B1194" s="7" t="s">
        <v>5520</v>
      </c>
    </row>
    <row r="1195" spans="1:2">
      <c r="A1195" s="7" t="s">
        <v>5521</v>
      </c>
      <c r="B1195" s="7" t="s">
        <v>5522</v>
      </c>
    </row>
    <row r="1196" spans="1:2">
      <c r="A1196" s="7" t="s">
        <v>5523</v>
      </c>
      <c r="B1196" s="7" t="s">
        <v>5085</v>
      </c>
    </row>
    <row r="1197" spans="1:2">
      <c r="A1197" s="7" t="s">
        <v>5524</v>
      </c>
      <c r="B1197" s="7" t="s">
        <v>5525</v>
      </c>
    </row>
    <row r="1198" spans="1:2">
      <c r="A1198" s="7" t="s">
        <v>5526</v>
      </c>
      <c r="B1198" s="7" t="s">
        <v>5527</v>
      </c>
    </row>
    <row r="1199" spans="1:2">
      <c r="A1199" s="7" t="s">
        <v>5528</v>
      </c>
      <c r="B1199" s="7" t="s">
        <v>3776</v>
      </c>
    </row>
    <row r="1200" spans="1:2">
      <c r="A1200" s="7" t="s">
        <v>5529</v>
      </c>
      <c r="B1200" s="7" t="s">
        <v>5530</v>
      </c>
    </row>
    <row r="1201" spans="1:2">
      <c r="A1201" s="7" t="s">
        <v>5531</v>
      </c>
      <c r="B1201" s="7" t="s">
        <v>5532</v>
      </c>
    </row>
    <row r="1202" spans="1:2">
      <c r="A1202" s="7" t="s">
        <v>5533</v>
      </c>
      <c r="B1202" s="7" t="s">
        <v>5534</v>
      </c>
    </row>
    <row r="1203" spans="1:2">
      <c r="A1203" s="7" t="s">
        <v>5535</v>
      </c>
      <c r="B1203" s="7" t="s">
        <v>5536</v>
      </c>
    </row>
    <row r="1204" spans="1:2">
      <c r="A1204" s="7" t="s">
        <v>5537</v>
      </c>
      <c r="B1204" s="7" t="s">
        <v>5538</v>
      </c>
    </row>
    <row r="1205" spans="1:2">
      <c r="A1205" s="7" t="s">
        <v>5539</v>
      </c>
      <c r="B1205" s="7" t="s">
        <v>4683</v>
      </c>
    </row>
    <row r="1206" spans="1:2">
      <c r="A1206" s="7" t="s">
        <v>5540</v>
      </c>
      <c r="B1206" s="7" t="s">
        <v>5541</v>
      </c>
    </row>
    <row r="1207" spans="1:2">
      <c r="A1207" s="7" t="s">
        <v>5542</v>
      </c>
      <c r="B1207" s="7" t="s">
        <v>5543</v>
      </c>
    </row>
    <row r="1208" spans="1:2">
      <c r="A1208" s="7" t="s">
        <v>5544</v>
      </c>
      <c r="B1208" s="7" t="s">
        <v>5545</v>
      </c>
    </row>
    <row r="1209" spans="1:2">
      <c r="A1209" s="7" t="s">
        <v>5546</v>
      </c>
      <c r="B1209" s="7" t="s">
        <v>5547</v>
      </c>
    </row>
    <row r="1210" spans="1:2">
      <c r="A1210" s="7" t="s">
        <v>5548</v>
      </c>
      <c r="B1210" s="7" t="s">
        <v>5549</v>
      </c>
    </row>
    <row r="1211" spans="1:2">
      <c r="A1211" s="7" t="s">
        <v>5550</v>
      </c>
      <c r="B1211" s="7" t="s">
        <v>5551</v>
      </c>
    </row>
    <row r="1212" spans="1:2">
      <c r="A1212" s="7" t="s">
        <v>5552</v>
      </c>
      <c r="B1212" s="7" t="s">
        <v>5553</v>
      </c>
    </row>
    <row r="1213" spans="1:2">
      <c r="A1213" s="7" t="s">
        <v>5554</v>
      </c>
      <c r="B1213" s="7" t="s">
        <v>5555</v>
      </c>
    </row>
    <row r="1214" spans="1:2">
      <c r="A1214" s="7" t="s">
        <v>5556</v>
      </c>
      <c r="B1214" s="7" t="s">
        <v>5557</v>
      </c>
    </row>
    <row r="1215" spans="1:2">
      <c r="A1215" s="7" t="s">
        <v>5558</v>
      </c>
      <c r="B1215" s="7" t="s">
        <v>5559</v>
      </c>
    </row>
    <row r="1216" spans="1:2">
      <c r="A1216" s="7" t="s">
        <v>5560</v>
      </c>
      <c r="B1216" s="7" t="s">
        <v>5561</v>
      </c>
    </row>
    <row r="1217" spans="1:2">
      <c r="A1217" s="7" t="s">
        <v>5562</v>
      </c>
      <c r="B1217" s="7" t="s">
        <v>5563</v>
      </c>
    </row>
    <row r="1218" spans="1:2">
      <c r="A1218" s="7" t="s">
        <v>5564</v>
      </c>
      <c r="B1218" s="7" t="s">
        <v>5565</v>
      </c>
    </row>
    <row r="1219" spans="1:2">
      <c r="A1219" s="7" t="s">
        <v>5566</v>
      </c>
      <c r="B1219" s="7" t="s">
        <v>5567</v>
      </c>
    </row>
    <row r="1220" spans="1:2">
      <c r="A1220" s="7" t="s">
        <v>5568</v>
      </c>
      <c r="B1220" s="7" t="s">
        <v>5569</v>
      </c>
    </row>
    <row r="1221" spans="1:2">
      <c r="A1221" s="7" t="s">
        <v>5570</v>
      </c>
      <c r="B1221" s="7" t="s">
        <v>5571</v>
      </c>
    </row>
    <row r="1222" spans="1:2">
      <c r="A1222" s="7" t="s">
        <v>5572</v>
      </c>
      <c r="B1222" s="7" t="s">
        <v>5573</v>
      </c>
    </row>
    <row r="1223" spans="1:2">
      <c r="A1223" s="7" t="s">
        <v>5574</v>
      </c>
      <c r="B1223" s="7" t="s">
        <v>5575</v>
      </c>
    </row>
    <row r="1224" spans="1:2">
      <c r="A1224" s="7" t="s">
        <v>5576</v>
      </c>
      <c r="B1224" s="7" t="s">
        <v>5577</v>
      </c>
    </row>
    <row r="1225" spans="1:2">
      <c r="A1225" s="7" t="s">
        <v>5578</v>
      </c>
      <c r="B1225" s="7" t="s">
        <v>5579</v>
      </c>
    </row>
    <row r="1226" spans="1:2">
      <c r="A1226" s="7" t="s">
        <v>5580</v>
      </c>
      <c r="B1226" s="7" t="s">
        <v>5581</v>
      </c>
    </row>
    <row r="1227" spans="1:2">
      <c r="A1227" s="7" t="s">
        <v>5582</v>
      </c>
      <c r="B1227" s="7" t="s">
        <v>5583</v>
      </c>
    </row>
    <row r="1228" spans="1:2">
      <c r="A1228" s="7" t="s">
        <v>5584</v>
      </c>
      <c r="B1228" s="7" t="s">
        <v>5585</v>
      </c>
    </row>
    <row r="1229" spans="1:2">
      <c r="A1229" s="7" t="s">
        <v>5586</v>
      </c>
      <c r="B1229" s="7" t="s">
        <v>3575</v>
      </c>
    </row>
    <row r="1230" spans="1:2">
      <c r="A1230" s="7" t="s">
        <v>5587</v>
      </c>
      <c r="B1230" s="7" t="s">
        <v>5588</v>
      </c>
    </row>
    <row r="1231" spans="1:2">
      <c r="A1231" s="7" t="s">
        <v>5589</v>
      </c>
      <c r="B1231" s="7" t="s">
        <v>5590</v>
      </c>
    </row>
    <row r="1232" spans="1:2">
      <c r="A1232" s="7" t="s">
        <v>5591</v>
      </c>
      <c r="B1232" s="7" t="s">
        <v>5592</v>
      </c>
    </row>
    <row r="1233" spans="1:2">
      <c r="A1233" s="7" t="s">
        <v>5593</v>
      </c>
      <c r="B1233" s="7" t="s">
        <v>5594</v>
      </c>
    </row>
    <row r="1234" spans="1:2">
      <c r="A1234" s="7" t="s">
        <v>5595</v>
      </c>
      <c r="B1234" s="7" t="s">
        <v>5596</v>
      </c>
    </row>
    <row r="1235" spans="1:2">
      <c r="A1235" s="7" t="s">
        <v>5597</v>
      </c>
      <c r="B1235" s="7" t="s">
        <v>5598</v>
      </c>
    </row>
    <row r="1236" spans="1:2">
      <c r="A1236" s="7" t="s">
        <v>5599</v>
      </c>
      <c r="B1236" s="7" t="s">
        <v>5600</v>
      </c>
    </row>
    <row r="1237" spans="1:2">
      <c r="A1237" s="7" t="s">
        <v>5601</v>
      </c>
      <c r="B1237" s="7" t="s">
        <v>5602</v>
      </c>
    </row>
    <row r="1238" spans="1:2">
      <c r="A1238" s="7" t="s">
        <v>5603</v>
      </c>
      <c r="B1238" s="7" t="s">
        <v>5604</v>
      </c>
    </row>
    <row r="1239" spans="1:2">
      <c r="A1239" s="7" t="s">
        <v>5605</v>
      </c>
      <c r="B1239" s="7" t="s">
        <v>3305</v>
      </c>
    </row>
    <row r="1240" spans="1:2">
      <c r="A1240" s="7" t="s">
        <v>5606</v>
      </c>
      <c r="B1240" s="7" t="s">
        <v>5607</v>
      </c>
    </row>
    <row r="1241" spans="1:2">
      <c r="A1241" s="7" t="s">
        <v>5608</v>
      </c>
      <c r="B1241" s="7" t="s">
        <v>5609</v>
      </c>
    </row>
    <row r="1242" spans="1:2">
      <c r="A1242" s="7" t="s">
        <v>5610</v>
      </c>
      <c r="B1242" s="7" t="s">
        <v>5611</v>
      </c>
    </row>
    <row r="1243" spans="1:2">
      <c r="A1243" s="7" t="s">
        <v>5612</v>
      </c>
      <c r="B1243" s="7" t="s">
        <v>5613</v>
      </c>
    </row>
    <row r="1244" spans="1:2">
      <c r="A1244" s="7" t="s">
        <v>5614</v>
      </c>
      <c r="B1244" s="7" t="s">
        <v>5288</v>
      </c>
    </row>
    <row r="1245" spans="1:2">
      <c r="A1245" s="7" t="s">
        <v>5615</v>
      </c>
      <c r="B1245" s="7" t="s">
        <v>5616</v>
      </c>
    </row>
    <row r="1246" spans="1:2">
      <c r="A1246" s="7" t="s">
        <v>5617</v>
      </c>
      <c r="B1246" s="7" t="s">
        <v>5249</v>
      </c>
    </row>
    <row r="1247" spans="1:2">
      <c r="A1247" s="7" t="s">
        <v>5618</v>
      </c>
      <c r="B1247" s="7" t="s">
        <v>5619</v>
      </c>
    </row>
    <row r="1248" spans="1:2">
      <c r="A1248" s="7" t="s">
        <v>5620</v>
      </c>
      <c r="B1248" s="7" t="s">
        <v>5621</v>
      </c>
    </row>
    <row r="1249" spans="1:2">
      <c r="A1249" s="7" t="s">
        <v>5622</v>
      </c>
      <c r="B1249" s="7" t="s">
        <v>5623</v>
      </c>
    </row>
    <row r="1250" spans="1:2">
      <c r="A1250" s="7" t="s">
        <v>5624</v>
      </c>
      <c r="B1250" s="7" t="s">
        <v>5625</v>
      </c>
    </row>
    <row r="1251" spans="1:2">
      <c r="A1251" s="7" t="s">
        <v>5626</v>
      </c>
      <c r="B1251" s="7" t="s">
        <v>5627</v>
      </c>
    </row>
    <row r="1252" spans="1:2">
      <c r="A1252" s="7" t="s">
        <v>5628</v>
      </c>
      <c r="B1252" s="7" t="s">
        <v>5629</v>
      </c>
    </row>
    <row r="1253" spans="1:2">
      <c r="A1253" s="7" t="s">
        <v>5630</v>
      </c>
      <c r="B1253" s="7" t="s">
        <v>5631</v>
      </c>
    </row>
    <row r="1254" spans="1:2">
      <c r="A1254" s="7" t="s">
        <v>5632</v>
      </c>
      <c r="B1254" s="7" t="s">
        <v>5633</v>
      </c>
    </row>
    <row r="1255" spans="1:2">
      <c r="A1255" s="7" t="s">
        <v>5634</v>
      </c>
      <c r="B1255" s="7" t="s">
        <v>5635</v>
      </c>
    </row>
    <row r="1256" spans="1:2">
      <c r="A1256" s="7" t="s">
        <v>5636</v>
      </c>
      <c r="B1256" s="7" t="s">
        <v>5637</v>
      </c>
    </row>
    <row r="1257" spans="1:2">
      <c r="A1257" s="7" t="s">
        <v>5638</v>
      </c>
      <c r="B1257" s="7" t="s">
        <v>5639</v>
      </c>
    </row>
    <row r="1258" spans="1:2">
      <c r="A1258" s="7" t="s">
        <v>5640</v>
      </c>
      <c r="B1258" s="7" t="s">
        <v>5641</v>
      </c>
    </row>
    <row r="1259" spans="1:2">
      <c r="A1259" s="7" t="s">
        <v>5642</v>
      </c>
      <c r="B1259" s="7" t="s">
        <v>5643</v>
      </c>
    </row>
    <row r="1260" spans="1:2">
      <c r="A1260" s="7" t="s">
        <v>5644</v>
      </c>
      <c r="B1260" s="7" t="s">
        <v>5645</v>
      </c>
    </row>
    <row r="1261" spans="1:2">
      <c r="A1261" s="7" t="s">
        <v>5646</v>
      </c>
      <c r="B1261" s="7" t="s">
        <v>5647</v>
      </c>
    </row>
    <row r="1262" spans="1:2">
      <c r="A1262" s="7" t="s">
        <v>5648</v>
      </c>
      <c r="B1262" s="7" t="s">
        <v>5649</v>
      </c>
    </row>
    <row r="1263" spans="1:2">
      <c r="A1263" s="7" t="s">
        <v>5650</v>
      </c>
      <c r="B1263" s="7" t="s">
        <v>5651</v>
      </c>
    </row>
    <row r="1264" spans="1:2">
      <c r="A1264" s="7" t="s">
        <v>5652</v>
      </c>
      <c r="B1264" s="7" t="s">
        <v>5653</v>
      </c>
    </row>
    <row r="1265" spans="1:2">
      <c r="A1265" s="7" t="s">
        <v>5654</v>
      </c>
      <c r="B1265" s="7" t="s">
        <v>5655</v>
      </c>
    </row>
    <row r="1266" spans="1:2">
      <c r="A1266" s="7" t="s">
        <v>5656</v>
      </c>
      <c r="B1266" s="7" t="s">
        <v>5657</v>
      </c>
    </row>
    <row r="1267" spans="1:2">
      <c r="A1267" s="7" t="s">
        <v>5658</v>
      </c>
      <c r="B1267" s="7" t="s">
        <v>5659</v>
      </c>
    </row>
    <row r="1268" spans="1:2">
      <c r="A1268" s="7" t="s">
        <v>5660</v>
      </c>
      <c r="B1268" s="7" t="s">
        <v>5661</v>
      </c>
    </row>
    <row r="1269" spans="1:2">
      <c r="A1269" s="7" t="s">
        <v>5662</v>
      </c>
      <c r="B1269" s="7" t="s">
        <v>5663</v>
      </c>
    </row>
    <row r="1270" spans="1:2">
      <c r="A1270" s="7" t="s">
        <v>5664</v>
      </c>
      <c r="B1270" s="7" t="s">
        <v>5665</v>
      </c>
    </row>
    <row r="1271" spans="1:2">
      <c r="A1271" s="7" t="s">
        <v>5666</v>
      </c>
      <c r="B1271" s="7" t="s">
        <v>5667</v>
      </c>
    </row>
    <row r="1272" spans="1:2">
      <c r="A1272" s="7" t="s">
        <v>5668</v>
      </c>
      <c r="B1272" s="7" t="s">
        <v>5669</v>
      </c>
    </row>
    <row r="1273" spans="1:2">
      <c r="A1273" s="7" t="s">
        <v>5670</v>
      </c>
      <c r="B1273" s="7" t="s">
        <v>5671</v>
      </c>
    </row>
    <row r="1274" spans="1:2">
      <c r="A1274" s="7" t="s">
        <v>5672</v>
      </c>
      <c r="B1274" s="7" t="s">
        <v>5673</v>
      </c>
    </row>
    <row r="1275" spans="1:2">
      <c r="A1275" s="7" t="s">
        <v>5674</v>
      </c>
      <c r="B1275" s="7" t="s">
        <v>5675</v>
      </c>
    </row>
    <row r="1276" spans="1:2">
      <c r="A1276" s="7" t="s">
        <v>5676</v>
      </c>
      <c r="B1276" s="7" t="s">
        <v>5677</v>
      </c>
    </row>
    <row r="1277" spans="1:2">
      <c r="A1277" s="7" t="s">
        <v>5678</v>
      </c>
      <c r="B1277" s="7" t="s">
        <v>5679</v>
      </c>
    </row>
    <row r="1278" spans="1:2">
      <c r="A1278" s="7" t="s">
        <v>5680</v>
      </c>
      <c r="B1278" s="7" t="s">
        <v>5681</v>
      </c>
    </row>
    <row r="1279" spans="1:2">
      <c r="A1279" s="7" t="s">
        <v>5682</v>
      </c>
      <c r="B1279" s="7" t="s">
        <v>5683</v>
      </c>
    </row>
    <row r="1280" spans="1:2">
      <c r="A1280" s="7" t="s">
        <v>5684</v>
      </c>
      <c r="B1280" s="7" t="s">
        <v>5685</v>
      </c>
    </row>
    <row r="1281" spans="1:2">
      <c r="A1281" s="7" t="s">
        <v>5686</v>
      </c>
      <c r="B1281" s="7" t="s">
        <v>5687</v>
      </c>
    </row>
    <row r="1282" spans="1:2">
      <c r="A1282" s="7" t="s">
        <v>5688</v>
      </c>
      <c r="B1282" s="7" t="s">
        <v>5689</v>
      </c>
    </row>
    <row r="1283" spans="1:2">
      <c r="A1283" s="7" t="s">
        <v>5690</v>
      </c>
      <c r="B1283" s="7" t="s">
        <v>5691</v>
      </c>
    </row>
    <row r="1284" spans="1:2">
      <c r="A1284" s="7" t="s">
        <v>5692</v>
      </c>
      <c r="B1284" s="7" t="s">
        <v>5693</v>
      </c>
    </row>
    <row r="1285" spans="1:2">
      <c r="A1285" s="7" t="s">
        <v>5694</v>
      </c>
      <c r="B1285" s="7" t="s">
        <v>5695</v>
      </c>
    </row>
    <row r="1286" spans="1:2">
      <c r="A1286" s="7" t="s">
        <v>5696</v>
      </c>
      <c r="B1286" s="7" t="s">
        <v>5167</v>
      </c>
    </row>
    <row r="1287" spans="1:2">
      <c r="A1287" s="7" t="s">
        <v>5697</v>
      </c>
      <c r="B1287" s="7" t="s">
        <v>5698</v>
      </c>
    </row>
    <row r="1288" spans="1:2">
      <c r="A1288" s="7" t="s">
        <v>5699</v>
      </c>
      <c r="B1288" s="7" t="s">
        <v>3385</v>
      </c>
    </row>
    <row r="1289" spans="1:2">
      <c r="A1289" s="7" t="s">
        <v>5700</v>
      </c>
      <c r="B1289" s="7" t="s">
        <v>5701</v>
      </c>
    </row>
    <row r="1290" spans="1:2">
      <c r="A1290" s="7" t="s">
        <v>5702</v>
      </c>
      <c r="B1290" s="7" t="s">
        <v>5703</v>
      </c>
    </row>
    <row r="1291" spans="1:2">
      <c r="A1291" s="7" t="s">
        <v>5704</v>
      </c>
      <c r="B1291" s="7" t="s">
        <v>5705</v>
      </c>
    </row>
    <row r="1292" spans="1:2">
      <c r="A1292" s="7" t="s">
        <v>5706</v>
      </c>
      <c r="B1292" s="7" t="s">
        <v>5707</v>
      </c>
    </row>
    <row r="1293" spans="1:2">
      <c r="A1293" s="7" t="s">
        <v>5708</v>
      </c>
      <c r="B1293" s="7" t="s">
        <v>5709</v>
      </c>
    </row>
    <row r="1294" spans="1:2">
      <c r="A1294" s="7" t="s">
        <v>5710</v>
      </c>
      <c r="B1294" s="7" t="s">
        <v>5711</v>
      </c>
    </row>
    <row r="1295" spans="1:2">
      <c r="A1295" s="7" t="s">
        <v>5712</v>
      </c>
      <c r="B1295" s="7" t="s">
        <v>5713</v>
      </c>
    </row>
    <row r="1296" spans="1:2">
      <c r="A1296" s="7" t="s">
        <v>5714</v>
      </c>
      <c r="B1296" s="7" t="s">
        <v>5715</v>
      </c>
    </row>
    <row r="1297" spans="1:2">
      <c r="A1297" s="7" t="s">
        <v>5716</v>
      </c>
      <c r="B1297" s="7" t="s">
        <v>5717</v>
      </c>
    </row>
    <row r="1298" spans="1:2">
      <c r="A1298" s="7" t="s">
        <v>5718</v>
      </c>
      <c r="B1298" s="7" t="s">
        <v>5719</v>
      </c>
    </row>
    <row r="1299" spans="1:2">
      <c r="A1299" s="7" t="s">
        <v>5720</v>
      </c>
      <c r="B1299" s="7" t="s">
        <v>5721</v>
      </c>
    </row>
    <row r="1300" spans="1:2">
      <c r="A1300" s="7" t="s">
        <v>5722</v>
      </c>
      <c r="B1300" s="7" t="s">
        <v>5723</v>
      </c>
    </row>
    <row r="1301" spans="1:2">
      <c r="A1301" s="7" t="s">
        <v>5724</v>
      </c>
      <c r="B1301" s="7" t="s">
        <v>5725</v>
      </c>
    </row>
    <row r="1302" spans="1:2">
      <c r="A1302" s="7" t="s">
        <v>5726</v>
      </c>
      <c r="B1302" s="7" t="s">
        <v>5727</v>
      </c>
    </row>
    <row r="1303" spans="1:2">
      <c r="A1303" s="7" t="s">
        <v>5728</v>
      </c>
      <c r="B1303" s="7" t="s">
        <v>5729</v>
      </c>
    </row>
    <row r="1304" spans="1:2">
      <c r="A1304" s="7" t="s">
        <v>5730</v>
      </c>
      <c r="B1304" s="7" t="s">
        <v>5731</v>
      </c>
    </row>
    <row r="1305" spans="1:2">
      <c r="A1305" s="7" t="s">
        <v>5732</v>
      </c>
      <c r="B1305" s="7" t="s">
        <v>5733</v>
      </c>
    </row>
    <row r="1306" spans="1:2">
      <c r="A1306" s="7" t="s">
        <v>5734</v>
      </c>
      <c r="B1306" s="7" t="s">
        <v>5735</v>
      </c>
    </row>
    <row r="1307" spans="1:2">
      <c r="A1307" s="7" t="s">
        <v>5736</v>
      </c>
      <c r="B1307" s="7" t="s">
        <v>5737</v>
      </c>
    </row>
    <row r="1308" spans="1:2">
      <c r="A1308" s="7" t="s">
        <v>5738</v>
      </c>
      <c r="B1308" s="7" t="s">
        <v>3411</v>
      </c>
    </row>
    <row r="1309" spans="1:2">
      <c r="A1309" s="7" t="s">
        <v>5739</v>
      </c>
      <c r="B1309" s="7" t="s">
        <v>5740</v>
      </c>
    </row>
    <row r="1310" spans="1:2">
      <c r="A1310" s="7" t="s">
        <v>5741</v>
      </c>
      <c r="B1310" s="7" t="s">
        <v>5742</v>
      </c>
    </row>
    <row r="1311" spans="1:2">
      <c r="A1311" s="7" t="s">
        <v>5743</v>
      </c>
      <c r="B1311" s="7" t="s">
        <v>5744</v>
      </c>
    </row>
    <row r="1312" spans="1:2">
      <c r="A1312" s="7" t="s">
        <v>5745</v>
      </c>
      <c r="B1312" s="7" t="s">
        <v>5746</v>
      </c>
    </row>
    <row r="1313" spans="1:2">
      <c r="A1313" s="7" t="s">
        <v>5747</v>
      </c>
      <c r="B1313" s="7" t="s">
        <v>5748</v>
      </c>
    </row>
    <row r="1314" spans="1:2">
      <c r="A1314" s="7" t="s">
        <v>5749</v>
      </c>
      <c r="B1314" s="7" t="s">
        <v>5750</v>
      </c>
    </row>
    <row r="1315" spans="1:2">
      <c r="A1315" s="7" t="s">
        <v>5751</v>
      </c>
      <c r="B1315" s="7" t="s">
        <v>5752</v>
      </c>
    </row>
    <row r="1316" spans="1:2">
      <c r="A1316" s="7" t="s">
        <v>5753</v>
      </c>
      <c r="B1316" s="7" t="s">
        <v>5754</v>
      </c>
    </row>
    <row r="1317" spans="1:2">
      <c r="A1317" s="7" t="s">
        <v>5755</v>
      </c>
      <c r="B1317" s="7" t="s">
        <v>5756</v>
      </c>
    </row>
    <row r="1318" spans="1:2">
      <c r="A1318" s="7" t="s">
        <v>5757</v>
      </c>
      <c r="B1318" s="7" t="s">
        <v>5758</v>
      </c>
    </row>
    <row r="1319" spans="1:2">
      <c r="A1319" s="7" t="s">
        <v>5759</v>
      </c>
      <c r="B1319" s="7" t="s">
        <v>5760</v>
      </c>
    </row>
    <row r="1320" spans="1:2">
      <c r="A1320" s="7" t="s">
        <v>5761</v>
      </c>
      <c r="B1320" s="7" t="s">
        <v>5762</v>
      </c>
    </row>
    <row r="1321" spans="1:2">
      <c r="A1321" s="7" t="s">
        <v>5763</v>
      </c>
      <c r="B1321" s="7" t="s">
        <v>5764</v>
      </c>
    </row>
    <row r="1322" spans="1:2">
      <c r="A1322" s="7" t="s">
        <v>5765</v>
      </c>
      <c r="B1322" s="7" t="s">
        <v>5766</v>
      </c>
    </row>
    <row r="1323" spans="1:2">
      <c r="A1323" s="7" t="s">
        <v>5767</v>
      </c>
      <c r="B1323" s="7" t="s">
        <v>5768</v>
      </c>
    </row>
    <row r="1324" spans="1:2">
      <c r="A1324" s="7" t="s">
        <v>5769</v>
      </c>
      <c r="B1324" s="7" t="s">
        <v>5770</v>
      </c>
    </row>
    <row r="1325" spans="1:2">
      <c r="A1325" s="7" t="s">
        <v>5771</v>
      </c>
      <c r="B1325" s="7" t="s">
        <v>5772</v>
      </c>
    </row>
    <row r="1326" spans="1:2">
      <c r="A1326" s="7" t="s">
        <v>5773</v>
      </c>
      <c r="B1326" s="7" t="s">
        <v>5774</v>
      </c>
    </row>
    <row r="1327" spans="1:2">
      <c r="A1327" s="7" t="s">
        <v>5775</v>
      </c>
      <c r="B1327" s="7" t="s">
        <v>5776</v>
      </c>
    </row>
    <row r="1328" spans="1:2">
      <c r="A1328" s="7" t="s">
        <v>5777</v>
      </c>
      <c r="B1328" s="7" t="s">
        <v>5778</v>
      </c>
    </row>
    <row r="1329" spans="1:2">
      <c r="A1329" s="7" t="s">
        <v>5779</v>
      </c>
      <c r="B1329" s="7" t="s">
        <v>5780</v>
      </c>
    </row>
    <row r="1330" spans="1:2">
      <c r="A1330" s="7" t="s">
        <v>5781</v>
      </c>
      <c r="B1330" s="7" t="s">
        <v>5782</v>
      </c>
    </row>
    <row r="1331" spans="1:2">
      <c r="A1331" s="7" t="s">
        <v>5783</v>
      </c>
      <c r="B1331" s="7" t="s">
        <v>5784</v>
      </c>
    </row>
    <row r="1332" spans="1:2">
      <c r="A1332" s="7" t="s">
        <v>5785</v>
      </c>
      <c r="B1332" s="7" t="s">
        <v>5786</v>
      </c>
    </row>
    <row r="1333" spans="1:2">
      <c r="A1333" s="7" t="s">
        <v>5787</v>
      </c>
      <c r="B1333" s="7" t="s">
        <v>5788</v>
      </c>
    </row>
    <row r="1334" spans="1:2">
      <c r="A1334" s="7" t="s">
        <v>5789</v>
      </c>
      <c r="B1334" s="7" t="s">
        <v>5790</v>
      </c>
    </row>
    <row r="1335" spans="1:2">
      <c r="A1335" s="7" t="s">
        <v>5791</v>
      </c>
      <c r="B1335" s="7" t="s">
        <v>5792</v>
      </c>
    </row>
    <row r="1336" spans="1:2">
      <c r="A1336" s="7" t="s">
        <v>5793</v>
      </c>
      <c r="B1336" s="7" t="s">
        <v>5794</v>
      </c>
    </row>
    <row r="1337" spans="1:2">
      <c r="A1337" s="7" t="s">
        <v>5795</v>
      </c>
      <c r="B1337" s="7" t="s">
        <v>5796</v>
      </c>
    </row>
    <row r="1338" spans="1:2">
      <c r="A1338" s="7" t="s">
        <v>5797</v>
      </c>
      <c r="B1338" s="7" t="s">
        <v>5798</v>
      </c>
    </row>
    <row r="1339" spans="1:2">
      <c r="A1339" s="7" t="s">
        <v>5799</v>
      </c>
      <c r="B1339" s="7" t="s">
        <v>5800</v>
      </c>
    </row>
    <row r="1340" spans="1:2">
      <c r="A1340" s="7" t="s">
        <v>5801</v>
      </c>
      <c r="B1340" s="7" t="s">
        <v>5802</v>
      </c>
    </row>
    <row r="1341" spans="1:2">
      <c r="A1341" s="7" t="s">
        <v>5803</v>
      </c>
      <c r="B1341" s="7" t="s">
        <v>5804</v>
      </c>
    </row>
    <row r="1342" spans="1:2">
      <c r="A1342" s="7" t="s">
        <v>5805</v>
      </c>
      <c r="B1342" s="7" t="s">
        <v>5806</v>
      </c>
    </row>
    <row r="1343" spans="1:2">
      <c r="A1343" s="7" t="s">
        <v>5807</v>
      </c>
      <c r="B1343" s="7" t="s">
        <v>3519</v>
      </c>
    </row>
    <row r="1344" spans="1:2">
      <c r="A1344" s="7" t="s">
        <v>5808</v>
      </c>
      <c r="B1344" s="7" t="s">
        <v>5809</v>
      </c>
    </row>
    <row r="1345" spans="1:2">
      <c r="A1345" s="7" t="s">
        <v>5810</v>
      </c>
      <c r="B1345" s="7" t="s">
        <v>5811</v>
      </c>
    </row>
    <row r="1346" spans="1:2">
      <c r="A1346" s="7" t="s">
        <v>5812</v>
      </c>
      <c r="B1346" s="7" t="s">
        <v>5813</v>
      </c>
    </row>
    <row r="1347" spans="1:2">
      <c r="A1347" s="7" t="s">
        <v>5814</v>
      </c>
      <c r="B1347" s="7" t="s">
        <v>5815</v>
      </c>
    </row>
    <row r="1348" spans="1:2">
      <c r="A1348" s="7" t="s">
        <v>5816</v>
      </c>
      <c r="B1348" s="7" t="s">
        <v>5817</v>
      </c>
    </row>
    <row r="1349" spans="1:2">
      <c r="A1349" s="7" t="s">
        <v>5818</v>
      </c>
      <c r="B1349" s="7" t="s">
        <v>4228</v>
      </c>
    </row>
    <row r="1350" spans="1:2">
      <c r="A1350" s="7" t="s">
        <v>5819</v>
      </c>
      <c r="B1350" s="7" t="s">
        <v>5820</v>
      </c>
    </row>
    <row r="1351" spans="1:2">
      <c r="A1351" s="7" t="s">
        <v>5821</v>
      </c>
      <c r="B1351" s="7" t="s">
        <v>5822</v>
      </c>
    </row>
    <row r="1352" spans="1:2">
      <c r="A1352" s="7" t="s">
        <v>5823</v>
      </c>
      <c r="B1352" s="7" t="s">
        <v>5824</v>
      </c>
    </row>
    <row r="1353" spans="1:2">
      <c r="A1353" s="7" t="s">
        <v>5825</v>
      </c>
      <c r="B1353" s="7" t="s">
        <v>5826</v>
      </c>
    </row>
    <row r="1354" spans="1:2">
      <c r="A1354" s="7" t="s">
        <v>5827</v>
      </c>
      <c r="B1354" s="7" t="s">
        <v>5828</v>
      </c>
    </row>
    <row r="1355" spans="1:2">
      <c r="A1355" s="7" t="s">
        <v>5829</v>
      </c>
      <c r="B1355" s="7" t="s">
        <v>5830</v>
      </c>
    </row>
    <row r="1356" spans="1:2">
      <c r="A1356" s="7" t="s">
        <v>5831</v>
      </c>
      <c r="B1356" s="7" t="s">
        <v>5832</v>
      </c>
    </row>
    <row r="1357" spans="1:2">
      <c r="A1357" s="7" t="s">
        <v>5833</v>
      </c>
      <c r="B1357" s="7" t="s">
        <v>5834</v>
      </c>
    </row>
    <row r="1358" spans="1:2">
      <c r="A1358" s="7" t="s">
        <v>5835</v>
      </c>
      <c r="B1358" s="7" t="s">
        <v>5836</v>
      </c>
    </row>
    <row r="1359" spans="1:2">
      <c r="A1359" s="7" t="s">
        <v>5837</v>
      </c>
      <c r="B1359" s="7" t="s">
        <v>5838</v>
      </c>
    </row>
    <row r="1360" spans="1:2">
      <c r="A1360" s="7" t="s">
        <v>5839</v>
      </c>
      <c r="B1360" s="7" t="s">
        <v>5840</v>
      </c>
    </row>
    <row r="1361" spans="1:2">
      <c r="A1361" s="7" t="s">
        <v>5841</v>
      </c>
      <c r="B1361" s="7" t="s">
        <v>5842</v>
      </c>
    </row>
    <row r="1362" spans="1:2">
      <c r="A1362" s="7" t="s">
        <v>5843</v>
      </c>
      <c r="B1362" s="7" t="s">
        <v>5844</v>
      </c>
    </row>
    <row r="1363" spans="1:2">
      <c r="A1363" s="7" t="s">
        <v>5845</v>
      </c>
      <c r="B1363" s="7" t="s">
        <v>5846</v>
      </c>
    </row>
    <row r="1364" spans="1:2">
      <c r="A1364" s="7" t="s">
        <v>5847</v>
      </c>
      <c r="B1364" s="7" t="s">
        <v>5848</v>
      </c>
    </row>
    <row r="1365" spans="1:2">
      <c r="A1365" s="7" t="s">
        <v>5849</v>
      </c>
      <c r="B1365" s="7" t="s">
        <v>5850</v>
      </c>
    </row>
    <row r="1366" spans="1:2">
      <c r="A1366" s="7" t="s">
        <v>5851</v>
      </c>
      <c r="B1366" s="7" t="s">
        <v>5852</v>
      </c>
    </row>
    <row r="1367" spans="1:2">
      <c r="A1367" s="7" t="s">
        <v>5853</v>
      </c>
      <c r="B1367" s="7" t="s">
        <v>5854</v>
      </c>
    </row>
    <row r="1368" spans="1:2">
      <c r="A1368" s="7" t="s">
        <v>5855</v>
      </c>
      <c r="B1368" s="7" t="s">
        <v>5856</v>
      </c>
    </row>
    <row r="1369" spans="1:2">
      <c r="A1369" s="7" t="s">
        <v>5857</v>
      </c>
      <c r="B1369" s="7" t="s">
        <v>5858</v>
      </c>
    </row>
    <row r="1370" spans="1:2">
      <c r="A1370" s="7" t="s">
        <v>5859</v>
      </c>
      <c r="B1370" s="7" t="s">
        <v>5860</v>
      </c>
    </row>
    <row r="1371" spans="1:2">
      <c r="A1371" s="7" t="s">
        <v>5861</v>
      </c>
      <c r="B1371" s="7" t="s">
        <v>5862</v>
      </c>
    </row>
    <row r="1372" spans="1:2">
      <c r="A1372" s="7" t="s">
        <v>5863</v>
      </c>
      <c r="B1372" s="7" t="s">
        <v>5864</v>
      </c>
    </row>
    <row r="1373" spans="1:2">
      <c r="A1373" s="7" t="s">
        <v>5865</v>
      </c>
      <c r="B1373" s="7" t="s">
        <v>5200</v>
      </c>
    </row>
    <row r="1374" spans="1:2">
      <c r="A1374" s="7" t="s">
        <v>5866</v>
      </c>
      <c r="B1374" s="7" t="s">
        <v>5867</v>
      </c>
    </row>
    <row r="1375" spans="1:2">
      <c r="A1375" s="7" t="s">
        <v>5868</v>
      </c>
      <c r="B1375" s="7" t="s">
        <v>5869</v>
      </c>
    </row>
    <row r="1376" spans="1:2">
      <c r="A1376" s="7" t="s">
        <v>5870</v>
      </c>
      <c r="B1376" s="7" t="s">
        <v>5871</v>
      </c>
    </row>
    <row r="1377" spans="1:2">
      <c r="A1377" s="7" t="s">
        <v>5872</v>
      </c>
      <c r="B1377" s="7" t="s">
        <v>5873</v>
      </c>
    </row>
    <row r="1378" spans="1:2">
      <c r="A1378" s="7" t="s">
        <v>5874</v>
      </c>
      <c r="B1378" s="7" t="s">
        <v>5875</v>
      </c>
    </row>
    <row r="1379" spans="1:2">
      <c r="A1379" s="7" t="s">
        <v>5876</v>
      </c>
      <c r="B1379" s="7" t="s">
        <v>5877</v>
      </c>
    </row>
    <row r="1380" spans="1:2">
      <c r="A1380" s="7" t="s">
        <v>5878</v>
      </c>
      <c r="B1380" s="7" t="s">
        <v>5879</v>
      </c>
    </row>
    <row r="1381" spans="1:2">
      <c r="A1381" s="7" t="s">
        <v>5880</v>
      </c>
      <c r="B1381" s="7" t="s">
        <v>5881</v>
      </c>
    </row>
    <row r="1382" spans="1:2">
      <c r="A1382" s="7" t="s">
        <v>5882</v>
      </c>
      <c r="B1382" s="7" t="s">
        <v>5883</v>
      </c>
    </row>
    <row r="1383" spans="1:2">
      <c r="A1383" s="7" t="s">
        <v>5884</v>
      </c>
      <c r="B1383" s="7" t="s">
        <v>5885</v>
      </c>
    </row>
    <row r="1384" spans="1:2">
      <c r="A1384" s="7" t="s">
        <v>5886</v>
      </c>
      <c r="B1384" s="7" t="s">
        <v>5887</v>
      </c>
    </row>
    <row r="1385" spans="1:2">
      <c r="A1385" s="7" t="s">
        <v>5888</v>
      </c>
      <c r="B1385" s="7" t="s">
        <v>5889</v>
      </c>
    </row>
    <row r="1386" spans="1:2">
      <c r="A1386" s="7" t="s">
        <v>5890</v>
      </c>
      <c r="B1386" s="7" t="s">
        <v>5891</v>
      </c>
    </row>
    <row r="1387" spans="1:2">
      <c r="A1387" s="7" t="s">
        <v>5892</v>
      </c>
      <c r="B1387" s="7" t="s">
        <v>5893</v>
      </c>
    </row>
    <row r="1388" spans="1:2">
      <c r="A1388" s="7" t="s">
        <v>5894</v>
      </c>
      <c r="B1388" s="7" t="s">
        <v>5895</v>
      </c>
    </row>
    <row r="1389" spans="1:2">
      <c r="A1389" s="7" t="s">
        <v>5896</v>
      </c>
      <c r="B1389" s="7" t="s">
        <v>5897</v>
      </c>
    </row>
    <row r="1390" spans="1:2">
      <c r="A1390" s="7" t="s">
        <v>5898</v>
      </c>
      <c r="B1390" s="7" t="s">
        <v>5899</v>
      </c>
    </row>
    <row r="1391" spans="1:2">
      <c r="A1391" s="7" t="s">
        <v>5900</v>
      </c>
      <c r="B1391" s="7" t="s">
        <v>5901</v>
      </c>
    </row>
    <row r="1392" spans="1:2">
      <c r="A1392" s="7" t="s">
        <v>5902</v>
      </c>
      <c r="B1392" s="7" t="s">
        <v>5903</v>
      </c>
    </row>
    <row r="1393" spans="1:2">
      <c r="A1393" s="7" t="s">
        <v>5904</v>
      </c>
      <c r="B1393" s="7" t="s">
        <v>5905</v>
      </c>
    </row>
    <row r="1394" spans="1:2">
      <c r="A1394" s="7" t="s">
        <v>5906</v>
      </c>
      <c r="B1394" s="7" t="s">
        <v>5907</v>
      </c>
    </row>
    <row r="1395" spans="1:2">
      <c r="A1395" s="7" t="s">
        <v>5908</v>
      </c>
      <c r="B1395" s="7" t="s">
        <v>5909</v>
      </c>
    </row>
    <row r="1396" spans="1:2">
      <c r="A1396" s="7" t="s">
        <v>5910</v>
      </c>
      <c r="B1396" s="7" t="s">
        <v>5911</v>
      </c>
    </row>
    <row r="1397" spans="1:2">
      <c r="A1397" s="7" t="s">
        <v>5912</v>
      </c>
      <c r="B1397" s="7" t="s">
        <v>5913</v>
      </c>
    </row>
    <row r="1398" spans="1:2">
      <c r="A1398" s="7" t="s">
        <v>5914</v>
      </c>
      <c r="B1398" s="7" t="s">
        <v>5915</v>
      </c>
    </row>
    <row r="1399" spans="1:2">
      <c r="A1399" s="7" t="s">
        <v>5916</v>
      </c>
      <c r="B1399" s="7" t="s">
        <v>5917</v>
      </c>
    </row>
    <row r="1400" spans="1:2">
      <c r="A1400" s="7" t="s">
        <v>5918</v>
      </c>
      <c r="B1400" s="7" t="s">
        <v>5919</v>
      </c>
    </row>
    <row r="1401" spans="1:2">
      <c r="A1401" s="7" t="s">
        <v>5920</v>
      </c>
      <c r="B1401" s="7" t="s">
        <v>5921</v>
      </c>
    </row>
    <row r="1402" spans="1:2">
      <c r="A1402" s="7" t="s">
        <v>5922</v>
      </c>
      <c r="B1402" s="7" t="s">
        <v>5923</v>
      </c>
    </row>
    <row r="1403" spans="1:2">
      <c r="A1403" s="7" t="s">
        <v>5924</v>
      </c>
      <c r="B1403" s="7" t="s">
        <v>5925</v>
      </c>
    </row>
    <row r="1404" spans="1:2">
      <c r="A1404" s="7" t="s">
        <v>5926</v>
      </c>
      <c r="B1404" s="7" t="s">
        <v>5927</v>
      </c>
    </row>
    <row r="1405" spans="1:2">
      <c r="A1405" s="7" t="s">
        <v>5928</v>
      </c>
      <c r="B1405" s="7" t="s">
        <v>5929</v>
      </c>
    </row>
    <row r="1406" spans="1:2">
      <c r="A1406" s="7" t="s">
        <v>5930</v>
      </c>
      <c r="B1406" s="7" t="s">
        <v>5931</v>
      </c>
    </row>
    <row r="1407" spans="1:2">
      <c r="A1407" s="7" t="s">
        <v>5932</v>
      </c>
      <c r="B1407" s="7" t="s">
        <v>5933</v>
      </c>
    </row>
    <row r="1408" spans="1:2">
      <c r="A1408" s="7" t="s">
        <v>5934</v>
      </c>
      <c r="B1408" s="7" t="s">
        <v>5935</v>
      </c>
    </row>
    <row r="1409" spans="1:2">
      <c r="A1409" s="7" t="s">
        <v>5936</v>
      </c>
      <c r="B1409" s="7" t="s">
        <v>5937</v>
      </c>
    </row>
    <row r="1410" spans="1:2">
      <c r="A1410" s="7" t="s">
        <v>5938</v>
      </c>
      <c r="B1410" s="7" t="s">
        <v>5939</v>
      </c>
    </row>
    <row r="1411" spans="1:2">
      <c r="A1411" s="7" t="s">
        <v>5940</v>
      </c>
      <c r="B1411" s="7" t="s">
        <v>5941</v>
      </c>
    </row>
    <row r="1412" spans="1:2">
      <c r="A1412" s="7" t="s">
        <v>5942</v>
      </c>
      <c r="B1412" s="7" t="s">
        <v>5943</v>
      </c>
    </row>
    <row r="1413" spans="1:2">
      <c r="A1413" s="7" t="s">
        <v>5944</v>
      </c>
      <c r="B1413" s="7" t="s">
        <v>5945</v>
      </c>
    </row>
    <row r="1414" spans="1:2">
      <c r="A1414" s="7" t="s">
        <v>5946</v>
      </c>
      <c r="B1414" s="7" t="s">
        <v>5947</v>
      </c>
    </row>
    <row r="1415" spans="1:2">
      <c r="A1415" s="7" t="s">
        <v>5948</v>
      </c>
      <c r="B1415" s="7" t="s">
        <v>3871</v>
      </c>
    </row>
    <row r="1416" spans="1:2">
      <c r="A1416" s="7" t="s">
        <v>5949</v>
      </c>
      <c r="B1416" s="7" t="s">
        <v>5950</v>
      </c>
    </row>
    <row r="1417" spans="1:2">
      <c r="A1417" s="7" t="s">
        <v>5951</v>
      </c>
      <c r="B1417" s="7" t="s">
        <v>5952</v>
      </c>
    </row>
    <row r="1418" spans="1:2">
      <c r="A1418" s="7" t="s">
        <v>5953</v>
      </c>
      <c r="B1418" s="7" t="s">
        <v>5954</v>
      </c>
    </row>
    <row r="1419" spans="1:2">
      <c r="A1419" s="7" t="s">
        <v>5955</v>
      </c>
      <c r="B1419" s="7" t="s">
        <v>5956</v>
      </c>
    </row>
    <row r="1420" spans="1:2">
      <c r="A1420" s="7" t="s">
        <v>5957</v>
      </c>
      <c r="B1420" s="7" t="s">
        <v>5958</v>
      </c>
    </row>
    <row r="1421" spans="1:2">
      <c r="A1421" s="7" t="s">
        <v>5959</v>
      </c>
      <c r="B1421" s="7" t="s">
        <v>5960</v>
      </c>
    </row>
    <row r="1422" spans="1:2">
      <c r="A1422" s="7" t="s">
        <v>5961</v>
      </c>
      <c r="B1422" s="7" t="s">
        <v>5962</v>
      </c>
    </row>
    <row r="1423" spans="1:2">
      <c r="A1423" s="7" t="s">
        <v>5963</v>
      </c>
      <c r="B1423" s="7" t="s">
        <v>5964</v>
      </c>
    </row>
    <row r="1424" spans="1:2">
      <c r="A1424" s="7" t="s">
        <v>5965</v>
      </c>
      <c r="B1424" s="7" t="s">
        <v>5966</v>
      </c>
    </row>
    <row r="1425" spans="1:2">
      <c r="A1425" s="7" t="s">
        <v>5967</v>
      </c>
      <c r="B1425" s="7" t="s">
        <v>3367</v>
      </c>
    </row>
    <row r="1426" spans="1:2">
      <c r="A1426" s="7" t="s">
        <v>5968</v>
      </c>
      <c r="B1426" s="7" t="s">
        <v>5969</v>
      </c>
    </row>
    <row r="1427" spans="1:2">
      <c r="A1427" s="7" t="s">
        <v>5970</v>
      </c>
      <c r="B1427" s="7" t="s">
        <v>4289</v>
      </c>
    </row>
    <row r="1428" spans="1:2">
      <c r="A1428" s="7" t="s">
        <v>5971</v>
      </c>
      <c r="B1428" s="7" t="s">
        <v>5972</v>
      </c>
    </row>
    <row r="1429" spans="1:2">
      <c r="A1429" s="7" t="s">
        <v>5973</v>
      </c>
      <c r="B1429" s="7" t="s">
        <v>4657</v>
      </c>
    </row>
    <row r="1430" spans="1:2">
      <c r="A1430" s="7" t="s">
        <v>5974</v>
      </c>
      <c r="B1430" s="7" t="s">
        <v>5975</v>
      </c>
    </row>
    <row r="1431" spans="1:2">
      <c r="A1431" s="7" t="s">
        <v>5976</v>
      </c>
      <c r="B1431" s="7" t="s">
        <v>3485</v>
      </c>
    </row>
    <row r="1432" spans="1:2">
      <c r="A1432" s="7" t="s">
        <v>5977</v>
      </c>
      <c r="B1432" s="7" t="s">
        <v>5978</v>
      </c>
    </row>
    <row r="1433" spans="1:2">
      <c r="A1433" s="7" t="s">
        <v>5979</v>
      </c>
      <c r="B1433" s="7" t="s">
        <v>5980</v>
      </c>
    </row>
    <row r="1434" spans="1:2">
      <c r="A1434" s="7" t="s">
        <v>5981</v>
      </c>
      <c r="B1434" s="7" t="s">
        <v>5982</v>
      </c>
    </row>
    <row r="1435" spans="1:2">
      <c r="A1435" s="7" t="s">
        <v>5983</v>
      </c>
      <c r="B1435" s="7" t="s">
        <v>5984</v>
      </c>
    </row>
    <row r="1436" spans="1:2">
      <c r="A1436" s="7" t="s">
        <v>5985</v>
      </c>
      <c r="B1436" s="7" t="s">
        <v>5986</v>
      </c>
    </row>
    <row r="1437" spans="1:2">
      <c r="A1437" s="7" t="s">
        <v>5987</v>
      </c>
      <c r="B1437" s="7" t="s">
        <v>5988</v>
      </c>
    </row>
    <row r="1438" spans="1:2">
      <c r="A1438" s="7" t="s">
        <v>5989</v>
      </c>
      <c r="B1438" s="7" t="s">
        <v>5990</v>
      </c>
    </row>
    <row r="1439" spans="1:2">
      <c r="A1439" s="7" t="s">
        <v>5991</v>
      </c>
      <c r="B1439" s="7" t="s">
        <v>5992</v>
      </c>
    </row>
    <row r="1440" spans="1:2">
      <c r="A1440" s="7" t="s">
        <v>5993</v>
      </c>
      <c r="B1440" s="7" t="s">
        <v>5994</v>
      </c>
    </row>
    <row r="1441" spans="1:2">
      <c r="A1441" s="7" t="s">
        <v>5995</v>
      </c>
      <c r="B1441" s="7" t="s">
        <v>5996</v>
      </c>
    </row>
    <row r="1442" spans="1:2">
      <c r="A1442" s="7" t="s">
        <v>5997</v>
      </c>
      <c r="B1442" s="7" t="s">
        <v>5998</v>
      </c>
    </row>
    <row r="1443" spans="1:2">
      <c r="A1443" s="7" t="s">
        <v>5999</v>
      </c>
      <c r="B1443" s="7" t="s">
        <v>6000</v>
      </c>
    </row>
    <row r="1444" spans="1:2">
      <c r="A1444" s="7" t="s">
        <v>6001</v>
      </c>
      <c r="B1444" s="7" t="s">
        <v>6002</v>
      </c>
    </row>
    <row r="1445" spans="1:2">
      <c r="A1445" s="7" t="s">
        <v>6003</v>
      </c>
      <c r="B1445" s="7" t="s">
        <v>6004</v>
      </c>
    </row>
    <row r="1446" spans="1:2">
      <c r="A1446" s="7" t="s">
        <v>6005</v>
      </c>
      <c r="B1446" s="7" t="s">
        <v>6006</v>
      </c>
    </row>
    <row r="1447" spans="1:2">
      <c r="A1447" s="7" t="s">
        <v>6007</v>
      </c>
      <c r="B1447" s="7" t="s">
        <v>6008</v>
      </c>
    </row>
    <row r="1448" spans="1:2">
      <c r="A1448" s="7" t="s">
        <v>6009</v>
      </c>
      <c r="B1448" s="7" t="s">
        <v>6010</v>
      </c>
    </row>
    <row r="1449" spans="1:2">
      <c r="A1449" s="7" t="s">
        <v>6011</v>
      </c>
      <c r="B1449" s="7" t="s">
        <v>6012</v>
      </c>
    </row>
    <row r="1450" spans="1:2">
      <c r="A1450" s="7" t="s">
        <v>6013</v>
      </c>
      <c r="B1450" s="7" t="s">
        <v>6014</v>
      </c>
    </row>
    <row r="1451" spans="1:2">
      <c r="A1451" s="7" t="s">
        <v>6015</v>
      </c>
      <c r="B1451" s="7" t="s">
        <v>6016</v>
      </c>
    </row>
    <row r="1452" spans="1:2">
      <c r="A1452" s="7" t="s">
        <v>6017</v>
      </c>
      <c r="B1452" s="7" t="s">
        <v>6018</v>
      </c>
    </row>
    <row r="1453" spans="1:2">
      <c r="A1453" s="7" t="s">
        <v>6019</v>
      </c>
      <c r="B1453" s="7" t="s">
        <v>6020</v>
      </c>
    </row>
    <row r="1454" spans="1:2">
      <c r="A1454" s="7" t="s">
        <v>6021</v>
      </c>
      <c r="B1454" s="7" t="s">
        <v>6022</v>
      </c>
    </row>
    <row r="1455" spans="1:2">
      <c r="A1455" s="7" t="s">
        <v>6023</v>
      </c>
      <c r="B1455" s="7" t="s">
        <v>6024</v>
      </c>
    </row>
    <row r="1456" spans="1:2">
      <c r="A1456" s="7" t="s">
        <v>6025</v>
      </c>
      <c r="B1456" s="7" t="s">
        <v>6026</v>
      </c>
    </row>
    <row r="1457" spans="1:2">
      <c r="A1457" s="7" t="s">
        <v>6027</v>
      </c>
      <c r="B1457" s="7" t="s">
        <v>6028</v>
      </c>
    </row>
    <row r="1458" spans="1:2">
      <c r="A1458" s="7" t="s">
        <v>6029</v>
      </c>
      <c r="B1458" s="7" t="s">
        <v>6030</v>
      </c>
    </row>
    <row r="1459" spans="1:2">
      <c r="A1459" s="7" t="s">
        <v>6031</v>
      </c>
      <c r="B1459" s="7" t="s">
        <v>6032</v>
      </c>
    </row>
    <row r="1460" spans="1:2">
      <c r="A1460" s="7" t="s">
        <v>6033</v>
      </c>
      <c r="B1460" s="7" t="s">
        <v>6034</v>
      </c>
    </row>
    <row r="1461" spans="1:2">
      <c r="A1461" s="7" t="s">
        <v>6035</v>
      </c>
      <c r="B1461" s="7" t="s">
        <v>6036</v>
      </c>
    </row>
    <row r="1462" spans="1:2">
      <c r="A1462" s="7" t="s">
        <v>6037</v>
      </c>
      <c r="B1462" s="7" t="s">
        <v>6038</v>
      </c>
    </row>
    <row r="1463" spans="1:2">
      <c r="A1463" s="7" t="s">
        <v>6039</v>
      </c>
      <c r="B1463" s="7" t="s">
        <v>6040</v>
      </c>
    </row>
    <row r="1464" spans="1:2">
      <c r="A1464" s="7" t="s">
        <v>6041</v>
      </c>
      <c r="B1464" s="7" t="s">
        <v>6042</v>
      </c>
    </row>
    <row r="1465" spans="1:2">
      <c r="A1465" s="7" t="s">
        <v>6043</v>
      </c>
      <c r="B1465" s="7" t="s">
        <v>6044</v>
      </c>
    </row>
    <row r="1466" spans="1:2">
      <c r="A1466" s="7" t="s">
        <v>6045</v>
      </c>
      <c r="B1466" s="7" t="s">
        <v>6046</v>
      </c>
    </row>
    <row r="1467" spans="1:2">
      <c r="A1467" s="7" t="s">
        <v>6047</v>
      </c>
      <c r="B1467" s="7" t="s">
        <v>6048</v>
      </c>
    </row>
    <row r="1468" spans="1:2">
      <c r="A1468" s="7" t="s">
        <v>6049</v>
      </c>
      <c r="B1468" s="7" t="s">
        <v>6050</v>
      </c>
    </row>
    <row r="1469" spans="1:2">
      <c r="A1469" s="7" t="s">
        <v>6051</v>
      </c>
      <c r="B1469" s="7" t="s">
        <v>3901</v>
      </c>
    </row>
    <row r="1470" spans="1:2">
      <c r="A1470" s="7" t="s">
        <v>6052</v>
      </c>
      <c r="B1470" s="7" t="s">
        <v>6053</v>
      </c>
    </row>
    <row r="1471" spans="1:2">
      <c r="A1471" s="7" t="s">
        <v>6054</v>
      </c>
      <c r="B1471" s="7" t="s">
        <v>6055</v>
      </c>
    </row>
    <row r="1472" spans="1:2">
      <c r="A1472" s="7" t="s">
        <v>6056</v>
      </c>
      <c r="B1472" s="7" t="s">
        <v>6057</v>
      </c>
    </row>
    <row r="1473" spans="1:2">
      <c r="A1473" s="7" t="s">
        <v>6058</v>
      </c>
      <c r="B1473" s="7" t="s">
        <v>3427</v>
      </c>
    </row>
    <row r="1474" spans="1:2">
      <c r="A1474" s="7" t="s">
        <v>6059</v>
      </c>
      <c r="B1474" s="7" t="s">
        <v>6060</v>
      </c>
    </row>
    <row r="1475" spans="1:2">
      <c r="A1475" s="7" t="s">
        <v>6061</v>
      </c>
      <c r="B1475" s="7" t="s">
        <v>6062</v>
      </c>
    </row>
    <row r="1476" spans="1:2">
      <c r="A1476" s="7" t="s">
        <v>6063</v>
      </c>
      <c r="B1476" s="7" t="s">
        <v>6064</v>
      </c>
    </row>
    <row r="1477" spans="1:2">
      <c r="A1477" s="7" t="s">
        <v>6065</v>
      </c>
      <c r="B1477" s="7" t="s">
        <v>6066</v>
      </c>
    </row>
    <row r="1478" spans="1:2">
      <c r="A1478" s="7" t="s">
        <v>6067</v>
      </c>
      <c r="B1478" s="7" t="s">
        <v>6068</v>
      </c>
    </row>
    <row r="1479" spans="1:2">
      <c r="A1479" s="7" t="s">
        <v>6069</v>
      </c>
      <c r="B1479" s="7" t="s">
        <v>6070</v>
      </c>
    </row>
    <row r="1480" spans="1:2">
      <c r="A1480" s="7" t="s">
        <v>6071</v>
      </c>
      <c r="B1480" s="7" t="s">
        <v>6072</v>
      </c>
    </row>
    <row r="1481" spans="1:2">
      <c r="A1481" s="7" t="s">
        <v>6073</v>
      </c>
      <c r="B1481" s="7" t="s">
        <v>6074</v>
      </c>
    </row>
    <row r="1482" spans="1:2">
      <c r="A1482" s="7" t="s">
        <v>6075</v>
      </c>
      <c r="B1482" s="7" t="s">
        <v>6076</v>
      </c>
    </row>
    <row r="1483" spans="1:2">
      <c r="A1483" s="7" t="s">
        <v>6077</v>
      </c>
      <c r="B1483" s="7" t="s">
        <v>5367</v>
      </c>
    </row>
    <row r="1484" spans="1:2">
      <c r="A1484" s="7" t="s">
        <v>6078</v>
      </c>
      <c r="B1484" s="7" t="s">
        <v>6079</v>
      </c>
    </row>
    <row r="1485" spans="1:2">
      <c r="A1485" s="7" t="s">
        <v>6080</v>
      </c>
      <c r="B1485" s="7" t="s">
        <v>6081</v>
      </c>
    </row>
    <row r="1486" spans="1:2">
      <c r="A1486" s="7" t="s">
        <v>6082</v>
      </c>
      <c r="B1486" s="7" t="s">
        <v>6083</v>
      </c>
    </row>
    <row r="1487" spans="1:2">
      <c r="A1487" s="7" t="s">
        <v>6084</v>
      </c>
      <c r="B1487" s="7" t="s">
        <v>6085</v>
      </c>
    </row>
    <row r="1488" spans="1:2">
      <c r="A1488" s="7" t="s">
        <v>6086</v>
      </c>
      <c r="B1488" s="7" t="s">
        <v>6087</v>
      </c>
    </row>
    <row r="1489" spans="1:2">
      <c r="A1489" s="7" t="s">
        <v>6088</v>
      </c>
      <c r="B1489" s="7" t="s">
        <v>6089</v>
      </c>
    </row>
    <row r="1490" spans="1:2">
      <c r="A1490" s="7" t="s">
        <v>6090</v>
      </c>
      <c r="B1490" s="7" t="s">
        <v>6091</v>
      </c>
    </row>
    <row r="1491" spans="1:2">
      <c r="A1491" s="7" t="s">
        <v>6092</v>
      </c>
      <c r="B1491" s="7" t="s">
        <v>6093</v>
      </c>
    </row>
    <row r="1492" spans="1:2">
      <c r="A1492" s="7" t="s">
        <v>6094</v>
      </c>
      <c r="B1492" s="7" t="s">
        <v>4767</v>
      </c>
    </row>
    <row r="1493" spans="1:2">
      <c r="A1493" s="7" t="s">
        <v>6095</v>
      </c>
      <c r="B1493" s="7" t="s">
        <v>6096</v>
      </c>
    </row>
    <row r="1494" spans="1:2">
      <c r="A1494" s="7" t="s">
        <v>6097</v>
      </c>
      <c r="B1494" s="7" t="s">
        <v>6098</v>
      </c>
    </row>
    <row r="1495" spans="1:2">
      <c r="A1495" s="7" t="s">
        <v>6099</v>
      </c>
      <c r="B1495" s="7" t="s">
        <v>6100</v>
      </c>
    </row>
    <row r="1496" spans="1:2">
      <c r="A1496" s="7" t="s">
        <v>6101</v>
      </c>
      <c r="B1496" s="7" t="s">
        <v>6102</v>
      </c>
    </row>
    <row r="1497" spans="1:2">
      <c r="A1497" s="7" t="s">
        <v>6103</v>
      </c>
      <c r="B1497" s="7" t="s">
        <v>6104</v>
      </c>
    </row>
    <row r="1498" spans="1:2">
      <c r="A1498" s="7" t="s">
        <v>6105</v>
      </c>
      <c r="B1498" s="7" t="s">
        <v>6106</v>
      </c>
    </row>
    <row r="1499" spans="1:2">
      <c r="A1499" s="7" t="s">
        <v>6107</v>
      </c>
      <c r="B1499" s="7" t="s">
        <v>6108</v>
      </c>
    </row>
    <row r="1500" spans="1:2">
      <c r="A1500" s="7" t="s">
        <v>6109</v>
      </c>
      <c r="B1500" s="7" t="s">
        <v>6110</v>
      </c>
    </row>
    <row r="1501" spans="1:2">
      <c r="A1501" s="7" t="s">
        <v>6111</v>
      </c>
      <c r="B1501" s="7" t="s">
        <v>6112</v>
      </c>
    </row>
    <row r="1502" spans="1:2">
      <c r="A1502" s="7" t="s">
        <v>6113</v>
      </c>
      <c r="B1502" s="7" t="s">
        <v>6114</v>
      </c>
    </row>
    <row r="1503" spans="1:2">
      <c r="A1503" s="7" t="s">
        <v>6115</v>
      </c>
      <c r="B1503" s="7" t="s">
        <v>6116</v>
      </c>
    </row>
    <row r="1504" spans="1:2">
      <c r="A1504" s="7" t="s">
        <v>6117</v>
      </c>
      <c r="B1504" s="7" t="s">
        <v>6118</v>
      </c>
    </row>
    <row r="1505" spans="1:2">
      <c r="A1505" s="7" t="s">
        <v>6119</v>
      </c>
      <c r="B1505" s="7" t="s">
        <v>6120</v>
      </c>
    </row>
    <row r="1506" spans="1:2">
      <c r="A1506" s="7" t="s">
        <v>6121</v>
      </c>
      <c r="B1506" s="7" t="s">
        <v>6122</v>
      </c>
    </row>
    <row r="1507" spans="1:2">
      <c r="A1507" s="7" t="s">
        <v>6123</v>
      </c>
      <c r="B1507" s="7" t="s">
        <v>6124</v>
      </c>
    </row>
    <row r="1508" spans="1:2">
      <c r="A1508" s="7" t="s">
        <v>6125</v>
      </c>
      <c r="B1508" s="7" t="s">
        <v>6126</v>
      </c>
    </row>
    <row r="1509" spans="1:2">
      <c r="A1509" s="7" t="s">
        <v>6127</v>
      </c>
      <c r="B1509" s="7" t="s">
        <v>6128</v>
      </c>
    </row>
    <row r="1510" spans="1:2">
      <c r="A1510" s="7" t="s">
        <v>6129</v>
      </c>
      <c r="B1510" s="7" t="s">
        <v>6130</v>
      </c>
    </row>
    <row r="1511" spans="1:2">
      <c r="A1511" s="7" t="s">
        <v>6131</v>
      </c>
      <c r="B1511" s="7" t="s">
        <v>6132</v>
      </c>
    </row>
    <row r="1512" spans="1:2">
      <c r="A1512" s="7" t="s">
        <v>6133</v>
      </c>
      <c r="B1512" s="7" t="s">
        <v>6134</v>
      </c>
    </row>
    <row r="1513" spans="1:2">
      <c r="A1513" s="7" t="s">
        <v>6135</v>
      </c>
      <c r="B1513" s="7" t="s">
        <v>6136</v>
      </c>
    </row>
    <row r="1514" spans="1:2">
      <c r="A1514" s="7" t="s">
        <v>6137</v>
      </c>
      <c r="B1514" s="7" t="s">
        <v>6138</v>
      </c>
    </row>
    <row r="1515" spans="1:2">
      <c r="A1515" s="7" t="s">
        <v>6139</v>
      </c>
      <c r="B1515" s="7" t="s">
        <v>6140</v>
      </c>
    </row>
    <row r="1516" spans="1:2">
      <c r="A1516" s="7" t="s">
        <v>6141</v>
      </c>
      <c r="B1516" s="7" t="s">
        <v>3369</v>
      </c>
    </row>
    <row r="1517" spans="1:2">
      <c r="A1517" s="7" t="s">
        <v>6142</v>
      </c>
      <c r="B1517" s="7" t="s">
        <v>6143</v>
      </c>
    </row>
    <row r="1518" spans="1:2">
      <c r="A1518" s="7" t="s">
        <v>6144</v>
      </c>
      <c r="B1518" s="7" t="s">
        <v>6145</v>
      </c>
    </row>
    <row r="1519" spans="1:2">
      <c r="A1519" s="7" t="s">
        <v>6146</v>
      </c>
      <c r="B1519" s="7" t="s">
        <v>6147</v>
      </c>
    </row>
    <row r="1520" spans="1:2">
      <c r="A1520" s="7" t="s">
        <v>6148</v>
      </c>
      <c r="B1520" s="7" t="s">
        <v>3510</v>
      </c>
    </row>
    <row r="1521" spans="1:2">
      <c r="A1521" s="7" t="s">
        <v>6149</v>
      </c>
      <c r="B1521" s="7" t="s">
        <v>6150</v>
      </c>
    </row>
    <row r="1522" spans="1:2">
      <c r="A1522" s="7" t="s">
        <v>6151</v>
      </c>
      <c r="B1522" s="7" t="s">
        <v>5209</v>
      </c>
    </row>
    <row r="1523" spans="1:2">
      <c r="A1523" s="7" t="s">
        <v>6152</v>
      </c>
      <c r="B1523" s="7" t="s">
        <v>6153</v>
      </c>
    </row>
    <row r="1524" spans="1:2">
      <c r="A1524" s="7" t="s">
        <v>6154</v>
      </c>
      <c r="B1524" s="7" t="s">
        <v>6155</v>
      </c>
    </row>
    <row r="1525" spans="1:2">
      <c r="A1525" s="7" t="s">
        <v>6156</v>
      </c>
      <c r="B1525" s="7" t="s">
        <v>6157</v>
      </c>
    </row>
    <row r="1526" spans="1:2">
      <c r="A1526" s="7" t="s">
        <v>6158</v>
      </c>
      <c r="B1526" s="7" t="s">
        <v>6159</v>
      </c>
    </row>
    <row r="1527" spans="1:2">
      <c r="A1527" s="7" t="s">
        <v>6160</v>
      </c>
      <c r="B1527" s="7" t="s">
        <v>6161</v>
      </c>
    </row>
    <row r="1528" spans="1:2">
      <c r="A1528" s="7" t="s">
        <v>6162</v>
      </c>
      <c r="B1528" s="7" t="s">
        <v>6163</v>
      </c>
    </row>
    <row r="1529" spans="1:2">
      <c r="A1529" s="7" t="s">
        <v>6164</v>
      </c>
      <c r="B1529" s="7" t="s">
        <v>6165</v>
      </c>
    </row>
    <row r="1530" spans="1:2">
      <c r="A1530" s="7" t="s">
        <v>6166</v>
      </c>
      <c r="B1530" s="7" t="s">
        <v>4692</v>
      </c>
    </row>
    <row r="1531" spans="1:2">
      <c r="A1531" s="7" t="s">
        <v>6167</v>
      </c>
      <c r="B1531" s="7" t="s">
        <v>6168</v>
      </c>
    </row>
    <row r="1532" spans="1:2">
      <c r="A1532" s="7" t="s">
        <v>6169</v>
      </c>
      <c r="B1532" s="7" t="s">
        <v>6170</v>
      </c>
    </row>
    <row r="1533" spans="1:2">
      <c r="A1533" s="7" t="s">
        <v>6171</v>
      </c>
      <c r="B1533" s="7" t="s">
        <v>6172</v>
      </c>
    </row>
    <row r="1534" spans="1:2">
      <c r="A1534" s="7" t="s">
        <v>6173</v>
      </c>
      <c r="B1534" s="7" t="s">
        <v>6174</v>
      </c>
    </row>
    <row r="1535" spans="1:2">
      <c r="A1535" s="7" t="s">
        <v>6175</v>
      </c>
      <c r="B1535" s="7" t="s">
        <v>6176</v>
      </c>
    </row>
    <row r="1536" spans="1:2">
      <c r="A1536" s="7" t="s">
        <v>6177</v>
      </c>
      <c r="B1536" s="7" t="s">
        <v>6178</v>
      </c>
    </row>
    <row r="1537" spans="1:2">
      <c r="A1537" s="7" t="s">
        <v>6179</v>
      </c>
      <c r="B1537" s="7" t="s">
        <v>6180</v>
      </c>
    </row>
    <row r="1538" spans="1:2">
      <c r="A1538" s="7" t="s">
        <v>6181</v>
      </c>
      <c r="B1538" s="7" t="s">
        <v>6182</v>
      </c>
    </row>
    <row r="1539" spans="1:2">
      <c r="A1539" s="7" t="s">
        <v>6183</v>
      </c>
      <c r="B1539" s="7" t="s">
        <v>6184</v>
      </c>
    </row>
    <row r="1540" spans="1:2">
      <c r="A1540" s="7" t="s">
        <v>6185</v>
      </c>
      <c r="B1540" s="7" t="s">
        <v>6186</v>
      </c>
    </row>
    <row r="1541" spans="1:2">
      <c r="A1541" s="7" t="s">
        <v>6187</v>
      </c>
      <c r="B1541" s="7" t="s">
        <v>6188</v>
      </c>
    </row>
    <row r="1542" spans="1:2">
      <c r="A1542" s="7" t="s">
        <v>6189</v>
      </c>
      <c r="B1542" s="7" t="s">
        <v>6190</v>
      </c>
    </row>
    <row r="1543" spans="1:2">
      <c r="A1543" s="7" t="s">
        <v>6191</v>
      </c>
      <c r="B1543" s="7" t="s">
        <v>6192</v>
      </c>
    </row>
    <row r="1544" spans="1:2">
      <c r="A1544" s="7" t="s">
        <v>6193</v>
      </c>
      <c r="B1544" s="7" t="s">
        <v>6194</v>
      </c>
    </row>
    <row r="1545" spans="1:2">
      <c r="A1545" s="7" t="s">
        <v>6195</v>
      </c>
      <c r="B1545" s="7" t="s">
        <v>4596</v>
      </c>
    </row>
    <row r="1546" spans="1:2">
      <c r="A1546" s="7" t="s">
        <v>6196</v>
      </c>
      <c r="B1546" s="7" t="s">
        <v>6197</v>
      </c>
    </row>
    <row r="1547" spans="1:2">
      <c r="A1547" s="7" t="s">
        <v>6198</v>
      </c>
      <c r="B1547" s="7" t="s">
        <v>4522</v>
      </c>
    </row>
    <row r="1548" spans="1:2">
      <c r="A1548" s="7" t="s">
        <v>6199</v>
      </c>
      <c r="B1548" s="7" t="s">
        <v>6200</v>
      </c>
    </row>
    <row r="1549" spans="1:2">
      <c r="A1549" s="7" t="s">
        <v>6201</v>
      </c>
      <c r="B1549" s="7" t="s">
        <v>6202</v>
      </c>
    </row>
    <row r="1550" spans="1:2">
      <c r="A1550" s="7" t="s">
        <v>6203</v>
      </c>
      <c r="B1550" s="7" t="s">
        <v>6204</v>
      </c>
    </row>
    <row r="1551" spans="1:2">
      <c r="A1551" s="7" t="s">
        <v>6205</v>
      </c>
      <c r="B1551" s="7" t="s">
        <v>6206</v>
      </c>
    </row>
    <row r="1552" spans="1:2">
      <c r="A1552" s="7" t="s">
        <v>6207</v>
      </c>
      <c r="B1552" s="7" t="s">
        <v>6208</v>
      </c>
    </row>
    <row r="1553" spans="1:2">
      <c r="A1553" s="7" t="s">
        <v>6209</v>
      </c>
      <c r="B1553" s="7" t="s">
        <v>6210</v>
      </c>
    </row>
    <row r="1554" spans="1:2">
      <c r="A1554" s="7" t="s">
        <v>6211</v>
      </c>
      <c r="B1554" s="7" t="s">
        <v>6212</v>
      </c>
    </row>
    <row r="1555" spans="1:2">
      <c r="A1555" s="7" t="s">
        <v>6213</v>
      </c>
      <c r="B1555" s="7" t="s">
        <v>6214</v>
      </c>
    </row>
    <row r="1556" spans="1:2">
      <c r="A1556" s="7" t="s">
        <v>6215</v>
      </c>
      <c r="B1556" s="7" t="s">
        <v>6216</v>
      </c>
    </row>
    <row r="1557" spans="1:2">
      <c r="A1557" s="7" t="s">
        <v>6217</v>
      </c>
      <c r="B1557" s="7" t="s">
        <v>6218</v>
      </c>
    </row>
    <row r="1558" spans="1:2">
      <c r="A1558" s="7" t="s">
        <v>6219</v>
      </c>
      <c r="B1558" s="7" t="s">
        <v>6220</v>
      </c>
    </row>
    <row r="1559" spans="1:2">
      <c r="A1559" s="7" t="s">
        <v>6221</v>
      </c>
      <c r="B1559" s="7" t="s">
        <v>6222</v>
      </c>
    </row>
    <row r="1560" spans="1:2">
      <c r="A1560" s="7" t="s">
        <v>6223</v>
      </c>
      <c r="B1560" s="7" t="s">
        <v>6224</v>
      </c>
    </row>
    <row r="1561" spans="1:2">
      <c r="A1561" s="7" t="s">
        <v>6225</v>
      </c>
      <c r="B1561" s="7" t="s">
        <v>6226</v>
      </c>
    </row>
    <row r="1562" spans="1:2">
      <c r="A1562" s="7" t="s">
        <v>6227</v>
      </c>
      <c r="B1562" s="7" t="s">
        <v>6228</v>
      </c>
    </row>
    <row r="1563" spans="1:2">
      <c r="A1563" s="7" t="s">
        <v>6229</v>
      </c>
      <c r="B1563" s="7" t="s">
        <v>6230</v>
      </c>
    </row>
    <row r="1564" spans="1:2">
      <c r="A1564" s="7" t="s">
        <v>6231</v>
      </c>
      <c r="B1564" s="7" t="s">
        <v>6232</v>
      </c>
    </row>
    <row r="1565" spans="1:2">
      <c r="A1565" s="7" t="s">
        <v>6233</v>
      </c>
      <c r="B1565" s="7" t="s">
        <v>6234</v>
      </c>
    </row>
    <row r="1566" spans="1:2">
      <c r="A1566" s="7" t="s">
        <v>6235</v>
      </c>
      <c r="B1566" s="7" t="s">
        <v>6236</v>
      </c>
    </row>
    <row r="1567" spans="1:2">
      <c r="A1567" s="7" t="s">
        <v>6237</v>
      </c>
      <c r="B1567" s="7" t="s">
        <v>6238</v>
      </c>
    </row>
    <row r="1568" spans="1:2">
      <c r="A1568" s="7" t="s">
        <v>6239</v>
      </c>
      <c r="B1568" s="7" t="s">
        <v>6240</v>
      </c>
    </row>
    <row r="1569" spans="1:2">
      <c r="A1569" s="7" t="s">
        <v>6241</v>
      </c>
      <c r="B1569" s="7" t="s">
        <v>6242</v>
      </c>
    </row>
    <row r="1570" spans="1:2">
      <c r="A1570" s="7" t="s">
        <v>6243</v>
      </c>
      <c r="B1570" s="7" t="s">
        <v>6244</v>
      </c>
    </row>
    <row r="1571" spans="1:2">
      <c r="A1571" s="7" t="s">
        <v>6245</v>
      </c>
      <c r="B1571" s="7" t="s">
        <v>6246</v>
      </c>
    </row>
    <row r="1572" spans="1:2">
      <c r="A1572" s="7" t="s">
        <v>6247</v>
      </c>
      <c r="B1572" s="7" t="s">
        <v>3792</v>
      </c>
    </row>
    <row r="1573" spans="1:2">
      <c r="A1573" s="7" t="s">
        <v>6248</v>
      </c>
      <c r="B1573" s="7" t="s">
        <v>6249</v>
      </c>
    </row>
    <row r="1574" spans="1:2">
      <c r="A1574" s="7" t="s">
        <v>6250</v>
      </c>
      <c r="B1574" s="7" t="s">
        <v>6251</v>
      </c>
    </row>
    <row r="1575" spans="1:2">
      <c r="A1575" s="7" t="s">
        <v>6252</v>
      </c>
      <c r="B1575" s="7" t="s">
        <v>6253</v>
      </c>
    </row>
    <row r="1576" spans="1:2">
      <c r="A1576" s="7" t="s">
        <v>6254</v>
      </c>
      <c r="B1576" s="7" t="s">
        <v>6255</v>
      </c>
    </row>
    <row r="1577" spans="1:2">
      <c r="A1577" s="7" t="s">
        <v>6256</v>
      </c>
      <c r="B1577" s="7" t="s">
        <v>6257</v>
      </c>
    </row>
    <row r="1578" spans="1:2">
      <c r="A1578" s="7" t="s">
        <v>6258</v>
      </c>
      <c r="B1578" s="7" t="s">
        <v>6259</v>
      </c>
    </row>
    <row r="1579" spans="1:2">
      <c r="A1579" s="7" t="s">
        <v>6260</v>
      </c>
      <c r="B1579" s="7" t="s">
        <v>3832</v>
      </c>
    </row>
    <row r="1580" spans="1:2">
      <c r="A1580" s="7" t="s">
        <v>6261</v>
      </c>
      <c r="B1580" s="7" t="s">
        <v>6262</v>
      </c>
    </row>
    <row r="1581" spans="1:2">
      <c r="A1581" s="7" t="s">
        <v>6263</v>
      </c>
      <c r="B1581" s="7" t="s">
        <v>6264</v>
      </c>
    </row>
    <row r="1582" spans="1:2">
      <c r="A1582" s="7" t="s">
        <v>6265</v>
      </c>
      <c r="B1582" s="7" t="s">
        <v>6266</v>
      </c>
    </row>
    <row r="1583" spans="1:2">
      <c r="A1583" s="7" t="s">
        <v>6267</v>
      </c>
      <c r="B1583" s="7" t="s">
        <v>6268</v>
      </c>
    </row>
    <row r="1584" spans="1:2">
      <c r="A1584" s="7" t="s">
        <v>6269</v>
      </c>
      <c r="B1584" s="7" t="s">
        <v>5053</v>
      </c>
    </row>
    <row r="1585" spans="1:2">
      <c r="A1585" s="7" t="s">
        <v>6270</v>
      </c>
      <c r="B1585" s="7" t="s">
        <v>6271</v>
      </c>
    </row>
    <row r="1586" spans="1:2">
      <c r="A1586" s="7" t="s">
        <v>6272</v>
      </c>
      <c r="B1586" s="7" t="s">
        <v>6273</v>
      </c>
    </row>
    <row r="1587" spans="1:2">
      <c r="A1587" s="7" t="s">
        <v>6274</v>
      </c>
      <c r="B1587" s="7" t="s">
        <v>6275</v>
      </c>
    </row>
    <row r="1588" spans="1:2">
      <c r="A1588" s="7" t="s">
        <v>6276</v>
      </c>
      <c r="B1588" s="7" t="s">
        <v>6277</v>
      </c>
    </row>
    <row r="1589" spans="1:2">
      <c r="A1589" s="7" t="s">
        <v>6278</v>
      </c>
      <c r="B1589" s="7" t="s">
        <v>6279</v>
      </c>
    </row>
    <row r="1590" spans="1:2">
      <c r="A1590" s="7" t="s">
        <v>6280</v>
      </c>
      <c r="B1590" s="7" t="s">
        <v>6281</v>
      </c>
    </row>
    <row r="1591" spans="1:2">
      <c r="A1591" s="7" t="s">
        <v>6282</v>
      </c>
      <c r="B1591" s="7" t="s">
        <v>6283</v>
      </c>
    </row>
    <row r="1592" spans="1:2">
      <c r="A1592" s="7" t="s">
        <v>6284</v>
      </c>
      <c r="B1592" s="7" t="s">
        <v>6285</v>
      </c>
    </row>
    <row r="1593" spans="1:2">
      <c r="A1593" s="7" t="s">
        <v>6286</v>
      </c>
      <c r="B1593" s="7" t="s">
        <v>6287</v>
      </c>
    </row>
    <row r="1594" spans="1:2">
      <c r="A1594" s="7" t="s">
        <v>6288</v>
      </c>
      <c r="B1594" s="7" t="s">
        <v>6289</v>
      </c>
    </row>
    <row r="1595" spans="1:2">
      <c r="A1595" s="7" t="s">
        <v>6290</v>
      </c>
      <c r="B1595" s="7" t="s">
        <v>6291</v>
      </c>
    </row>
    <row r="1596" spans="1:2">
      <c r="A1596" s="7" t="s">
        <v>6292</v>
      </c>
      <c r="B1596" s="7" t="s">
        <v>6293</v>
      </c>
    </row>
    <row r="1597" spans="1:2">
      <c r="A1597" s="7" t="s">
        <v>6294</v>
      </c>
      <c r="B1597" s="7" t="s">
        <v>6295</v>
      </c>
    </row>
    <row r="1598" spans="1:2">
      <c r="A1598" s="7" t="s">
        <v>6296</v>
      </c>
      <c r="B1598" s="7" t="s">
        <v>6297</v>
      </c>
    </row>
    <row r="1599" spans="1:2">
      <c r="A1599" s="7" t="s">
        <v>6298</v>
      </c>
      <c r="B1599" s="7" t="s">
        <v>6299</v>
      </c>
    </row>
    <row r="1600" spans="1:2">
      <c r="A1600" s="7" t="s">
        <v>6300</v>
      </c>
      <c r="B1600" s="7" t="s">
        <v>6301</v>
      </c>
    </row>
    <row r="1601" spans="1:2">
      <c r="A1601" s="7" t="s">
        <v>6302</v>
      </c>
      <c r="B1601" s="7" t="s">
        <v>6303</v>
      </c>
    </row>
    <row r="1602" spans="1:2">
      <c r="A1602" s="7" t="s">
        <v>6304</v>
      </c>
      <c r="B1602" s="7" t="s">
        <v>6305</v>
      </c>
    </row>
    <row r="1603" spans="1:2">
      <c r="A1603" s="7" t="s">
        <v>6306</v>
      </c>
      <c r="B1603" s="7" t="s">
        <v>6307</v>
      </c>
    </row>
    <row r="1604" spans="1:2">
      <c r="A1604" s="7" t="s">
        <v>6308</v>
      </c>
      <c r="B1604" s="7" t="s">
        <v>6309</v>
      </c>
    </row>
    <row r="1605" spans="1:2">
      <c r="A1605" s="7" t="s">
        <v>6310</v>
      </c>
      <c r="B1605" s="7" t="s">
        <v>6311</v>
      </c>
    </row>
    <row r="1606" spans="1:2">
      <c r="A1606" s="7" t="s">
        <v>6312</v>
      </c>
      <c r="B1606" s="7" t="s">
        <v>6313</v>
      </c>
    </row>
    <row r="1607" spans="1:2">
      <c r="A1607" s="7" t="s">
        <v>6314</v>
      </c>
      <c r="B1607" s="7" t="s">
        <v>6315</v>
      </c>
    </row>
    <row r="1608" spans="1:2">
      <c r="A1608" s="7" t="s">
        <v>6316</v>
      </c>
      <c r="B1608" s="7" t="s">
        <v>3776</v>
      </c>
    </row>
    <row r="1609" spans="1:2">
      <c r="A1609" s="7" t="s">
        <v>6317</v>
      </c>
      <c r="B1609" s="7" t="s">
        <v>6318</v>
      </c>
    </row>
    <row r="1610" spans="1:2">
      <c r="A1610" s="7" t="s">
        <v>6319</v>
      </c>
      <c r="B1610" s="7" t="s">
        <v>6320</v>
      </c>
    </row>
    <row r="1611" spans="1:2">
      <c r="A1611" s="7" t="s">
        <v>6321</v>
      </c>
      <c r="B1611" s="7" t="s">
        <v>6322</v>
      </c>
    </row>
    <row r="1612" spans="1:2">
      <c r="A1612" s="7" t="s">
        <v>6323</v>
      </c>
      <c r="B1612" s="7" t="s">
        <v>6324</v>
      </c>
    </row>
    <row r="1613" spans="1:2">
      <c r="A1613" s="7" t="s">
        <v>6325</v>
      </c>
      <c r="B1613" s="7" t="s">
        <v>6326</v>
      </c>
    </row>
    <row r="1614" spans="1:2">
      <c r="A1614" s="7" t="s">
        <v>6327</v>
      </c>
      <c r="B1614" s="7" t="s">
        <v>6328</v>
      </c>
    </row>
    <row r="1615" spans="1:2">
      <c r="A1615" s="7" t="s">
        <v>6329</v>
      </c>
      <c r="B1615" s="7" t="s">
        <v>6330</v>
      </c>
    </row>
    <row r="1616" spans="1:2">
      <c r="A1616" s="7" t="s">
        <v>6331</v>
      </c>
      <c r="B1616" s="7" t="s">
        <v>6332</v>
      </c>
    </row>
    <row r="1617" spans="1:2">
      <c r="A1617" s="7" t="s">
        <v>6333</v>
      </c>
      <c r="B1617" s="7" t="s">
        <v>6334</v>
      </c>
    </row>
    <row r="1618" spans="1:2">
      <c r="A1618" s="7" t="s">
        <v>6335</v>
      </c>
      <c r="B1618" s="7" t="s">
        <v>3666</v>
      </c>
    </row>
    <row r="1619" spans="1:2">
      <c r="A1619" s="7" t="s">
        <v>6336</v>
      </c>
      <c r="B1619" s="7" t="s">
        <v>6337</v>
      </c>
    </row>
    <row r="1620" spans="1:2">
      <c r="A1620" s="7" t="s">
        <v>6338</v>
      </c>
      <c r="B1620" s="7" t="s">
        <v>3621</v>
      </c>
    </row>
    <row r="1621" spans="1:2">
      <c r="A1621" s="7" t="s">
        <v>6339</v>
      </c>
      <c r="B1621" s="7" t="s">
        <v>6340</v>
      </c>
    </row>
    <row r="1622" spans="1:2">
      <c r="A1622" s="7" t="s">
        <v>6341</v>
      </c>
      <c r="B1622" s="7" t="s">
        <v>6342</v>
      </c>
    </row>
    <row r="1623" spans="1:2">
      <c r="A1623" s="7" t="s">
        <v>6343</v>
      </c>
      <c r="B1623" s="7" t="s">
        <v>6344</v>
      </c>
    </row>
    <row r="1624" spans="1:2">
      <c r="A1624" s="7" t="s">
        <v>6345</v>
      </c>
      <c r="B1624" s="7" t="s">
        <v>6346</v>
      </c>
    </row>
    <row r="1625" spans="1:2">
      <c r="A1625" s="7" t="s">
        <v>6347</v>
      </c>
      <c r="B1625" s="7" t="s">
        <v>6348</v>
      </c>
    </row>
    <row r="1626" spans="1:2">
      <c r="A1626" s="7" t="s">
        <v>6349</v>
      </c>
      <c r="B1626" s="7" t="s">
        <v>6350</v>
      </c>
    </row>
    <row r="1627" spans="1:2">
      <c r="A1627" s="7" t="s">
        <v>6351</v>
      </c>
      <c r="B1627" s="7" t="s">
        <v>4236</v>
      </c>
    </row>
    <row r="1628" spans="1:2">
      <c r="A1628" s="7" t="s">
        <v>6352</v>
      </c>
      <c r="B1628" s="7" t="s">
        <v>6353</v>
      </c>
    </row>
    <row r="1629" spans="1:2">
      <c r="A1629" s="7" t="s">
        <v>6354</v>
      </c>
      <c r="B1629" s="7" t="s">
        <v>6355</v>
      </c>
    </row>
    <row r="1630" spans="1:2">
      <c r="A1630" s="7" t="s">
        <v>6356</v>
      </c>
      <c r="B1630" s="7" t="s">
        <v>6357</v>
      </c>
    </row>
    <row r="1631" spans="1:2">
      <c r="A1631" s="7" t="s">
        <v>6358</v>
      </c>
      <c r="B1631" s="7" t="s">
        <v>6359</v>
      </c>
    </row>
    <row r="1632" spans="1:2">
      <c r="A1632" s="7" t="s">
        <v>6360</v>
      </c>
      <c r="B1632" s="7" t="s">
        <v>6361</v>
      </c>
    </row>
    <row r="1633" spans="1:2">
      <c r="A1633" s="7" t="s">
        <v>6362</v>
      </c>
      <c r="B1633" s="7" t="s">
        <v>6363</v>
      </c>
    </row>
    <row r="1634" spans="1:2">
      <c r="A1634" s="7" t="s">
        <v>6364</v>
      </c>
      <c r="B1634" s="7" t="s">
        <v>6365</v>
      </c>
    </row>
    <row r="1635" spans="1:2">
      <c r="A1635" s="7" t="s">
        <v>6366</v>
      </c>
      <c r="B1635" s="7" t="s">
        <v>6367</v>
      </c>
    </row>
    <row r="1636" spans="1:2">
      <c r="A1636" s="7" t="s">
        <v>6368</v>
      </c>
      <c r="B1636" s="7" t="s">
        <v>6369</v>
      </c>
    </row>
    <row r="1637" spans="1:2">
      <c r="A1637" s="7" t="s">
        <v>6370</v>
      </c>
      <c r="B1637" s="7" t="s">
        <v>6371</v>
      </c>
    </row>
    <row r="1638" spans="1:2">
      <c r="A1638" s="7" t="s">
        <v>6372</v>
      </c>
      <c r="B1638" s="7" t="s">
        <v>6373</v>
      </c>
    </row>
    <row r="1639" spans="1:2">
      <c r="A1639" s="7" t="s">
        <v>6374</v>
      </c>
      <c r="B1639" s="7" t="s">
        <v>6375</v>
      </c>
    </row>
    <row r="1640" spans="1:2">
      <c r="A1640" s="7" t="s">
        <v>6376</v>
      </c>
      <c r="B1640" s="7" t="s">
        <v>6377</v>
      </c>
    </row>
    <row r="1641" spans="1:2">
      <c r="A1641" s="7" t="s">
        <v>6378</v>
      </c>
      <c r="B1641" s="7" t="s">
        <v>6379</v>
      </c>
    </row>
    <row r="1642" spans="1:2">
      <c r="A1642" s="7" t="s">
        <v>6380</v>
      </c>
      <c r="B1642" s="7" t="s">
        <v>6381</v>
      </c>
    </row>
    <row r="1643" spans="1:2">
      <c r="A1643" s="7" t="s">
        <v>6382</v>
      </c>
      <c r="B1643" s="7" t="s">
        <v>6383</v>
      </c>
    </row>
    <row r="1644" spans="1:2">
      <c r="A1644" s="7" t="s">
        <v>6384</v>
      </c>
      <c r="B1644" s="7" t="s">
        <v>6385</v>
      </c>
    </row>
    <row r="1645" spans="1:2">
      <c r="A1645" s="7" t="s">
        <v>6386</v>
      </c>
      <c r="B1645" s="7" t="s">
        <v>6387</v>
      </c>
    </row>
    <row r="1646" spans="1:2">
      <c r="A1646" s="7" t="s">
        <v>6388</v>
      </c>
      <c r="B1646" s="7" t="s">
        <v>6389</v>
      </c>
    </row>
    <row r="1647" spans="1:2">
      <c r="A1647" s="7" t="s">
        <v>6390</v>
      </c>
      <c r="B1647" s="7" t="s">
        <v>6391</v>
      </c>
    </row>
    <row r="1648" spans="1:2">
      <c r="A1648" s="7" t="s">
        <v>6392</v>
      </c>
      <c r="B1648" s="7" t="s">
        <v>6393</v>
      </c>
    </row>
    <row r="1649" spans="1:2">
      <c r="A1649" s="7" t="s">
        <v>6394</v>
      </c>
      <c r="B1649" s="7" t="s">
        <v>6395</v>
      </c>
    </row>
    <row r="1650" spans="1:2">
      <c r="A1650" s="7" t="s">
        <v>6396</v>
      </c>
      <c r="B1650" s="7" t="s">
        <v>4941</v>
      </c>
    </row>
    <row r="1651" spans="1:2">
      <c r="A1651" s="7" t="s">
        <v>6397</v>
      </c>
      <c r="B1651" s="7" t="s">
        <v>6398</v>
      </c>
    </row>
    <row r="1652" spans="1:2">
      <c r="A1652" s="7" t="s">
        <v>6399</v>
      </c>
      <c r="B1652" s="7" t="s">
        <v>6400</v>
      </c>
    </row>
    <row r="1653" spans="1:2">
      <c r="A1653" s="7" t="s">
        <v>6401</v>
      </c>
      <c r="B1653" s="7" t="s">
        <v>6402</v>
      </c>
    </row>
    <row r="1654" spans="1:2">
      <c r="A1654" s="7" t="s">
        <v>6403</v>
      </c>
      <c r="B1654" s="7" t="s">
        <v>6404</v>
      </c>
    </row>
    <row r="1655" spans="1:2">
      <c r="A1655" s="7" t="s">
        <v>6405</v>
      </c>
      <c r="B1655" s="7" t="s">
        <v>6406</v>
      </c>
    </row>
    <row r="1656" spans="1:2">
      <c r="A1656" s="7" t="s">
        <v>6407</v>
      </c>
      <c r="B1656" s="7" t="s">
        <v>6408</v>
      </c>
    </row>
    <row r="1657" spans="1:2">
      <c r="A1657" s="7" t="s">
        <v>6409</v>
      </c>
      <c r="B1657" s="7" t="s">
        <v>6410</v>
      </c>
    </row>
    <row r="1658" spans="1:2">
      <c r="A1658" s="7" t="s">
        <v>6411</v>
      </c>
      <c r="B1658" s="7" t="s">
        <v>6412</v>
      </c>
    </row>
    <row r="1659" spans="1:2">
      <c r="A1659" s="7" t="s">
        <v>6413</v>
      </c>
      <c r="B1659" s="7" t="s">
        <v>6414</v>
      </c>
    </row>
    <row r="1660" spans="1:2">
      <c r="A1660" s="7" t="s">
        <v>6415</v>
      </c>
      <c r="B1660" s="7" t="s">
        <v>6416</v>
      </c>
    </row>
    <row r="1661" spans="1:2">
      <c r="A1661" s="7" t="s">
        <v>6417</v>
      </c>
      <c r="B1661" s="7" t="s">
        <v>6418</v>
      </c>
    </row>
    <row r="1662" spans="1:2">
      <c r="A1662" s="7" t="s">
        <v>6419</v>
      </c>
      <c r="B1662" s="7" t="s">
        <v>6420</v>
      </c>
    </row>
    <row r="1663" spans="1:2">
      <c r="A1663" s="7" t="s">
        <v>6421</v>
      </c>
      <c r="B1663" s="7" t="s">
        <v>6422</v>
      </c>
    </row>
    <row r="1664" spans="1:2">
      <c r="A1664" s="7" t="s">
        <v>6423</v>
      </c>
      <c r="B1664" s="7" t="s">
        <v>6424</v>
      </c>
    </row>
    <row r="1665" spans="1:2">
      <c r="A1665" s="7" t="s">
        <v>6425</v>
      </c>
      <c r="B1665" s="7" t="s">
        <v>6426</v>
      </c>
    </row>
    <row r="1666" spans="1:2">
      <c r="A1666" s="7" t="s">
        <v>6427</v>
      </c>
      <c r="B1666" s="7" t="s">
        <v>3857</v>
      </c>
    </row>
    <row r="1667" spans="1:2">
      <c r="A1667" s="7" t="s">
        <v>6428</v>
      </c>
      <c r="B1667" s="7" t="s">
        <v>6429</v>
      </c>
    </row>
    <row r="1668" spans="1:2">
      <c r="A1668" s="7" t="s">
        <v>6430</v>
      </c>
      <c r="B1668" s="7" t="s">
        <v>6431</v>
      </c>
    </row>
    <row r="1669" spans="1:2">
      <c r="A1669" s="7" t="s">
        <v>6432</v>
      </c>
      <c r="B1669" s="7" t="s">
        <v>6433</v>
      </c>
    </row>
    <row r="1670" spans="1:2">
      <c r="A1670" s="7" t="s">
        <v>6434</v>
      </c>
      <c r="B1670" s="7" t="s">
        <v>6435</v>
      </c>
    </row>
    <row r="1671" spans="1:2">
      <c r="A1671" s="7" t="s">
        <v>6436</v>
      </c>
      <c r="B1671" s="7" t="s">
        <v>6437</v>
      </c>
    </row>
    <row r="1672" spans="1:2">
      <c r="A1672" s="7" t="s">
        <v>6438</v>
      </c>
      <c r="B1672" s="7" t="s">
        <v>6439</v>
      </c>
    </row>
    <row r="1673" spans="1:2">
      <c r="A1673" s="7" t="s">
        <v>6440</v>
      </c>
      <c r="B1673" s="7" t="s">
        <v>6441</v>
      </c>
    </row>
    <row r="1674" spans="1:2">
      <c r="A1674" s="7" t="s">
        <v>6442</v>
      </c>
      <c r="B1674" s="7" t="s">
        <v>6443</v>
      </c>
    </row>
    <row r="1675" spans="1:2">
      <c r="A1675" s="7" t="s">
        <v>6444</v>
      </c>
      <c r="B1675" s="7" t="s">
        <v>6445</v>
      </c>
    </row>
    <row r="1676" spans="1:2">
      <c r="A1676" s="7" t="s">
        <v>6446</v>
      </c>
      <c r="B1676" s="7" t="s">
        <v>6447</v>
      </c>
    </row>
    <row r="1677" spans="1:2">
      <c r="A1677" s="7" t="s">
        <v>6448</v>
      </c>
      <c r="B1677" s="7" t="s">
        <v>6449</v>
      </c>
    </row>
    <row r="1678" spans="1:2">
      <c r="A1678" s="7" t="s">
        <v>6450</v>
      </c>
      <c r="B1678" s="7" t="s">
        <v>6451</v>
      </c>
    </row>
    <row r="1679" spans="1:2">
      <c r="A1679" s="7" t="s">
        <v>6452</v>
      </c>
      <c r="B1679" s="7" t="s">
        <v>5144</v>
      </c>
    </row>
    <row r="1680" spans="1:2">
      <c r="A1680" s="7" t="s">
        <v>6453</v>
      </c>
      <c r="B1680" s="7" t="s">
        <v>6454</v>
      </c>
    </row>
    <row r="1681" spans="1:2">
      <c r="A1681" s="7" t="s">
        <v>6455</v>
      </c>
      <c r="B1681" s="7" t="s">
        <v>6456</v>
      </c>
    </row>
    <row r="1682" spans="1:2">
      <c r="A1682" s="7" t="s">
        <v>6457</v>
      </c>
      <c r="B1682" s="7" t="s">
        <v>6458</v>
      </c>
    </row>
    <row r="1683" spans="1:2">
      <c r="A1683" s="7" t="s">
        <v>6459</v>
      </c>
      <c r="B1683" s="7" t="s">
        <v>6460</v>
      </c>
    </row>
    <row r="1684" spans="1:2">
      <c r="A1684" s="7" t="s">
        <v>6461</v>
      </c>
      <c r="B1684" s="7" t="s">
        <v>6462</v>
      </c>
    </row>
    <row r="1685" spans="1:2">
      <c r="A1685" s="7" t="s">
        <v>6463</v>
      </c>
      <c r="B1685" s="7" t="s">
        <v>6464</v>
      </c>
    </row>
    <row r="1686" spans="1:2">
      <c r="A1686" s="7" t="s">
        <v>6465</v>
      </c>
      <c r="B1686" s="7" t="s">
        <v>6466</v>
      </c>
    </row>
    <row r="1687" spans="1:2">
      <c r="A1687" s="7" t="s">
        <v>6467</v>
      </c>
      <c r="B1687" s="7" t="s">
        <v>4586</v>
      </c>
    </row>
    <row r="1688" spans="1:2">
      <c r="A1688" s="7" t="s">
        <v>6468</v>
      </c>
      <c r="B1688" s="7" t="s">
        <v>6469</v>
      </c>
    </row>
    <row r="1689" spans="1:2">
      <c r="A1689" s="7" t="s">
        <v>6470</v>
      </c>
      <c r="B1689" s="7" t="s">
        <v>4236</v>
      </c>
    </row>
    <row r="1690" spans="1:2">
      <c r="A1690" s="7" t="s">
        <v>6471</v>
      </c>
      <c r="B1690" s="7" t="s">
        <v>6472</v>
      </c>
    </row>
    <row r="1691" spans="1:2">
      <c r="A1691" s="7" t="s">
        <v>6473</v>
      </c>
      <c r="B1691" s="7" t="s">
        <v>6474</v>
      </c>
    </row>
    <row r="1692" spans="1:2">
      <c r="A1692" s="7" t="s">
        <v>6475</v>
      </c>
      <c r="B1692" s="7" t="s">
        <v>6476</v>
      </c>
    </row>
    <row r="1693" spans="1:2">
      <c r="A1693" s="7" t="s">
        <v>6477</v>
      </c>
      <c r="B1693" s="7" t="s">
        <v>6478</v>
      </c>
    </row>
    <row r="1694" spans="1:2">
      <c r="A1694" s="7" t="s">
        <v>6479</v>
      </c>
      <c r="B1694" s="7" t="s">
        <v>6480</v>
      </c>
    </row>
    <row r="1695" spans="1:2">
      <c r="A1695" s="7" t="s">
        <v>6481</v>
      </c>
      <c r="B1695" s="7" t="s">
        <v>6482</v>
      </c>
    </row>
    <row r="1696" spans="1:2">
      <c r="A1696" s="7" t="s">
        <v>6483</v>
      </c>
      <c r="B1696" s="7" t="s">
        <v>6484</v>
      </c>
    </row>
    <row r="1697" spans="1:2">
      <c r="A1697" s="7" t="s">
        <v>6485</v>
      </c>
      <c r="B1697" s="7" t="s">
        <v>6486</v>
      </c>
    </row>
    <row r="1698" spans="1:2">
      <c r="A1698" s="7" t="s">
        <v>6487</v>
      </c>
      <c r="B1698" s="7" t="s">
        <v>6488</v>
      </c>
    </row>
    <row r="1699" spans="1:2">
      <c r="A1699" s="7" t="s">
        <v>6489</v>
      </c>
      <c r="B1699" s="7" t="s">
        <v>3617</v>
      </c>
    </row>
    <row r="1700" spans="1:2">
      <c r="A1700" s="7" t="s">
        <v>6490</v>
      </c>
      <c r="B1700" s="7" t="s">
        <v>6491</v>
      </c>
    </row>
    <row r="1701" spans="1:2">
      <c r="A1701" s="7" t="s">
        <v>6492</v>
      </c>
      <c r="B1701" s="7" t="s">
        <v>5156</v>
      </c>
    </row>
    <row r="1702" spans="1:2">
      <c r="A1702" s="7" t="s">
        <v>6493</v>
      </c>
      <c r="B1702" s="7" t="s">
        <v>6494</v>
      </c>
    </row>
    <row r="1703" spans="1:2">
      <c r="A1703" s="7" t="s">
        <v>6495</v>
      </c>
      <c r="B1703" s="7" t="s">
        <v>5296</v>
      </c>
    </row>
    <row r="1704" spans="1:2">
      <c r="A1704" s="7" t="s">
        <v>6496</v>
      </c>
      <c r="B1704" s="7" t="s">
        <v>6497</v>
      </c>
    </row>
    <row r="1705" spans="1:2">
      <c r="A1705" s="7" t="s">
        <v>6498</v>
      </c>
      <c r="B1705" s="7" t="s">
        <v>6499</v>
      </c>
    </row>
    <row r="1706" spans="1:2">
      <c r="A1706" s="7" t="s">
        <v>6500</v>
      </c>
      <c r="B1706" s="7" t="s">
        <v>6501</v>
      </c>
    </row>
    <row r="1707" spans="1:2">
      <c r="A1707" s="7" t="s">
        <v>6502</v>
      </c>
      <c r="B1707" s="7" t="s">
        <v>6503</v>
      </c>
    </row>
    <row r="1708" spans="1:2">
      <c r="A1708" s="7" t="s">
        <v>6504</v>
      </c>
      <c r="B1708" s="7" t="s">
        <v>6505</v>
      </c>
    </row>
    <row r="1709" spans="1:2">
      <c r="A1709" s="7" t="s">
        <v>6506</v>
      </c>
      <c r="B1709" s="7" t="s">
        <v>6507</v>
      </c>
    </row>
    <row r="1710" spans="1:2">
      <c r="A1710" s="7" t="s">
        <v>6508</v>
      </c>
      <c r="B1710" s="7" t="s">
        <v>6509</v>
      </c>
    </row>
    <row r="1711" spans="1:2">
      <c r="A1711" s="7" t="s">
        <v>6510</v>
      </c>
      <c r="B1711" s="7" t="s">
        <v>6511</v>
      </c>
    </row>
    <row r="1712" spans="1:2">
      <c r="A1712" s="7" t="s">
        <v>6512</v>
      </c>
      <c r="B1712" s="7" t="s">
        <v>6513</v>
      </c>
    </row>
    <row r="1713" spans="1:2">
      <c r="A1713" s="7" t="s">
        <v>6514</v>
      </c>
      <c r="B1713" s="7" t="s">
        <v>6515</v>
      </c>
    </row>
    <row r="1714" spans="1:2">
      <c r="A1714" s="7" t="s">
        <v>6516</v>
      </c>
      <c r="B1714" s="7" t="s">
        <v>6517</v>
      </c>
    </row>
    <row r="1715" spans="1:2">
      <c r="A1715" s="7" t="s">
        <v>6518</v>
      </c>
      <c r="B1715" s="7" t="s">
        <v>6519</v>
      </c>
    </row>
    <row r="1716" spans="1:2">
      <c r="A1716" s="7" t="s">
        <v>6520</v>
      </c>
      <c r="B1716" s="7" t="s">
        <v>6521</v>
      </c>
    </row>
    <row r="1717" spans="1:2">
      <c r="A1717" s="7" t="s">
        <v>6522</v>
      </c>
      <c r="B1717" s="7" t="s">
        <v>6523</v>
      </c>
    </row>
    <row r="1718" spans="1:2">
      <c r="A1718" s="7" t="s">
        <v>6524</v>
      </c>
      <c r="B1718" s="7" t="s">
        <v>6525</v>
      </c>
    </row>
    <row r="1719" spans="1:2">
      <c r="A1719" s="7" t="s">
        <v>6526</v>
      </c>
      <c r="B1719" s="7" t="s">
        <v>6527</v>
      </c>
    </row>
    <row r="1720" spans="1:2">
      <c r="A1720" s="7" t="s">
        <v>6528</v>
      </c>
      <c r="B1720" s="7" t="s">
        <v>6529</v>
      </c>
    </row>
    <row r="1721" spans="1:2">
      <c r="A1721" s="7" t="s">
        <v>6530</v>
      </c>
      <c r="B1721" s="7" t="s">
        <v>6531</v>
      </c>
    </row>
    <row r="1722" spans="1:2">
      <c r="A1722" s="7" t="s">
        <v>6532</v>
      </c>
      <c r="B1722" s="7" t="s">
        <v>6533</v>
      </c>
    </row>
    <row r="1723" spans="1:2">
      <c r="A1723" s="7" t="s">
        <v>6534</v>
      </c>
      <c r="B1723" s="7" t="s">
        <v>6535</v>
      </c>
    </row>
    <row r="1724" spans="1:2">
      <c r="A1724" s="7" t="s">
        <v>6536</v>
      </c>
      <c r="B1724" s="7" t="s">
        <v>6537</v>
      </c>
    </row>
    <row r="1725" spans="1:2">
      <c r="A1725" s="7" t="s">
        <v>6538</v>
      </c>
      <c r="B1725" s="7" t="s">
        <v>6539</v>
      </c>
    </row>
    <row r="1726" spans="1:2">
      <c r="A1726" s="7" t="s">
        <v>6540</v>
      </c>
      <c r="B1726" s="7" t="s">
        <v>6541</v>
      </c>
    </row>
    <row r="1727" spans="1:2">
      <c r="A1727" s="7" t="s">
        <v>6542</v>
      </c>
      <c r="B1727" s="7" t="s">
        <v>6543</v>
      </c>
    </row>
    <row r="1728" spans="1:2">
      <c r="A1728" s="7" t="s">
        <v>6544</v>
      </c>
      <c r="B1728" s="7" t="s">
        <v>6545</v>
      </c>
    </row>
    <row r="1729" spans="1:2">
      <c r="A1729" s="7" t="s">
        <v>6546</v>
      </c>
      <c r="B1729" s="7" t="s">
        <v>6547</v>
      </c>
    </row>
    <row r="1730" spans="1:2">
      <c r="A1730" s="7" t="s">
        <v>6548</v>
      </c>
      <c r="B1730" s="7" t="s">
        <v>6549</v>
      </c>
    </row>
    <row r="1731" spans="1:2">
      <c r="A1731" s="7" t="s">
        <v>6550</v>
      </c>
      <c r="B1731" s="7" t="s">
        <v>6551</v>
      </c>
    </row>
    <row r="1732" spans="1:2">
      <c r="A1732" s="7" t="s">
        <v>6552</v>
      </c>
      <c r="B1732" s="7" t="s">
        <v>6553</v>
      </c>
    </row>
    <row r="1733" spans="1:2">
      <c r="A1733" s="7" t="s">
        <v>6554</v>
      </c>
      <c r="B1733" s="7" t="s">
        <v>6555</v>
      </c>
    </row>
    <row r="1734" spans="1:2">
      <c r="A1734" s="7" t="s">
        <v>6556</v>
      </c>
      <c r="B1734" s="7" t="s">
        <v>5270</v>
      </c>
    </row>
    <row r="1735" spans="1:2">
      <c r="A1735" s="7" t="s">
        <v>6557</v>
      </c>
      <c r="B1735" s="7" t="s">
        <v>6558</v>
      </c>
    </row>
    <row r="1736" spans="1:2">
      <c r="A1736" s="7" t="s">
        <v>6559</v>
      </c>
      <c r="B1736" s="7" t="s">
        <v>6560</v>
      </c>
    </row>
    <row r="1737" spans="1:2">
      <c r="A1737" s="7" t="s">
        <v>6561</v>
      </c>
      <c r="B1737" s="7" t="s">
        <v>6562</v>
      </c>
    </row>
    <row r="1738" spans="1:2">
      <c r="A1738" s="7" t="s">
        <v>6563</v>
      </c>
      <c r="B1738" s="7" t="s">
        <v>6564</v>
      </c>
    </row>
    <row r="1739" spans="1:2">
      <c r="A1739" s="7" t="s">
        <v>6565</v>
      </c>
      <c r="B1739" s="7" t="s">
        <v>6566</v>
      </c>
    </row>
    <row r="1740" spans="1:2">
      <c r="A1740" s="7" t="s">
        <v>6567</v>
      </c>
      <c r="B1740" s="7" t="s">
        <v>6568</v>
      </c>
    </row>
    <row r="1741" spans="1:2">
      <c r="A1741" s="7" t="s">
        <v>6569</v>
      </c>
      <c r="B1741" s="7" t="s">
        <v>6570</v>
      </c>
    </row>
    <row r="1742" spans="1:2">
      <c r="A1742" s="7" t="s">
        <v>6571</v>
      </c>
      <c r="B1742" s="7" t="s">
        <v>6572</v>
      </c>
    </row>
    <row r="1743" spans="1:2">
      <c r="A1743" s="7" t="s">
        <v>6573</v>
      </c>
      <c r="B1743" s="7" t="s">
        <v>6574</v>
      </c>
    </row>
    <row r="1744" spans="1:2">
      <c r="A1744" s="7" t="s">
        <v>6575</v>
      </c>
      <c r="B1744" s="7" t="s">
        <v>6576</v>
      </c>
    </row>
    <row r="1745" spans="1:2">
      <c r="A1745" s="7" t="s">
        <v>6577</v>
      </c>
      <c r="B1745" s="7" t="s">
        <v>6578</v>
      </c>
    </row>
    <row r="1746" spans="1:2">
      <c r="A1746" s="7" t="s">
        <v>6579</v>
      </c>
      <c r="B1746" s="7" t="s">
        <v>6580</v>
      </c>
    </row>
    <row r="1747" spans="1:2">
      <c r="A1747" s="7" t="s">
        <v>6581</v>
      </c>
      <c r="B1747" s="7" t="s">
        <v>3997</v>
      </c>
    </row>
    <row r="1748" spans="1:2">
      <c r="A1748" s="7" t="s">
        <v>6582</v>
      </c>
      <c r="B1748" s="7" t="s">
        <v>4041</v>
      </c>
    </row>
    <row r="1749" spans="1:2">
      <c r="A1749" s="7" t="s">
        <v>6583</v>
      </c>
      <c r="B1749" s="7" t="s">
        <v>6584</v>
      </c>
    </row>
    <row r="1750" spans="1:2">
      <c r="A1750" s="7" t="s">
        <v>6585</v>
      </c>
      <c r="B1750" s="7" t="s">
        <v>6586</v>
      </c>
    </row>
    <row r="1751" spans="1:2">
      <c r="A1751" s="7" t="s">
        <v>6587</v>
      </c>
      <c r="B1751" s="7" t="s">
        <v>6588</v>
      </c>
    </row>
    <row r="1752" spans="1:2">
      <c r="A1752" s="7" t="s">
        <v>6589</v>
      </c>
      <c r="B1752" s="7" t="s">
        <v>4550</v>
      </c>
    </row>
    <row r="1753" spans="1:2">
      <c r="A1753" s="7" t="s">
        <v>6590</v>
      </c>
      <c r="B1753" s="7" t="s">
        <v>3881</v>
      </c>
    </row>
    <row r="1754" spans="1:2">
      <c r="A1754" s="7" t="s">
        <v>6591</v>
      </c>
      <c r="B1754" s="7" t="s">
        <v>6592</v>
      </c>
    </row>
    <row r="1755" spans="1:2">
      <c r="A1755" s="7" t="s">
        <v>6593</v>
      </c>
      <c r="B1755" s="7" t="s">
        <v>6594</v>
      </c>
    </row>
    <row r="1756" spans="1:2">
      <c r="A1756" s="7" t="s">
        <v>6595</v>
      </c>
      <c r="B1756" s="7" t="s">
        <v>5354</v>
      </c>
    </row>
    <row r="1757" spans="1:2">
      <c r="A1757" s="7" t="s">
        <v>6596</v>
      </c>
      <c r="B1757" s="7" t="s">
        <v>6597</v>
      </c>
    </row>
    <row r="1758" spans="1:2">
      <c r="A1758" s="7" t="s">
        <v>6598</v>
      </c>
      <c r="B1758" s="7" t="s">
        <v>6599</v>
      </c>
    </row>
    <row r="1759" spans="1:2">
      <c r="A1759" s="7" t="s">
        <v>6600</v>
      </c>
      <c r="B1759" s="7" t="s">
        <v>6601</v>
      </c>
    </row>
    <row r="1760" spans="1:2">
      <c r="A1760" s="7" t="s">
        <v>6602</v>
      </c>
      <c r="B1760" s="7" t="s">
        <v>6603</v>
      </c>
    </row>
    <row r="1761" spans="1:2">
      <c r="A1761" s="7" t="s">
        <v>6604</v>
      </c>
      <c r="B1761" s="7" t="s">
        <v>6605</v>
      </c>
    </row>
    <row r="1762" spans="1:2">
      <c r="A1762" s="7" t="s">
        <v>6606</v>
      </c>
      <c r="B1762" s="7" t="s">
        <v>6607</v>
      </c>
    </row>
    <row r="1763" spans="1:2">
      <c r="A1763" s="7" t="s">
        <v>6608</v>
      </c>
      <c r="B1763" s="7" t="s">
        <v>6609</v>
      </c>
    </row>
    <row r="1764" spans="1:2">
      <c r="A1764" s="7" t="s">
        <v>6610</v>
      </c>
      <c r="B1764" s="7" t="s">
        <v>6611</v>
      </c>
    </row>
    <row r="1765" spans="1:2">
      <c r="A1765" s="7" t="s">
        <v>6612</v>
      </c>
      <c r="B1765" s="7" t="s">
        <v>3717</v>
      </c>
    </row>
    <row r="1766" spans="1:2">
      <c r="A1766" s="7" t="s">
        <v>6613</v>
      </c>
      <c r="B1766" s="7" t="s">
        <v>3621</v>
      </c>
    </row>
    <row r="1767" spans="1:2">
      <c r="A1767" s="7" t="s">
        <v>6614</v>
      </c>
      <c r="B1767" s="7" t="s">
        <v>6615</v>
      </c>
    </row>
    <row r="1768" spans="1:2">
      <c r="A1768" s="7" t="s">
        <v>6616</v>
      </c>
      <c r="B1768" s="7" t="s">
        <v>6617</v>
      </c>
    </row>
    <row r="1769" spans="1:2">
      <c r="A1769" s="7" t="s">
        <v>6618</v>
      </c>
      <c r="B1769" s="7" t="s">
        <v>6619</v>
      </c>
    </row>
    <row r="1770" spans="1:2">
      <c r="A1770" s="7" t="s">
        <v>6620</v>
      </c>
      <c r="B1770" s="7" t="s">
        <v>6621</v>
      </c>
    </row>
    <row r="1771" spans="1:2">
      <c r="A1771" s="7" t="s">
        <v>6622</v>
      </c>
      <c r="B1771" s="7" t="s">
        <v>6623</v>
      </c>
    </row>
    <row r="1772" spans="1:2">
      <c r="A1772" s="7" t="s">
        <v>6624</v>
      </c>
      <c r="B1772" s="7" t="s">
        <v>4504</v>
      </c>
    </row>
    <row r="1773" spans="1:2">
      <c r="A1773" s="7" t="s">
        <v>6625</v>
      </c>
      <c r="B1773" s="7" t="s">
        <v>6626</v>
      </c>
    </row>
    <row r="1774" spans="1:2">
      <c r="A1774" s="7" t="s">
        <v>6627</v>
      </c>
      <c r="B1774" s="7" t="s">
        <v>6628</v>
      </c>
    </row>
    <row r="1775" spans="1:2">
      <c r="A1775" s="7" t="s">
        <v>6629</v>
      </c>
      <c r="B1775" s="7" t="s">
        <v>6630</v>
      </c>
    </row>
    <row r="1776" spans="1:2">
      <c r="A1776" s="7" t="s">
        <v>6631</v>
      </c>
      <c r="B1776" s="7" t="s">
        <v>4435</v>
      </c>
    </row>
    <row r="1777" spans="1:2">
      <c r="A1777" s="7" t="s">
        <v>6632</v>
      </c>
      <c r="B1777" s="7" t="s">
        <v>6633</v>
      </c>
    </row>
    <row r="1778" spans="1:2">
      <c r="A1778" s="7" t="s">
        <v>6634</v>
      </c>
      <c r="B1778" s="7" t="s">
        <v>6635</v>
      </c>
    </row>
    <row r="1779" spans="1:2">
      <c r="A1779" s="7" t="s">
        <v>6636</v>
      </c>
      <c r="B1779" s="7" t="s">
        <v>6637</v>
      </c>
    </row>
    <row r="1780" spans="1:2">
      <c r="A1780" s="7" t="s">
        <v>6638</v>
      </c>
      <c r="B1780" s="7" t="s">
        <v>6639</v>
      </c>
    </row>
    <row r="1781" spans="1:2">
      <c r="A1781" s="7" t="s">
        <v>6640</v>
      </c>
      <c r="B1781" s="7" t="s">
        <v>6641</v>
      </c>
    </row>
    <row r="1782" spans="1:2">
      <c r="A1782" s="7" t="s">
        <v>6642</v>
      </c>
      <c r="B1782" s="7" t="s">
        <v>6643</v>
      </c>
    </row>
    <row r="1783" spans="1:2">
      <c r="A1783" s="7" t="s">
        <v>6644</v>
      </c>
      <c r="B1783" s="7" t="s">
        <v>6645</v>
      </c>
    </row>
    <row r="1784" spans="1:2">
      <c r="A1784" s="7" t="s">
        <v>6646</v>
      </c>
      <c r="B1784" s="7" t="s">
        <v>6647</v>
      </c>
    </row>
    <row r="1785" spans="1:2">
      <c r="A1785" s="7" t="s">
        <v>6648</v>
      </c>
      <c r="B1785" s="7" t="s">
        <v>6649</v>
      </c>
    </row>
    <row r="1786" spans="1:2">
      <c r="A1786" s="7" t="s">
        <v>6650</v>
      </c>
      <c r="B1786" s="7" t="s">
        <v>3253</v>
      </c>
    </row>
    <row r="1787" spans="1:2">
      <c r="A1787" s="7" t="s">
        <v>6651</v>
      </c>
      <c r="B1787" s="7" t="s">
        <v>5782</v>
      </c>
    </row>
    <row r="1788" spans="1:2">
      <c r="A1788" s="7" t="s">
        <v>6652</v>
      </c>
      <c r="B1788" s="7" t="s">
        <v>6653</v>
      </c>
    </row>
    <row r="1789" spans="1:2">
      <c r="A1789" s="7" t="s">
        <v>6654</v>
      </c>
      <c r="B1789" s="7" t="s">
        <v>6655</v>
      </c>
    </row>
    <row r="1790" spans="1:2">
      <c r="A1790" s="7" t="s">
        <v>6656</v>
      </c>
      <c r="B1790" s="7" t="s">
        <v>6657</v>
      </c>
    </row>
    <row r="1791" spans="1:2">
      <c r="A1791" s="7" t="s">
        <v>6658</v>
      </c>
      <c r="B1791" s="7" t="s">
        <v>6659</v>
      </c>
    </row>
    <row r="1792" spans="1:2">
      <c r="A1792" s="7" t="s">
        <v>6660</v>
      </c>
      <c r="B1792" s="7" t="s">
        <v>6661</v>
      </c>
    </row>
    <row r="1793" spans="1:2">
      <c r="A1793" s="7" t="s">
        <v>6662</v>
      </c>
      <c r="B1793" s="7" t="s">
        <v>6663</v>
      </c>
    </row>
    <row r="1794" spans="1:2">
      <c r="A1794" s="7" t="s">
        <v>6664</v>
      </c>
      <c r="B1794" s="7" t="s">
        <v>6665</v>
      </c>
    </row>
    <row r="1795" spans="1:2">
      <c r="A1795" s="7" t="s">
        <v>6666</v>
      </c>
      <c r="B1795" s="7" t="s">
        <v>6667</v>
      </c>
    </row>
    <row r="1796" spans="1:2">
      <c r="A1796" s="7" t="s">
        <v>6668</v>
      </c>
      <c r="B1796" s="7" t="s">
        <v>6669</v>
      </c>
    </row>
    <row r="1797" spans="1:2">
      <c r="A1797" s="7" t="s">
        <v>6670</v>
      </c>
      <c r="B1797" s="7" t="s">
        <v>6671</v>
      </c>
    </row>
    <row r="1798" spans="1:2">
      <c r="A1798" s="7" t="s">
        <v>6672</v>
      </c>
      <c r="B1798" s="7" t="s">
        <v>6673</v>
      </c>
    </row>
    <row r="1799" spans="1:2">
      <c r="A1799" s="7" t="s">
        <v>6674</v>
      </c>
      <c r="B1799" s="7" t="s">
        <v>6675</v>
      </c>
    </row>
    <row r="1800" spans="1:2">
      <c r="A1800" s="7" t="s">
        <v>6676</v>
      </c>
      <c r="B1800" s="7" t="s">
        <v>6677</v>
      </c>
    </row>
    <row r="1801" spans="1:2">
      <c r="A1801" s="7" t="s">
        <v>6678</v>
      </c>
      <c r="B1801" s="7" t="s">
        <v>6679</v>
      </c>
    </row>
    <row r="1802" spans="1:2">
      <c r="A1802" s="7" t="s">
        <v>6680</v>
      </c>
      <c r="B1802" s="7" t="s">
        <v>6681</v>
      </c>
    </row>
    <row r="1803" spans="1:2">
      <c r="A1803" s="7" t="s">
        <v>6682</v>
      </c>
      <c r="B1803" s="7" t="s">
        <v>5249</v>
      </c>
    </row>
    <row r="1804" spans="1:2">
      <c r="A1804" s="7" t="s">
        <v>6683</v>
      </c>
      <c r="B1804" s="7" t="s">
        <v>6684</v>
      </c>
    </row>
    <row r="1805" spans="1:2">
      <c r="A1805" s="7" t="s">
        <v>6685</v>
      </c>
      <c r="B1805" s="7" t="s">
        <v>6686</v>
      </c>
    </row>
    <row r="1806" spans="1:2">
      <c r="A1806" s="7" t="s">
        <v>6687</v>
      </c>
      <c r="B1806" s="7" t="s">
        <v>5627</v>
      </c>
    </row>
    <row r="1807" spans="1:2">
      <c r="A1807" s="7" t="s">
        <v>6688</v>
      </c>
      <c r="B1807" s="7" t="s">
        <v>6689</v>
      </c>
    </row>
    <row r="1808" spans="1:2">
      <c r="A1808" s="7" t="s">
        <v>6690</v>
      </c>
      <c r="B1808" s="7" t="s">
        <v>6691</v>
      </c>
    </row>
    <row r="1809" spans="1:2">
      <c r="A1809" s="7" t="s">
        <v>6692</v>
      </c>
      <c r="B1809" s="7" t="s">
        <v>6693</v>
      </c>
    </row>
    <row r="1810" spans="1:2">
      <c r="A1810" s="7" t="s">
        <v>6694</v>
      </c>
      <c r="B1810" s="7" t="s">
        <v>6695</v>
      </c>
    </row>
    <row r="1811" spans="1:2">
      <c r="A1811" s="7" t="s">
        <v>6696</v>
      </c>
      <c r="B1811" s="7" t="s">
        <v>6697</v>
      </c>
    </row>
    <row r="1812" spans="1:2">
      <c r="A1812" s="7" t="s">
        <v>6698</v>
      </c>
      <c r="B1812" s="7" t="s">
        <v>5760</v>
      </c>
    </row>
    <row r="1813" spans="1:2">
      <c r="A1813" s="7" t="s">
        <v>6699</v>
      </c>
      <c r="B1813" s="7" t="s">
        <v>6700</v>
      </c>
    </row>
    <row r="1814" spans="1:2">
      <c r="A1814" s="7" t="s">
        <v>6701</v>
      </c>
      <c r="B1814" s="7" t="s">
        <v>6702</v>
      </c>
    </row>
    <row r="1815" spans="1:2">
      <c r="A1815" s="7" t="s">
        <v>6703</v>
      </c>
      <c r="B1815" s="7" t="s">
        <v>6704</v>
      </c>
    </row>
    <row r="1816" spans="1:2">
      <c r="A1816" s="7" t="s">
        <v>6705</v>
      </c>
      <c r="B1816" s="7" t="s">
        <v>6706</v>
      </c>
    </row>
    <row r="1817" spans="1:2">
      <c r="A1817" s="7" t="s">
        <v>6707</v>
      </c>
      <c r="B1817" s="7" t="s">
        <v>6708</v>
      </c>
    </row>
    <row r="1818" spans="1:2">
      <c r="A1818" s="7" t="s">
        <v>6709</v>
      </c>
      <c r="B1818" s="7" t="s">
        <v>6710</v>
      </c>
    </row>
    <row r="1819" spans="1:2">
      <c r="A1819" s="7" t="s">
        <v>6711</v>
      </c>
      <c r="B1819" s="7" t="s">
        <v>6712</v>
      </c>
    </row>
    <row r="1820" spans="1:2">
      <c r="A1820" s="7" t="s">
        <v>6713</v>
      </c>
      <c r="B1820" s="7" t="s">
        <v>6714</v>
      </c>
    </row>
    <row r="1821" spans="1:2">
      <c r="A1821" s="7" t="s">
        <v>6715</v>
      </c>
      <c r="B1821" s="7" t="s">
        <v>6716</v>
      </c>
    </row>
    <row r="1822" spans="1:2">
      <c r="A1822" s="7" t="s">
        <v>6717</v>
      </c>
      <c r="B1822" s="7" t="s">
        <v>6718</v>
      </c>
    </row>
    <row r="1823" spans="1:2">
      <c r="A1823" s="7" t="s">
        <v>6719</v>
      </c>
      <c r="B1823" s="7" t="s">
        <v>6720</v>
      </c>
    </row>
    <row r="1824" spans="1:2">
      <c r="A1824" s="7" t="s">
        <v>6721</v>
      </c>
      <c r="B1824" s="7" t="s">
        <v>6722</v>
      </c>
    </row>
    <row r="1825" spans="1:2">
      <c r="A1825" s="7" t="s">
        <v>6723</v>
      </c>
      <c r="B1825" s="7" t="s">
        <v>6724</v>
      </c>
    </row>
    <row r="1826" spans="1:2">
      <c r="A1826" s="7" t="s">
        <v>6725</v>
      </c>
      <c r="B1826" s="7" t="s">
        <v>5085</v>
      </c>
    </row>
    <row r="1827" spans="1:2">
      <c r="A1827" s="7" t="s">
        <v>6726</v>
      </c>
      <c r="B1827" s="7" t="s">
        <v>6727</v>
      </c>
    </row>
    <row r="1828" spans="1:2">
      <c r="A1828" s="7" t="s">
        <v>6728</v>
      </c>
      <c r="B1828" s="7" t="s">
        <v>6729</v>
      </c>
    </row>
    <row r="1829" spans="1:2">
      <c r="A1829" s="7" t="s">
        <v>6730</v>
      </c>
      <c r="B1829" s="7" t="s">
        <v>6731</v>
      </c>
    </row>
    <row r="1830" spans="1:2">
      <c r="A1830" s="7" t="s">
        <v>6732</v>
      </c>
      <c r="B1830" s="7" t="s">
        <v>6733</v>
      </c>
    </row>
    <row r="1831" spans="1:2">
      <c r="A1831" s="7" t="s">
        <v>6734</v>
      </c>
      <c r="B1831" s="7" t="s">
        <v>6735</v>
      </c>
    </row>
    <row r="1832" spans="1:2">
      <c r="A1832" s="7" t="s">
        <v>6736</v>
      </c>
      <c r="B1832" s="7" t="s">
        <v>3251</v>
      </c>
    </row>
    <row r="1833" spans="1:2">
      <c r="A1833" s="7" t="s">
        <v>6737</v>
      </c>
      <c r="B1833" s="7" t="s">
        <v>6738</v>
      </c>
    </row>
    <row r="1834" spans="1:2">
      <c r="A1834" s="7" t="s">
        <v>6739</v>
      </c>
      <c r="B1834" s="7" t="s">
        <v>6740</v>
      </c>
    </row>
    <row r="1835" spans="1:2">
      <c r="A1835" s="7" t="s">
        <v>6741</v>
      </c>
      <c r="B1835" s="7" t="s">
        <v>6742</v>
      </c>
    </row>
    <row r="1836" spans="1:2">
      <c r="A1836" s="7" t="s">
        <v>6743</v>
      </c>
      <c r="B1836" s="7" t="s">
        <v>4685</v>
      </c>
    </row>
    <row r="1837" spans="1:2">
      <c r="A1837" s="7" t="s">
        <v>6744</v>
      </c>
      <c r="B1837" s="7" t="s">
        <v>6745</v>
      </c>
    </row>
    <row r="1838" spans="1:2">
      <c r="A1838" s="7" t="s">
        <v>6746</v>
      </c>
      <c r="B1838" s="7" t="s">
        <v>6747</v>
      </c>
    </row>
    <row r="1839" spans="1:2">
      <c r="A1839" s="7" t="s">
        <v>6748</v>
      </c>
      <c r="B1839" s="7" t="s">
        <v>3561</v>
      </c>
    </row>
    <row r="1840" spans="1:2">
      <c r="A1840" s="7" t="s">
        <v>6749</v>
      </c>
      <c r="B1840" s="7" t="s">
        <v>6750</v>
      </c>
    </row>
    <row r="1841" spans="1:2">
      <c r="A1841" s="7" t="s">
        <v>6751</v>
      </c>
      <c r="B1841" s="7" t="s">
        <v>4261</v>
      </c>
    </row>
    <row r="1842" spans="1:2">
      <c r="A1842" s="7" t="s">
        <v>6752</v>
      </c>
      <c r="B1842" s="7" t="s">
        <v>6753</v>
      </c>
    </row>
    <row r="1843" spans="1:2">
      <c r="A1843" s="7" t="s">
        <v>6754</v>
      </c>
      <c r="B1843" s="7" t="s">
        <v>6755</v>
      </c>
    </row>
    <row r="1844" spans="1:2">
      <c r="A1844" s="7" t="s">
        <v>6756</v>
      </c>
      <c r="B1844" s="7" t="s">
        <v>6757</v>
      </c>
    </row>
    <row r="1845" spans="1:2">
      <c r="A1845" s="7" t="s">
        <v>6758</v>
      </c>
      <c r="B1845" s="7" t="s">
        <v>5594</v>
      </c>
    </row>
    <row r="1846" spans="1:2">
      <c r="A1846" s="7" t="s">
        <v>6759</v>
      </c>
      <c r="B1846" s="7" t="s">
        <v>6760</v>
      </c>
    </row>
    <row r="1847" spans="1:2">
      <c r="A1847" s="7" t="s">
        <v>6761</v>
      </c>
      <c r="B1847" s="7" t="s">
        <v>6762</v>
      </c>
    </row>
    <row r="1848" spans="1:2">
      <c r="A1848" s="7" t="s">
        <v>6763</v>
      </c>
      <c r="B1848" s="7" t="s">
        <v>6764</v>
      </c>
    </row>
    <row r="1849" spans="1:2">
      <c r="A1849" s="7" t="s">
        <v>6765</v>
      </c>
      <c r="B1849" s="7" t="s">
        <v>6766</v>
      </c>
    </row>
    <row r="1850" spans="1:2">
      <c r="A1850" s="7" t="s">
        <v>6767</v>
      </c>
      <c r="B1850" s="7" t="s">
        <v>5288</v>
      </c>
    </row>
    <row r="1851" spans="1:2">
      <c r="A1851" s="7" t="s">
        <v>6768</v>
      </c>
      <c r="B1851" s="7" t="s">
        <v>6769</v>
      </c>
    </row>
    <row r="1852" spans="1:2">
      <c r="A1852" s="7" t="s">
        <v>6770</v>
      </c>
      <c r="B1852" s="7" t="s">
        <v>6771</v>
      </c>
    </row>
    <row r="1853" spans="1:2">
      <c r="A1853" s="7" t="s">
        <v>6772</v>
      </c>
      <c r="B1853" s="7" t="s">
        <v>6773</v>
      </c>
    </row>
    <row r="1854" spans="1:2">
      <c r="A1854" s="7" t="s">
        <v>6774</v>
      </c>
      <c r="B1854" s="7" t="s">
        <v>6775</v>
      </c>
    </row>
    <row r="1855" spans="1:2">
      <c r="A1855" s="7" t="s">
        <v>6776</v>
      </c>
      <c r="B1855" s="7" t="s">
        <v>6777</v>
      </c>
    </row>
    <row r="1856" spans="1:2">
      <c r="A1856" s="7" t="s">
        <v>6778</v>
      </c>
      <c r="B1856" s="7" t="s">
        <v>6779</v>
      </c>
    </row>
    <row r="1857" spans="1:2">
      <c r="A1857" s="7" t="s">
        <v>6780</v>
      </c>
      <c r="B1857" s="7" t="s">
        <v>6781</v>
      </c>
    </row>
    <row r="1858" spans="1:2">
      <c r="A1858" s="7" t="s">
        <v>6782</v>
      </c>
      <c r="B1858" s="7" t="s">
        <v>6783</v>
      </c>
    </row>
    <row r="1859" spans="1:2">
      <c r="A1859" s="7" t="s">
        <v>6784</v>
      </c>
      <c r="B1859" s="7" t="s">
        <v>6785</v>
      </c>
    </row>
    <row r="1860" spans="1:2">
      <c r="A1860" s="7" t="s">
        <v>6786</v>
      </c>
      <c r="B1860" s="7" t="s">
        <v>6787</v>
      </c>
    </row>
    <row r="1861" spans="1:2">
      <c r="A1861" s="7" t="s">
        <v>6788</v>
      </c>
      <c r="B1861" s="7" t="s">
        <v>6789</v>
      </c>
    </row>
    <row r="1862" spans="1:2">
      <c r="A1862" s="7" t="s">
        <v>6790</v>
      </c>
      <c r="B1862" s="7" t="s">
        <v>6791</v>
      </c>
    </row>
    <row r="1863" spans="1:2">
      <c r="A1863" s="7" t="s">
        <v>6792</v>
      </c>
      <c r="B1863" s="7" t="s">
        <v>6793</v>
      </c>
    </row>
    <row r="1864" spans="1:2">
      <c r="A1864" s="7" t="s">
        <v>6794</v>
      </c>
      <c r="B1864" s="7" t="s">
        <v>6795</v>
      </c>
    </row>
    <row r="1865" spans="1:2">
      <c r="A1865" s="7" t="s">
        <v>6796</v>
      </c>
      <c r="B1865" s="7" t="s">
        <v>6797</v>
      </c>
    </row>
    <row r="1866" spans="1:2">
      <c r="A1866" s="7" t="s">
        <v>6798</v>
      </c>
      <c r="B1866" s="7" t="s">
        <v>6799</v>
      </c>
    </row>
    <row r="1867" spans="1:2">
      <c r="A1867" s="7" t="s">
        <v>6800</v>
      </c>
      <c r="B1867" s="7" t="s">
        <v>6801</v>
      </c>
    </row>
    <row r="1868" spans="1:2">
      <c r="A1868" s="7" t="s">
        <v>6802</v>
      </c>
      <c r="B1868" s="7" t="s">
        <v>6803</v>
      </c>
    </row>
    <row r="1869" spans="1:2">
      <c r="A1869" s="7" t="s">
        <v>6804</v>
      </c>
      <c r="B1869" s="7" t="s">
        <v>6805</v>
      </c>
    </row>
    <row r="1870" spans="1:2">
      <c r="A1870" s="7" t="s">
        <v>6806</v>
      </c>
      <c r="B1870" s="7" t="s">
        <v>4249</v>
      </c>
    </row>
    <row r="1871" spans="1:2">
      <c r="A1871" s="7" t="s">
        <v>6807</v>
      </c>
      <c r="B1871" s="7" t="s">
        <v>6808</v>
      </c>
    </row>
    <row r="1872" spans="1:2">
      <c r="A1872" s="7" t="s">
        <v>6809</v>
      </c>
      <c r="B1872" s="7" t="s">
        <v>6810</v>
      </c>
    </row>
    <row r="1873" spans="1:2">
      <c r="A1873" s="7" t="s">
        <v>6811</v>
      </c>
      <c r="B1873" s="7" t="s">
        <v>6812</v>
      </c>
    </row>
    <row r="1874" spans="1:2">
      <c r="A1874" s="7" t="s">
        <v>6813</v>
      </c>
      <c r="B1874" s="7" t="s">
        <v>6814</v>
      </c>
    </row>
    <row r="1875" spans="1:2">
      <c r="A1875" s="7" t="s">
        <v>6815</v>
      </c>
      <c r="B1875" s="7" t="s">
        <v>6816</v>
      </c>
    </row>
    <row r="1876" spans="1:2">
      <c r="A1876" s="7" t="s">
        <v>6817</v>
      </c>
      <c r="B1876" s="7" t="s">
        <v>6818</v>
      </c>
    </row>
    <row r="1877" spans="1:2">
      <c r="A1877" s="7" t="s">
        <v>6819</v>
      </c>
      <c r="B1877" s="7" t="s">
        <v>4417</v>
      </c>
    </row>
    <row r="1878" spans="1:2">
      <c r="A1878" s="7" t="s">
        <v>6820</v>
      </c>
      <c r="B1878" s="7" t="s">
        <v>4236</v>
      </c>
    </row>
    <row r="1879" spans="1:2">
      <c r="A1879" s="7" t="s">
        <v>6821</v>
      </c>
      <c r="B1879" s="7" t="s">
        <v>6822</v>
      </c>
    </row>
    <row r="1880" spans="1:2">
      <c r="A1880" s="7" t="s">
        <v>6823</v>
      </c>
      <c r="B1880" s="7" t="s">
        <v>6824</v>
      </c>
    </row>
    <row r="1881" spans="1:2">
      <c r="A1881" s="7" t="s">
        <v>6825</v>
      </c>
      <c r="B1881" s="7" t="s">
        <v>6826</v>
      </c>
    </row>
    <row r="1882" spans="1:2">
      <c r="A1882" s="7" t="s">
        <v>6827</v>
      </c>
      <c r="B1882" s="7" t="s">
        <v>6828</v>
      </c>
    </row>
    <row r="1883" spans="1:2">
      <c r="A1883" s="7" t="s">
        <v>6829</v>
      </c>
      <c r="B1883" s="7" t="s">
        <v>5123</v>
      </c>
    </row>
    <row r="1884" spans="1:2">
      <c r="A1884" s="7" t="s">
        <v>6830</v>
      </c>
      <c r="B1884" s="7" t="s">
        <v>4814</v>
      </c>
    </row>
    <row r="1885" spans="1:2">
      <c r="A1885" s="7" t="s">
        <v>6831</v>
      </c>
      <c r="B1885" s="7" t="s">
        <v>6832</v>
      </c>
    </row>
    <row r="1886" spans="1:2">
      <c r="A1886" s="7" t="s">
        <v>6833</v>
      </c>
      <c r="B1886" s="7" t="s">
        <v>6834</v>
      </c>
    </row>
    <row r="1887" spans="1:2">
      <c r="A1887" s="7" t="s">
        <v>6835</v>
      </c>
      <c r="B1887" s="7" t="s">
        <v>6836</v>
      </c>
    </row>
    <row r="1888" spans="1:2">
      <c r="A1888" s="7" t="s">
        <v>6837</v>
      </c>
      <c r="B1888" s="7" t="s">
        <v>3893</v>
      </c>
    </row>
    <row r="1889" spans="1:2">
      <c r="A1889" s="7" t="s">
        <v>6838</v>
      </c>
      <c r="B1889" s="7" t="s">
        <v>6839</v>
      </c>
    </row>
    <row r="1890" spans="1:2">
      <c r="A1890" s="7" t="s">
        <v>6840</v>
      </c>
      <c r="B1890" s="7" t="s">
        <v>6841</v>
      </c>
    </row>
    <row r="1891" spans="1:2">
      <c r="A1891" s="7" t="s">
        <v>6842</v>
      </c>
      <c r="B1891" s="7" t="s">
        <v>6843</v>
      </c>
    </row>
    <row r="1892" spans="1:2">
      <c r="A1892" s="7" t="s">
        <v>6844</v>
      </c>
      <c r="B1892" s="7" t="s">
        <v>6845</v>
      </c>
    </row>
    <row r="1893" spans="1:2">
      <c r="A1893" s="7" t="s">
        <v>6846</v>
      </c>
      <c r="B1893" s="7" t="s">
        <v>6847</v>
      </c>
    </row>
    <row r="1894" spans="1:2">
      <c r="A1894" s="7" t="s">
        <v>6848</v>
      </c>
      <c r="B1894" s="7" t="s">
        <v>6849</v>
      </c>
    </row>
    <row r="1895" spans="1:2">
      <c r="A1895" s="7" t="s">
        <v>6850</v>
      </c>
      <c r="B1895" s="7" t="s">
        <v>6851</v>
      </c>
    </row>
    <row r="1896" spans="1:2">
      <c r="A1896" s="7" t="s">
        <v>6852</v>
      </c>
      <c r="B1896" s="7" t="s">
        <v>6853</v>
      </c>
    </row>
    <row r="1897" spans="1:2">
      <c r="A1897" s="7" t="s">
        <v>6854</v>
      </c>
      <c r="B1897" s="7" t="s">
        <v>6855</v>
      </c>
    </row>
    <row r="1898" spans="1:2">
      <c r="A1898" s="7" t="s">
        <v>6856</v>
      </c>
      <c r="B1898" s="7" t="s">
        <v>5899</v>
      </c>
    </row>
    <row r="1899" spans="1:2">
      <c r="A1899" s="7" t="s">
        <v>6857</v>
      </c>
      <c r="B1899" s="7" t="s">
        <v>6858</v>
      </c>
    </row>
    <row r="1900" spans="1:2">
      <c r="A1900" s="7" t="s">
        <v>6859</v>
      </c>
      <c r="B1900" s="7" t="s">
        <v>6860</v>
      </c>
    </row>
    <row r="1901" spans="1:2">
      <c r="A1901" s="7" t="s">
        <v>6861</v>
      </c>
      <c r="B1901" s="7" t="s">
        <v>4273</v>
      </c>
    </row>
    <row r="1902" spans="1:2">
      <c r="A1902" s="7" t="s">
        <v>6862</v>
      </c>
      <c r="B1902" s="7" t="s">
        <v>6863</v>
      </c>
    </row>
    <row r="1903" spans="1:2">
      <c r="A1903" s="7" t="s">
        <v>6864</v>
      </c>
      <c r="B1903" s="7" t="s">
        <v>6865</v>
      </c>
    </row>
    <row r="1904" spans="1:2">
      <c r="A1904" s="7" t="s">
        <v>6866</v>
      </c>
      <c r="B1904" s="7" t="s">
        <v>6867</v>
      </c>
    </row>
    <row r="1905" spans="1:2">
      <c r="A1905" s="7" t="s">
        <v>6868</v>
      </c>
      <c r="B1905" s="7" t="s">
        <v>6869</v>
      </c>
    </row>
    <row r="1906" spans="1:2">
      <c r="A1906" s="7" t="s">
        <v>6870</v>
      </c>
      <c r="B1906" s="7" t="s">
        <v>6871</v>
      </c>
    </row>
    <row r="1907" spans="1:2">
      <c r="A1907" s="7" t="s">
        <v>6872</v>
      </c>
      <c r="B1907" s="7" t="s">
        <v>6873</v>
      </c>
    </row>
    <row r="1908" spans="1:2">
      <c r="A1908" s="7" t="s">
        <v>6874</v>
      </c>
      <c r="B1908" s="7" t="s">
        <v>6875</v>
      </c>
    </row>
    <row r="1909" spans="1:2">
      <c r="A1909" s="7" t="s">
        <v>6876</v>
      </c>
      <c r="B1909" s="7" t="s">
        <v>6877</v>
      </c>
    </row>
    <row r="1910" spans="1:2">
      <c r="A1910" s="7" t="s">
        <v>6878</v>
      </c>
      <c r="B1910" s="7" t="s">
        <v>6879</v>
      </c>
    </row>
    <row r="1911" spans="1:2">
      <c r="A1911" s="7" t="s">
        <v>6880</v>
      </c>
      <c r="B1911" s="7" t="s">
        <v>4839</v>
      </c>
    </row>
    <row r="1912" spans="1:2">
      <c r="A1912" s="7" t="s">
        <v>6881</v>
      </c>
      <c r="B1912" s="7" t="s">
        <v>5081</v>
      </c>
    </row>
    <row r="1913" spans="1:2">
      <c r="A1913" s="7" t="s">
        <v>6882</v>
      </c>
      <c r="B1913" s="7" t="s">
        <v>5498</v>
      </c>
    </row>
    <row r="1914" spans="1:2">
      <c r="A1914" s="7" t="s">
        <v>6883</v>
      </c>
      <c r="B1914" s="7" t="s">
        <v>6884</v>
      </c>
    </row>
    <row r="1915" spans="1:2">
      <c r="A1915" s="7" t="s">
        <v>6885</v>
      </c>
      <c r="B1915" s="7" t="s">
        <v>6886</v>
      </c>
    </row>
    <row r="1916" spans="1:2">
      <c r="A1916" s="7" t="s">
        <v>6887</v>
      </c>
      <c r="B1916" s="7" t="s">
        <v>6888</v>
      </c>
    </row>
    <row r="1917" spans="1:2">
      <c r="A1917" s="7" t="s">
        <v>6889</v>
      </c>
      <c r="B1917" s="7" t="s">
        <v>6890</v>
      </c>
    </row>
    <row r="1918" spans="1:2">
      <c r="A1918" s="7" t="s">
        <v>6891</v>
      </c>
      <c r="B1918" s="7" t="s">
        <v>6892</v>
      </c>
    </row>
    <row r="1919" spans="1:2">
      <c r="A1919" s="7" t="s">
        <v>6893</v>
      </c>
      <c r="B1919" s="7" t="s">
        <v>6894</v>
      </c>
    </row>
    <row r="1920" spans="1:2">
      <c r="A1920" s="7" t="s">
        <v>6895</v>
      </c>
      <c r="B1920" s="7" t="s">
        <v>6896</v>
      </c>
    </row>
    <row r="1921" spans="1:2">
      <c r="A1921" s="7" t="s">
        <v>6897</v>
      </c>
      <c r="B1921" s="7" t="s">
        <v>6898</v>
      </c>
    </row>
    <row r="1922" spans="1:2">
      <c r="A1922" s="7" t="s">
        <v>6899</v>
      </c>
      <c r="B1922" s="7" t="s">
        <v>6900</v>
      </c>
    </row>
    <row r="1923" spans="1:2">
      <c r="A1923" s="7" t="s">
        <v>6901</v>
      </c>
      <c r="B1923" s="7" t="s">
        <v>3387</v>
      </c>
    </row>
    <row r="1924" spans="1:2">
      <c r="A1924" s="7" t="s">
        <v>6902</v>
      </c>
      <c r="B1924" s="7" t="s">
        <v>6903</v>
      </c>
    </row>
    <row r="1925" spans="1:2">
      <c r="A1925" s="7" t="s">
        <v>6904</v>
      </c>
      <c r="B1925" s="7" t="s">
        <v>4184</v>
      </c>
    </row>
    <row r="1926" spans="1:2">
      <c r="A1926" s="7" t="s">
        <v>6905</v>
      </c>
      <c r="B1926" s="7" t="s">
        <v>6906</v>
      </c>
    </row>
    <row r="1927" spans="1:2">
      <c r="A1927" s="7" t="s">
        <v>6907</v>
      </c>
      <c r="B1927" s="7" t="s">
        <v>3535</v>
      </c>
    </row>
    <row r="1928" spans="1:2">
      <c r="A1928" s="7" t="s">
        <v>6908</v>
      </c>
      <c r="B1928" s="7" t="s">
        <v>6909</v>
      </c>
    </row>
    <row r="1929" spans="1:2">
      <c r="A1929" s="7" t="s">
        <v>6910</v>
      </c>
      <c r="B1929" s="7" t="s">
        <v>6911</v>
      </c>
    </row>
    <row r="1930" spans="1:2">
      <c r="A1930" s="7" t="s">
        <v>6912</v>
      </c>
      <c r="B1930" s="7" t="s">
        <v>6913</v>
      </c>
    </row>
    <row r="1931" spans="1:2">
      <c r="A1931" s="7" t="s">
        <v>6914</v>
      </c>
      <c r="B1931" s="7" t="s">
        <v>6915</v>
      </c>
    </row>
    <row r="1932" spans="1:2">
      <c r="A1932" s="7" t="s">
        <v>6916</v>
      </c>
      <c r="B1932" s="7" t="s">
        <v>6917</v>
      </c>
    </row>
    <row r="1933" spans="1:2">
      <c r="A1933" s="7" t="s">
        <v>6918</v>
      </c>
      <c r="B1933" s="7" t="s">
        <v>6919</v>
      </c>
    </row>
    <row r="1934" spans="1:2">
      <c r="A1934" s="7" t="s">
        <v>6920</v>
      </c>
      <c r="B1934" s="7" t="s">
        <v>6921</v>
      </c>
    </row>
    <row r="1935" spans="1:2">
      <c r="A1935" s="7" t="s">
        <v>6922</v>
      </c>
      <c r="B1935" s="7" t="s">
        <v>6923</v>
      </c>
    </row>
    <row r="1936" spans="1:2">
      <c r="A1936" s="7" t="s">
        <v>6924</v>
      </c>
      <c r="B1936" s="7" t="s">
        <v>6925</v>
      </c>
    </row>
    <row r="1937" spans="1:2">
      <c r="A1937" s="7" t="s">
        <v>6926</v>
      </c>
      <c r="B1937" s="7" t="s">
        <v>6927</v>
      </c>
    </row>
    <row r="1938" spans="1:2">
      <c r="A1938" s="7" t="s">
        <v>6928</v>
      </c>
      <c r="B1938" s="7" t="s">
        <v>6929</v>
      </c>
    </row>
    <row r="1939" spans="1:2">
      <c r="A1939" s="7" t="s">
        <v>6930</v>
      </c>
      <c r="B1939" s="7" t="s">
        <v>5247</v>
      </c>
    </row>
    <row r="1940" spans="1:2">
      <c r="A1940" s="7" t="s">
        <v>6931</v>
      </c>
      <c r="B1940" s="7" t="s">
        <v>6932</v>
      </c>
    </row>
    <row r="1941" spans="1:2">
      <c r="A1941" s="7" t="s">
        <v>6933</v>
      </c>
      <c r="B1941" s="7" t="s">
        <v>6934</v>
      </c>
    </row>
    <row r="1942" spans="1:2">
      <c r="A1942" s="7" t="s">
        <v>6935</v>
      </c>
      <c r="B1942" s="7" t="s">
        <v>6936</v>
      </c>
    </row>
    <row r="1943" spans="1:2">
      <c r="A1943" s="7" t="s">
        <v>6937</v>
      </c>
      <c r="B1943" s="7" t="s">
        <v>6938</v>
      </c>
    </row>
    <row r="1944" spans="1:2">
      <c r="A1944" s="7" t="s">
        <v>6939</v>
      </c>
      <c r="B1944" s="7" t="s">
        <v>6940</v>
      </c>
    </row>
    <row r="1945" spans="1:2">
      <c r="A1945" s="7" t="s">
        <v>6941</v>
      </c>
      <c r="B1945" s="7" t="s">
        <v>6942</v>
      </c>
    </row>
    <row r="1946" spans="1:2">
      <c r="A1946" s="7" t="s">
        <v>6943</v>
      </c>
      <c r="B1946" s="7" t="s">
        <v>5156</v>
      </c>
    </row>
    <row r="1947" spans="1:2">
      <c r="A1947" s="7" t="s">
        <v>6944</v>
      </c>
      <c r="B1947" s="7" t="s">
        <v>6036</v>
      </c>
    </row>
    <row r="1948" spans="1:2">
      <c r="A1948" s="7" t="s">
        <v>6945</v>
      </c>
      <c r="B1948" s="7" t="s">
        <v>6946</v>
      </c>
    </row>
    <row r="1949" spans="1:2">
      <c r="A1949" s="7" t="s">
        <v>6947</v>
      </c>
      <c r="B1949" s="7" t="s">
        <v>6948</v>
      </c>
    </row>
    <row r="1950" spans="1:2">
      <c r="A1950" s="7" t="s">
        <v>6949</v>
      </c>
      <c r="B1950" s="7" t="s">
        <v>6950</v>
      </c>
    </row>
    <row r="1951" spans="1:2">
      <c r="A1951" s="7" t="s">
        <v>6951</v>
      </c>
      <c r="B1951" s="7" t="s">
        <v>6952</v>
      </c>
    </row>
    <row r="1952" spans="1:2">
      <c r="A1952" s="7" t="s">
        <v>6953</v>
      </c>
      <c r="B1952" s="7" t="s">
        <v>6954</v>
      </c>
    </row>
    <row r="1953" spans="1:2">
      <c r="A1953" s="7" t="s">
        <v>6955</v>
      </c>
      <c r="B1953" s="7" t="s">
        <v>6956</v>
      </c>
    </row>
    <row r="1954" spans="1:2">
      <c r="A1954" s="7" t="s">
        <v>6957</v>
      </c>
      <c r="B1954" s="7" t="s">
        <v>6958</v>
      </c>
    </row>
    <row r="1955" spans="1:2">
      <c r="A1955" s="7" t="s">
        <v>6959</v>
      </c>
      <c r="B1955" s="7" t="s">
        <v>6960</v>
      </c>
    </row>
    <row r="1956" spans="1:2">
      <c r="A1956" s="7" t="s">
        <v>6961</v>
      </c>
      <c r="B1956" s="7" t="s">
        <v>6962</v>
      </c>
    </row>
    <row r="1957" spans="1:2">
      <c r="A1957" s="7" t="s">
        <v>6963</v>
      </c>
      <c r="B1957" s="7" t="s">
        <v>6964</v>
      </c>
    </row>
    <row r="1958" spans="1:2">
      <c r="A1958" s="7" t="s">
        <v>6965</v>
      </c>
      <c r="B1958" s="7" t="s">
        <v>6966</v>
      </c>
    </row>
    <row r="1959" spans="1:2">
      <c r="A1959" s="7" t="s">
        <v>6967</v>
      </c>
      <c r="B1959" s="7" t="s">
        <v>6968</v>
      </c>
    </row>
    <row r="1960" spans="1:2">
      <c r="A1960" s="7" t="s">
        <v>6969</v>
      </c>
      <c r="B1960" s="7" t="s">
        <v>6970</v>
      </c>
    </row>
    <row r="1961" spans="1:2">
      <c r="A1961" s="7" t="s">
        <v>6971</v>
      </c>
      <c r="B1961" s="7" t="s">
        <v>6972</v>
      </c>
    </row>
    <row r="1962" spans="1:2">
      <c r="A1962" s="7" t="s">
        <v>6973</v>
      </c>
      <c r="B1962" s="7" t="s">
        <v>6974</v>
      </c>
    </row>
    <row r="1963" spans="1:2">
      <c r="A1963" s="7" t="s">
        <v>6975</v>
      </c>
      <c r="B1963" s="7" t="s">
        <v>6976</v>
      </c>
    </row>
    <row r="1964" spans="1:2">
      <c r="A1964" s="7" t="s">
        <v>6977</v>
      </c>
      <c r="B1964" s="7" t="s">
        <v>5530</v>
      </c>
    </row>
    <row r="1965" spans="1:2">
      <c r="A1965" s="7" t="s">
        <v>6978</v>
      </c>
      <c r="B1965" s="7" t="s">
        <v>6979</v>
      </c>
    </row>
    <row r="1966" spans="1:2">
      <c r="A1966" s="7" t="s">
        <v>6980</v>
      </c>
      <c r="B1966" s="7" t="s">
        <v>4188</v>
      </c>
    </row>
    <row r="1967" spans="1:2">
      <c r="A1967" s="7" t="s">
        <v>6981</v>
      </c>
      <c r="B1967" s="7" t="s">
        <v>6982</v>
      </c>
    </row>
    <row r="1968" spans="1:2">
      <c r="A1968" s="7" t="s">
        <v>6983</v>
      </c>
      <c r="B1968" s="7" t="s">
        <v>4679</v>
      </c>
    </row>
    <row r="1969" spans="1:2">
      <c r="A1969" s="7" t="s">
        <v>6984</v>
      </c>
      <c r="B1969" s="7" t="s">
        <v>6985</v>
      </c>
    </row>
    <row r="1970" spans="1:2">
      <c r="A1970" s="7" t="s">
        <v>6986</v>
      </c>
      <c r="B1970" s="7" t="s">
        <v>6987</v>
      </c>
    </row>
    <row r="1971" spans="1:2">
      <c r="A1971" s="7" t="s">
        <v>6988</v>
      </c>
      <c r="B1971" s="7" t="s">
        <v>6989</v>
      </c>
    </row>
    <row r="1972" spans="1:2">
      <c r="A1972" s="7" t="s">
        <v>6990</v>
      </c>
      <c r="B1972" s="7" t="s">
        <v>6991</v>
      </c>
    </row>
    <row r="1973" spans="1:2">
      <c r="A1973" s="7" t="s">
        <v>6992</v>
      </c>
      <c r="B1973" s="7" t="s">
        <v>6993</v>
      </c>
    </row>
    <row r="1974" spans="1:2">
      <c r="A1974" s="7" t="s">
        <v>6994</v>
      </c>
      <c r="B1974" s="7" t="s">
        <v>6995</v>
      </c>
    </row>
    <row r="1975" spans="1:2">
      <c r="A1975" s="7" t="s">
        <v>6996</v>
      </c>
      <c r="B1975" s="7" t="s">
        <v>6997</v>
      </c>
    </row>
    <row r="1976" spans="1:2">
      <c r="A1976" s="7" t="s">
        <v>6998</v>
      </c>
      <c r="B1976" s="7" t="s">
        <v>6999</v>
      </c>
    </row>
    <row r="1977" spans="1:2">
      <c r="A1977" s="7" t="s">
        <v>7000</v>
      </c>
      <c r="B1977" s="7" t="s">
        <v>7001</v>
      </c>
    </row>
    <row r="1978" spans="1:2">
      <c r="A1978" s="7" t="s">
        <v>7002</v>
      </c>
      <c r="B1978" s="7" t="s">
        <v>7003</v>
      </c>
    </row>
    <row r="1979" spans="1:2">
      <c r="A1979" s="7" t="s">
        <v>7004</v>
      </c>
      <c r="B1979" s="7" t="s">
        <v>7005</v>
      </c>
    </row>
    <row r="1980" spans="1:2">
      <c r="A1980" s="7" t="s">
        <v>7006</v>
      </c>
      <c r="B1980" s="7" t="s">
        <v>7007</v>
      </c>
    </row>
    <row r="1981" spans="1:2">
      <c r="A1981" s="7" t="s">
        <v>7008</v>
      </c>
      <c r="B1981" s="7" t="s">
        <v>7009</v>
      </c>
    </row>
    <row r="1982" spans="1:2">
      <c r="A1982" s="7" t="s">
        <v>7010</v>
      </c>
      <c r="B1982" s="7" t="s">
        <v>7011</v>
      </c>
    </row>
    <row r="1983" spans="1:2">
      <c r="A1983" s="7" t="s">
        <v>7012</v>
      </c>
      <c r="B1983" s="7" t="s">
        <v>7013</v>
      </c>
    </row>
    <row r="1984" spans="1:2">
      <c r="A1984" s="7" t="s">
        <v>7014</v>
      </c>
      <c r="B1984" s="7" t="s">
        <v>7015</v>
      </c>
    </row>
    <row r="1985" spans="1:2">
      <c r="A1985" s="7" t="s">
        <v>7016</v>
      </c>
      <c r="B1985" s="7" t="s">
        <v>7017</v>
      </c>
    </row>
    <row r="1986" spans="1:2">
      <c r="A1986" s="7" t="s">
        <v>7018</v>
      </c>
      <c r="B1986" s="7" t="s">
        <v>7019</v>
      </c>
    </row>
    <row r="1987" spans="1:2">
      <c r="A1987" s="7" t="s">
        <v>7020</v>
      </c>
      <c r="B1987" s="7" t="s">
        <v>7021</v>
      </c>
    </row>
    <row r="1988" spans="1:2">
      <c r="A1988" s="7" t="s">
        <v>7022</v>
      </c>
      <c r="B1988" s="7" t="s">
        <v>7023</v>
      </c>
    </row>
    <row r="1989" spans="1:2">
      <c r="A1989" s="7" t="s">
        <v>7024</v>
      </c>
      <c r="B1989" s="7" t="s">
        <v>7025</v>
      </c>
    </row>
    <row r="1990" spans="1:2">
      <c r="A1990" s="7" t="s">
        <v>7026</v>
      </c>
      <c r="B1990" s="7" t="s">
        <v>7027</v>
      </c>
    </row>
    <row r="1991" spans="1:2">
      <c r="A1991" s="7" t="s">
        <v>7028</v>
      </c>
      <c r="B1991" s="7" t="s">
        <v>7029</v>
      </c>
    </row>
    <row r="1992" spans="1:2">
      <c r="A1992" s="7" t="s">
        <v>7030</v>
      </c>
      <c r="B1992" s="7" t="s">
        <v>7031</v>
      </c>
    </row>
    <row r="1993" spans="1:2">
      <c r="A1993" s="7" t="s">
        <v>7032</v>
      </c>
      <c r="B1993" s="7" t="s">
        <v>7033</v>
      </c>
    </row>
    <row r="1994" spans="1:2">
      <c r="A1994" s="7" t="s">
        <v>7034</v>
      </c>
      <c r="B1994" s="7" t="s">
        <v>7035</v>
      </c>
    </row>
    <row r="1995" spans="1:2">
      <c r="A1995" s="7" t="s">
        <v>7036</v>
      </c>
      <c r="B1995" s="7" t="s">
        <v>7037</v>
      </c>
    </row>
    <row r="1996" spans="1:2">
      <c r="A1996" s="7" t="s">
        <v>7038</v>
      </c>
      <c r="B1996" s="7" t="s">
        <v>7039</v>
      </c>
    </row>
    <row r="1997" spans="1:2">
      <c r="A1997" s="7" t="s">
        <v>7040</v>
      </c>
      <c r="B1997" s="7" t="s">
        <v>7041</v>
      </c>
    </row>
    <row r="1998" spans="1:2">
      <c r="A1998" s="7" t="s">
        <v>7042</v>
      </c>
      <c r="B1998" s="7" t="s">
        <v>7043</v>
      </c>
    </row>
    <row r="1999" spans="1:2">
      <c r="A1999" s="7" t="s">
        <v>7044</v>
      </c>
      <c r="B1999" s="7" t="s">
        <v>7045</v>
      </c>
    </row>
    <row r="2000" spans="1:2">
      <c r="A2000" s="7" t="s">
        <v>7046</v>
      </c>
      <c r="B2000" s="7" t="s">
        <v>7047</v>
      </c>
    </row>
    <row r="2001" spans="1:2">
      <c r="A2001" s="7" t="s">
        <v>7048</v>
      </c>
      <c r="B2001" s="7" t="s">
        <v>7049</v>
      </c>
    </row>
    <row r="2002" spans="1:2">
      <c r="A2002" s="7" t="s">
        <v>7050</v>
      </c>
      <c r="B2002" s="7" t="s">
        <v>7051</v>
      </c>
    </row>
    <row r="2003" spans="1:2">
      <c r="A2003" s="7" t="s">
        <v>7052</v>
      </c>
      <c r="B2003" s="7" t="s">
        <v>7053</v>
      </c>
    </row>
    <row r="2004" spans="1:2">
      <c r="A2004" s="7" t="s">
        <v>7054</v>
      </c>
      <c r="B2004" s="7" t="s">
        <v>7055</v>
      </c>
    </row>
    <row r="2005" spans="1:2">
      <c r="A2005" s="7" t="s">
        <v>7056</v>
      </c>
      <c r="B2005" s="7" t="s">
        <v>4138</v>
      </c>
    </row>
    <row r="2006" spans="1:2">
      <c r="A2006" s="7" t="s">
        <v>7057</v>
      </c>
      <c r="B2006" s="7" t="s">
        <v>7058</v>
      </c>
    </row>
    <row r="2007" spans="1:2">
      <c r="A2007" s="7" t="s">
        <v>7059</v>
      </c>
      <c r="B2007" s="7" t="s">
        <v>7060</v>
      </c>
    </row>
    <row r="2008" spans="1:2">
      <c r="A2008" s="7" t="s">
        <v>7061</v>
      </c>
      <c r="B2008" s="7" t="s">
        <v>7062</v>
      </c>
    </row>
    <row r="2009" spans="1:2">
      <c r="A2009" s="7" t="s">
        <v>7063</v>
      </c>
      <c r="B2009" s="7" t="s">
        <v>4140</v>
      </c>
    </row>
    <row r="2010" spans="1:2">
      <c r="A2010" s="7" t="s">
        <v>7064</v>
      </c>
      <c r="B2010" s="7" t="s">
        <v>7065</v>
      </c>
    </row>
    <row r="2011" spans="1:2">
      <c r="A2011" s="7" t="s">
        <v>7066</v>
      </c>
      <c r="B2011" s="7" t="s">
        <v>7067</v>
      </c>
    </row>
    <row r="2012" spans="1:2">
      <c r="A2012" s="7" t="s">
        <v>7068</v>
      </c>
      <c r="B2012" s="7" t="s">
        <v>6038</v>
      </c>
    </row>
    <row r="2013" spans="1:2">
      <c r="A2013" s="7" t="s">
        <v>7069</v>
      </c>
      <c r="B2013" s="7" t="s">
        <v>7070</v>
      </c>
    </row>
    <row r="2014" spans="1:2">
      <c r="A2014" s="7" t="s">
        <v>7071</v>
      </c>
      <c r="B2014" s="7" t="s">
        <v>5627</v>
      </c>
    </row>
    <row r="2015" spans="1:2">
      <c r="A2015" s="7" t="s">
        <v>7072</v>
      </c>
      <c r="B2015" s="7" t="s">
        <v>7073</v>
      </c>
    </row>
    <row r="2016" spans="1:2">
      <c r="A2016" s="7" t="s">
        <v>7074</v>
      </c>
      <c r="B2016" s="7" t="s">
        <v>7075</v>
      </c>
    </row>
    <row r="2017" spans="1:2">
      <c r="A2017" s="7" t="s">
        <v>7076</v>
      </c>
      <c r="B2017" s="7" t="s">
        <v>7077</v>
      </c>
    </row>
    <row r="2018" spans="1:2">
      <c r="A2018" s="7" t="s">
        <v>7078</v>
      </c>
      <c r="B2018" s="7" t="s">
        <v>4417</v>
      </c>
    </row>
    <row r="2019" spans="1:2">
      <c r="A2019" s="7" t="s">
        <v>7079</v>
      </c>
      <c r="B2019" s="7" t="s">
        <v>7080</v>
      </c>
    </row>
    <row r="2020" spans="1:2">
      <c r="A2020" s="7" t="s">
        <v>7081</v>
      </c>
      <c r="B2020" s="7" t="s">
        <v>4236</v>
      </c>
    </row>
    <row r="2021" spans="1:2">
      <c r="A2021" s="7" t="s">
        <v>7082</v>
      </c>
      <c r="B2021" s="7" t="s">
        <v>7083</v>
      </c>
    </row>
    <row r="2022" spans="1:2">
      <c r="A2022" s="7" t="s">
        <v>7084</v>
      </c>
      <c r="B2022" s="7" t="s">
        <v>7085</v>
      </c>
    </row>
    <row r="2023" spans="1:2">
      <c r="A2023" s="7" t="s">
        <v>7086</v>
      </c>
      <c r="B2023" s="7" t="s">
        <v>7087</v>
      </c>
    </row>
    <row r="2024" spans="1:2">
      <c r="A2024" s="7" t="s">
        <v>7088</v>
      </c>
      <c r="B2024" s="7" t="s">
        <v>7089</v>
      </c>
    </row>
    <row r="2025" spans="1:2">
      <c r="A2025" s="7" t="s">
        <v>7090</v>
      </c>
      <c r="B2025" s="7" t="s">
        <v>7091</v>
      </c>
    </row>
    <row r="2026" spans="1:2">
      <c r="A2026" s="7" t="s">
        <v>7092</v>
      </c>
      <c r="B2026" s="7" t="s">
        <v>7093</v>
      </c>
    </row>
    <row r="2027" spans="1:2">
      <c r="A2027" s="7" t="s">
        <v>7094</v>
      </c>
      <c r="B2027" s="7" t="s">
        <v>7095</v>
      </c>
    </row>
    <row r="2028" spans="1:2">
      <c r="A2028" s="7" t="s">
        <v>7096</v>
      </c>
      <c r="B2028" s="7" t="s">
        <v>7097</v>
      </c>
    </row>
    <row r="2029" spans="1:2">
      <c r="A2029" s="7" t="s">
        <v>7098</v>
      </c>
      <c r="B2029" s="7" t="s">
        <v>7099</v>
      </c>
    </row>
    <row r="2030" spans="1:2">
      <c r="A2030" s="7" t="s">
        <v>7100</v>
      </c>
      <c r="B2030" s="7" t="s">
        <v>7101</v>
      </c>
    </row>
    <row r="2031" spans="1:2">
      <c r="A2031" s="7" t="s">
        <v>7102</v>
      </c>
      <c r="B2031" s="7" t="s">
        <v>7103</v>
      </c>
    </row>
    <row r="2032" spans="1:2">
      <c r="A2032" s="7" t="s">
        <v>7104</v>
      </c>
      <c r="B2032" s="7" t="s">
        <v>7105</v>
      </c>
    </row>
    <row r="2033" spans="1:2">
      <c r="A2033" s="7" t="s">
        <v>7106</v>
      </c>
      <c r="B2033" s="7" t="s">
        <v>7107</v>
      </c>
    </row>
    <row r="2034" spans="1:2">
      <c r="A2034" s="7" t="s">
        <v>7108</v>
      </c>
      <c r="B2034" s="7" t="s">
        <v>7109</v>
      </c>
    </row>
    <row r="2035" spans="1:2">
      <c r="A2035" s="7" t="s">
        <v>7110</v>
      </c>
      <c r="B2035" s="7" t="s">
        <v>7111</v>
      </c>
    </row>
    <row r="2036" spans="1:2">
      <c r="A2036" s="7" t="s">
        <v>7112</v>
      </c>
      <c r="B2036" s="7" t="s">
        <v>7113</v>
      </c>
    </row>
    <row r="2037" spans="1:2">
      <c r="A2037" s="7" t="s">
        <v>7114</v>
      </c>
      <c r="B2037" s="7" t="s">
        <v>7115</v>
      </c>
    </row>
    <row r="2038" spans="1:2">
      <c r="A2038" s="7" t="s">
        <v>7116</v>
      </c>
      <c r="B2038" s="7" t="s">
        <v>7117</v>
      </c>
    </row>
    <row r="2039" spans="1:2">
      <c r="A2039" s="7" t="s">
        <v>7118</v>
      </c>
      <c r="B2039" s="7" t="s">
        <v>7119</v>
      </c>
    </row>
    <row r="2040" spans="1:2">
      <c r="A2040" s="7" t="s">
        <v>7120</v>
      </c>
      <c r="B2040" s="7" t="s">
        <v>7121</v>
      </c>
    </row>
    <row r="2041" spans="1:2">
      <c r="A2041" s="7" t="s">
        <v>7122</v>
      </c>
      <c r="B2041" s="7" t="s">
        <v>7123</v>
      </c>
    </row>
    <row r="2042" spans="1:2">
      <c r="A2042" s="7" t="s">
        <v>7124</v>
      </c>
      <c r="B2042" s="7" t="s">
        <v>7125</v>
      </c>
    </row>
    <row r="2043" spans="1:2">
      <c r="A2043" s="7" t="s">
        <v>7126</v>
      </c>
      <c r="B2043" s="7" t="s">
        <v>6964</v>
      </c>
    </row>
    <row r="2044" spans="1:2">
      <c r="A2044" s="7" t="s">
        <v>7127</v>
      </c>
      <c r="B2044" s="7" t="s">
        <v>7128</v>
      </c>
    </row>
    <row r="2045" spans="1:2">
      <c r="A2045" s="7" t="s">
        <v>7129</v>
      </c>
      <c r="B2045" s="7" t="s">
        <v>7130</v>
      </c>
    </row>
    <row r="2046" spans="1:2">
      <c r="A2046" s="7" t="s">
        <v>7131</v>
      </c>
      <c r="B2046" s="7" t="s">
        <v>7132</v>
      </c>
    </row>
    <row r="2047" spans="1:2">
      <c r="A2047" s="7" t="s">
        <v>7133</v>
      </c>
      <c r="B2047" s="7" t="s">
        <v>7134</v>
      </c>
    </row>
    <row r="2048" spans="1:2">
      <c r="A2048" s="7" t="s">
        <v>7135</v>
      </c>
      <c r="B2048" s="7" t="s">
        <v>7136</v>
      </c>
    </row>
    <row r="2049" spans="1:2">
      <c r="A2049" s="7" t="s">
        <v>7137</v>
      </c>
      <c r="B2049" s="7" t="s">
        <v>7138</v>
      </c>
    </row>
    <row r="2050" spans="1:2">
      <c r="A2050" s="7" t="s">
        <v>7139</v>
      </c>
      <c r="B2050" s="7" t="s">
        <v>4718</v>
      </c>
    </row>
    <row r="2051" spans="1:2">
      <c r="A2051" s="7" t="s">
        <v>7140</v>
      </c>
      <c r="B2051" s="7" t="s">
        <v>7141</v>
      </c>
    </row>
    <row r="2052" spans="1:2">
      <c r="A2052" s="7" t="s">
        <v>7142</v>
      </c>
      <c r="B2052" s="7" t="s">
        <v>7143</v>
      </c>
    </row>
    <row r="2053" spans="1:2">
      <c r="A2053" s="7" t="s">
        <v>7144</v>
      </c>
      <c r="B2053" s="7" t="s">
        <v>7145</v>
      </c>
    </row>
    <row r="2054" spans="1:2">
      <c r="A2054" s="7" t="s">
        <v>7146</v>
      </c>
      <c r="B2054" s="7" t="s">
        <v>7147</v>
      </c>
    </row>
    <row r="2055" spans="1:2">
      <c r="A2055" s="7" t="s">
        <v>7148</v>
      </c>
      <c r="B2055" s="7" t="s">
        <v>7149</v>
      </c>
    </row>
    <row r="2056" spans="1:2">
      <c r="A2056" s="7" t="s">
        <v>7150</v>
      </c>
      <c r="B2056" s="7" t="s">
        <v>7151</v>
      </c>
    </row>
    <row r="2057" spans="1:2">
      <c r="A2057" s="7" t="s">
        <v>7152</v>
      </c>
      <c r="B2057" s="7" t="s">
        <v>7153</v>
      </c>
    </row>
    <row r="2058" spans="1:2">
      <c r="A2058" s="7" t="s">
        <v>7154</v>
      </c>
      <c r="B2058" s="7" t="s">
        <v>7155</v>
      </c>
    </row>
    <row r="2059" spans="1:2">
      <c r="A2059" s="7" t="s">
        <v>7156</v>
      </c>
      <c r="B2059" s="7" t="s">
        <v>7157</v>
      </c>
    </row>
    <row r="2060" spans="1:2">
      <c r="A2060" s="7" t="s">
        <v>7158</v>
      </c>
      <c r="B2060" s="7" t="s">
        <v>7159</v>
      </c>
    </row>
    <row r="2061" spans="1:2">
      <c r="A2061" s="7" t="s">
        <v>7160</v>
      </c>
      <c r="B2061" s="7" t="s">
        <v>7161</v>
      </c>
    </row>
    <row r="2062" spans="1:2">
      <c r="A2062" s="7" t="s">
        <v>7162</v>
      </c>
      <c r="B2062" s="7" t="s">
        <v>7163</v>
      </c>
    </row>
    <row r="2063" spans="1:2">
      <c r="A2063" s="7" t="s">
        <v>7164</v>
      </c>
      <c r="B2063" s="7" t="s">
        <v>7165</v>
      </c>
    </row>
    <row r="2064" spans="1:2">
      <c r="A2064" s="7" t="s">
        <v>7166</v>
      </c>
      <c r="B2064" s="7" t="s">
        <v>7167</v>
      </c>
    </row>
    <row r="2065" spans="1:2">
      <c r="A2065" s="7" t="s">
        <v>7168</v>
      </c>
      <c r="B2065" s="7" t="s">
        <v>7169</v>
      </c>
    </row>
    <row r="2066" spans="1:2">
      <c r="A2066" s="7" t="s">
        <v>7170</v>
      </c>
      <c r="B2066" s="7" t="s">
        <v>7171</v>
      </c>
    </row>
    <row r="2067" spans="1:2">
      <c r="A2067" s="7" t="s">
        <v>7172</v>
      </c>
      <c r="B2067" s="7" t="s">
        <v>7173</v>
      </c>
    </row>
    <row r="2068" spans="1:2">
      <c r="A2068" s="7" t="s">
        <v>7174</v>
      </c>
      <c r="B2068" s="7" t="s">
        <v>7175</v>
      </c>
    </row>
    <row r="2069" spans="1:2">
      <c r="A2069" s="7" t="s">
        <v>7176</v>
      </c>
      <c r="B2069" s="7" t="s">
        <v>4439</v>
      </c>
    </row>
    <row r="2070" spans="1:2">
      <c r="A2070" s="7" t="s">
        <v>7177</v>
      </c>
      <c r="B2070" s="7" t="s">
        <v>7178</v>
      </c>
    </row>
    <row r="2071" spans="1:2">
      <c r="A2071" s="7" t="s">
        <v>7179</v>
      </c>
      <c r="B2071" s="7" t="s">
        <v>7180</v>
      </c>
    </row>
    <row r="2072" spans="1:2">
      <c r="A2072" s="7" t="s">
        <v>7181</v>
      </c>
      <c r="B2072" s="7" t="s">
        <v>7182</v>
      </c>
    </row>
    <row r="2073" spans="1:2">
      <c r="A2073" s="7" t="s">
        <v>7183</v>
      </c>
      <c r="B2073" s="7" t="s">
        <v>7184</v>
      </c>
    </row>
    <row r="2074" spans="1:2">
      <c r="A2074" s="7" t="s">
        <v>7185</v>
      </c>
      <c r="B2074" s="7" t="s">
        <v>7186</v>
      </c>
    </row>
    <row r="2075" spans="1:2">
      <c r="A2075" s="7" t="s">
        <v>7187</v>
      </c>
      <c r="B2075" s="7" t="s">
        <v>7188</v>
      </c>
    </row>
    <row r="2076" spans="1:2">
      <c r="A2076" s="7" t="s">
        <v>7189</v>
      </c>
      <c r="B2076" s="7" t="s">
        <v>7190</v>
      </c>
    </row>
    <row r="2077" spans="1:2">
      <c r="A2077" s="7" t="s">
        <v>7191</v>
      </c>
      <c r="B2077" s="7" t="s">
        <v>7192</v>
      </c>
    </row>
    <row r="2078" spans="1:2">
      <c r="A2078" s="7" t="s">
        <v>7193</v>
      </c>
      <c r="B2078" s="7" t="s">
        <v>7194</v>
      </c>
    </row>
    <row r="2079" spans="1:2">
      <c r="A2079" s="7" t="s">
        <v>7195</v>
      </c>
      <c r="B2079" s="7" t="s">
        <v>7196</v>
      </c>
    </row>
    <row r="2080" spans="1:2">
      <c r="A2080" s="7" t="s">
        <v>7197</v>
      </c>
      <c r="B2080" s="7" t="s">
        <v>7198</v>
      </c>
    </row>
    <row r="2081" spans="1:2">
      <c r="A2081" s="7" t="s">
        <v>7199</v>
      </c>
      <c r="B2081" s="7" t="s">
        <v>3385</v>
      </c>
    </row>
    <row r="2082" spans="1:2">
      <c r="A2082" s="7" t="s">
        <v>7200</v>
      </c>
      <c r="B2082" s="7" t="s">
        <v>7201</v>
      </c>
    </row>
    <row r="2083" spans="1:2">
      <c r="A2083" s="7" t="s">
        <v>7202</v>
      </c>
      <c r="B2083" s="7" t="s">
        <v>3753</v>
      </c>
    </row>
    <row r="2084" spans="1:2">
      <c r="A2084" s="7" t="s">
        <v>7203</v>
      </c>
      <c r="B2084" s="7" t="s">
        <v>7204</v>
      </c>
    </row>
    <row r="2085" spans="1:2">
      <c r="A2085" s="7" t="s">
        <v>7205</v>
      </c>
      <c r="B2085" s="7" t="s">
        <v>7206</v>
      </c>
    </row>
    <row r="2086" spans="1:2">
      <c r="A2086" s="7" t="s">
        <v>7207</v>
      </c>
      <c r="B2086" s="7" t="s">
        <v>7208</v>
      </c>
    </row>
    <row r="2087" spans="1:2">
      <c r="A2087" s="7" t="s">
        <v>7209</v>
      </c>
      <c r="B2087" s="7" t="s">
        <v>7210</v>
      </c>
    </row>
    <row r="2088" spans="1:2">
      <c r="A2088" s="7" t="s">
        <v>7211</v>
      </c>
      <c r="B2088" s="7" t="s">
        <v>7212</v>
      </c>
    </row>
    <row r="2089" spans="1:2">
      <c r="A2089" s="7" t="s">
        <v>7213</v>
      </c>
      <c r="B2089" s="7" t="s">
        <v>7214</v>
      </c>
    </row>
    <row r="2090" spans="1:2">
      <c r="A2090" s="7" t="s">
        <v>7215</v>
      </c>
      <c r="B2090" s="7" t="s">
        <v>7216</v>
      </c>
    </row>
    <row r="2091" spans="1:2">
      <c r="A2091" s="7" t="s">
        <v>7217</v>
      </c>
      <c r="B2091" s="7" t="s">
        <v>7218</v>
      </c>
    </row>
    <row r="2092" spans="1:2">
      <c r="A2092" s="7" t="s">
        <v>7219</v>
      </c>
      <c r="B2092" s="7" t="s">
        <v>7220</v>
      </c>
    </row>
    <row r="2093" spans="1:2">
      <c r="A2093" s="7" t="s">
        <v>7221</v>
      </c>
      <c r="B2093" s="7" t="s">
        <v>7222</v>
      </c>
    </row>
    <row r="2094" spans="1:2">
      <c r="A2094" s="7" t="s">
        <v>7223</v>
      </c>
      <c r="B2094" s="7" t="s">
        <v>7224</v>
      </c>
    </row>
    <row r="2095" spans="1:2">
      <c r="A2095" s="7" t="s">
        <v>7225</v>
      </c>
      <c r="B2095" s="7" t="s">
        <v>7226</v>
      </c>
    </row>
    <row r="2096" spans="1:2">
      <c r="A2096" s="7" t="s">
        <v>7227</v>
      </c>
      <c r="B2096" s="7" t="s">
        <v>7228</v>
      </c>
    </row>
    <row r="2097" spans="1:2">
      <c r="A2097" s="7" t="s">
        <v>7229</v>
      </c>
      <c r="B2097" s="7" t="s">
        <v>7230</v>
      </c>
    </row>
    <row r="2098" spans="1:2">
      <c r="A2098" s="7" t="s">
        <v>7231</v>
      </c>
      <c r="B2098" s="7" t="s">
        <v>7232</v>
      </c>
    </row>
    <row r="2099" spans="1:2">
      <c r="A2099" s="7" t="s">
        <v>7233</v>
      </c>
      <c r="B2099" s="7" t="s">
        <v>3557</v>
      </c>
    </row>
    <row r="2100" spans="1:2">
      <c r="A2100" s="7" t="s">
        <v>7234</v>
      </c>
      <c r="B2100" s="7" t="s">
        <v>7235</v>
      </c>
    </row>
    <row r="2101" spans="1:2">
      <c r="A2101" s="7" t="s">
        <v>7236</v>
      </c>
      <c r="B2101" s="7" t="s">
        <v>7237</v>
      </c>
    </row>
    <row r="2102" spans="1:2">
      <c r="A2102" s="7" t="s">
        <v>7238</v>
      </c>
      <c r="B2102" s="7" t="s">
        <v>7226</v>
      </c>
    </row>
    <row r="2103" spans="1:2">
      <c r="A2103" s="7" t="s">
        <v>7239</v>
      </c>
      <c r="B2103" s="7" t="s">
        <v>7240</v>
      </c>
    </row>
    <row r="2104" spans="1:2">
      <c r="A2104" s="7" t="s">
        <v>7241</v>
      </c>
      <c r="B2104" s="7" t="s">
        <v>7242</v>
      </c>
    </row>
    <row r="2105" spans="1:2">
      <c r="A2105" s="7" t="s">
        <v>7243</v>
      </c>
      <c r="B2105" s="7" t="s">
        <v>7244</v>
      </c>
    </row>
    <row r="2106" spans="1:2">
      <c r="A2106" s="7" t="s">
        <v>7245</v>
      </c>
      <c r="B2106" s="7" t="s">
        <v>7246</v>
      </c>
    </row>
    <row r="2107" spans="1:2">
      <c r="A2107" s="7" t="s">
        <v>7247</v>
      </c>
      <c r="B2107" s="7" t="s">
        <v>3567</v>
      </c>
    </row>
    <row r="2108" spans="1:2">
      <c r="A2108" s="7" t="s">
        <v>7248</v>
      </c>
      <c r="B2108" s="7" t="s">
        <v>7249</v>
      </c>
    </row>
    <row r="2109" spans="1:2">
      <c r="A2109" s="7" t="s">
        <v>7250</v>
      </c>
      <c r="B2109" s="7" t="s">
        <v>7251</v>
      </c>
    </row>
    <row r="2110" spans="1:2">
      <c r="A2110" s="7" t="s">
        <v>7252</v>
      </c>
      <c r="B2110" s="7" t="s">
        <v>7253</v>
      </c>
    </row>
    <row r="2111" spans="1:2">
      <c r="A2111" s="7" t="s">
        <v>7254</v>
      </c>
      <c r="B2111" s="7" t="s">
        <v>7255</v>
      </c>
    </row>
    <row r="2112" spans="1:2">
      <c r="A2112" s="7" t="s">
        <v>7256</v>
      </c>
      <c r="B2112" s="7" t="s">
        <v>7257</v>
      </c>
    </row>
    <row r="2113" spans="1:2">
      <c r="A2113" s="7" t="s">
        <v>7258</v>
      </c>
      <c r="B2113" s="7" t="s">
        <v>7259</v>
      </c>
    </row>
    <row r="2114" spans="1:2">
      <c r="A2114" s="7" t="s">
        <v>7260</v>
      </c>
      <c r="B2114" s="7" t="s">
        <v>7261</v>
      </c>
    </row>
    <row r="2115" spans="1:2">
      <c r="A2115" s="7" t="s">
        <v>7262</v>
      </c>
      <c r="B2115" s="7" t="s">
        <v>7263</v>
      </c>
    </row>
    <row r="2116" spans="1:2">
      <c r="A2116" s="7" t="s">
        <v>7264</v>
      </c>
      <c r="B2116" s="7" t="s">
        <v>7265</v>
      </c>
    </row>
    <row r="2117" spans="1:2">
      <c r="A2117" s="7" t="s">
        <v>7266</v>
      </c>
      <c r="B2117" s="7" t="s">
        <v>7267</v>
      </c>
    </row>
    <row r="2118" spans="1:2">
      <c r="A2118" s="7" t="s">
        <v>7268</v>
      </c>
      <c r="B2118" s="7" t="s">
        <v>7269</v>
      </c>
    </row>
    <row r="2119" spans="1:2">
      <c r="A2119" s="7" t="s">
        <v>7270</v>
      </c>
      <c r="B2119" s="7" t="s">
        <v>7271</v>
      </c>
    </row>
    <row r="2120" spans="1:2">
      <c r="A2120" s="7" t="s">
        <v>7272</v>
      </c>
      <c r="B2120" s="7" t="s">
        <v>7273</v>
      </c>
    </row>
    <row r="2121" spans="1:2">
      <c r="A2121" s="7" t="s">
        <v>7274</v>
      </c>
      <c r="B2121" s="7" t="s">
        <v>7275</v>
      </c>
    </row>
    <row r="2122" spans="1:2">
      <c r="A2122" s="7" t="s">
        <v>7276</v>
      </c>
      <c r="B2122" s="7" t="s">
        <v>7277</v>
      </c>
    </row>
    <row r="2123" spans="1:2">
      <c r="A2123" s="7" t="s">
        <v>7278</v>
      </c>
      <c r="B2123" s="7" t="s">
        <v>7279</v>
      </c>
    </row>
    <row r="2124" spans="1:2">
      <c r="A2124" s="7" t="s">
        <v>7280</v>
      </c>
      <c r="B2124" s="7" t="s">
        <v>7281</v>
      </c>
    </row>
    <row r="2125" spans="1:2">
      <c r="A2125" s="7" t="s">
        <v>7282</v>
      </c>
      <c r="B2125" s="7" t="s">
        <v>7283</v>
      </c>
    </row>
    <row r="2126" spans="1:2">
      <c r="A2126" s="7" t="s">
        <v>7284</v>
      </c>
      <c r="B2126" s="7" t="s">
        <v>7285</v>
      </c>
    </row>
    <row r="2127" spans="1:2">
      <c r="A2127" s="7" t="s">
        <v>7286</v>
      </c>
      <c r="B2127" s="7" t="s">
        <v>4050</v>
      </c>
    </row>
    <row r="2128" spans="1:2">
      <c r="A2128" s="7" t="s">
        <v>7287</v>
      </c>
      <c r="B2128" s="7" t="s">
        <v>7288</v>
      </c>
    </row>
    <row r="2129" spans="1:2">
      <c r="A2129" s="7" t="s">
        <v>7289</v>
      </c>
      <c r="B2129" s="7" t="s">
        <v>7290</v>
      </c>
    </row>
    <row r="2130" spans="1:2">
      <c r="A2130" s="7" t="s">
        <v>7291</v>
      </c>
      <c r="B2130" s="7" t="s">
        <v>7292</v>
      </c>
    </row>
    <row r="2131" spans="1:2">
      <c r="A2131" s="7" t="s">
        <v>7293</v>
      </c>
      <c r="B2131" s="7" t="s">
        <v>7294</v>
      </c>
    </row>
    <row r="2132" spans="1:2">
      <c r="A2132" s="7" t="s">
        <v>7295</v>
      </c>
      <c r="B2132" s="7" t="s">
        <v>7296</v>
      </c>
    </row>
    <row r="2133" spans="1:2">
      <c r="A2133" s="7" t="s">
        <v>7297</v>
      </c>
      <c r="B2133" s="7" t="s">
        <v>7298</v>
      </c>
    </row>
    <row r="2134" spans="1:2">
      <c r="A2134" s="7" t="s">
        <v>7299</v>
      </c>
      <c r="B2134" s="7" t="s">
        <v>7300</v>
      </c>
    </row>
    <row r="2135" spans="1:2">
      <c r="A2135" s="7" t="s">
        <v>7301</v>
      </c>
      <c r="B2135" s="7" t="s">
        <v>7302</v>
      </c>
    </row>
    <row r="2136" spans="1:2">
      <c r="A2136" s="7" t="s">
        <v>7303</v>
      </c>
      <c r="B2136" s="7" t="s">
        <v>7304</v>
      </c>
    </row>
    <row r="2137" spans="1:2">
      <c r="A2137" s="7" t="s">
        <v>7305</v>
      </c>
      <c r="B2137" s="7" t="s">
        <v>7306</v>
      </c>
    </row>
    <row r="2138" spans="1:2">
      <c r="A2138" s="7" t="s">
        <v>7307</v>
      </c>
      <c r="B2138" s="7" t="s">
        <v>7308</v>
      </c>
    </row>
    <row r="2139" spans="1:2">
      <c r="A2139" s="7" t="s">
        <v>7309</v>
      </c>
      <c r="B2139" s="7" t="s">
        <v>7310</v>
      </c>
    </row>
    <row r="2140" spans="1:2">
      <c r="A2140" s="7" t="s">
        <v>7311</v>
      </c>
      <c r="B2140" s="7" t="s">
        <v>7312</v>
      </c>
    </row>
    <row r="2141" spans="1:2">
      <c r="A2141" s="7" t="s">
        <v>7313</v>
      </c>
      <c r="B2141" s="7" t="s">
        <v>7314</v>
      </c>
    </row>
    <row r="2142" spans="1:2">
      <c r="A2142" s="7" t="s">
        <v>7315</v>
      </c>
      <c r="B2142" s="7" t="s">
        <v>7316</v>
      </c>
    </row>
    <row r="2143" spans="1:2">
      <c r="A2143" s="7" t="s">
        <v>7317</v>
      </c>
      <c r="B2143" s="7" t="s">
        <v>7318</v>
      </c>
    </row>
    <row r="2144" spans="1:2">
      <c r="A2144" s="7" t="s">
        <v>7319</v>
      </c>
      <c r="B2144" s="7" t="s">
        <v>7320</v>
      </c>
    </row>
    <row r="2145" spans="1:2">
      <c r="A2145" s="7" t="s">
        <v>7321</v>
      </c>
      <c r="B2145" s="7" t="s">
        <v>7322</v>
      </c>
    </row>
    <row r="2146" spans="1:2">
      <c r="A2146" s="7" t="s">
        <v>7323</v>
      </c>
      <c r="B2146" s="7" t="s">
        <v>7324</v>
      </c>
    </row>
    <row r="2147" spans="1:2">
      <c r="A2147" s="7" t="s">
        <v>7325</v>
      </c>
      <c r="B2147" s="7" t="s">
        <v>7326</v>
      </c>
    </row>
    <row r="2148" spans="1:2">
      <c r="A2148" s="7" t="s">
        <v>7327</v>
      </c>
      <c r="B2148" s="7" t="s">
        <v>7328</v>
      </c>
    </row>
    <row r="2149" spans="1:2">
      <c r="A2149" s="7" t="s">
        <v>7329</v>
      </c>
      <c r="B2149" s="7" t="s">
        <v>7330</v>
      </c>
    </row>
    <row r="2150" spans="1:2">
      <c r="A2150" s="7" t="s">
        <v>7331</v>
      </c>
      <c r="B2150" s="7" t="s">
        <v>7332</v>
      </c>
    </row>
    <row r="2151" spans="1:2">
      <c r="A2151" s="7" t="s">
        <v>7333</v>
      </c>
      <c r="B2151" s="7" t="s">
        <v>7334</v>
      </c>
    </row>
    <row r="2152" spans="1:2">
      <c r="A2152" s="7" t="s">
        <v>7335</v>
      </c>
      <c r="B2152" s="7" t="s">
        <v>7336</v>
      </c>
    </row>
    <row r="2153" spans="1:2">
      <c r="A2153" s="7" t="s">
        <v>7337</v>
      </c>
      <c r="B2153" s="7" t="s">
        <v>7338</v>
      </c>
    </row>
    <row r="2154" spans="1:2">
      <c r="A2154" s="7" t="s">
        <v>7339</v>
      </c>
      <c r="B2154" s="7" t="s">
        <v>7340</v>
      </c>
    </row>
    <row r="2155" spans="1:2">
      <c r="A2155" s="7" t="s">
        <v>7341</v>
      </c>
      <c r="B2155" s="7" t="s">
        <v>3261</v>
      </c>
    </row>
    <row r="2156" spans="1:2">
      <c r="A2156" s="7" t="s">
        <v>7342</v>
      </c>
      <c r="B2156" s="7" t="s">
        <v>7343</v>
      </c>
    </row>
    <row r="2157" spans="1:2">
      <c r="A2157" s="7" t="s">
        <v>7344</v>
      </c>
      <c r="B2157" s="7" t="s">
        <v>7345</v>
      </c>
    </row>
    <row r="2158" spans="1:2">
      <c r="A2158" s="7" t="s">
        <v>7346</v>
      </c>
      <c r="B2158" s="7" t="s">
        <v>7347</v>
      </c>
    </row>
    <row r="2159" spans="1:2">
      <c r="A2159" s="7" t="s">
        <v>7348</v>
      </c>
      <c r="B2159" s="7" t="s">
        <v>7349</v>
      </c>
    </row>
    <row r="2160" spans="1:2">
      <c r="A2160" s="7" t="s">
        <v>7350</v>
      </c>
      <c r="B2160" s="7" t="s">
        <v>7351</v>
      </c>
    </row>
    <row r="2161" spans="1:2">
      <c r="A2161" s="7" t="s">
        <v>7352</v>
      </c>
      <c r="B2161" s="7" t="s">
        <v>7353</v>
      </c>
    </row>
    <row r="2162" spans="1:2">
      <c r="A2162" s="7" t="s">
        <v>7354</v>
      </c>
      <c r="B2162" s="7" t="s">
        <v>7355</v>
      </c>
    </row>
    <row r="2163" spans="1:2">
      <c r="A2163" s="7" t="s">
        <v>7356</v>
      </c>
      <c r="B2163" s="7" t="s">
        <v>7357</v>
      </c>
    </row>
    <row r="2164" spans="1:2">
      <c r="A2164" s="7" t="s">
        <v>7358</v>
      </c>
      <c r="B2164" s="7" t="s">
        <v>7359</v>
      </c>
    </row>
    <row r="2165" spans="1:2">
      <c r="A2165" s="7" t="s">
        <v>7360</v>
      </c>
      <c r="B2165" s="7" t="s">
        <v>5848</v>
      </c>
    </row>
    <row r="2166" spans="1:2">
      <c r="A2166" s="7" t="s">
        <v>7361</v>
      </c>
      <c r="B2166" s="7" t="s">
        <v>7362</v>
      </c>
    </row>
    <row r="2167" spans="1:2">
      <c r="A2167" s="7" t="s">
        <v>7363</v>
      </c>
      <c r="B2167" s="7" t="s">
        <v>7364</v>
      </c>
    </row>
    <row r="2168" spans="1:2">
      <c r="A2168" s="7" t="s">
        <v>7365</v>
      </c>
      <c r="B2168" s="7" t="s">
        <v>7366</v>
      </c>
    </row>
    <row r="2169" spans="1:2">
      <c r="A2169" s="7" t="s">
        <v>7367</v>
      </c>
      <c r="B2169" s="7" t="s">
        <v>7368</v>
      </c>
    </row>
    <row r="2170" spans="1:2">
      <c r="A2170" s="7" t="s">
        <v>7369</v>
      </c>
      <c r="B2170" s="7" t="s">
        <v>7370</v>
      </c>
    </row>
    <row r="2171" spans="1:2">
      <c r="A2171" s="7" t="s">
        <v>7371</v>
      </c>
      <c r="B2171" s="7" t="s">
        <v>7372</v>
      </c>
    </row>
    <row r="2172" spans="1:2">
      <c r="A2172" s="7" t="s">
        <v>7373</v>
      </c>
      <c r="B2172" s="7" t="s">
        <v>7374</v>
      </c>
    </row>
    <row r="2173" spans="1:2">
      <c r="A2173" s="7" t="s">
        <v>7375</v>
      </c>
      <c r="B2173" s="7" t="s">
        <v>3331</v>
      </c>
    </row>
    <row r="2174" spans="1:2">
      <c r="A2174" s="7" t="s">
        <v>7376</v>
      </c>
      <c r="B2174" s="7" t="s">
        <v>7377</v>
      </c>
    </row>
    <row r="2175" spans="1:2">
      <c r="A2175" s="7" t="s">
        <v>7378</v>
      </c>
      <c r="B2175" s="7" t="s">
        <v>7379</v>
      </c>
    </row>
    <row r="2176" spans="1:2">
      <c r="A2176" s="7" t="s">
        <v>7380</v>
      </c>
      <c r="B2176" s="7" t="s">
        <v>7381</v>
      </c>
    </row>
    <row r="2177" spans="1:2">
      <c r="A2177" s="7" t="s">
        <v>7382</v>
      </c>
      <c r="B2177" s="7" t="s">
        <v>7383</v>
      </c>
    </row>
    <row r="2178" spans="1:2">
      <c r="A2178" s="7" t="s">
        <v>7384</v>
      </c>
      <c r="B2178" s="7" t="s">
        <v>7385</v>
      </c>
    </row>
    <row r="2179" spans="1:2">
      <c r="A2179" s="7" t="s">
        <v>7386</v>
      </c>
      <c r="B2179" s="7" t="s">
        <v>7387</v>
      </c>
    </row>
    <row r="2180" spans="1:2">
      <c r="A2180" s="7" t="s">
        <v>7388</v>
      </c>
      <c r="B2180" s="7" t="s">
        <v>7389</v>
      </c>
    </row>
    <row r="2181" spans="1:2">
      <c r="A2181" s="7" t="s">
        <v>7390</v>
      </c>
      <c r="B2181" s="7" t="s">
        <v>5320</v>
      </c>
    </row>
    <row r="2182" spans="1:2">
      <c r="A2182" s="7" t="s">
        <v>7391</v>
      </c>
      <c r="B2182" s="7" t="s">
        <v>7392</v>
      </c>
    </row>
    <row r="2183" spans="1:2">
      <c r="A2183" s="7" t="s">
        <v>7393</v>
      </c>
      <c r="B2183" s="7" t="s">
        <v>7394</v>
      </c>
    </row>
    <row r="2184" spans="1:2">
      <c r="A2184" s="7" t="s">
        <v>7395</v>
      </c>
      <c r="B2184" s="7" t="s">
        <v>7396</v>
      </c>
    </row>
    <row r="2185" spans="1:2">
      <c r="A2185" s="7" t="s">
        <v>7397</v>
      </c>
      <c r="B2185" s="7" t="s">
        <v>7398</v>
      </c>
    </row>
    <row r="2186" spans="1:2">
      <c r="A2186" s="7" t="s">
        <v>7399</v>
      </c>
      <c r="B2186" s="7" t="s">
        <v>7400</v>
      </c>
    </row>
    <row r="2187" spans="1:2">
      <c r="A2187" s="7" t="s">
        <v>7401</v>
      </c>
      <c r="B2187" s="7" t="s">
        <v>3903</v>
      </c>
    </row>
    <row r="2188" spans="1:2">
      <c r="A2188" s="7" t="s">
        <v>7402</v>
      </c>
      <c r="B2188" s="7" t="s">
        <v>7403</v>
      </c>
    </row>
    <row r="2189" spans="1:2">
      <c r="A2189" s="7" t="s">
        <v>7404</v>
      </c>
      <c r="B2189" s="7" t="s">
        <v>7405</v>
      </c>
    </row>
    <row r="2190" spans="1:2">
      <c r="A2190" s="7" t="s">
        <v>7406</v>
      </c>
      <c r="B2190" s="7" t="s">
        <v>7407</v>
      </c>
    </row>
    <row r="2191" spans="1:2">
      <c r="A2191" s="7" t="s">
        <v>7408</v>
      </c>
      <c r="B2191" s="7" t="s">
        <v>6460</v>
      </c>
    </row>
    <row r="2192" spans="1:2">
      <c r="A2192" s="7" t="s">
        <v>7409</v>
      </c>
      <c r="B2192" s="7" t="s">
        <v>7410</v>
      </c>
    </row>
    <row r="2193" spans="1:2">
      <c r="A2193" s="7" t="s">
        <v>7411</v>
      </c>
      <c r="B2193" s="7" t="s">
        <v>7412</v>
      </c>
    </row>
    <row r="2194" spans="1:2">
      <c r="A2194" s="7" t="s">
        <v>7413</v>
      </c>
      <c r="B2194" s="7" t="s">
        <v>4582</v>
      </c>
    </row>
    <row r="2195" spans="1:2">
      <c r="A2195" s="7" t="s">
        <v>7414</v>
      </c>
      <c r="B2195" s="7" t="s">
        <v>7415</v>
      </c>
    </row>
    <row r="2196" spans="1:2">
      <c r="A2196" s="7" t="s">
        <v>7416</v>
      </c>
      <c r="B2196" s="7" t="s">
        <v>7417</v>
      </c>
    </row>
    <row r="2197" spans="1:2">
      <c r="A2197" s="7" t="s">
        <v>7418</v>
      </c>
      <c r="B2197" s="7" t="s">
        <v>7419</v>
      </c>
    </row>
    <row r="2198" spans="1:2">
      <c r="A2198" s="7" t="s">
        <v>7420</v>
      </c>
      <c r="B2198" s="7" t="s">
        <v>7421</v>
      </c>
    </row>
    <row r="2199" spans="1:2">
      <c r="A2199" s="7" t="s">
        <v>7422</v>
      </c>
      <c r="B2199" s="7" t="s">
        <v>7423</v>
      </c>
    </row>
    <row r="2200" spans="1:2">
      <c r="A2200" s="7" t="s">
        <v>7424</v>
      </c>
      <c r="B2200" s="7" t="s">
        <v>7425</v>
      </c>
    </row>
    <row r="2201" spans="1:2">
      <c r="A2201" s="7" t="s">
        <v>7426</v>
      </c>
      <c r="B2201" s="7" t="s">
        <v>7427</v>
      </c>
    </row>
    <row r="2202" spans="1:2">
      <c r="A2202" s="7" t="s">
        <v>7428</v>
      </c>
      <c r="B2202" s="7" t="s">
        <v>7163</v>
      </c>
    </row>
    <row r="2203" spans="1:2">
      <c r="A2203" s="7" t="s">
        <v>7429</v>
      </c>
      <c r="B2203" s="7" t="s">
        <v>7430</v>
      </c>
    </row>
    <row r="2204" spans="1:2">
      <c r="A2204" s="7" t="s">
        <v>7431</v>
      </c>
      <c r="B2204" s="7" t="s">
        <v>7432</v>
      </c>
    </row>
    <row r="2205" spans="1:2">
      <c r="A2205" s="7" t="s">
        <v>7433</v>
      </c>
      <c r="B2205" s="7" t="s">
        <v>3253</v>
      </c>
    </row>
    <row r="2206" spans="1:2">
      <c r="A2206" s="7" t="s">
        <v>7434</v>
      </c>
      <c r="B2206" s="7" t="s">
        <v>7435</v>
      </c>
    </row>
    <row r="2207" spans="1:2">
      <c r="A2207" s="7" t="s">
        <v>7436</v>
      </c>
      <c r="B2207" s="7" t="s">
        <v>7437</v>
      </c>
    </row>
    <row r="2208" spans="1:2">
      <c r="A2208" s="7" t="s">
        <v>7438</v>
      </c>
      <c r="B2208" s="7" t="s">
        <v>6032</v>
      </c>
    </row>
    <row r="2209" spans="1:2">
      <c r="A2209" s="7" t="s">
        <v>7439</v>
      </c>
      <c r="B2209" s="7" t="s">
        <v>7440</v>
      </c>
    </row>
    <row r="2210" spans="1:2">
      <c r="A2210" s="7" t="s">
        <v>7441</v>
      </c>
      <c r="B2210" s="7" t="s">
        <v>7442</v>
      </c>
    </row>
    <row r="2211" spans="1:2">
      <c r="A2211" s="7" t="s">
        <v>7443</v>
      </c>
      <c r="B2211" s="7" t="s">
        <v>7444</v>
      </c>
    </row>
    <row r="2212" spans="1:2">
      <c r="A2212" s="7" t="s">
        <v>7445</v>
      </c>
      <c r="B2212" s="7" t="s">
        <v>7446</v>
      </c>
    </row>
    <row r="2213" spans="1:2">
      <c r="A2213" s="7" t="s">
        <v>7447</v>
      </c>
      <c r="B2213" s="7" t="s">
        <v>7448</v>
      </c>
    </row>
    <row r="2214" spans="1:2">
      <c r="A2214" s="7" t="s">
        <v>7449</v>
      </c>
      <c r="B2214" s="7" t="s">
        <v>3893</v>
      </c>
    </row>
    <row r="2215" spans="1:2">
      <c r="A2215" s="7" t="s">
        <v>7450</v>
      </c>
      <c r="B2215" s="7" t="s">
        <v>7451</v>
      </c>
    </row>
    <row r="2216" spans="1:2">
      <c r="A2216" s="7" t="s">
        <v>7452</v>
      </c>
      <c r="B2216" s="7" t="s">
        <v>7453</v>
      </c>
    </row>
    <row r="2217" spans="1:2">
      <c r="A2217" s="7" t="s">
        <v>7454</v>
      </c>
      <c r="B2217" s="7" t="s">
        <v>3401</v>
      </c>
    </row>
    <row r="2218" spans="1:2">
      <c r="A2218" s="7" t="s">
        <v>7455</v>
      </c>
      <c r="B2218" s="7" t="s">
        <v>4429</v>
      </c>
    </row>
    <row r="2219" spans="1:2">
      <c r="A2219" s="7" t="s">
        <v>7456</v>
      </c>
      <c r="B2219" s="7" t="s">
        <v>7457</v>
      </c>
    </row>
    <row r="2220" spans="1:2">
      <c r="A2220" s="7" t="s">
        <v>7458</v>
      </c>
      <c r="B2220" s="7" t="s">
        <v>7459</v>
      </c>
    </row>
    <row r="2221" spans="1:2">
      <c r="A2221" s="7" t="s">
        <v>7460</v>
      </c>
      <c r="B2221" s="7" t="s">
        <v>7461</v>
      </c>
    </row>
    <row r="2222" spans="1:2">
      <c r="A2222" s="7" t="s">
        <v>7462</v>
      </c>
      <c r="B2222" s="7" t="s">
        <v>7463</v>
      </c>
    </row>
    <row r="2223" spans="1:2">
      <c r="A2223" s="7" t="s">
        <v>7464</v>
      </c>
      <c r="B2223" s="7" t="s">
        <v>7465</v>
      </c>
    </row>
    <row r="2224" spans="1:2">
      <c r="A2224" s="7" t="s">
        <v>7466</v>
      </c>
      <c r="B2224" s="7" t="s">
        <v>7467</v>
      </c>
    </row>
    <row r="2225" spans="1:2">
      <c r="A2225" s="7" t="s">
        <v>7468</v>
      </c>
      <c r="B2225" s="7" t="s">
        <v>7469</v>
      </c>
    </row>
    <row r="2226" spans="1:2">
      <c r="A2226" s="7" t="s">
        <v>7470</v>
      </c>
      <c r="B2226" s="7" t="s">
        <v>7471</v>
      </c>
    </row>
    <row r="2227" spans="1:2">
      <c r="A2227" s="7" t="s">
        <v>7472</v>
      </c>
      <c r="B2227" s="7" t="s">
        <v>7473</v>
      </c>
    </row>
    <row r="2228" spans="1:2">
      <c r="A2228" s="7" t="s">
        <v>7474</v>
      </c>
      <c r="B2228" s="7" t="s">
        <v>7210</v>
      </c>
    </row>
    <row r="2229" spans="1:2">
      <c r="A2229" s="7" t="s">
        <v>7475</v>
      </c>
      <c r="B2229" s="7" t="s">
        <v>7476</v>
      </c>
    </row>
    <row r="2230" spans="1:2">
      <c r="A2230" s="7" t="s">
        <v>7477</v>
      </c>
      <c r="B2230" s="7" t="s">
        <v>7478</v>
      </c>
    </row>
    <row r="2231" spans="1:2">
      <c r="A2231" s="7" t="s">
        <v>7479</v>
      </c>
      <c r="B2231" s="7" t="s">
        <v>7480</v>
      </c>
    </row>
    <row r="2232" spans="1:2">
      <c r="A2232" s="7" t="s">
        <v>7481</v>
      </c>
      <c r="B2232" s="7" t="s">
        <v>6511</v>
      </c>
    </row>
    <row r="2233" spans="1:2">
      <c r="A2233" s="7" t="s">
        <v>7482</v>
      </c>
      <c r="B2233" s="7" t="s">
        <v>7483</v>
      </c>
    </row>
    <row r="2234" spans="1:2">
      <c r="A2234" s="7" t="s">
        <v>7484</v>
      </c>
      <c r="B2234" s="7" t="s">
        <v>7485</v>
      </c>
    </row>
    <row r="2235" spans="1:2">
      <c r="A2235" s="7" t="s">
        <v>7486</v>
      </c>
      <c r="B2235" s="7" t="s">
        <v>7487</v>
      </c>
    </row>
    <row r="2236" spans="1:2">
      <c r="A2236" s="7" t="s">
        <v>7488</v>
      </c>
      <c r="B2236" s="7" t="s">
        <v>7489</v>
      </c>
    </row>
    <row r="2237" spans="1:2">
      <c r="A2237" s="7" t="s">
        <v>7490</v>
      </c>
      <c r="B2237" s="7" t="s">
        <v>7491</v>
      </c>
    </row>
    <row r="2238" spans="1:2">
      <c r="A2238" s="7" t="s">
        <v>7492</v>
      </c>
      <c r="B2238" s="7" t="s">
        <v>5034</v>
      </c>
    </row>
    <row r="2239" spans="1:2">
      <c r="A2239" s="7" t="s">
        <v>7493</v>
      </c>
      <c r="B2239" s="7" t="s">
        <v>7494</v>
      </c>
    </row>
    <row r="2240" spans="1:2">
      <c r="A2240" s="7" t="s">
        <v>7495</v>
      </c>
      <c r="B2240" s="7" t="s">
        <v>4415</v>
      </c>
    </row>
    <row r="2241" spans="1:2">
      <c r="A2241" s="7" t="s">
        <v>7496</v>
      </c>
      <c r="B2241" s="7" t="s">
        <v>7497</v>
      </c>
    </row>
    <row r="2242" spans="1:2">
      <c r="A2242" s="7" t="s">
        <v>7498</v>
      </c>
      <c r="B2242" s="7" t="s">
        <v>7499</v>
      </c>
    </row>
    <row r="2243" spans="1:2">
      <c r="A2243" s="7" t="s">
        <v>7500</v>
      </c>
      <c r="B2243" s="7" t="s">
        <v>7501</v>
      </c>
    </row>
    <row r="2244" spans="1:2">
      <c r="A2244" s="7" t="s">
        <v>7502</v>
      </c>
      <c r="B2244" s="7" t="s">
        <v>7503</v>
      </c>
    </row>
    <row r="2245" spans="1:2">
      <c r="A2245" s="7" t="s">
        <v>7504</v>
      </c>
      <c r="B2245" s="7" t="s">
        <v>7505</v>
      </c>
    </row>
    <row r="2246" spans="1:2">
      <c r="A2246" s="7" t="s">
        <v>7506</v>
      </c>
      <c r="B2246" s="7" t="s">
        <v>7507</v>
      </c>
    </row>
    <row r="2247" spans="1:2">
      <c r="A2247" s="7" t="s">
        <v>7508</v>
      </c>
      <c r="B2247" s="7" t="s">
        <v>7509</v>
      </c>
    </row>
    <row r="2248" spans="1:2">
      <c r="A2248" s="7" t="s">
        <v>7510</v>
      </c>
      <c r="B2248" s="7" t="s">
        <v>7511</v>
      </c>
    </row>
    <row r="2249" spans="1:2">
      <c r="A2249" s="7" t="s">
        <v>7512</v>
      </c>
      <c r="B2249" s="7" t="s">
        <v>7513</v>
      </c>
    </row>
    <row r="2250" spans="1:2">
      <c r="A2250" s="7" t="s">
        <v>7514</v>
      </c>
      <c r="B2250" s="7" t="s">
        <v>7515</v>
      </c>
    </row>
    <row r="2251" spans="1:2">
      <c r="A2251" s="7" t="s">
        <v>7516</v>
      </c>
      <c r="B2251" s="7" t="s">
        <v>7517</v>
      </c>
    </row>
    <row r="2252" spans="1:2">
      <c r="A2252" s="7" t="s">
        <v>7518</v>
      </c>
      <c r="B2252" s="7" t="s">
        <v>7519</v>
      </c>
    </row>
    <row r="2253" spans="1:2">
      <c r="A2253" s="7" t="s">
        <v>7520</v>
      </c>
      <c r="B2253" s="7" t="s">
        <v>7521</v>
      </c>
    </row>
    <row r="2254" spans="1:2">
      <c r="A2254" s="7" t="s">
        <v>7522</v>
      </c>
      <c r="B2254" s="7" t="s">
        <v>7523</v>
      </c>
    </row>
    <row r="2255" spans="1:2">
      <c r="A2255" s="7" t="s">
        <v>7524</v>
      </c>
      <c r="B2255" s="7" t="s">
        <v>7525</v>
      </c>
    </row>
    <row r="2256" spans="1:2">
      <c r="A2256" s="7" t="s">
        <v>7526</v>
      </c>
      <c r="B2256" s="7" t="s">
        <v>7527</v>
      </c>
    </row>
    <row r="2257" spans="1:2">
      <c r="A2257" s="7" t="s">
        <v>7528</v>
      </c>
      <c r="B2257" s="7" t="s">
        <v>7529</v>
      </c>
    </row>
    <row r="2258" spans="1:2">
      <c r="A2258" s="7" t="s">
        <v>7530</v>
      </c>
      <c r="B2258" s="7" t="s">
        <v>7531</v>
      </c>
    </row>
    <row r="2259" spans="1:2">
      <c r="A2259" s="7" t="s">
        <v>7532</v>
      </c>
      <c r="B2259" s="7" t="s">
        <v>7533</v>
      </c>
    </row>
    <row r="2260" spans="1:2">
      <c r="A2260" s="7" t="s">
        <v>7534</v>
      </c>
      <c r="B2260" s="7" t="s">
        <v>7535</v>
      </c>
    </row>
    <row r="2261" spans="1:2">
      <c r="A2261" s="7" t="s">
        <v>7536</v>
      </c>
      <c r="B2261" s="7" t="s">
        <v>3203</v>
      </c>
    </row>
    <row r="2262" spans="1:2">
      <c r="A2262" s="7" t="s">
        <v>7537</v>
      </c>
      <c r="B2262" s="7" t="s">
        <v>3535</v>
      </c>
    </row>
    <row r="2263" spans="1:2">
      <c r="A2263" s="7" t="s">
        <v>7538</v>
      </c>
      <c r="B2263" s="7" t="s">
        <v>6460</v>
      </c>
    </row>
    <row r="2264" spans="1:2">
      <c r="A2264" s="7" t="s">
        <v>7539</v>
      </c>
      <c r="B2264" s="7" t="s">
        <v>7540</v>
      </c>
    </row>
    <row r="2265" spans="1:2">
      <c r="A2265" s="7" t="s">
        <v>7541</v>
      </c>
      <c r="B2265" s="7" t="s">
        <v>7542</v>
      </c>
    </row>
    <row r="2266" spans="1:2">
      <c r="A2266" s="7" t="s">
        <v>7543</v>
      </c>
      <c r="B2266" s="7" t="s">
        <v>4074</v>
      </c>
    </row>
    <row r="2267" spans="1:2">
      <c r="A2267" s="7" t="s">
        <v>7544</v>
      </c>
      <c r="B2267" s="7" t="s">
        <v>7545</v>
      </c>
    </row>
    <row r="2268" spans="1:2">
      <c r="A2268" s="7" t="s">
        <v>7546</v>
      </c>
      <c r="B2268" s="7" t="s">
        <v>7547</v>
      </c>
    </row>
    <row r="2269" spans="1:2">
      <c r="A2269" s="7" t="s">
        <v>7548</v>
      </c>
      <c r="B2269" s="7" t="s">
        <v>3401</v>
      </c>
    </row>
    <row r="2270" spans="1:2">
      <c r="A2270" s="7" t="s">
        <v>7549</v>
      </c>
      <c r="B2270" s="7" t="s">
        <v>7550</v>
      </c>
    </row>
    <row r="2271" spans="1:2">
      <c r="A2271" s="7" t="s">
        <v>7551</v>
      </c>
      <c r="B2271" s="7" t="s">
        <v>7552</v>
      </c>
    </row>
    <row r="2272" spans="1:2">
      <c r="A2272" s="7" t="s">
        <v>7553</v>
      </c>
      <c r="B2272" s="7" t="s">
        <v>7340</v>
      </c>
    </row>
    <row r="2273" spans="1:2">
      <c r="A2273" s="7" t="s">
        <v>7554</v>
      </c>
      <c r="B2273" s="7" t="s">
        <v>3207</v>
      </c>
    </row>
    <row r="2274" spans="1:2">
      <c r="A2274" s="7" t="s">
        <v>7555</v>
      </c>
      <c r="B2274" s="7" t="s">
        <v>7556</v>
      </c>
    </row>
    <row r="2275" spans="1:2">
      <c r="A2275" s="7" t="s">
        <v>7557</v>
      </c>
      <c r="B2275" s="7" t="s">
        <v>7558</v>
      </c>
    </row>
    <row r="2276" spans="1:2">
      <c r="A2276" s="7" t="s">
        <v>7559</v>
      </c>
      <c r="B2276" s="7" t="s">
        <v>7560</v>
      </c>
    </row>
    <row r="2277" spans="1:2">
      <c r="A2277" s="7" t="s">
        <v>7561</v>
      </c>
      <c r="B2277" s="7" t="s">
        <v>7562</v>
      </c>
    </row>
    <row r="2278" spans="1:2">
      <c r="A2278" s="7" t="s">
        <v>7563</v>
      </c>
      <c r="B2278" s="7" t="s">
        <v>7564</v>
      </c>
    </row>
    <row r="2279" spans="1:2">
      <c r="A2279" s="7" t="s">
        <v>7565</v>
      </c>
      <c r="B2279" s="7" t="s">
        <v>7566</v>
      </c>
    </row>
    <row r="2280" spans="1:2">
      <c r="A2280" s="7" t="s">
        <v>7567</v>
      </c>
      <c r="B2280" s="7" t="s">
        <v>7568</v>
      </c>
    </row>
    <row r="2281" spans="1:2">
      <c r="A2281" s="7" t="s">
        <v>7569</v>
      </c>
      <c r="B2281" s="7" t="s">
        <v>7570</v>
      </c>
    </row>
    <row r="2282" spans="1:2">
      <c r="A2282" s="7" t="s">
        <v>7571</v>
      </c>
      <c r="B2282" s="7" t="s">
        <v>7572</v>
      </c>
    </row>
    <row r="2283" spans="1:2">
      <c r="A2283" s="7" t="s">
        <v>7573</v>
      </c>
      <c r="B2283" s="7" t="s">
        <v>6273</v>
      </c>
    </row>
    <row r="2284" spans="1:2">
      <c r="A2284" s="7" t="s">
        <v>7574</v>
      </c>
      <c r="B2284" s="7" t="s">
        <v>7575</v>
      </c>
    </row>
    <row r="2285" spans="1:2">
      <c r="A2285" s="7" t="s">
        <v>7576</v>
      </c>
      <c r="B2285" s="7" t="s">
        <v>7577</v>
      </c>
    </row>
    <row r="2286" spans="1:2">
      <c r="A2286" s="7" t="s">
        <v>7578</v>
      </c>
      <c r="B2286" s="7" t="s">
        <v>3881</v>
      </c>
    </row>
    <row r="2287" spans="1:2">
      <c r="A2287" s="7" t="s">
        <v>7579</v>
      </c>
      <c r="B2287" s="7" t="s">
        <v>7580</v>
      </c>
    </row>
    <row r="2288" spans="1:2">
      <c r="A2288" s="7" t="s">
        <v>7581</v>
      </c>
      <c r="B2288" s="7" t="s">
        <v>7582</v>
      </c>
    </row>
    <row r="2289" spans="1:2">
      <c r="A2289" s="7" t="s">
        <v>7583</v>
      </c>
      <c r="B2289" s="7" t="s">
        <v>7584</v>
      </c>
    </row>
    <row r="2290" spans="1:2">
      <c r="A2290" s="7" t="s">
        <v>7585</v>
      </c>
      <c r="B2290" s="7" t="s">
        <v>7586</v>
      </c>
    </row>
    <row r="2291" spans="1:2">
      <c r="A2291" s="7" t="s">
        <v>7587</v>
      </c>
      <c r="B2291" s="7" t="s">
        <v>6603</v>
      </c>
    </row>
    <row r="2292" spans="1:2">
      <c r="A2292" s="7" t="s">
        <v>7588</v>
      </c>
      <c r="B2292" s="7" t="s">
        <v>7589</v>
      </c>
    </row>
    <row r="2293" spans="1:2">
      <c r="A2293" s="7" t="s">
        <v>7590</v>
      </c>
      <c r="B2293" s="7" t="s">
        <v>7591</v>
      </c>
    </row>
    <row r="2294" spans="1:2">
      <c r="A2294" s="7" t="s">
        <v>7592</v>
      </c>
      <c r="B2294" s="7" t="s">
        <v>7593</v>
      </c>
    </row>
    <row r="2295" spans="1:2">
      <c r="A2295" s="7" t="s">
        <v>7594</v>
      </c>
      <c r="B2295" s="7" t="s">
        <v>7595</v>
      </c>
    </row>
    <row r="2296" spans="1:2">
      <c r="A2296" s="7" t="s">
        <v>7596</v>
      </c>
      <c r="B2296" s="7" t="s">
        <v>7597</v>
      </c>
    </row>
    <row r="2297" spans="1:2">
      <c r="A2297" s="7" t="s">
        <v>7598</v>
      </c>
      <c r="B2297" s="7" t="s">
        <v>7599</v>
      </c>
    </row>
    <row r="2298" spans="1:2">
      <c r="A2298" s="7" t="s">
        <v>7600</v>
      </c>
      <c r="B2298" s="7" t="s">
        <v>6363</v>
      </c>
    </row>
    <row r="2299" spans="1:2">
      <c r="A2299" s="7" t="s">
        <v>7601</v>
      </c>
      <c r="B2299" s="7" t="s">
        <v>7602</v>
      </c>
    </row>
    <row r="2300" spans="1:2">
      <c r="A2300" s="7" t="s">
        <v>7603</v>
      </c>
      <c r="B2300" s="7" t="s">
        <v>6460</v>
      </c>
    </row>
    <row r="2301" spans="1:2">
      <c r="A2301" s="7" t="s">
        <v>7604</v>
      </c>
      <c r="B2301" s="7" t="s">
        <v>7340</v>
      </c>
    </row>
    <row r="2302" spans="1:2">
      <c r="A2302" s="7" t="s">
        <v>7605</v>
      </c>
      <c r="B2302" s="7" t="s">
        <v>4173</v>
      </c>
    </row>
    <row r="2303" spans="1:2">
      <c r="A2303" s="7" t="s">
        <v>7606</v>
      </c>
      <c r="B2303" s="7" t="s">
        <v>4050</v>
      </c>
    </row>
    <row r="2304" spans="1:2">
      <c r="A2304" s="7" t="s">
        <v>7607</v>
      </c>
      <c r="B2304" s="7" t="s">
        <v>7608</v>
      </c>
    </row>
    <row r="2305" spans="1:2">
      <c r="A2305" s="7" t="s">
        <v>7609</v>
      </c>
      <c r="B2305" s="7" t="s">
        <v>7610</v>
      </c>
    </row>
    <row r="2306" spans="1:2">
      <c r="A2306" s="7" t="s">
        <v>7611</v>
      </c>
      <c r="B2306" s="7" t="s">
        <v>7612</v>
      </c>
    </row>
    <row r="2307" spans="1:2">
      <c r="A2307" s="7" t="s">
        <v>7613</v>
      </c>
      <c r="B2307" s="7" t="s">
        <v>7614</v>
      </c>
    </row>
    <row r="2308" spans="1:2">
      <c r="A2308" s="7" t="s">
        <v>7615</v>
      </c>
      <c r="B2308" s="7" t="s">
        <v>7616</v>
      </c>
    </row>
    <row r="2309" spans="1:2">
      <c r="A2309" s="7" t="s">
        <v>7617</v>
      </c>
      <c r="B2309" s="7" t="s">
        <v>7618</v>
      </c>
    </row>
    <row r="2310" spans="1:2">
      <c r="A2310" s="7" t="s">
        <v>7619</v>
      </c>
      <c r="B2310" s="7" t="s">
        <v>7620</v>
      </c>
    </row>
    <row r="2311" spans="1:2">
      <c r="A2311" s="7" t="s">
        <v>7621</v>
      </c>
      <c r="B2311" s="7" t="s">
        <v>7622</v>
      </c>
    </row>
    <row r="2312" spans="1:2">
      <c r="A2312" s="7" t="s">
        <v>7623</v>
      </c>
      <c r="B2312" s="7" t="s">
        <v>7624</v>
      </c>
    </row>
    <row r="2313" spans="1:2">
      <c r="A2313" s="7" t="s">
        <v>7625</v>
      </c>
      <c r="B2313" s="7" t="s">
        <v>7626</v>
      </c>
    </row>
    <row r="2314" spans="1:2">
      <c r="A2314" s="7" t="s">
        <v>7627</v>
      </c>
      <c r="B2314" s="7" t="s">
        <v>7628</v>
      </c>
    </row>
    <row r="2315" spans="1:2">
      <c r="A2315" s="7" t="s">
        <v>7629</v>
      </c>
      <c r="B2315" s="7" t="s">
        <v>7630</v>
      </c>
    </row>
    <row r="2316" spans="1:2">
      <c r="A2316" s="7" t="s">
        <v>7631</v>
      </c>
      <c r="B2316" s="7" t="s">
        <v>7632</v>
      </c>
    </row>
    <row r="2317" spans="1:2">
      <c r="A2317" s="7" t="s">
        <v>7633</v>
      </c>
      <c r="B2317" s="7" t="s">
        <v>7634</v>
      </c>
    </row>
    <row r="2318" spans="1:2">
      <c r="A2318" s="7" t="s">
        <v>7635</v>
      </c>
      <c r="B2318" s="7" t="s">
        <v>7636</v>
      </c>
    </row>
    <row r="2319" spans="1:2">
      <c r="A2319" s="7" t="s">
        <v>7637</v>
      </c>
      <c r="B2319" s="7" t="s">
        <v>7638</v>
      </c>
    </row>
    <row r="2320" spans="1:2">
      <c r="A2320" s="7" t="s">
        <v>7639</v>
      </c>
      <c r="B2320" s="7" t="s">
        <v>7640</v>
      </c>
    </row>
    <row r="2321" spans="1:2">
      <c r="A2321" s="7" t="s">
        <v>7641</v>
      </c>
      <c r="B2321" s="7" t="s">
        <v>7642</v>
      </c>
    </row>
    <row r="2322" spans="1:2">
      <c r="A2322" s="7" t="s">
        <v>7643</v>
      </c>
      <c r="B2322" s="7" t="s">
        <v>7644</v>
      </c>
    </row>
    <row r="2323" spans="1:2">
      <c r="A2323" s="7" t="s">
        <v>7645</v>
      </c>
      <c r="B2323" s="7" t="s">
        <v>7646</v>
      </c>
    </row>
    <row r="2324" spans="1:2">
      <c r="A2324" s="7" t="s">
        <v>7647</v>
      </c>
      <c r="B2324" s="7" t="s">
        <v>5417</v>
      </c>
    </row>
    <row r="2325" spans="1:2">
      <c r="A2325" s="7" t="s">
        <v>7648</v>
      </c>
      <c r="B2325" s="7" t="s">
        <v>7649</v>
      </c>
    </row>
    <row r="2326" spans="1:2">
      <c r="A2326" s="7" t="s">
        <v>7650</v>
      </c>
      <c r="B2326" s="7" t="s">
        <v>7651</v>
      </c>
    </row>
    <row r="2327" spans="1:2">
      <c r="A2327" s="7" t="s">
        <v>7652</v>
      </c>
      <c r="B2327" s="7" t="s">
        <v>7653</v>
      </c>
    </row>
    <row r="2328" spans="1:2">
      <c r="A2328" s="7" t="s">
        <v>7654</v>
      </c>
      <c r="B2328" s="7" t="s">
        <v>7655</v>
      </c>
    </row>
    <row r="2329" spans="1:2">
      <c r="A2329" s="7" t="s">
        <v>7656</v>
      </c>
      <c r="B2329" s="7" t="s">
        <v>7657</v>
      </c>
    </row>
    <row r="2330" spans="1:2">
      <c r="A2330" s="7" t="s">
        <v>7658</v>
      </c>
      <c r="B2330" s="7" t="s">
        <v>7659</v>
      </c>
    </row>
    <row r="2331" spans="1:2">
      <c r="A2331" s="7" t="s">
        <v>7660</v>
      </c>
      <c r="B2331" s="7" t="s">
        <v>7661</v>
      </c>
    </row>
    <row r="2332" spans="1:2">
      <c r="A2332" s="7" t="s">
        <v>7662</v>
      </c>
      <c r="B2332" s="7" t="s">
        <v>7663</v>
      </c>
    </row>
    <row r="2333" spans="1:2">
      <c r="A2333" s="7" t="s">
        <v>7664</v>
      </c>
      <c r="B2333" s="7" t="s">
        <v>7665</v>
      </c>
    </row>
    <row r="2334" spans="1:2">
      <c r="A2334" s="7" t="s">
        <v>7666</v>
      </c>
      <c r="B2334" s="7" t="s">
        <v>7667</v>
      </c>
    </row>
    <row r="2335" spans="1:2">
      <c r="A2335" s="7" t="s">
        <v>7668</v>
      </c>
      <c r="B2335" s="7" t="s">
        <v>7669</v>
      </c>
    </row>
    <row r="2336" spans="1:2">
      <c r="A2336" s="7" t="s">
        <v>7670</v>
      </c>
      <c r="B2336" s="7" t="s">
        <v>7671</v>
      </c>
    </row>
    <row r="2337" spans="1:2">
      <c r="A2337" s="7" t="s">
        <v>7672</v>
      </c>
      <c r="B2337" s="7" t="s">
        <v>6535</v>
      </c>
    </row>
    <row r="2338" spans="1:2">
      <c r="A2338" s="7" t="s">
        <v>7673</v>
      </c>
      <c r="B2338" s="7" t="s">
        <v>7674</v>
      </c>
    </row>
    <row r="2339" spans="1:2">
      <c r="A2339" s="7" t="s">
        <v>7675</v>
      </c>
      <c r="B2339" s="7" t="s">
        <v>7676</v>
      </c>
    </row>
    <row r="2340" spans="1:2">
      <c r="A2340" s="7" t="s">
        <v>7677</v>
      </c>
      <c r="B2340" s="7" t="s">
        <v>7678</v>
      </c>
    </row>
    <row r="2341" spans="1:2">
      <c r="A2341" s="7" t="s">
        <v>7679</v>
      </c>
      <c r="B2341" s="7" t="s">
        <v>7680</v>
      </c>
    </row>
    <row r="2342" spans="1:2">
      <c r="A2342" s="7" t="s">
        <v>7681</v>
      </c>
      <c r="B2342" s="7" t="s">
        <v>7682</v>
      </c>
    </row>
    <row r="2343" spans="1:2">
      <c r="A2343" s="7" t="s">
        <v>7683</v>
      </c>
      <c r="B2343" s="7" t="s">
        <v>7684</v>
      </c>
    </row>
    <row r="2344" spans="1:2">
      <c r="A2344" s="7" t="s">
        <v>7685</v>
      </c>
      <c r="B2344" s="7" t="s">
        <v>7686</v>
      </c>
    </row>
    <row r="2345" spans="1:2">
      <c r="A2345" s="7" t="s">
        <v>7687</v>
      </c>
      <c r="B2345" s="7" t="s">
        <v>7688</v>
      </c>
    </row>
    <row r="2346" spans="1:2">
      <c r="A2346" s="7" t="s">
        <v>7689</v>
      </c>
      <c r="B2346" s="7" t="s">
        <v>4814</v>
      </c>
    </row>
    <row r="2347" spans="1:2">
      <c r="A2347" s="7" t="s">
        <v>7690</v>
      </c>
      <c r="B2347" s="7" t="s">
        <v>7691</v>
      </c>
    </row>
    <row r="2348" spans="1:2">
      <c r="A2348" s="7" t="s">
        <v>7692</v>
      </c>
      <c r="B2348" s="7" t="s">
        <v>7693</v>
      </c>
    </row>
    <row r="2349" spans="1:2">
      <c r="A2349" s="7" t="s">
        <v>7694</v>
      </c>
      <c r="B2349" s="7" t="s">
        <v>7695</v>
      </c>
    </row>
    <row r="2350" spans="1:2">
      <c r="A2350" s="7" t="s">
        <v>7696</v>
      </c>
      <c r="B2350" s="7" t="s">
        <v>6964</v>
      </c>
    </row>
    <row r="2351" spans="1:2">
      <c r="A2351" s="7" t="s">
        <v>7697</v>
      </c>
      <c r="B2351" s="7" t="s">
        <v>7698</v>
      </c>
    </row>
    <row r="2352" spans="1:2">
      <c r="A2352" s="7" t="s">
        <v>7699</v>
      </c>
      <c r="B2352" s="7" t="s">
        <v>7700</v>
      </c>
    </row>
    <row r="2353" spans="1:2">
      <c r="A2353" s="7" t="s">
        <v>7701</v>
      </c>
      <c r="B2353" s="7" t="s">
        <v>7702</v>
      </c>
    </row>
    <row r="2354" spans="1:2">
      <c r="A2354" s="7" t="s">
        <v>7703</v>
      </c>
      <c r="B2354" s="7" t="s">
        <v>7704</v>
      </c>
    </row>
    <row r="2355" spans="1:2">
      <c r="A2355" s="7" t="s">
        <v>7705</v>
      </c>
      <c r="B2355" s="7" t="s">
        <v>4171</v>
      </c>
    </row>
    <row r="2356" spans="1:2">
      <c r="A2356" s="7" t="s">
        <v>7706</v>
      </c>
      <c r="B2356" s="7" t="s">
        <v>7707</v>
      </c>
    </row>
    <row r="2357" spans="1:2">
      <c r="A2357" s="7" t="s">
        <v>7708</v>
      </c>
      <c r="B2357" s="7" t="s">
        <v>7709</v>
      </c>
    </row>
    <row r="2358" spans="1:2">
      <c r="A2358" s="7" t="s">
        <v>7710</v>
      </c>
      <c r="B2358" s="7" t="s">
        <v>7711</v>
      </c>
    </row>
    <row r="2359" spans="1:2">
      <c r="A2359" s="7" t="s">
        <v>7712</v>
      </c>
      <c r="B2359" s="7" t="s">
        <v>7713</v>
      </c>
    </row>
    <row r="2360" spans="1:2">
      <c r="A2360" s="7" t="s">
        <v>7714</v>
      </c>
      <c r="B2360" s="7" t="s">
        <v>7715</v>
      </c>
    </row>
    <row r="2361" spans="1:2">
      <c r="A2361" s="7" t="s">
        <v>7716</v>
      </c>
      <c r="B2361" s="7" t="s">
        <v>7717</v>
      </c>
    </row>
    <row r="2362" spans="1:2">
      <c r="A2362" s="7" t="s">
        <v>7718</v>
      </c>
      <c r="B2362" s="7" t="s">
        <v>7719</v>
      </c>
    </row>
    <row r="2363" spans="1:2">
      <c r="A2363" s="7" t="s">
        <v>7720</v>
      </c>
      <c r="B2363" s="7" t="s">
        <v>7721</v>
      </c>
    </row>
    <row r="2364" spans="1:2">
      <c r="A2364" s="7" t="s">
        <v>7722</v>
      </c>
      <c r="B2364" s="7" t="s">
        <v>7723</v>
      </c>
    </row>
    <row r="2365" spans="1:2">
      <c r="A2365" s="7" t="s">
        <v>7724</v>
      </c>
      <c r="B2365" s="7" t="s">
        <v>7725</v>
      </c>
    </row>
    <row r="2366" spans="1:2">
      <c r="A2366" s="7" t="s">
        <v>7726</v>
      </c>
      <c r="B2366" s="7" t="s">
        <v>7727</v>
      </c>
    </row>
    <row r="2367" spans="1:2">
      <c r="A2367" s="7" t="s">
        <v>7728</v>
      </c>
      <c r="B2367" s="7" t="s">
        <v>7729</v>
      </c>
    </row>
    <row r="2368" spans="1:2">
      <c r="A2368" s="7" t="s">
        <v>7730</v>
      </c>
      <c r="B2368" s="7" t="s">
        <v>7731</v>
      </c>
    </row>
    <row r="2369" spans="1:2">
      <c r="A2369" s="7" t="s">
        <v>7732</v>
      </c>
      <c r="B2369" s="7" t="s">
        <v>7733</v>
      </c>
    </row>
    <row r="2370" spans="1:2">
      <c r="A2370" s="7" t="s">
        <v>7734</v>
      </c>
      <c r="B2370" s="7" t="s">
        <v>7735</v>
      </c>
    </row>
    <row r="2371" spans="1:2">
      <c r="A2371" s="7" t="s">
        <v>7736</v>
      </c>
      <c r="B2371" s="7" t="s">
        <v>7737</v>
      </c>
    </row>
    <row r="2372" spans="1:2">
      <c r="A2372" s="7" t="s">
        <v>7738</v>
      </c>
      <c r="B2372" s="7" t="s">
        <v>7739</v>
      </c>
    </row>
    <row r="2373" spans="1:2">
      <c r="A2373" s="7" t="s">
        <v>7740</v>
      </c>
      <c r="B2373" s="7" t="s">
        <v>7741</v>
      </c>
    </row>
    <row r="2374" spans="1:2">
      <c r="A2374" s="7" t="s">
        <v>7742</v>
      </c>
      <c r="B2374" s="7" t="s">
        <v>6675</v>
      </c>
    </row>
    <row r="2375" spans="1:2">
      <c r="A2375" s="7" t="s">
        <v>7743</v>
      </c>
      <c r="B2375" s="7" t="s">
        <v>3331</v>
      </c>
    </row>
    <row r="2376" spans="1:2">
      <c r="A2376" s="7" t="s">
        <v>7744</v>
      </c>
      <c r="B2376" s="7" t="s">
        <v>7745</v>
      </c>
    </row>
    <row r="2377" spans="1:2">
      <c r="A2377" s="7" t="s">
        <v>7746</v>
      </c>
      <c r="B2377" s="7" t="s">
        <v>5395</v>
      </c>
    </row>
    <row r="2378" spans="1:2">
      <c r="A2378" s="7" t="s">
        <v>7747</v>
      </c>
      <c r="B2378" s="7" t="s">
        <v>7748</v>
      </c>
    </row>
    <row r="2379" spans="1:2">
      <c r="A2379" s="7" t="s">
        <v>7749</v>
      </c>
      <c r="B2379" s="7" t="s">
        <v>7750</v>
      </c>
    </row>
    <row r="2380" spans="1:2">
      <c r="A2380" s="7" t="s">
        <v>7751</v>
      </c>
      <c r="B2380" s="7" t="s">
        <v>7752</v>
      </c>
    </row>
    <row r="2381" spans="1:2">
      <c r="A2381" s="7" t="s">
        <v>7753</v>
      </c>
      <c r="B2381" s="7" t="s">
        <v>7754</v>
      </c>
    </row>
    <row r="2382" spans="1:2">
      <c r="A2382" s="7" t="s">
        <v>7755</v>
      </c>
      <c r="B2382" s="7" t="s">
        <v>7756</v>
      </c>
    </row>
    <row r="2383" spans="1:2">
      <c r="A2383" s="7" t="s">
        <v>7757</v>
      </c>
      <c r="B2383" s="7" t="s">
        <v>7758</v>
      </c>
    </row>
    <row r="2384" spans="1:2">
      <c r="A2384" s="7" t="s">
        <v>7759</v>
      </c>
      <c r="B2384" s="7" t="s">
        <v>7760</v>
      </c>
    </row>
    <row r="2385" spans="1:2">
      <c r="A2385" s="7" t="s">
        <v>7761</v>
      </c>
      <c r="B2385" s="7" t="s">
        <v>7762</v>
      </c>
    </row>
    <row r="2386" spans="1:2">
      <c r="A2386" s="7" t="s">
        <v>7763</v>
      </c>
      <c r="B2386" s="7" t="s">
        <v>7163</v>
      </c>
    </row>
    <row r="2387" spans="1:2">
      <c r="A2387" s="7" t="s">
        <v>7764</v>
      </c>
      <c r="B2387" s="7" t="s">
        <v>7765</v>
      </c>
    </row>
    <row r="2388" spans="1:2">
      <c r="A2388" s="7" t="s">
        <v>7766</v>
      </c>
      <c r="B2388" s="7" t="s">
        <v>7767</v>
      </c>
    </row>
    <row r="2389" spans="1:2">
      <c r="A2389" s="7" t="s">
        <v>7768</v>
      </c>
      <c r="B2389" s="7" t="s">
        <v>7769</v>
      </c>
    </row>
    <row r="2390" spans="1:2">
      <c r="A2390" s="7" t="s">
        <v>7770</v>
      </c>
      <c r="B2390" s="7" t="s">
        <v>7771</v>
      </c>
    </row>
    <row r="2391" spans="1:2">
      <c r="A2391" s="7" t="s">
        <v>7772</v>
      </c>
      <c r="B2391" s="7" t="s">
        <v>7773</v>
      </c>
    </row>
    <row r="2392" spans="1:2">
      <c r="A2392" s="7" t="s">
        <v>7774</v>
      </c>
      <c r="B2392" s="7" t="s">
        <v>7775</v>
      </c>
    </row>
    <row r="2393" spans="1:2">
      <c r="A2393" s="7" t="s">
        <v>7776</v>
      </c>
      <c r="B2393" s="7" t="s">
        <v>7777</v>
      </c>
    </row>
    <row r="2394" spans="1:2">
      <c r="A2394" s="7" t="s">
        <v>7778</v>
      </c>
      <c r="B2394" s="7" t="s">
        <v>7779</v>
      </c>
    </row>
    <row r="2395" spans="1:2">
      <c r="A2395" s="7" t="s">
        <v>7780</v>
      </c>
      <c r="B2395" s="7" t="s">
        <v>7781</v>
      </c>
    </row>
    <row r="2396" spans="1:2">
      <c r="A2396" s="7" t="s">
        <v>7782</v>
      </c>
      <c r="B2396" s="7" t="s">
        <v>7783</v>
      </c>
    </row>
    <row r="2397" spans="1:2">
      <c r="A2397" s="7" t="s">
        <v>7784</v>
      </c>
      <c r="B2397" s="7" t="s">
        <v>7785</v>
      </c>
    </row>
    <row r="2398" spans="1:2">
      <c r="A2398" s="7" t="s">
        <v>7786</v>
      </c>
      <c r="B2398" s="7" t="s">
        <v>7787</v>
      </c>
    </row>
    <row r="2399" spans="1:2">
      <c r="A2399" s="7" t="s">
        <v>7788</v>
      </c>
      <c r="B2399" s="7" t="s">
        <v>7789</v>
      </c>
    </row>
    <row r="2400" spans="1:2">
      <c r="A2400" s="7" t="s">
        <v>7790</v>
      </c>
      <c r="B2400" s="7" t="s">
        <v>7791</v>
      </c>
    </row>
    <row r="2401" spans="1:2">
      <c r="A2401" s="7" t="s">
        <v>7792</v>
      </c>
      <c r="B2401" s="7" t="s">
        <v>7793</v>
      </c>
    </row>
    <row r="2402" spans="1:2">
      <c r="A2402" s="7" t="s">
        <v>7794</v>
      </c>
      <c r="B2402" s="7" t="s">
        <v>7795</v>
      </c>
    </row>
    <row r="2403" spans="1:2">
      <c r="A2403" s="7" t="s">
        <v>7796</v>
      </c>
      <c r="B2403" s="7" t="s">
        <v>7797</v>
      </c>
    </row>
    <row r="2404" spans="1:2">
      <c r="A2404" s="7" t="s">
        <v>7798</v>
      </c>
      <c r="B2404" s="7" t="s">
        <v>7799</v>
      </c>
    </row>
    <row r="2405" spans="1:2">
      <c r="A2405" s="7" t="s">
        <v>7800</v>
      </c>
      <c r="B2405" s="7" t="s">
        <v>7801</v>
      </c>
    </row>
    <row r="2406" spans="1:2">
      <c r="A2406" s="7" t="s">
        <v>7802</v>
      </c>
      <c r="B2406" s="7" t="s">
        <v>7803</v>
      </c>
    </row>
    <row r="2407" spans="1:2">
      <c r="A2407" s="7" t="s">
        <v>7804</v>
      </c>
      <c r="B2407" s="7" t="s">
        <v>7805</v>
      </c>
    </row>
    <row r="2408" spans="1:2">
      <c r="A2408" s="7" t="s">
        <v>7806</v>
      </c>
      <c r="B2408" s="7" t="s">
        <v>7807</v>
      </c>
    </row>
    <row r="2409" spans="1:2">
      <c r="A2409" s="7" t="s">
        <v>7808</v>
      </c>
      <c r="B2409" s="7" t="s">
        <v>4500</v>
      </c>
    </row>
    <row r="2410" spans="1:2">
      <c r="A2410" s="7" t="s">
        <v>7809</v>
      </c>
      <c r="B2410" s="7" t="s">
        <v>7810</v>
      </c>
    </row>
    <row r="2411" spans="1:2">
      <c r="A2411" s="7" t="s">
        <v>7811</v>
      </c>
      <c r="B2411" s="7" t="s">
        <v>3597</v>
      </c>
    </row>
    <row r="2412" spans="1:2">
      <c r="A2412" s="7" t="s">
        <v>7812</v>
      </c>
      <c r="B2412" s="7" t="s">
        <v>3901</v>
      </c>
    </row>
    <row r="2413" spans="1:2">
      <c r="A2413" s="7" t="s">
        <v>7813</v>
      </c>
      <c r="B2413" s="7" t="s">
        <v>7814</v>
      </c>
    </row>
    <row r="2414" spans="1:2">
      <c r="A2414" s="7" t="s">
        <v>7815</v>
      </c>
      <c r="B2414" s="7" t="s">
        <v>7816</v>
      </c>
    </row>
    <row r="2415" spans="1:2">
      <c r="A2415" s="7" t="s">
        <v>7817</v>
      </c>
      <c r="B2415" s="7" t="s">
        <v>7818</v>
      </c>
    </row>
    <row r="2416" spans="1:2">
      <c r="A2416" s="7" t="s">
        <v>7819</v>
      </c>
      <c r="B2416" s="7" t="s">
        <v>7820</v>
      </c>
    </row>
    <row r="2417" spans="1:2">
      <c r="A2417" s="7" t="s">
        <v>7821</v>
      </c>
      <c r="B2417" s="7" t="s">
        <v>3451</v>
      </c>
    </row>
    <row r="2418" spans="1:2">
      <c r="A2418" s="7" t="s">
        <v>7822</v>
      </c>
      <c r="B2418" s="7" t="s">
        <v>7823</v>
      </c>
    </row>
    <row r="2419" spans="1:2">
      <c r="A2419" s="7" t="s">
        <v>7824</v>
      </c>
      <c r="B2419" s="7" t="s">
        <v>7825</v>
      </c>
    </row>
    <row r="2420" spans="1:2">
      <c r="A2420" s="7" t="s">
        <v>7826</v>
      </c>
      <c r="B2420" s="7" t="s">
        <v>7827</v>
      </c>
    </row>
    <row r="2421" spans="1:2">
      <c r="A2421" s="7" t="s">
        <v>7828</v>
      </c>
      <c r="B2421" s="7" t="s">
        <v>7829</v>
      </c>
    </row>
    <row r="2422" spans="1:2">
      <c r="A2422" s="7" t="s">
        <v>7830</v>
      </c>
      <c r="B2422" s="7" t="s">
        <v>7831</v>
      </c>
    </row>
    <row r="2423" spans="1:2">
      <c r="A2423" s="7" t="s">
        <v>7832</v>
      </c>
      <c r="B2423" s="7" t="s">
        <v>7833</v>
      </c>
    </row>
    <row r="2424" spans="1:2">
      <c r="A2424" s="7" t="s">
        <v>7834</v>
      </c>
      <c r="B2424" s="7" t="s">
        <v>7835</v>
      </c>
    </row>
    <row r="2425" spans="1:2">
      <c r="A2425" s="7" t="s">
        <v>7836</v>
      </c>
      <c r="B2425" s="7" t="s">
        <v>7837</v>
      </c>
    </row>
    <row r="2426" spans="1:2">
      <c r="A2426" s="7" t="s">
        <v>7838</v>
      </c>
      <c r="B2426" s="7" t="s">
        <v>7839</v>
      </c>
    </row>
    <row r="2427" spans="1:2">
      <c r="A2427" s="7" t="s">
        <v>7840</v>
      </c>
      <c r="B2427" s="7" t="s">
        <v>7841</v>
      </c>
    </row>
    <row r="2428" spans="1:2">
      <c r="A2428" s="7" t="s">
        <v>7842</v>
      </c>
      <c r="B2428" s="7" t="s">
        <v>7843</v>
      </c>
    </row>
    <row r="2429" spans="1:2">
      <c r="A2429" s="7" t="s">
        <v>7844</v>
      </c>
      <c r="B2429" s="7" t="s">
        <v>7845</v>
      </c>
    </row>
    <row r="2430" spans="1:2">
      <c r="A2430" s="7" t="s">
        <v>7846</v>
      </c>
      <c r="B2430" s="7" t="s">
        <v>7847</v>
      </c>
    </row>
    <row r="2431" spans="1:2">
      <c r="A2431" s="7" t="s">
        <v>7848</v>
      </c>
      <c r="B2431" s="7" t="s">
        <v>7849</v>
      </c>
    </row>
    <row r="2432" spans="1:2">
      <c r="A2432" s="7" t="s">
        <v>7850</v>
      </c>
      <c r="B2432" s="7" t="s">
        <v>7851</v>
      </c>
    </row>
    <row r="2433" spans="1:2">
      <c r="A2433" s="7" t="s">
        <v>7852</v>
      </c>
      <c r="B2433" s="7" t="s">
        <v>7853</v>
      </c>
    </row>
    <row r="2434" spans="1:2">
      <c r="A2434" s="7" t="s">
        <v>7854</v>
      </c>
      <c r="B2434" s="7" t="s">
        <v>7855</v>
      </c>
    </row>
    <row r="2435" spans="1:2">
      <c r="A2435" s="7" t="s">
        <v>7856</v>
      </c>
      <c r="B2435" s="7" t="s">
        <v>7857</v>
      </c>
    </row>
    <row r="2436" spans="1:2">
      <c r="A2436" s="7" t="s">
        <v>7858</v>
      </c>
      <c r="B2436" s="7" t="s">
        <v>7859</v>
      </c>
    </row>
    <row r="2437" spans="1:2">
      <c r="A2437" s="7" t="s">
        <v>7860</v>
      </c>
      <c r="B2437" s="7" t="s">
        <v>7861</v>
      </c>
    </row>
    <row r="2438" spans="1:2">
      <c r="A2438" s="7" t="s">
        <v>7862</v>
      </c>
      <c r="B2438" s="7" t="s">
        <v>7863</v>
      </c>
    </row>
    <row r="2439" spans="1:2">
      <c r="A2439" s="7" t="s">
        <v>7864</v>
      </c>
      <c r="B2439" s="7" t="s">
        <v>7865</v>
      </c>
    </row>
    <row r="2440" spans="1:2">
      <c r="A2440" s="7" t="s">
        <v>7866</v>
      </c>
      <c r="B2440" s="7" t="s">
        <v>7867</v>
      </c>
    </row>
    <row r="2441" spans="1:2">
      <c r="A2441" s="7" t="s">
        <v>7868</v>
      </c>
      <c r="B2441" s="7" t="s">
        <v>7869</v>
      </c>
    </row>
    <row r="2442" spans="1:2">
      <c r="A2442" s="7" t="s">
        <v>7870</v>
      </c>
      <c r="B2442" s="7" t="s">
        <v>7871</v>
      </c>
    </row>
    <row r="2443" spans="1:2">
      <c r="A2443" s="7" t="s">
        <v>7872</v>
      </c>
      <c r="B2443" s="7" t="s">
        <v>7873</v>
      </c>
    </row>
    <row r="2444" spans="1:2">
      <c r="A2444" s="7" t="s">
        <v>7874</v>
      </c>
      <c r="B2444" s="7" t="s">
        <v>7875</v>
      </c>
    </row>
    <row r="2445" spans="1:2">
      <c r="A2445" s="7" t="s">
        <v>7876</v>
      </c>
      <c r="B2445" s="7" t="s">
        <v>6365</v>
      </c>
    </row>
    <row r="2446" spans="1:2">
      <c r="A2446" s="7" t="s">
        <v>7877</v>
      </c>
      <c r="B2446" s="7" t="s">
        <v>7878</v>
      </c>
    </row>
    <row r="2447" spans="1:2">
      <c r="A2447" s="7" t="s">
        <v>7879</v>
      </c>
      <c r="B2447" s="7" t="s">
        <v>7880</v>
      </c>
    </row>
    <row r="2448" spans="1:2">
      <c r="A2448" s="7" t="s">
        <v>7881</v>
      </c>
      <c r="B2448" s="7" t="s">
        <v>7882</v>
      </c>
    </row>
    <row r="2449" spans="1:2">
      <c r="A2449" s="7" t="s">
        <v>7883</v>
      </c>
      <c r="B2449" s="7" t="s">
        <v>7884</v>
      </c>
    </row>
    <row r="2450" spans="1:2">
      <c r="A2450" s="7" t="s">
        <v>7885</v>
      </c>
      <c r="B2450" s="7" t="s">
        <v>7886</v>
      </c>
    </row>
    <row r="2451" spans="1:2">
      <c r="A2451" s="7" t="s">
        <v>7887</v>
      </c>
      <c r="B2451" s="7" t="s">
        <v>7888</v>
      </c>
    </row>
    <row r="2452" spans="1:2">
      <c r="A2452" s="7" t="s">
        <v>7889</v>
      </c>
      <c r="B2452" s="7" t="s">
        <v>7890</v>
      </c>
    </row>
    <row r="2453" spans="1:2">
      <c r="A2453" s="7" t="s">
        <v>7891</v>
      </c>
      <c r="B2453" s="7" t="s">
        <v>4370</v>
      </c>
    </row>
    <row r="2454" spans="1:2">
      <c r="A2454" s="7" t="s">
        <v>7892</v>
      </c>
      <c r="B2454" s="7" t="s">
        <v>7893</v>
      </c>
    </row>
    <row r="2455" spans="1:2">
      <c r="A2455" s="7" t="s">
        <v>7894</v>
      </c>
      <c r="B2455" s="7" t="s">
        <v>7895</v>
      </c>
    </row>
    <row r="2456" spans="1:2">
      <c r="A2456" s="7" t="s">
        <v>7896</v>
      </c>
      <c r="B2456" s="7" t="s">
        <v>7897</v>
      </c>
    </row>
    <row r="2457" spans="1:2">
      <c r="A2457" s="7" t="s">
        <v>7898</v>
      </c>
      <c r="B2457" s="7" t="s">
        <v>7899</v>
      </c>
    </row>
    <row r="2458" spans="1:2">
      <c r="A2458" s="7" t="s">
        <v>7900</v>
      </c>
      <c r="B2458" s="7" t="s">
        <v>7901</v>
      </c>
    </row>
    <row r="2459" spans="1:2">
      <c r="A2459" s="7" t="s">
        <v>7902</v>
      </c>
      <c r="B2459" s="7" t="s">
        <v>7903</v>
      </c>
    </row>
    <row r="2460" spans="1:2">
      <c r="A2460" s="7" t="s">
        <v>7904</v>
      </c>
      <c r="B2460" s="7" t="s">
        <v>7905</v>
      </c>
    </row>
    <row r="2461" spans="1:2">
      <c r="A2461" s="7" t="s">
        <v>7906</v>
      </c>
      <c r="B2461" s="7" t="s">
        <v>7907</v>
      </c>
    </row>
    <row r="2462" spans="1:2">
      <c r="A2462" s="7" t="s">
        <v>7908</v>
      </c>
      <c r="B2462" s="7" t="s">
        <v>7909</v>
      </c>
    </row>
    <row r="2463" spans="1:2">
      <c r="A2463" s="7" t="s">
        <v>7910</v>
      </c>
      <c r="B2463" s="7" t="s">
        <v>7911</v>
      </c>
    </row>
    <row r="2464" spans="1:2">
      <c r="A2464" s="7" t="s">
        <v>7912</v>
      </c>
      <c r="B2464" s="7" t="s">
        <v>7913</v>
      </c>
    </row>
    <row r="2465" spans="1:2">
      <c r="A2465" s="7" t="s">
        <v>7914</v>
      </c>
      <c r="B2465" s="7" t="s">
        <v>7915</v>
      </c>
    </row>
    <row r="2466" spans="1:2">
      <c r="A2466" s="7" t="s">
        <v>7916</v>
      </c>
      <c r="B2466" s="7" t="s">
        <v>7917</v>
      </c>
    </row>
    <row r="2467" spans="1:2">
      <c r="A2467" s="7" t="s">
        <v>7918</v>
      </c>
      <c r="B2467" s="7" t="s">
        <v>7919</v>
      </c>
    </row>
    <row r="2468" spans="1:2">
      <c r="A2468" s="7" t="s">
        <v>7920</v>
      </c>
      <c r="B2468" s="7" t="s">
        <v>7921</v>
      </c>
    </row>
    <row r="2469" spans="1:2">
      <c r="A2469" s="7" t="s">
        <v>7922</v>
      </c>
      <c r="B2469" s="7" t="s">
        <v>7923</v>
      </c>
    </row>
    <row r="2470" spans="1:2">
      <c r="A2470" s="7" t="s">
        <v>7924</v>
      </c>
      <c r="B2470" s="7" t="s">
        <v>7925</v>
      </c>
    </row>
    <row r="2471" spans="1:2">
      <c r="A2471" s="7" t="s">
        <v>7926</v>
      </c>
      <c r="B2471" s="7" t="s">
        <v>7927</v>
      </c>
    </row>
    <row r="2472" spans="1:2">
      <c r="A2472" s="7" t="s">
        <v>7928</v>
      </c>
      <c r="B2472" s="7" t="s">
        <v>7929</v>
      </c>
    </row>
    <row r="2473" spans="1:2">
      <c r="A2473" s="7" t="s">
        <v>7930</v>
      </c>
      <c r="B2473" s="7" t="s">
        <v>3431</v>
      </c>
    </row>
    <row r="2474" spans="1:2">
      <c r="A2474" s="7" t="s">
        <v>7931</v>
      </c>
      <c r="B2474" s="7" t="s">
        <v>7932</v>
      </c>
    </row>
    <row r="2475" spans="1:2">
      <c r="A2475" s="7" t="s">
        <v>7933</v>
      </c>
      <c r="B2475" s="7" t="s">
        <v>7934</v>
      </c>
    </row>
    <row r="2476" spans="1:2">
      <c r="A2476" s="7" t="s">
        <v>7935</v>
      </c>
      <c r="B2476" s="7" t="s">
        <v>7936</v>
      </c>
    </row>
    <row r="2477" spans="1:2">
      <c r="A2477" s="7" t="s">
        <v>7937</v>
      </c>
      <c r="B2477" s="7" t="s">
        <v>6032</v>
      </c>
    </row>
    <row r="2478" spans="1:2">
      <c r="A2478" s="7" t="s">
        <v>7938</v>
      </c>
      <c r="B2478" s="7" t="s">
        <v>7939</v>
      </c>
    </row>
    <row r="2479" spans="1:2">
      <c r="A2479" s="7" t="s">
        <v>7940</v>
      </c>
      <c r="B2479" s="7" t="s">
        <v>7941</v>
      </c>
    </row>
    <row r="2480" spans="1:2">
      <c r="A2480" s="7" t="s">
        <v>7942</v>
      </c>
      <c r="B2480" s="7" t="s">
        <v>3776</v>
      </c>
    </row>
    <row r="2481" spans="1:2">
      <c r="A2481" s="7" t="s">
        <v>7943</v>
      </c>
      <c r="B2481" s="7" t="s">
        <v>7944</v>
      </c>
    </row>
    <row r="2482" spans="1:2">
      <c r="A2482" s="7" t="s">
        <v>7945</v>
      </c>
      <c r="B2482" s="7" t="s">
        <v>7946</v>
      </c>
    </row>
    <row r="2483" spans="1:2">
      <c r="A2483" s="7" t="s">
        <v>7947</v>
      </c>
      <c r="B2483" s="7" t="s">
        <v>7948</v>
      </c>
    </row>
    <row r="2484" spans="1:2">
      <c r="A2484" s="7" t="s">
        <v>7949</v>
      </c>
      <c r="B2484" s="7" t="s">
        <v>7950</v>
      </c>
    </row>
    <row r="2485" spans="1:2">
      <c r="A2485" s="7" t="s">
        <v>7951</v>
      </c>
      <c r="B2485" s="7" t="s">
        <v>7952</v>
      </c>
    </row>
    <row r="2486" spans="1:2">
      <c r="A2486" s="7" t="s">
        <v>7953</v>
      </c>
      <c r="B2486" s="7" t="s">
        <v>3871</v>
      </c>
    </row>
    <row r="2487" spans="1:2">
      <c r="A2487" s="7" t="s">
        <v>7954</v>
      </c>
      <c r="B2487" s="7" t="s">
        <v>7955</v>
      </c>
    </row>
    <row r="2488" spans="1:2">
      <c r="A2488" s="7" t="s">
        <v>7956</v>
      </c>
      <c r="B2488" s="7" t="s">
        <v>7957</v>
      </c>
    </row>
    <row r="2489" spans="1:2">
      <c r="A2489" s="7" t="s">
        <v>7958</v>
      </c>
      <c r="B2489" s="7" t="s">
        <v>7959</v>
      </c>
    </row>
    <row r="2490" spans="1:2">
      <c r="A2490" s="7" t="s">
        <v>7960</v>
      </c>
      <c r="B2490" s="7" t="s">
        <v>7961</v>
      </c>
    </row>
    <row r="2491" spans="1:2">
      <c r="A2491" s="7" t="s">
        <v>7962</v>
      </c>
      <c r="B2491" s="7" t="s">
        <v>7963</v>
      </c>
    </row>
    <row r="2492" spans="1:2">
      <c r="A2492" s="7" t="s">
        <v>7964</v>
      </c>
      <c r="B2492" s="7" t="s">
        <v>7965</v>
      </c>
    </row>
    <row r="2493" spans="1:2">
      <c r="A2493" s="7" t="s">
        <v>7966</v>
      </c>
      <c r="B2493" s="7" t="s">
        <v>7967</v>
      </c>
    </row>
    <row r="2494" spans="1:2">
      <c r="A2494" s="7" t="s">
        <v>7968</v>
      </c>
      <c r="B2494" s="7" t="s">
        <v>7969</v>
      </c>
    </row>
    <row r="2495" spans="1:2">
      <c r="A2495" s="7" t="s">
        <v>7970</v>
      </c>
      <c r="B2495" s="7" t="s">
        <v>7971</v>
      </c>
    </row>
    <row r="2496" spans="1:2">
      <c r="A2496" s="7" t="s">
        <v>7972</v>
      </c>
      <c r="B2496" s="7" t="s">
        <v>7973</v>
      </c>
    </row>
    <row r="2497" spans="1:2">
      <c r="A2497" s="7" t="s">
        <v>7974</v>
      </c>
      <c r="B2497" s="7" t="s">
        <v>6460</v>
      </c>
    </row>
    <row r="2498" spans="1:2">
      <c r="A2498" s="7" t="s">
        <v>7975</v>
      </c>
      <c r="B2498" s="7" t="s">
        <v>3561</v>
      </c>
    </row>
    <row r="2499" spans="1:2">
      <c r="A2499" s="7" t="s">
        <v>7976</v>
      </c>
      <c r="B2499" s="7" t="s">
        <v>7977</v>
      </c>
    </row>
    <row r="2500" spans="1:2">
      <c r="A2500" s="7" t="s">
        <v>7978</v>
      </c>
      <c r="B2500" s="7" t="s">
        <v>7979</v>
      </c>
    </row>
    <row r="2501" spans="1:2">
      <c r="A2501" s="7" t="s">
        <v>7980</v>
      </c>
      <c r="B2501" s="7" t="s">
        <v>7981</v>
      </c>
    </row>
    <row r="2502" spans="1:2">
      <c r="A2502" s="7" t="s">
        <v>7982</v>
      </c>
      <c r="B2502" s="7" t="s">
        <v>7983</v>
      </c>
    </row>
    <row r="2503" spans="1:2">
      <c r="A2503" s="7" t="s">
        <v>7984</v>
      </c>
      <c r="B2503" s="7" t="s">
        <v>7985</v>
      </c>
    </row>
    <row r="2504" spans="1:2">
      <c r="A2504" s="7" t="s">
        <v>7986</v>
      </c>
      <c r="B2504" s="7" t="s">
        <v>7987</v>
      </c>
    </row>
    <row r="2505" spans="1:2">
      <c r="A2505" s="7" t="s">
        <v>7988</v>
      </c>
      <c r="B2505" s="7" t="s">
        <v>7989</v>
      </c>
    </row>
    <row r="2506" spans="1:2">
      <c r="A2506" s="7" t="s">
        <v>7990</v>
      </c>
      <c r="B2506" s="7" t="s">
        <v>7991</v>
      </c>
    </row>
    <row r="2507" spans="1:2">
      <c r="A2507" s="7" t="s">
        <v>7992</v>
      </c>
      <c r="B2507" s="7" t="s">
        <v>7823</v>
      </c>
    </row>
    <row r="2508" spans="1:2">
      <c r="A2508" s="7" t="s">
        <v>7993</v>
      </c>
      <c r="B2508" s="7" t="s">
        <v>7994</v>
      </c>
    </row>
    <row r="2509" spans="1:2">
      <c r="A2509" s="7" t="s">
        <v>7995</v>
      </c>
      <c r="B2509" s="7" t="s">
        <v>3656</v>
      </c>
    </row>
    <row r="2510" spans="1:2">
      <c r="A2510" s="7" t="s">
        <v>7996</v>
      </c>
      <c r="B2510" s="7" t="s">
        <v>7997</v>
      </c>
    </row>
    <row r="2511" spans="1:2">
      <c r="A2511" s="7" t="s">
        <v>7998</v>
      </c>
      <c r="B2511" s="7" t="s">
        <v>7999</v>
      </c>
    </row>
    <row r="2512" spans="1:2">
      <c r="A2512" s="7" t="s">
        <v>8000</v>
      </c>
      <c r="B2512" s="7" t="s">
        <v>3660</v>
      </c>
    </row>
    <row r="2513" spans="1:2">
      <c r="A2513" s="7" t="s">
        <v>8001</v>
      </c>
      <c r="B2513" s="7" t="s">
        <v>8002</v>
      </c>
    </row>
    <row r="2514" spans="1:2">
      <c r="A2514" s="7" t="s">
        <v>8003</v>
      </c>
      <c r="B2514" s="7" t="s">
        <v>8004</v>
      </c>
    </row>
    <row r="2515" spans="1:2">
      <c r="A2515" s="7" t="s">
        <v>8005</v>
      </c>
      <c r="B2515" s="7" t="s">
        <v>8006</v>
      </c>
    </row>
    <row r="2516" spans="1:2">
      <c r="A2516" s="7" t="s">
        <v>8007</v>
      </c>
      <c r="B2516" s="7" t="s">
        <v>8008</v>
      </c>
    </row>
    <row r="2517" spans="1:2">
      <c r="A2517" s="7" t="s">
        <v>8009</v>
      </c>
      <c r="B2517" s="7" t="s">
        <v>8010</v>
      </c>
    </row>
    <row r="2518" spans="1:2">
      <c r="A2518" s="7" t="s">
        <v>8011</v>
      </c>
      <c r="B2518" s="7" t="s">
        <v>8012</v>
      </c>
    </row>
    <row r="2519" spans="1:2">
      <c r="A2519" s="7" t="s">
        <v>8013</v>
      </c>
      <c r="B2519" s="7" t="s">
        <v>8014</v>
      </c>
    </row>
    <row r="2520" spans="1:2">
      <c r="A2520" s="7" t="s">
        <v>8015</v>
      </c>
      <c r="B2520" s="7" t="s">
        <v>8016</v>
      </c>
    </row>
    <row r="2521" spans="1:2">
      <c r="A2521" s="7" t="s">
        <v>8017</v>
      </c>
      <c r="B2521" s="7" t="s">
        <v>8018</v>
      </c>
    </row>
    <row r="2522" spans="1:2">
      <c r="A2522" s="7" t="s">
        <v>8019</v>
      </c>
      <c r="B2522" s="7" t="s">
        <v>8020</v>
      </c>
    </row>
    <row r="2523" spans="1:2">
      <c r="A2523" s="7" t="s">
        <v>8021</v>
      </c>
      <c r="B2523" s="7" t="s">
        <v>8022</v>
      </c>
    </row>
    <row r="2524" spans="1:2">
      <c r="A2524" s="7" t="s">
        <v>8023</v>
      </c>
      <c r="B2524" s="7" t="s">
        <v>8024</v>
      </c>
    </row>
    <row r="2525" spans="1:2">
      <c r="A2525" s="7" t="s">
        <v>8025</v>
      </c>
      <c r="B2525" s="7" t="s">
        <v>8026</v>
      </c>
    </row>
    <row r="2526" spans="1:2">
      <c r="A2526" s="7" t="s">
        <v>8027</v>
      </c>
      <c r="B2526" s="7" t="s">
        <v>4943</v>
      </c>
    </row>
    <row r="2527" spans="1:2">
      <c r="A2527" s="7" t="s">
        <v>8028</v>
      </c>
      <c r="B2527" s="7" t="s">
        <v>8029</v>
      </c>
    </row>
    <row r="2528" spans="1:2">
      <c r="A2528" s="7" t="s">
        <v>8030</v>
      </c>
      <c r="B2528" s="7" t="s">
        <v>8031</v>
      </c>
    </row>
    <row r="2529" spans="1:2">
      <c r="A2529" s="7" t="s">
        <v>8032</v>
      </c>
      <c r="B2529" s="7" t="s">
        <v>8033</v>
      </c>
    </row>
    <row r="2530" spans="1:2">
      <c r="A2530" s="7" t="s">
        <v>8034</v>
      </c>
      <c r="B2530" s="7" t="s">
        <v>4977</v>
      </c>
    </row>
    <row r="2531" spans="1:2">
      <c r="A2531" s="7" t="s">
        <v>8035</v>
      </c>
      <c r="B2531" s="7" t="s">
        <v>7610</v>
      </c>
    </row>
    <row r="2532" spans="1:2">
      <c r="A2532" s="7" t="s">
        <v>8036</v>
      </c>
      <c r="B2532" s="7" t="s">
        <v>7171</v>
      </c>
    </row>
    <row r="2533" spans="1:2">
      <c r="A2533" s="7" t="s">
        <v>8037</v>
      </c>
      <c r="B2533" s="7" t="s">
        <v>8038</v>
      </c>
    </row>
    <row r="2534" spans="1:2">
      <c r="A2534" s="7" t="s">
        <v>8039</v>
      </c>
      <c r="B2534" s="7" t="s">
        <v>7535</v>
      </c>
    </row>
    <row r="2535" spans="1:2">
      <c r="A2535" s="7" t="s">
        <v>8040</v>
      </c>
      <c r="B2535" s="7" t="s">
        <v>8041</v>
      </c>
    </row>
    <row r="2536" spans="1:2">
      <c r="A2536" s="7" t="s">
        <v>8042</v>
      </c>
      <c r="B2536" s="7" t="s">
        <v>8043</v>
      </c>
    </row>
    <row r="2537" spans="1:2">
      <c r="A2537" s="7" t="s">
        <v>8044</v>
      </c>
      <c r="B2537" s="7" t="s">
        <v>8045</v>
      </c>
    </row>
    <row r="2538" spans="1:2">
      <c r="A2538" s="7" t="s">
        <v>8046</v>
      </c>
      <c r="B2538" s="7" t="s">
        <v>8047</v>
      </c>
    </row>
    <row r="2539" spans="1:2">
      <c r="A2539" s="7" t="s">
        <v>8048</v>
      </c>
      <c r="B2539" s="7" t="s">
        <v>8049</v>
      </c>
    </row>
    <row r="2540" spans="1:2">
      <c r="A2540" s="7" t="s">
        <v>8050</v>
      </c>
      <c r="B2540" s="7" t="s">
        <v>8051</v>
      </c>
    </row>
    <row r="2541" spans="1:2">
      <c r="A2541" s="7" t="s">
        <v>8052</v>
      </c>
      <c r="B2541" s="7" t="s">
        <v>8053</v>
      </c>
    </row>
    <row r="2542" spans="1:2">
      <c r="A2542" s="7" t="s">
        <v>8054</v>
      </c>
      <c r="B2542" s="7" t="s">
        <v>8055</v>
      </c>
    </row>
    <row r="2543" spans="1:2">
      <c r="A2543" s="7" t="s">
        <v>8056</v>
      </c>
      <c r="B2543" s="7" t="s">
        <v>8057</v>
      </c>
    </row>
    <row r="2544" spans="1:2">
      <c r="A2544" s="7" t="s">
        <v>8058</v>
      </c>
      <c r="B2544" s="7" t="s">
        <v>8059</v>
      </c>
    </row>
    <row r="2545" spans="1:2">
      <c r="A2545" s="7" t="s">
        <v>8060</v>
      </c>
      <c r="B2545" s="7" t="s">
        <v>8061</v>
      </c>
    </row>
    <row r="2546" spans="1:2">
      <c r="A2546" s="7" t="s">
        <v>8062</v>
      </c>
      <c r="B2546" s="7" t="s">
        <v>8063</v>
      </c>
    </row>
    <row r="2547" spans="1:2">
      <c r="A2547" s="7" t="s">
        <v>8064</v>
      </c>
      <c r="B2547" s="7" t="s">
        <v>8065</v>
      </c>
    </row>
    <row r="2548" spans="1:2">
      <c r="A2548" s="7" t="s">
        <v>8066</v>
      </c>
      <c r="B2548" s="7" t="s">
        <v>8067</v>
      </c>
    </row>
    <row r="2549" spans="1:2">
      <c r="A2549" s="7" t="s">
        <v>8068</v>
      </c>
      <c r="B2549" s="7" t="s">
        <v>8069</v>
      </c>
    </row>
    <row r="2550" spans="1:2">
      <c r="A2550" s="7" t="s">
        <v>8070</v>
      </c>
      <c r="B2550" s="7" t="s">
        <v>8071</v>
      </c>
    </row>
    <row r="2551" spans="1:2">
      <c r="A2551" s="7" t="s">
        <v>8072</v>
      </c>
      <c r="B2551" s="7" t="s">
        <v>3808</v>
      </c>
    </row>
    <row r="2552" spans="1:2">
      <c r="A2552" s="7" t="s">
        <v>8073</v>
      </c>
      <c r="B2552" s="7" t="s">
        <v>8074</v>
      </c>
    </row>
    <row r="2553" spans="1:2">
      <c r="A2553" s="7" t="s">
        <v>8075</v>
      </c>
      <c r="B2553" s="7" t="s">
        <v>8076</v>
      </c>
    </row>
    <row r="2554" spans="1:2">
      <c r="A2554" s="7" t="s">
        <v>8077</v>
      </c>
      <c r="B2554" s="7" t="s">
        <v>8078</v>
      </c>
    </row>
    <row r="2555" spans="1:2">
      <c r="A2555" s="7" t="s">
        <v>8079</v>
      </c>
      <c r="B2555" s="7" t="s">
        <v>8080</v>
      </c>
    </row>
    <row r="2556" spans="1:2">
      <c r="A2556" s="7" t="s">
        <v>8081</v>
      </c>
      <c r="B2556" s="7" t="s">
        <v>8082</v>
      </c>
    </row>
    <row r="2557" spans="1:2">
      <c r="A2557" s="7" t="s">
        <v>8083</v>
      </c>
      <c r="B2557" s="7" t="s">
        <v>8084</v>
      </c>
    </row>
    <row r="2558" spans="1:2">
      <c r="A2558" s="7" t="s">
        <v>8085</v>
      </c>
      <c r="B2558" s="7" t="s">
        <v>8086</v>
      </c>
    </row>
    <row r="2559" spans="1:2">
      <c r="A2559" s="7" t="s">
        <v>8087</v>
      </c>
      <c r="B2559" s="7" t="s">
        <v>8088</v>
      </c>
    </row>
    <row r="2560" spans="1:2">
      <c r="A2560" s="7" t="s">
        <v>8089</v>
      </c>
      <c r="B2560" s="7" t="s">
        <v>8090</v>
      </c>
    </row>
    <row r="2561" spans="1:2">
      <c r="A2561" s="7" t="s">
        <v>8091</v>
      </c>
      <c r="B2561" s="7" t="s">
        <v>8092</v>
      </c>
    </row>
    <row r="2562" spans="1:2">
      <c r="A2562" s="7" t="s">
        <v>8093</v>
      </c>
      <c r="B2562" s="7" t="s">
        <v>8094</v>
      </c>
    </row>
    <row r="2563" spans="1:2">
      <c r="A2563" s="7" t="s">
        <v>8095</v>
      </c>
      <c r="B2563" s="7" t="s">
        <v>8096</v>
      </c>
    </row>
    <row r="2564" spans="1:2">
      <c r="A2564" s="7" t="s">
        <v>8097</v>
      </c>
      <c r="B2564" s="7" t="s">
        <v>8098</v>
      </c>
    </row>
    <row r="2565" spans="1:2">
      <c r="A2565" s="7" t="s">
        <v>8099</v>
      </c>
      <c r="B2565" s="7" t="s">
        <v>8100</v>
      </c>
    </row>
    <row r="2566" spans="1:2">
      <c r="A2566" s="7" t="s">
        <v>8101</v>
      </c>
      <c r="B2566" s="7" t="s">
        <v>8102</v>
      </c>
    </row>
    <row r="2567" spans="1:2">
      <c r="A2567" s="7" t="s">
        <v>8103</v>
      </c>
      <c r="B2567" s="7" t="s">
        <v>8104</v>
      </c>
    </row>
    <row r="2568" spans="1:2">
      <c r="A2568" s="7" t="s">
        <v>8105</v>
      </c>
      <c r="B2568" s="7" t="s">
        <v>8106</v>
      </c>
    </row>
    <row r="2569" spans="1:2">
      <c r="A2569" s="7" t="s">
        <v>8107</v>
      </c>
      <c r="B2569" s="7" t="s">
        <v>8108</v>
      </c>
    </row>
    <row r="2570" spans="1:2">
      <c r="A2570" s="7" t="s">
        <v>8109</v>
      </c>
      <c r="B2570" s="7" t="s">
        <v>8110</v>
      </c>
    </row>
    <row r="2571" spans="1:2">
      <c r="A2571" s="7" t="s">
        <v>8111</v>
      </c>
      <c r="B2571" s="7" t="s">
        <v>8112</v>
      </c>
    </row>
    <row r="2572" spans="1:2">
      <c r="A2572" s="7" t="s">
        <v>8113</v>
      </c>
      <c r="B2572" s="7" t="s">
        <v>8114</v>
      </c>
    </row>
    <row r="2573" spans="1:2">
      <c r="A2573" s="7" t="s">
        <v>8115</v>
      </c>
      <c r="B2573" s="7" t="s">
        <v>8116</v>
      </c>
    </row>
    <row r="2574" spans="1:2">
      <c r="A2574" s="7" t="s">
        <v>8117</v>
      </c>
      <c r="B2574" s="7" t="s">
        <v>8118</v>
      </c>
    </row>
    <row r="2575" spans="1:2">
      <c r="A2575" s="7" t="s">
        <v>8119</v>
      </c>
      <c r="B2575" s="7" t="s">
        <v>8120</v>
      </c>
    </row>
    <row r="2576" spans="1:2">
      <c r="A2576" s="7" t="s">
        <v>8121</v>
      </c>
      <c r="B2576" s="7" t="s">
        <v>8122</v>
      </c>
    </row>
    <row r="2577" spans="1:2">
      <c r="A2577" s="7" t="s">
        <v>8123</v>
      </c>
      <c r="B2577" s="7" t="s">
        <v>8124</v>
      </c>
    </row>
    <row r="2578" spans="1:2">
      <c r="A2578" s="7" t="s">
        <v>8125</v>
      </c>
      <c r="B2578" s="7" t="s">
        <v>8126</v>
      </c>
    </row>
    <row r="2579" spans="1:2">
      <c r="A2579" s="7" t="s">
        <v>8127</v>
      </c>
      <c r="B2579" s="7" t="s">
        <v>7169</v>
      </c>
    </row>
    <row r="2580" spans="1:2">
      <c r="A2580" s="7" t="s">
        <v>8128</v>
      </c>
      <c r="B2580" s="7" t="s">
        <v>8129</v>
      </c>
    </row>
    <row r="2581" spans="1:2">
      <c r="A2581" s="7" t="s">
        <v>8130</v>
      </c>
      <c r="B2581" s="7" t="s">
        <v>8131</v>
      </c>
    </row>
    <row r="2582" spans="1:2">
      <c r="A2582" s="7" t="s">
        <v>8132</v>
      </c>
      <c r="B2582" s="7" t="s">
        <v>8133</v>
      </c>
    </row>
    <row r="2583" spans="1:2">
      <c r="A2583" s="7" t="s">
        <v>8134</v>
      </c>
      <c r="B2583" s="7" t="s">
        <v>8135</v>
      </c>
    </row>
    <row r="2584" spans="1:2">
      <c r="A2584" s="7" t="s">
        <v>8136</v>
      </c>
      <c r="B2584" s="7" t="s">
        <v>8137</v>
      </c>
    </row>
    <row r="2585" spans="1:2">
      <c r="A2585" s="7" t="s">
        <v>8138</v>
      </c>
      <c r="B2585" s="7" t="s">
        <v>3611</v>
      </c>
    </row>
    <row r="2586" spans="1:2">
      <c r="A2586" s="7" t="s">
        <v>8139</v>
      </c>
      <c r="B2586" s="7" t="s">
        <v>8140</v>
      </c>
    </row>
    <row r="2587" spans="1:2">
      <c r="A2587" s="7" t="s">
        <v>8141</v>
      </c>
      <c r="B2587" s="7" t="s">
        <v>8142</v>
      </c>
    </row>
    <row r="2588" spans="1:2">
      <c r="A2588" s="7" t="s">
        <v>8143</v>
      </c>
      <c r="B2588" s="7" t="s">
        <v>8144</v>
      </c>
    </row>
    <row r="2589" spans="1:2">
      <c r="A2589" s="7" t="s">
        <v>8145</v>
      </c>
      <c r="B2589" s="7" t="s">
        <v>8146</v>
      </c>
    </row>
    <row r="2590" spans="1:2">
      <c r="A2590" s="7" t="s">
        <v>8147</v>
      </c>
      <c r="B2590" s="7" t="s">
        <v>8148</v>
      </c>
    </row>
    <row r="2591" spans="1:2">
      <c r="A2591" s="7" t="s">
        <v>8149</v>
      </c>
      <c r="B2591" s="7" t="s">
        <v>4835</v>
      </c>
    </row>
    <row r="2592" spans="1:2">
      <c r="A2592" s="7" t="s">
        <v>8150</v>
      </c>
      <c r="B2592" s="7" t="s">
        <v>8151</v>
      </c>
    </row>
    <row r="2593" spans="1:2">
      <c r="A2593" s="7" t="s">
        <v>8152</v>
      </c>
      <c r="B2593" s="7" t="s">
        <v>7473</v>
      </c>
    </row>
    <row r="2594" spans="1:2">
      <c r="A2594" s="7" t="s">
        <v>8153</v>
      </c>
      <c r="B2594" s="7" t="s">
        <v>8154</v>
      </c>
    </row>
    <row r="2595" spans="1:2">
      <c r="A2595" s="7" t="s">
        <v>8155</v>
      </c>
      <c r="B2595" s="7" t="s">
        <v>8156</v>
      </c>
    </row>
    <row r="2596" spans="1:2">
      <c r="A2596" s="7" t="s">
        <v>8157</v>
      </c>
      <c r="B2596" s="7" t="s">
        <v>8020</v>
      </c>
    </row>
    <row r="2597" spans="1:2">
      <c r="A2597" s="7" t="s">
        <v>8158</v>
      </c>
      <c r="B2597" s="7" t="s">
        <v>8159</v>
      </c>
    </row>
    <row r="2598" spans="1:2">
      <c r="A2598" s="7" t="s">
        <v>8160</v>
      </c>
      <c r="B2598" s="7" t="s">
        <v>8161</v>
      </c>
    </row>
    <row r="2599" spans="1:2">
      <c r="A2599" s="7" t="s">
        <v>8162</v>
      </c>
      <c r="B2599" s="7" t="s">
        <v>8163</v>
      </c>
    </row>
    <row r="2600" spans="1:2">
      <c r="A2600" s="7" t="s">
        <v>8164</v>
      </c>
      <c r="B2600" s="7" t="s">
        <v>8165</v>
      </c>
    </row>
    <row r="2601" spans="1:2">
      <c r="A2601" s="7" t="s">
        <v>8166</v>
      </c>
      <c r="B2601" s="7" t="s">
        <v>8167</v>
      </c>
    </row>
    <row r="2602" spans="1:2">
      <c r="A2602" s="7" t="s">
        <v>8168</v>
      </c>
      <c r="B2602" s="7" t="s">
        <v>8169</v>
      </c>
    </row>
    <row r="2603" spans="1:2">
      <c r="A2603" s="7" t="s">
        <v>8170</v>
      </c>
      <c r="B2603" s="7" t="s">
        <v>8171</v>
      </c>
    </row>
    <row r="2604" spans="1:2">
      <c r="A2604" s="7" t="s">
        <v>8172</v>
      </c>
      <c r="B2604" s="7" t="s">
        <v>8173</v>
      </c>
    </row>
    <row r="2605" spans="1:2">
      <c r="A2605" s="7" t="s">
        <v>8174</v>
      </c>
      <c r="B2605" s="7" t="s">
        <v>4582</v>
      </c>
    </row>
    <row r="2606" spans="1:2">
      <c r="A2606" s="7" t="s">
        <v>8175</v>
      </c>
      <c r="B2606" s="7" t="s">
        <v>8176</v>
      </c>
    </row>
    <row r="2607" spans="1:2">
      <c r="A2607" s="7" t="s">
        <v>8177</v>
      </c>
      <c r="B2607" s="7" t="s">
        <v>8178</v>
      </c>
    </row>
    <row r="2608" spans="1:2">
      <c r="A2608" s="7" t="s">
        <v>8179</v>
      </c>
      <c r="B2608" s="7" t="s">
        <v>8180</v>
      </c>
    </row>
    <row r="2609" spans="1:2">
      <c r="A2609" s="7" t="s">
        <v>8181</v>
      </c>
      <c r="B2609" s="7" t="s">
        <v>8182</v>
      </c>
    </row>
    <row r="2610" spans="1:2">
      <c r="A2610" s="7" t="s">
        <v>8183</v>
      </c>
      <c r="B2610" s="7" t="s">
        <v>8184</v>
      </c>
    </row>
    <row r="2611" spans="1:2">
      <c r="A2611" s="7" t="s">
        <v>8185</v>
      </c>
      <c r="B2611" s="7" t="s">
        <v>8186</v>
      </c>
    </row>
    <row r="2612" spans="1:2">
      <c r="A2612" s="7" t="s">
        <v>8187</v>
      </c>
      <c r="B2612" s="7" t="s">
        <v>8188</v>
      </c>
    </row>
    <row r="2613" spans="1:2">
      <c r="A2613" s="7" t="s">
        <v>8189</v>
      </c>
      <c r="B2613" s="7" t="s">
        <v>8190</v>
      </c>
    </row>
    <row r="2614" spans="1:2">
      <c r="A2614" s="7" t="s">
        <v>8191</v>
      </c>
      <c r="B2614" s="7" t="s">
        <v>8192</v>
      </c>
    </row>
    <row r="2615" spans="1:2">
      <c r="A2615" s="7" t="s">
        <v>8193</v>
      </c>
      <c r="B2615" s="7" t="s">
        <v>8194</v>
      </c>
    </row>
    <row r="2616" spans="1:2">
      <c r="A2616" s="7" t="s">
        <v>8195</v>
      </c>
      <c r="B2616" s="7" t="s">
        <v>8196</v>
      </c>
    </row>
    <row r="2617" spans="1:2">
      <c r="A2617" s="7" t="s">
        <v>8197</v>
      </c>
      <c r="B2617" s="7" t="s">
        <v>8198</v>
      </c>
    </row>
    <row r="2618" spans="1:2">
      <c r="A2618" s="7" t="s">
        <v>8199</v>
      </c>
      <c r="B2618" s="7" t="s">
        <v>8200</v>
      </c>
    </row>
    <row r="2619" spans="1:2">
      <c r="A2619" s="7" t="s">
        <v>8201</v>
      </c>
      <c r="B2619" s="7" t="s">
        <v>8202</v>
      </c>
    </row>
    <row r="2620" spans="1:2">
      <c r="A2620" s="7" t="s">
        <v>8203</v>
      </c>
      <c r="B2620" s="7" t="s">
        <v>8204</v>
      </c>
    </row>
    <row r="2621" spans="1:2">
      <c r="A2621" s="7" t="s">
        <v>8205</v>
      </c>
      <c r="B2621" s="7" t="s">
        <v>8206</v>
      </c>
    </row>
    <row r="2622" spans="1:2">
      <c r="A2622" s="7" t="s">
        <v>8207</v>
      </c>
      <c r="B2622" s="7" t="s">
        <v>8208</v>
      </c>
    </row>
    <row r="2623" spans="1:2">
      <c r="A2623" s="7" t="s">
        <v>8209</v>
      </c>
      <c r="B2623" s="7" t="s">
        <v>8210</v>
      </c>
    </row>
    <row r="2624" spans="1:2">
      <c r="A2624" s="7" t="s">
        <v>8211</v>
      </c>
      <c r="B2624" s="7" t="s">
        <v>8212</v>
      </c>
    </row>
    <row r="2625" spans="1:2">
      <c r="A2625" s="7" t="s">
        <v>8213</v>
      </c>
      <c r="B2625" s="7" t="s">
        <v>8214</v>
      </c>
    </row>
    <row r="2626" spans="1:2">
      <c r="A2626" s="7" t="s">
        <v>8215</v>
      </c>
      <c r="B2626" s="7" t="s">
        <v>8216</v>
      </c>
    </row>
    <row r="2627" spans="1:2">
      <c r="A2627" s="7" t="s">
        <v>8217</v>
      </c>
      <c r="B2627" s="7" t="s">
        <v>8218</v>
      </c>
    </row>
    <row r="2628" spans="1:2">
      <c r="A2628" s="7" t="s">
        <v>8219</v>
      </c>
      <c r="B2628" s="7" t="s">
        <v>8220</v>
      </c>
    </row>
    <row r="2629" spans="1:2">
      <c r="A2629" s="7" t="s">
        <v>8221</v>
      </c>
      <c r="B2629" s="7" t="s">
        <v>8222</v>
      </c>
    </row>
    <row r="2630" spans="1:2">
      <c r="A2630" s="7" t="s">
        <v>8223</v>
      </c>
      <c r="B2630" s="7" t="s">
        <v>8224</v>
      </c>
    </row>
    <row r="2631" spans="1:2">
      <c r="A2631" s="7" t="s">
        <v>8225</v>
      </c>
      <c r="B2631" s="7" t="s">
        <v>8226</v>
      </c>
    </row>
    <row r="2632" spans="1:2">
      <c r="A2632" s="7" t="s">
        <v>8227</v>
      </c>
      <c r="B2632" s="7" t="s">
        <v>8228</v>
      </c>
    </row>
    <row r="2633" spans="1:2">
      <c r="A2633" s="7" t="s">
        <v>8229</v>
      </c>
      <c r="B2633" s="7" t="s">
        <v>8230</v>
      </c>
    </row>
    <row r="2634" spans="1:2">
      <c r="A2634" s="7" t="s">
        <v>8231</v>
      </c>
      <c r="B2634" s="7" t="s">
        <v>8232</v>
      </c>
    </row>
    <row r="2635" spans="1:2">
      <c r="A2635" s="7" t="s">
        <v>8233</v>
      </c>
      <c r="B2635" s="7" t="s">
        <v>7035</v>
      </c>
    </row>
    <row r="2636" spans="1:2">
      <c r="A2636" s="7" t="s">
        <v>8234</v>
      </c>
      <c r="B2636" s="7" t="s">
        <v>8235</v>
      </c>
    </row>
    <row r="2637" spans="1:2">
      <c r="A2637" s="7" t="s">
        <v>8236</v>
      </c>
      <c r="B2637" s="7" t="s">
        <v>8237</v>
      </c>
    </row>
    <row r="2638" spans="1:2">
      <c r="A2638" s="7" t="s">
        <v>8238</v>
      </c>
      <c r="B2638" s="7" t="s">
        <v>8239</v>
      </c>
    </row>
    <row r="2639" spans="1:2">
      <c r="A2639" s="7" t="s">
        <v>8240</v>
      </c>
      <c r="B2639" s="7" t="s">
        <v>8241</v>
      </c>
    </row>
    <row r="2640" spans="1:2">
      <c r="A2640" s="7" t="s">
        <v>8242</v>
      </c>
      <c r="B2640" s="7" t="s">
        <v>8243</v>
      </c>
    </row>
    <row r="2641" spans="1:2">
      <c r="A2641" s="7" t="s">
        <v>8244</v>
      </c>
      <c r="B2641" s="7" t="s">
        <v>8245</v>
      </c>
    </row>
    <row r="2642" spans="1:2">
      <c r="A2642" s="7" t="s">
        <v>8246</v>
      </c>
      <c r="B2642" s="7" t="s">
        <v>3335</v>
      </c>
    </row>
    <row r="2643" spans="1:2">
      <c r="A2643" s="7" t="s">
        <v>8247</v>
      </c>
      <c r="B2643" s="7" t="s">
        <v>8248</v>
      </c>
    </row>
    <row r="2644" spans="1:2">
      <c r="A2644" s="7" t="s">
        <v>8249</v>
      </c>
      <c r="B2644" s="7" t="s">
        <v>3776</v>
      </c>
    </row>
    <row r="2645" spans="1:2">
      <c r="A2645" s="7" t="s">
        <v>8250</v>
      </c>
      <c r="B2645" s="7" t="s">
        <v>8251</v>
      </c>
    </row>
    <row r="2646" spans="1:2">
      <c r="A2646" s="7" t="s">
        <v>8252</v>
      </c>
      <c r="B2646" s="7" t="s">
        <v>8253</v>
      </c>
    </row>
    <row r="2647" spans="1:2">
      <c r="A2647" s="7" t="s">
        <v>8254</v>
      </c>
      <c r="B2647" s="7" t="s">
        <v>8255</v>
      </c>
    </row>
    <row r="2648" spans="1:2">
      <c r="A2648" s="7" t="s">
        <v>8256</v>
      </c>
      <c r="B2648" s="7" t="s">
        <v>3830</v>
      </c>
    </row>
    <row r="2649" spans="1:2">
      <c r="A2649" s="7" t="s">
        <v>8257</v>
      </c>
      <c r="B2649" s="7" t="s">
        <v>8258</v>
      </c>
    </row>
    <row r="2650" spans="1:2">
      <c r="A2650" s="7" t="s">
        <v>8259</v>
      </c>
      <c r="B2650" s="7" t="s">
        <v>8260</v>
      </c>
    </row>
    <row r="2651" spans="1:2">
      <c r="A2651" s="7" t="s">
        <v>8261</v>
      </c>
      <c r="B2651" s="7" t="s">
        <v>8262</v>
      </c>
    </row>
    <row r="2652" spans="1:2">
      <c r="A2652" s="7" t="s">
        <v>8263</v>
      </c>
      <c r="B2652" s="7" t="s">
        <v>8264</v>
      </c>
    </row>
    <row r="2653" spans="1:2">
      <c r="A2653" s="7" t="s">
        <v>8265</v>
      </c>
      <c r="B2653" s="7" t="s">
        <v>8266</v>
      </c>
    </row>
    <row r="2654" spans="1:2">
      <c r="A2654" s="7" t="s">
        <v>8267</v>
      </c>
      <c r="B2654" s="7" t="s">
        <v>8268</v>
      </c>
    </row>
    <row r="2655" spans="1:2">
      <c r="A2655" s="7" t="s">
        <v>8269</v>
      </c>
      <c r="B2655" s="7" t="s">
        <v>3881</v>
      </c>
    </row>
    <row r="2656" spans="1:2">
      <c r="A2656" s="7" t="s">
        <v>8270</v>
      </c>
      <c r="B2656" s="7" t="s">
        <v>8271</v>
      </c>
    </row>
    <row r="2657" spans="1:2">
      <c r="A2657" s="7" t="s">
        <v>8272</v>
      </c>
      <c r="B2657" s="7" t="s">
        <v>8273</v>
      </c>
    </row>
    <row r="2658" spans="1:2">
      <c r="A2658" s="7" t="s">
        <v>8274</v>
      </c>
      <c r="B2658" s="7" t="s">
        <v>8275</v>
      </c>
    </row>
    <row r="2659" spans="1:2">
      <c r="A2659" s="7" t="s">
        <v>8276</v>
      </c>
      <c r="B2659" s="7" t="s">
        <v>8277</v>
      </c>
    </row>
    <row r="2660" spans="1:2">
      <c r="A2660" s="7" t="s">
        <v>8278</v>
      </c>
      <c r="B2660" s="7" t="s">
        <v>3237</v>
      </c>
    </row>
    <row r="2661" spans="1:2">
      <c r="A2661" s="7" t="s">
        <v>8279</v>
      </c>
      <c r="B2661" s="7" t="s">
        <v>8280</v>
      </c>
    </row>
    <row r="2662" spans="1:2">
      <c r="A2662" s="7" t="s">
        <v>8281</v>
      </c>
      <c r="B2662" s="7" t="s">
        <v>8282</v>
      </c>
    </row>
    <row r="2663" spans="1:2">
      <c r="A2663" s="7" t="s">
        <v>8283</v>
      </c>
      <c r="B2663" s="7" t="s">
        <v>8284</v>
      </c>
    </row>
    <row r="2664" spans="1:2">
      <c r="A2664" s="7" t="s">
        <v>8285</v>
      </c>
      <c r="B2664" s="7" t="s">
        <v>8286</v>
      </c>
    </row>
    <row r="2665" spans="1:2">
      <c r="A2665" s="7" t="s">
        <v>8287</v>
      </c>
      <c r="B2665" s="7" t="s">
        <v>8288</v>
      </c>
    </row>
    <row r="2666" spans="1:2">
      <c r="A2666" s="7" t="s">
        <v>8289</v>
      </c>
      <c r="B2666" s="7" t="s">
        <v>6797</v>
      </c>
    </row>
    <row r="2667" spans="1:2">
      <c r="A2667" s="7" t="s">
        <v>8290</v>
      </c>
      <c r="B2667" s="7" t="s">
        <v>5915</v>
      </c>
    </row>
    <row r="2668" spans="1:2">
      <c r="A2668" s="7" t="s">
        <v>8291</v>
      </c>
      <c r="B2668" s="7" t="s">
        <v>8292</v>
      </c>
    </row>
    <row r="2669" spans="1:2">
      <c r="A2669" s="7" t="s">
        <v>8293</v>
      </c>
      <c r="B2669" s="7" t="s">
        <v>8294</v>
      </c>
    </row>
    <row r="2670" spans="1:2">
      <c r="A2670" s="7" t="s">
        <v>8295</v>
      </c>
      <c r="B2670" s="7" t="s">
        <v>8296</v>
      </c>
    </row>
    <row r="2671" spans="1:2">
      <c r="A2671" s="7" t="s">
        <v>8297</v>
      </c>
      <c r="B2671" s="7" t="s">
        <v>7212</v>
      </c>
    </row>
    <row r="2672" spans="1:2">
      <c r="A2672" s="7" t="s">
        <v>8298</v>
      </c>
      <c r="B2672" s="7" t="s">
        <v>8299</v>
      </c>
    </row>
    <row r="2673" spans="1:2">
      <c r="A2673" s="7" t="s">
        <v>8300</v>
      </c>
      <c r="B2673" s="7" t="s">
        <v>8301</v>
      </c>
    </row>
    <row r="2674" spans="1:2">
      <c r="A2674" s="7" t="s">
        <v>8302</v>
      </c>
      <c r="B2674" s="7" t="s">
        <v>4117</v>
      </c>
    </row>
    <row r="2675" spans="1:2">
      <c r="A2675" s="7" t="s">
        <v>8303</v>
      </c>
      <c r="B2675" s="7" t="s">
        <v>8304</v>
      </c>
    </row>
    <row r="2676" spans="1:2">
      <c r="A2676" s="7" t="s">
        <v>8305</v>
      </c>
      <c r="B2676" s="7" t="s">
        <v>8306</v>
      </c>
    </row>
    <row r="2677" spans="1:2">
      <c r="A2677" s="7" t="s">
        <v>8307</v>
      </c>
      <c r="B2677" s="7" t="s">
        <v>8308</v>
      </c>
    </row>
    <row r="2678" spans="1:2">
      <c r="A2678" s="7" t="s">
        <v>8309</v>
      </c>
      <c r="B2678" s="7" t="s">
        <v>8310</v>
      </c>
    </row>
    <row r="2679" spans="1:2">
      <c r="A2679" s="7" t="s">
        <v>8311</v>
      </c>
      <c r="B2679" s="7" t="s">
        <v>8312</v>
      </c>
    </row>
    <row r="2680" spans="1:2">
      <c r="A2680" s="7" t="s">
        <v>8313</v>
      </c>
      <c r="B2680" s="7" t="s">
        <v>8314</v>
      </c>
    </row>
    <row r="2681" spans="1:2">
      <c r="A2681" s="7" t="s">
        <v>8315</v>
      </c>
      <c r="B2681" s="7" t="s">
        <v>8316</v>
      </c>
    </row>
    <row r="2682" spans="1:2">
      <c r="A2682" s="7" t="s">
        <v>8317</v>
      </c>
      <c r="B2682" s="7" t="s">
        <v>8318</v>
      </c>
    </row>
    <row r="2683" spans="1:2">
      <c r="A2683" s="7" t="s">
        <v>8319</v>
      </c>
      <c r="B2683" s="7" t="s">
        <v>8320</v>
      </c>
    </row>
    <row r="2684" spans="1:2">
      <c r="A2684" s="7" t="s">
        <v>8321</v>
      </c>
      <c r="B2684" s="7" t="s">
        <v>8322</v>
      </c>
    </row>
    <row r="2685" spans="1:2">
      <c r="A2685" s="7" t="s">
        <v>8323</v>
      </c>
      <c r="B2685" s="7" t="s">
        <v>8324</v>
      </c>
    </row>
    <row r="2686" spans="1:2">
      <c r="A2686" s="7" t="s">
        <v>8325</v>
      </c>
      <c r="B2686" s="7" t="s">
        <v>4074</v>
      </c>
    </row>
    <row r="2687" spans="1:2">
      <c r="A2687" s="7" t="s">
        <v>8326</v>
      </c>
      <c r="B2687" s="7" t="s">
        <v>8327</v>
      </c>
    </row>
    <row r="2688" spans="1:2">
      <c r="A2688" s="7" t="s">
        <v>8328</v>
      </c>
      <c r="B2688" s="7" t="s">
        <v>8329</v>
      </c>
    </row>
    <row r="2689" spans="1:2">
      <c r="A2689" s="7" t="s">
        <v>8330</v>
      </c>
      <c r="B2689" s="7" t="s">
        <v>8331</v>
      </c>
    </row>
    <row r="2690" spans="1:2">
      <c r="A2690" s="7" t="s">
        <v>8332</v>
      </c>
      <c r="B2690" s="7" t="s">
        <v>7550</v>
      </c>
    </row>
    <row r="2691" spans="1:2">
      <c r="A2691" s="7" t="s">
        <v>8333</v>
      </c>
      <c r="B2691" s="7" t="s">
        <v>8334</v>
      </c>
    </row>
    <row r="2692" spans="1:2">
      <c r="A2692" s="7" t="s">
        <v>8335</v>
      </c>
      <c r="B2692" s="7" t="s">
        <v>8336</v>
      </c>
    </row>
    <row r="2693" spans="1:2">
      <c r="A2693" s="7" t="s">
        <v>8337</v>
      </c>
      <c r="B2693" s="7" t="s">
        <v>4582</v>
      </c>
    </row>
    <row r="2694" spans="1:2">
      <c r="A2694" s="7" t="s">
        <v>8338</v>
      </c>
      <c r="B2694" s="7" t="s">
        <v>6592</v>
      </c>
    </row>
    <row r="2695" spans="1:2">
      <c r="A2695" s="7" t="s">
        <v>8339</v>
      </c>
      <c r="B2695" s="7" t="s">
        <v>8340</v>
      </c>
    </row>
    <row r="2696" spans="1:2">
      <c r="A2696" s="7" t="s">
        <v>8341</v>
      </c>
      <c r="B2696" s="7" t="s">
        <v>8342</v>
      </c>
    </row>
    <row r="2697" spans="1:2">
      <c r="A2697" s="7" t="s">
        <v>8343</v>
      </c>
      <c r="B2697" s="7" t="s">
        <v>8344</v>
      </c>
    </row>
    <row r="2698" spans="1:2">
      <c r="A2698" s="7" t="s">
        <v>8345</v>
      </c>
      <c r="B2698" s="7" t="s">
        <v>5150</v>
      </c>
    </row>
    <row r="2699" spans="1:2">
      <c r="A2699" s="7" t="s">
        <v>8346</v>
      </c>
      <c r="B2699" s="7" t="s">
        <v>8347</v>
      </c>
    </row>
    <row r="2700" spans="1:2">
      <c r="A2700" s="7" t="s">
        <v>8348</v>
      </c>
      <c r="B2700" s="7" t="s">
        <v>3331</v>
      </c>
    </row>
    <row r="2701" spans="1:2">
      <c r="A2701" s="7" t="s">
        <v>8349</v>
      </c>
      <c r="B2701" s="7" t="s">
        <v>8350</v>
      </c>
    </row>
    <row r="2702" spans="1:2">
      <c r="A2702" s="7" t="s">
        <v>8351</v>
      </c>
      <c r="B2702" s="7" t="s">
        <v>8352</v>
      </c>
    </row>
    <row r="2703" spans="1:2">
      <c r="A2703" s="7" t="s">
        <v>8353</v>
      </c>
      <c r="B2703" s="7" t="s">
        <v>8354</v>
      </c>
    </row>
    <row r="2704" spans="1:2">
      <c r="A2704" s="7" t="s">
        <v>8355</v>
      </c>
      <c r="B2704" s="7" t="s">
        <v>8356</v>
      </c>
    </row>
    <row r="2705" spans="1:2">
      <c r="A2705" s="7" t="s">
        <v>8357</v>
      </c>
      <c r="B2705" s="7" t="s">
        <v>8358</v>
      </c>
    </row>
    <row r="2706" spans="1:2">
      <c r="A2706" s="7" t="s">
        <v>8359</v>
      </c>
      <c r="B2706" s="7" t="s">
        <v>8360</v>
      </c>
    </row>
    <row r="2707" spans="1:2">
      <c r="A2707" s="7" t="s">
        <v>8361</v>
      </c>
      <c r="B2707" s="7" t="s">
        <v>3203</v>
      </c>
    </row>
    <row r="2708" spans="1:2">
      <c r="A2708" s="7" t="s">
        <v>8362</v>
      </c>
      <c r="B2708" s="7" t="s">
        <v>8363</v>
      </c>
    </row>
    <row r="2709" spans="1:2">
      <c r="A2709" s="7" t="s">
        <v>8364</v>
      </c>
      <c r="B2709" s="7" t="s">
        <v>8365</v>
      </c>
    </row>
    <row r="2710" spans="1:2">
      <c r="A2710" s="7" t="s">
        <v>8366</v>
      </c>
      <c r="B2710" s="7" t="s">
        <v>8367</v>
      </c>
    </row>
    <row r="2711" spans="1:2">
      <c r="A2711" s="7" t="s">
        <v>8368</v>
      </c>
      <c r="B2711" s="7" t="s">
        <v>8369</v>
      </c>
    </row>
    <row r="2712" spans="1:2">
      <c r="A2712" s="7" t="s">
        <v>8370</v>
      </c>
      <c r="B2712" s="7" t="s">
        <v>8371</v>
      </c>
    </row>
    <row r="2713" spans="1:2">
      <c r="A2713" s="7" t="s">
        <v>8372</v>
      </c>
      <c r="B2713" s="7" t="s">
        <v>8373</v>
      </c>
    </row>
    <row r="2714" spans="1:2">
      <c r="A2714" s="7" t="s">
        <v>8374</v>
      </c>
      <c r="B2714" s="7" t="s">
        <v>8375</v>
      </c>
    </row>
    <row r="2715" spans="1:2">
      <c r="A2715" s="7" t="s">
        <v>8376</v>
      </c>
      <c r="B2715" s="7" t="s">
        <v>8377</v>
      </c>
    </row>
    <row r="2716" spans="1:2">
      <c r="A2716" s="7" t="s">
        <v>8378</v>
      </c>
      <c r="B2716" s="7" t="s">
        <v>5015</v>
      </c>
    </row>
    <row r="2717" spans="1:2">
      <c r="A2717" s="7" t="s">
        <v>8379</v>
      </c>
      <c r="B2717" s="7" t="s">
        <v>4196</v>
      </c>
    </row>
    <row r="2718" spans="1:2">
      <c r="A2718" s="7" t="s">
        <v>8380</v>
      </c>
      <c r="B2718" s="7" t="s">
        <v>8381</v>
      </c>
    </row>
    <row r="2719" spans="1:2">
      <c r="A2719" s="7" t="s">
        <v>8382</v>
      </c>
      <c r="B2719" s="7" t="s">
        <v>8383</v>
      </c>
    </row>
    <row r="2720" spans="1:2">
      <c r="A2720" s="7" t="s">
        <v>8384</v>
      </c>
      <c r="B2720" s="7" t="s">
        <v>5259</v>
      </c>
    </row>
    <row r="2721" spans="1:2">
      <c r="A2721" s="7" t="s">
        <v>8385</v>
      </c>
      <c r="B2721" s="7" t="s">
        <v>8386</v>
      </c>
    </row>
    <row r="2722" spans="1:2">
      <c r="A2722" s="7" t="s">
        <v>8387</v>
      </c>
      <c r="B2722" s="7" t="s">
        <v>4041</v>
      </c>
    </row>
    <row r="2723" spans="1:2">
      <c r="A2723" s="7" t="s">
        <v>8388</v>
      </c>
      <c r="B2723" s="7" t="s">
        <v>8389</v>
      </c>
    </row>
    <row r="2724" spans="1:2">
      <c r="A2724" s="7" t="s">
        <v>8390</v>
      </c>
      <c r="B2724" s="7" t="s">
        <v>8391</v>
      </c>
    </row>
    <row r="2725" spans="1:2">
      <c r="A2725" s="7" t="s">
        <v>8392</v>
      </c>
      <c r="B2725" s="7" t="s">
        <v>8393</v>
      </c>
    </row>
    <row r="2726" spans="1:2">
      <c r="A2726" s="7" t="s">
        <v>8394</v>
      </c>
      <c r="B2726" s="7" t="s">
        <v>8395</v>
      </c>
    </row>
    <row r="2727" spans="1:2">
      <c r="A2727" s="7" t="s">
        <v>8396</v>
      </c>
      <c r="B2727" s="7" t="s">
        <v>8397</v>
      </c>
    </row>
    <row r="2728" spans="1:2">
      <c r="A2728" s="7" t="s">
        <v>8398</v>
      </c>
      <c r="B2728" s="7" t="s">
        <v>8399</v>
      </c>
    </row>
    <row r="2729" spans="1:2">
      <c r="A2729" s="7" t="s">
        <v>8400</v>
      </c>
      <c r="B2729" s="7" t="s">
        <v>8012</v>
      </c>
    </row>
    <row r="2730" spans="1:2">
      <c r="A2730" s="7" t="s">
        <v>8401</v>
      </c>
      <c r="B2730" s="7" t="s">
        <v>8402</v>
      </c>
    </row>
    <row r="2731" spans="1:2">
      <c r="A2731" s="7" t="s">
        <v>8403</v>
      </c>
      <c r="B2731" s="7" t="s">
        <v>3267</v>
      </c>
    </row>
    <row r="2732" spans="1:2">
      <c r="A2732" s="7" t="s">
        <v>8404</v>
      </c>
      <c r="B2732" s="7" t="s">
        <v>8405</v>
      </c>
    </row>
    <row r="2733" spans="1:2">
      <c r="A2733" s="7" t="s">
        <v>8406</v>
      </c>
      <c r="B2733" s="7" t="s">
        <v>8407</v>
      </c>
    </row>
    <row r="2734" spans="1:2">
      <c r="A2734" s="7" t="s">
        <v>8408</v>
      </c>
      <c r="B2734" s="7" t="s">
        <v>8409</v>
      </c>
    </row>
    <row r="2735" spans="1:2">
      <c r="A2735" s="7" t="s">
        <v>8410</v>
      </c>
      <c r="B2735" s="7" t="s">
        <v>8411</v>
      </c>
    </row>
    <row r="2736" spans="1:2">
      <c r="A2736" s="7" t="s">
        <v>8412</v>
      </c>
      <c r="B2736" s="7" t="s">
        <v>7208</v>
      </c>
    </row>
    <row r="2737" spans="1:2">
      <c r="A2737" s="7" t="s">
        <v>8413</v>
      </c>
      <c r="B2737" s="7" t="s">
        <v>8414</v>
      </c>
    </row>
    <row r="2738" spans="1:2">
      <c r="A2738" s="7" t="s">
        <v>8415</v>
      </c>
      <c r="B2738" s="7" t="s">
        <v>8416</v>
      </c>
    </row>
    <row r="2739" spans="1:2">
      <c r="A2739" s="7" t="s">
        <v>8417</v>
      </c>
      <c r="B2739" s="7" t="s">
        <v>8418</v>
      </c>
    </row>
    <row r="2740" spans="1:2">
      <c r="A2740" s="7" t="s">
        <v>8419</v>
      </c>
      <c r="B2740" s="7" t="s">
        <v>3881</v>
      </c>
    </row>
    <row r="2741" spans="1:2">
      <c r="A2741" s="7" t="s">
        <v>8420</v>
      </c>
      <c r="B2741" s="7" t="s">
        <v>4060</v>
      </c>
    </row>
    <row r="2742" spans="1:2">
      <c r="A2742" s="7" t="s">
        <v>8421</v>
      </c>
      <c r="B2742" s="7" t="s">
        <v>8422</v>
      </c>
    </row>
    <row r="2743" spans="1:2">
      <c r="A2743" s="7" t="s">
        <v>8423</v>
      </c>
      <c r="B2743" s="7" t="s">
        <v>8424</v>
      </c>
    </row>
    <row r="2744" spans="1:2">
      <c r="A2744" s="7" t="s">
        <v>8425</v>
      </c>
      <c r="B2744" s="7" t="s">
        <v>8426</v>
      </c>
    </row>
    <row r="2745" spans="1:2">
      <c r="A2745" s="7" t="s">
        <v>8427</v>
      </c>
      <c r="B2745" s="7" t="s">
        <v>8428</v>
      </c>
    </row>
    <row r="2746" spans="1:2">
      <c r="A2746" s="7" t="s">
        <v>8429</v>
      </c>
      <c r="B2746" s="7" t="s">
        <v>8430</v>
      </c>
    </row>
    <row r="2747" spans="1:2">
      <c r="A2747" s="7" t="s">
        <v>8431</v>
      </c>
      <c r="B2747" s="7" t="s">
        <v>8432</v>
      </c>
    </row>
    <row r="2748" spans="1:2">
      <c r="A2748" s="7" t="s">
        <v>8433</v>
      </c>
      <c r="B2748" s="7" t="s">
        <v>8434</v>
      </c>
    </row>
    <row r="2749" spans="1:2">
      <c r="A2749" s="7" t="s">
        <v>8435</v>
      </c>
      <c r="B2749" s="7" t="s">
        <v>8436</v>
      </c>
    </row>
    <row r="2750" spans="1:2">
      <c r="A2750" s="7" t="s">
        <v>8437</v>
      </c>
      <c r="B2750" s="7" t="s">
        <v>8438</v>
      </c>
    </row>
    <row r="2751" spans="1:2">
      <c r="A2751" s="7" t="s">
        <v>8439</v>
      </c>
      <c r="B2751" s="7" t="s">
        <v>7758</v>
      </c>
    </row>
    <row r="2752" spans="1:2">
      <c r="A2752" s="7" t="s">
        <v>8440</v>
      </c>
      <c r="B2752" s="7" t="s">
        <v>8441</v>
      </c>
    </row>
    <row r="2753" spans="1:2">
      <c r="A2753" s="7" t="s">
        <v>8442</v>
      </c>
      <c r="B2753" s="7" t="s">
        <v>8443</v>
      </c>
    </row>
    <row r="2754" spans="1:2">
      <c r="A2754" s="7" t="s">
        <v>8444</v>
      </c>
      <c r="B2754" s="7" t="s">
        <v>8445</v>
      </c>
    </row>
    <row r="2755" spans="1:2">
      <c r="A2755" s="7" t="s">
        <v>8446</v>
      </c>
      <c r="B2755" s="7" t="s">
        <v>8447</v>
      </c>
    </row>
    <row r="2756" spans="1:2">
      <c r="A2756" s="7" t="s">
        <v>8448</v>
      </c>
      <c r="B2756" s="7" t="s">
        <v>8449</v>
      </c>
    </row>
    <row r="2757" spans="1:2">
      <c r="A2757" s="7" t="s">
        <v>8450</v>
      </c>
      <c r="B2757" s="7" t="s">
        <v>8451</v>
      </c>
    </row>
    <row r="2758" spans="1:2">
      <c r="A2758" s="7" t="s">
        <v>8452</v>
      </c>
      <c r="B2758" s="7" t="s">
        <v>8453</v>
      </c>
    </row>
    <row r="2759" spans="1:2">
      <c r="A2759" s="7" t="s">
        <v>8454</v>
      </c>
      <c r="B2759" s="7" t="s">
        <v>8455</v>
      </c>
    </row>
    <row r="2760" spans="1:2">
      <c r="A2760" s="7" t="s">
        <v>8456</v>
      </c>
      <c r="B2760" s="7" t="s">
        <v>8457</v>
      </c>
    </row>
    <row r="2761" spans="1:2">
      <c r="A2761" s="7" t="s">
        <v>8458</v>
      </c>
      <c r="B2761" s="7" t="s">
        <v>8459</v>
      </c>
    </row>
    <row r="2762" spans="1:2">
      <c r="A2762" s="7" t="s">
        <v>8460</v>
      </c>
      <c r="B2762" s="7" t="s">
        <v>7340</v>
      </c>
    </row>
    <row r="2763" spans="1:2">
      <c r="A2763" s="7" t="s">
        <v>8461</v>
      </c>
      <c r="B2763" s="7" t="s">
        <v>8462</v>
      </c>
    </row>
    <row r="2764" spans="1:2">
      <c r="A2764" s="7" t="s">
        <v>8463</v>
      </c>
      <c r="B2764" s="7" t="s">
        <v>8464</v>
      </c>
    </row>
    <row r="2765" spans="1:2">
      <c r="A2765" s="7" t="s">
        <v>8465</v>
      </c>
      <c r="B2765" s="7" t="s">
        <v>8466</v>
      </c>
    </row>
    <row r="2766" spans="1:2">
      <c r="A2766" s="7" t="s">
        <v>8467</v>
      </c>
      <c r="B2766" s="7" t="s">
        <v>3634</v>
      </c>
    </row>
    <row r="2767" spans="1:2">
      <c r="A2767" s="7" t="s">
        <v>8468</v>
      </c>
      <c r="B2767" s="7" t="s">
        <v>8469</v>
      </c>
    </row>
    <row r="2768" spans="1:2">
      <c r="A2768" s="7" t="s">
        <v>8470</v>
      </c>
      <c r="B2768" s="7" t="s">
        <v>8471</v>
      </c>
    </row>
    <row r="2769" spans="1:2">
      <c r="A2769" s="7" t="s">
        <v>8472</v>
      </c>
      <c r="B2769" s="7" t="s">
        <v>8473</v>
      </c>
    </row>
    <row r="2770" spans="1:2">
      <c r="A2770" s="7" t="s">
        <v>8474</v>
      </c>
      <c r="B2770" s="7" t="s">
        <v>8475</v>
      </c>
    </row>
    <row r="2771" spans="1:2">
      <c r="A2771" s="7" t="s">
        <v>8476</v>
      </c>
      <c r="B2771" s="7" t="s">
        <v>7251</v>
      </c>
    </row>
    <row r="2772" spans="1:2">
      <c r="A2772" s="7" t="s">
        <v>8477</v>
      </c>
      <c r="B2772" s="7" t="s">
        <v>8478</v>
      </c>
    </row>
    <row r="2773" spans="1:2">
      <c r="A2773" s="7" t="s">
        <v>8479</v>
      </c>
      <c r="B2773" s="7" t="s">
        <v>5415</v>
      </c>
    </row>
    <row r="2774" spans="1:2">
      <c r="A2774" s="7" t="s">
        <v>8480</v>
      </c>
      <c r="B2774" s="7" t="s">
        <v>8481</v>
      </c>
    </row>
    <row r="2775" spans="1:2">
      <c r="A2775" s="7" t="s">
        <v>8482</v>
      </c>
      <c r="B2775" s="7" t="s">
        <v>8483</v>
      </c>
    </row>
    <row r="2776" spans="1:2">
      <c r="A2776" s="7" t="s">
        <v>8484</v>
      </c>
      <c r="B2776" s="7" t="s">
        <v>4918</v>
      </c>
    </row>
    <row r="2777" spans="1:2">
      <c r="A2777" s="7" t="s">
        <v>8485</v>
      </c>
      <c r="B2777" s="7" t="s">
        <v>8486</v>
      </c>
    </row>
    <row r="2778" spans="1:2">
      <c r="A2778" s="7" t="s">
        <v>8487</v>
      </c>
      <c r="B2778" s="7" t="s">
        <v>4808</v>
      </c>
    </row>
    <row r="2779" spans="1:2">
      <c r="A2779" s="7" t="s">
        <v>8488</v>
      </c>
      <c r="B2779" s="7" t="s">
        <v>8489</v>
      </c>
    </row>
    <row r="2780" spans="1:2">
      <c r="A2780" s="7" t="s">
        <v>8490</v>
      </c>
      <c r="B2780" s="7" t="s">
        <v>5288</v>
      </c>
    </row>
    <row r="2781" spans="1:2">
      <c r="A2781" s="7" t="s">
        <v>8491</v>
      </c>
      <c r="B2781" s="7" t="s">
        <v>8492</v>
      </c>
    </row>
    <row r="2782" spans="1:2">
      <c r="A2782" s="7" t="s">
        <v>8493</v>
      </c>
      <c r="B2782" s="7" t="s">
        <v>8494</v>
      </c>
    </row>
    <row r="2783" spans="1:2">
      <c r="A2783" s="7" t="s">
        <v>8495</v>
      </c>
      <c r="B2783" s="7" t="s">
        <v>7959</v>
      </c>
    </row>
    <row r="2784" spans="1:2">
      <c r="A2784" s="7" t="s">
        <v>8496</v>
      </c>
      <c r="B2784" s="7" t="s">
        <v>3660</v>
      </c>
    </row>
    <row r="2785" spans="1:2">
      <c r="A2785" s="7" t="s">
        <v>8497</v>
      </c>
      <c r="B2785" s="7" t="s">
        <v>8498</v>
      </c>
    </row>
    <row r="2786" spans="1:2">
      <c r="A2786" s="7" t="s">
        <v>8499</v>
      </c>
      <c r="B2786" s="7" t="s">
        <v>8500</v>
      </c>
    </row>
    <row r="2787" spans="1:2">
      <c r="A2787" s="7" t="s">
        <v>8501</v>
      </c>
      <c r="B2787" s="7" t="s">
        <v>8502</v>
      </c>
    </row>
    <row r="2788" spans="1:2">
      <c r="A2788" s="7" t="s">
        <v>8503</v>
      </c>
      <c r="B2788" s="7" t="s">
        <v>8504</v>
      </c>
    </row>
    <row r="2789" spans="1:2">
      <c r="A2789" s="7" t="s">
        <v>8505</v>
      </c>
      <c r="B2789" s="7" t="s">
        <v>8506</v>
      </c>
    </row>
    <row r="2790" spans="1:2">
      <c r="A2790" s="7" t="s">
        <v>8507</v>
      </c>
      <c r="B2790" s="7" t="s">
        <v>8508</v>
      </c>
    </row>
    <row r="2791" spans="1:2">
      <c r="A2791" s="7" t="s">
        <v>8509</v>
      </c>
      <c r="B2791" s="7" t="s">
        <v>8510</v>
      </c>
    </row>
    <row r="2792" spans="1:2">
      <c r="A2792" s="7" t="s">
        <v>8511</v>
      </c>
      <c r="B2792" s="7" t="s">
        <v>8512</v>
      </c>
    </row>
    <row r="2793" spans="1:2">
      <c r="A2793" s="7" t="s">
        <v>8513</v>
      </c>
      <c r="B2793" s="7" t="s">
        <v>8514</v>
      </c>
    </row>
    <row r="2794" spans="1:2">
      <c r="A2794" s="7" t="s">
        <v>8515</v>
      </c>
      <c r="B2794" s="7" t="s">
        <v>8516</v>
      </c>
    </row>
    <row r="2795" spans="1:2">
      <c r="A2795" s="7" t="s">
        <v>8517</v>
      </c>
      <c r="B2795" s="7" t="s">
        <v>4136</v>
      </c>
    </row>
    <row r="2796" spans="1:2">
      <c r="A2796" s="7" t="s">
        <v>8518</v>
      </c>
      <c r="B2796" s="7" t="s">
        <v>8519</v>
      </c>
    </row>
    <row r="2797" spans="1:2">
      <c r="A2797" s="7" t="s">
        <v>8520</v>
      </c>
      <c r="B2797" s="7" t="s">
        <v>6594</v>
      </c>
    </row>
    <row r="2798" spans="1:2">
      <c r="A2798" s="7" t="s">
        <v>8521</v>
      </c>
      <c r="B2798" s="7" t="s">
        <v>8522</v>
      </c>
    </row>
    <row r="2799" spans="1:2">
      <c r="A2799" s="7" t="s">
        <v>8523</v>
      </c>
      <c r="B2799" s="7" t="s">
        <v>8524</v>
      </c>
    </row>
    <row r="2800" spans="1:2">
      <c r="A2800" s="7" t="s">
        <v>8525</v>
      </c>
      <c r="B2800" s="7" t="s">
        <v>8526</v>
      </c>
    </row>
    <row r="2801" spans="1:2">
      <c r="A2801" s="7" t="s">
        <v>8527</v>
      </c>
      <c r="B2801" s="7" t="s">
        <v>8528</v>
      </c>
    </row>
    <row r="2802" spans="1:2">
      <c r="A2802" s="7" t="s">
        <v>8529</v>
      </c>
      <c r="B2802" s="7" t="s">
        <v>8530</v>
      </c>
    </row>
    <row r="2803" spans="1:2">
      <c r="A2803" s="7" t="s">
        <v>8531</v>
      </c>
      <c r="B2803" s="7" t="s">
        <v>8532</v>
      </c>
    </row>
    <row r="2804" spans="1:2">
      <c r="A2804" s="7" t="s">
        <v>8533</v>
      </c>
      <c r="B2804" s="7" t="s">
        <v>8534</v>
      </c>
    </row>
    <row r="2805" spans="1:2">
      <c r="A2805" s="7" t="s">
        <v>8535</v>
      </c>
      <c r="B2805" s="7" t="s">
        <v>5220</v>
      </c>
    </row>
    <row r="2806" spans="1:2">
      <c r="A2806" s="7" t="s">
        <v>8536</v>
      </c>
      <c r="B2806" s="7" t="s">
        <v>7208</v>
      </c>
    </row>
    <row r="2807" spans="1:2">
      <c r="A2807" s="7" t="s">
        <v>8537</v>
      </c>
      <c r="B2807" s="7" t="s">
        <v>8538</v>
      </c>
    </row>
    <row r="2808" spans="1:2">
      <c r="A2808" s="7" t="s">
        <v>8539</v>
      </c>
      <c r="B2808" s="7" t="s">
        <v>6412</v>
      </c>
    </row>
    <row r="2809" spans="1:2">
      <c r="A2809" s="7" t="s">
        <v>8540</v>
      </c>
      <c r="B2809" s="7" t="s">
        <v>8541</v>
      </c>
    </row>
    <row r="2810" spans="1:2">
      <c r="A2810" s="7" t="s">
        <v>8542</v>
      </c>
      <c r="B2810" s="7" t="s">
        <v>8543</v>
      </c>
    </row>
    <row r="2811" spans="1:2">
      <c r="A2811" s="7" t="s">
        <v>8544</v>
      </c>
      <c r="B2811" s="7" t="s">
        <v>8545</v>
      </c>
    </row>
    <row r="2812" spans="1:2">
      <c r="A2812" s="7" t="s">
        <v>8546</v>
      </c>
      <c r="B2812" s="7" t="s">
        <v>8547</v>
      </c>
    </row>
    <row r="2813" spans="1:2">
      <c r="A2813" s="7" t="s">
        <v>8548</v>
      </c>
      <c r="B2813" s="7" t="s">
        <v>8549</v>
      </c>
    </row>
    <row r="2814" spans="1:2">
      <c r="A2814" s="7" t="s">
        <v>8550</v>
      </c>
      <c r="B2814" s="7" t="s">
        <v>8551</v>
      </c>
    </row>
    <row r="2815" spans="1:2">
      <c r="A2815" s="7" t="s">
        <v>8552</v>
      </c>
      <c r="B2815" s="7" t="s">
        <v>8553</v>
      </c>
    </row>
    <row r="2816" spans="1:2">
      <c r="A2816" s="7" t="s">
        <v>8554</v>
      </c>
      <c r="B2816" s="7" t="s">
        <v>7849</v>
      </c>
    </row>
    <row r="2817" spans="1:2">
      <c r="A2817" s="7" t="s">
        <v>8555</v>
      </c>
      <c r="B2817" s="7" t="s">
        <v>8556</v>
      </c>
    </row>
    <row r="2818" spans="1:2">
      <c r="A2818" s="7" t="s">
        <v>8557</v>
      </c>
      <c r="B2818" s="7" t="s">
        <v>4984</v>
      </c>
    </row>
    <row r="2819" spans="1:2">
      <c r="A2819" s="7" t="s">
        <v>8558</v>
      </c>
      <c r="B2819" s="7" t="s">
        <v>8559</v>
      </c>
    </row>
    <row r="2820" spans="1:2">
      <c r="A2820" s="7" t="s">
        <v>8560</v>
      </c>
      <c r="B2820" s="7" t="s">
        <v>8561</v>
      </c>
    </row>
    <row r="2821" spans="1:2">
      <c r="A2821" s="7" t="s">
        <v>8562</v>
      </c>
      <c r="B2821" s="7" t="s">
        <v>8563</v>
      </c>
    </row>
    <row r="2822" spans="1:2">
      <c r="A2822" s="7" t="s">
        <v>8564</v>
      </c>
      <c r="B2822" s="7" t="s">
        <v>8565</v>
      </c>
    </row>
    <row r="2823" spans="1:2">
      <c r="A2823" s="7" t="s">
        <v>8566</v>
      </c>
      <c r="B2823" s="7" t="s">
        <v>8567</v>
      </c>
    </row>
    <row r="2824" spans="1:2">
      <c r="A2824" s="7" t="s">
        <v>8568</v>
      </c>
      <c r="B2824" s="7" t="s">
        <v>8569</v>
      </c>
    </row>
    <row r="2825" spans="1:2">
      <c r="A2825" s="7" t="s">
        <v>8570</v>
      </c>
      <c r="B2825" s="7" t="s">
        <v>4664</v>
      </c>
    </row>
    <row r="2826" spans="1:2">
      <c r="A2826" s="7" t="s">
        <v>8571</v>
      </c>
      <c r="B2826" s="7" t="s">
        <v>8572</v>
      </c>
    </row>
    <row r="2827" spans="1:2">
      <c r="A2827" s="7" t="s">
        <v>8573</v>
      </c>
      <c r="B2827" s="7" t="s">
        <v>8574</v>
      </c>
    </row>
    <row r="2828" spans="1:2">
      <c r="A2828" s="7" t="s">
        <v>8575</v>
      </c>
      <c r="B2828" s="7" t="s">
        <v>8576</v>
      </c>
    </row>
    <row r="2829" spans="1:2">
      <c r="A2829" s="7" t="s">
        <v>8577</v>
      </c>
      <c r="B2829" s="7" t="s">
        <v>8578</v>
      </c>
    </row>
    <row r="2830" spans="1:2">
      <c r="A2830" s="7" t="s">
        <v>8579</v>
      </c>
      <c r="B2830" s="7" t="s">
        <v>8580</v>
      </c>
    </row>
    <row r="2831" spans="1:2">
      <c r="A2831" s="7" t="s">
        <v>8581</v>
      </c>
      <c r="B2831" s="7" t="s">
        <v>7412</v>
      </c>
    </row>
    <row r="2832" spans="1:2">
      <c r="A2832" s="7" t="s">
        <v>8582</v>
      </c>
      <c r="B2832" s="7" t="s">
        <v>8583</v>
      </c>
    </row>
    <row r="2833" spans="1:2">
      <c r="A2833" s="7" t="s">
        <v>8584</v>
      </c>
      <c r="B2833" s="7" t="s">
        <v>8585</v>
      </c>
    </row>
    <row r="2834" spans="1:2">
      <c r="A2834" s="7" t="s">
        <v>8586</v>
      </c>
      <c r="B2834" s="7" t="s">
        <v>8587</v>
      </c>
    </row>
    <row r="2835" spans="1:2">
      <c r="A2835" s="7" t="s">
        <v>8588</v>
      </c>
      <c r="B2835" s="7" t="s">
        <v>8589</v>
      </c>
    </row>
    <row r="2836" spans="1:2">
      <c r="A2836" s="7" t="s">
        <v>8590</v>
      </c>
      <c r="B2836" s="7" t="s">
        <v>8591</v>
      </c>
    </row>
    <row r="2837" spans="1:2">
      <c r="A2837" s="7" t="s">
        <v>8592</v>
      </c>
      <c r="B2837" s="7" t="s">
        <v>3901</v>
      </c>
    </row>
    <row r="2838" spans="1:2">
      <c r="A2838" s="7" t="s">
        <v>8593</v>
      </c>
      <c r="B2838" s="7" t="s">
        <v>8594</v>
      </c>
    </row>
    <row r="2839" spans="1:2">
      <c r="A2839" s="7" t="s">
        <v>8595</v>
      </c>
      <c r="B2839" s="7" t="s">
        <v>8596</v>
      </c>
    </row>
    <row r="2840" spans="1:2">
      <c r="A2840" s="7" t="s">
        <v>8597</v>
      </c>
      <c r="B2840" s="7" t="s">
        <v>8598</v>
      </c>
    </row>
    <row r="2841" spans="1:2">
      <c r="A2841" s="7" t="s">
        <v>8599</v>
      </c>
      <c r="B2841" s="7" t="s">
        <v>8600</v>
      </c>
    </row>
    <row r="2842" spans="1:2">
      <c r="A2842" s="7" t="s">
        <v>8601</v>
      </c>
      <c r="B2842" s="7" t="s">
        <v>4259</v>
      </c>
    </row>
    <row r="2843" spans="1:2">
      <c r="A2843" s="7" t="s">
        <v>8602</v>
      </c>
      <c r="B2843" s="7" t="s">
        <v>8603</v>
      </c>
    </row>
    <row r="2844" spans="1:2">
      <c r="A2844" s="7" t="s">
        <v>8604</v>
      </c>
      <c r="B2844" s="7" t="s">
        <v>8605</v>
      </c>
    </row>
    <row r="2845" spans="1:2">
      <c r="A2845" s="7" t="s">
        <v>8606</v>
      </c>
      <c r="B2845" s="7" t="s">
        <v>6617</v>
      </c>
    </row>
    <row r="2846" spans="1:2">
      <c r="A2846" s="7" t="s">
        <v>8607</v>
      </c>
      <c r="B2846" s="7" t="s">
        <v>8608</v>
      </c>
    </row>
    <row r="2847" spans="1:2">
      <c r="A2847" s="7" t="s">
        <v>8609</v>
      </c>
      <c r="B2847" s="7" t="s">
        <v>8610</v>
      </c>
    </row>
    <row r="2848" spans="1:2">
      <c r="A2848" s="7" t="s">
        <v>8611</v>
      </c>
      <c r="B2848" s="7" t="s">
        <v>8612</v>
      </c>
    </row>
    <row r="2849" spans="1:2">
      <c r="A2849" s="7" t="s">
        <v>8613</v>
      </c>
      <c r="B2849" s="7" t="s">
        <v>3617</v>
      </c>
    </row>
    <row r="2850" spans="1:2">
      <c r="A2850" s="7" t="s">
        <v>8614</v>
      </c>
      <c r="B2850" s="7" t="s">
        <v>8615</v>
      </c>
    </row>
    <row r="2851" spans="1:2">
      <c r="A2851" s="7" t="s">
        <v>8616</v>
      </c>
      <c r="B2851" s="7" t="s">
        <v>8617</v>
      </c>
    </row>
    <row r="2852" spans="1:2">
      <c r="A2852" s="7" t="s">
        <v>8618</v>
      </c>
      <c r="B2852" s="7" t="s">
        <v>8619</v>
      </c>
    </row>
    <row r="2853" spans="1:2">
      <c r="A2853" s="7" t="s">
        <v>8620</v>
      </c>
      <c r="B2853" s="7" t="s">
        <v>8621</v>
      </c>
    </row>
    <row r="2854" spans="1:2">
      <c r="A2854" s="7" t="s">
        <v>8622</v>
      </c>
      <c r="B2854" s="7" t="s">
        <v>8623</v>
      </c>
    </row>
    <row r="2855" spans="1:2">
      <c r="A2855" s="7" t="s">
        <v>8624</v>
      </c>
      <c r="B2855" s="7" t="s">
        <v>8625</v>
      </c>
    </row>
    <row r="2856" spans="1:2">
      <c r="A2856" s="7" t="s">
        <v>8626</v>
      </c>
      <c r="B2856" s="7" t="s">
        <v>8627</v>
      </c>
    </row>
    <row r="2857" spans="1:2">
      <c r="A2857" s="7" t="s">
        <v>8628</v>
      </c>
      <c r="B2857" s="7" t="s">
        <v>3253</v>
      </c>
    </row>
    <row r="2858" spans="1:2">
      <c r="A2858" s="7" t="s">
        <v>8629</v>
      </c>
      <c r="B2858" s="7" t="s">
        <v>7165</v>
      </c>
    </row>
    <row r="2859" spans="1:2">
      <c r="A2859" s="7" t="s">
        <v>8630</v>
      </c>
      <c r="B2859" s="7" t="s">
        <v>8631</v>
      </c>
    </row>
    <row r="2860" spans="1:2">
      <c r="A2860" s="7" t="s">
        <v>8632</v>
      </c>
      <c r="B2860" s="7" t="s">
        <v>8633</v>
      </c>
    </row>
    <row r="2861" spans="1:2">
      <c r="A2861" s="7" t="s">
        <v>8634</v>
      </c>
      <c r="B2861" s="7" t="s">
        <v>7779</v>
      </c>
    </row>
    <row r="2862" spans="1:2">
      <c r="A2862" s="7" t="s">
        <v>8635</v>
      </c>
      <c r="B2862" s="7" t="s">
        <v>8636</v>
      </c>
    </row>
    <row r="2863" spans="1:2">
      <c r="A2863" s="7" t="s">
        <v>8637</v>
      </c>
      <c r="B2863" s="7" t="s">
        <v>4050</v>
      </c>
    </row>
    <row r="2864" spans="1:2">
      <c r="A2864" s="7" t="s">
        <v>8638</v>
      </c>
      <c r="B2864" s="7" t="s">
        <v>8639</v>
      </c>
    </row>
    <row r="2865" spans="1:2">
      <c r="A2865" s="7" t="s">
        <v>8640</v>
      </c>
      <c r="B2865" s="7" t="s">
        <v>6555</v>
      </c>
    </row>
    <row r="2866" spans="1:2">
      <c r="A2866" s="7" t="s">
        <v>8641</v>
      </c>
      <c r="B2866" s="7" t="s">
        <v>8642</v>
      </c>
    </row>
    <row r="2867" spans="1:2">
      <c r="A2867" s="7" t="s">
        <v>8643</v>
      </c>
      <c r="B2867" s="7" t="s">
        <v>8644</v>
      </c>
    </row>
    <row r="2868" spans="1:2">
      <c r="A2868" s="7" t="s">
        <v>8645</v>
      </c>
      <c r="B2868" s="7" t="s">
        <v>8646</v>
      </c>
    </row>
    <row r="2869" spans="1:2">
      <c r="A2869" s="7" t="s">
        <v>8647</v>
      </c>
      <c r="B2869" s="7" t="s">
        <v>8648</v>
      </c>
    </row>
    <row r="2870" spans="1:2">
      <c r="A2870" s="7" t="s">
        <v>8649</v>
      </c>
      <c r="B2870" s="7" t="s">
        <v>8650</v>
      </c>
    </row>
    <row r="2871" spans="1:2">
      <c r="A2871" s="7" t="s">
        <v>8651</v>
      </c>
      <c r="B2871" s="7" t="s">
        <v>8652</v>
      </c>
    </row>
    <row r="2872" spans="1:2">
      <c r="A2872" s="7" t="s">
        <v>8653</v>
      </c>
      <c r="B2872" s="7" t="s">
        <v>6663</v>
      </c>
    </row>
    <row r="2873" spans="1:2">
      <c r="A2873" s="7" t="s">
        <v>8654</v>
      </c>
      <c r="B2873" s="7" t="s">
        <v>8655</v>
      </c>
    </row>
    <row r="2874" spans="1:2">
      <c r="A2874" s="7" t="s">
        <v>8656</v>
      </c>
      <c r="B2874" s="7" t="s">
        <v>8657</v>
      </c>
    </row>
    <row r="2875" spans="1:2">
      <c r="A2875" s="7" t="s">
        <v>8658</v>
      </c>
      <c r="B2875" s="7" t="s">
        <v>8659</v>
      </c>
    </row>
    <row r="2876" spans="1:2">
      <c r="A2876" s="7" t="s">
        <v>8660</v>
      </c>
      <c r="B2876" s="7" t="s">
        <v>8661</v>
      </c>
    </row>
    <row r="2877" spans="1:2">
      <c r="A2877" s="7" t="s">
        <v>8662</v>
      </c>
      <c r="B2877" s="7" t="s">
        <v>8663</v>
      </c>
    </row>
    <row r="2878" spans="1:2">
      <c r="A2878" s="7" t="s">
        <v>8664</v>
      </c>
      <c r="B2878" s="7" t="s">
        <v>8665</v>
      </c>
    </row>
    <row r="2879" spans="1:2">
      <c r="A2879" s="7" t="s">
        <v>8666</v>
      </c>
      <c r="B2879" s="7" t="s">
        <v>8667</v>
      </c>
    </row>
    <row r="2880" spans="1:2">
      <c r="A2880" s="7" t="s">
        <v>8668</v>
      </c>
      <c r="B2880" s="7" t="s">
        <v>8669</v>
      </c>
    </row>
    <row r="2881" spans="1:2">
      <c r="A2881" s="7" t="s">
        <v>8670</v>
      </c>
      <c r="B2881" s="7" t="s">
        <v>8671</v>
      </c>
    </row>
    <row r="2882" spans="1:2">
      <c r="A2882" s="7" t="s">
        <v>8672</v>
      </c>
      <c r="B2882" s="7" t="s">
        <v>4685</v>
      </c>
    </row>
    <row r="2883" spans="1:2">
      <c r="A2883" s="7" t="s">
        <v>8673</v>
      </c>
      <c r="B2883" s="7" t="s">
        <v>8674</v>
      </c>
    </row>
    <row r="2884" spans="1:2">
      <c r="A2884" s="7" t="s">
        <v>8675</v>
      </c>
      <c r="B2884" s="7" t="s">
        <v>8676</v>
      </c>
    </row>
    <row r="2885" spans="1:2">
      <c r="A2885" s="7" t="s">
        <v>8677</v>
      </c>
      <c r="B2885" s="7" t="s">
        <v>7051</v>
      </c>
    </row>
    <row r="2886" spans="1:2">
      <c r="A2886" s="7" t="s">
        <v>8678</v>
      </c>
      <c r="B2886" s="7" t="s">
        <v>8679</v>
      </c>
    </row>
    <row r="2887" spans="1:2">
      <c r="A2887" s="7" t="s">
        <v>8680</v>
      </c>
      <c r="B2887" s="7" t="s">
        <v>7226</v>
      </c>
    </row>
    <row r="2888" spans="1:2">
      <c r="A2888" s="7" t="s">
        <v>8681</v>
      </c>
      <c r="B2888" s="7" t="s">
        <v>8682</v>
      </c>
    </row>
    <row r="2889" spans="1:2">
      <c r="A2889" s="7" t="s">
        <v>8683</v>
      </c>
      <c r="B2889" s="7" t="s">
        <v>8684</v>
      </c>
    </row>
    <row r="2890" spans="1:2">
      <c r="A2890" s="7" t="s">
        <v>8685</v>
      </c>
      <c r="B2890" s="7" t="s">
        <v>8686</v>
      </c>
    </row>
    <row r="2891" spans="1:2">
      <c r="A2891" s="7" t="s">
        <v>8687</v>
      </c>
      <c r="B2891" s="7" t="s">
        <v>8688</v>
      </c>
    </row>
    <row r="2892" spans="1:2">
      <c r="A2892" s="7" t="s">
        <v>8689</v>
      </c>
      <c r="B2892" s="7" t="s">
        <v>8690</v>
      </c>
    </row>
    <row r="2893" spans="1:2">
      <c r="A2893" s="7" t="s">
        <v>8691</v>
      </c>
      <c r="B2893" s="7" t="s">
        <v>8692</v>
      </c>
    </row>
    <row r="2894" spans="1:2">
      <c r="A2894" s="7" t="s">
        <v>8693</v>
      </c>
      <c r="B2894" s="7" t="s">
        <v>3597</v>
      </c>
    </row>
    <row r="2895" spans="1:2">
      <c r="A2895" s="7" t="s">
        <v>8694</v>
      </c>
      <c r="B2895" s="7" t="s">
        <v>8695</v>
      </c>
    </row>
    <row r="2896" spans="1:2">
      <c r="A2896" s="7" t="s">
        <v>8696</v>
      </c>
      <c r="B2896" s="7" t="s">
        <v>8697</v>
      </c>
    </row>
    <row r="2897" spans="1:2">
      <c r="A2897" s="7" t="s">
        <v>8698</v>
      </c>
      <c r="B2897" s="7" t="s">
        <v>8699</v>
      </c>
    </row>
    <row r="2898" spans="1:2">
      <c r="A2898" s="7" t="s">
        <v>8700</v>
      </c>
      <c r="B2898" s="7" t="s">
        <v>8701</v>
      </c>
    </row>
    <row r="2899" spans="1:2">
      <c r="A2899" s="7" t="s">
        <v>8702</v>
      </c>
      <c r="B2899" s="7" t="s">
        <v>8703</v>
      </c>
    </row>
    <row r="2900" spans="1:2">
      <c r="A2900" s="7" t="s">
        <v>8704</v>
      </c>
      <c r="B2900" s="7" t="s">
        <v>8705</v>
      </c>
    </row>
    <row r="2901" spans="1:2">
      <c r="A2901" s="7" t="s">
        <v>8706</v>
      </c>
      <c r="B2901" s="7" t="s">
        <v>8707</v>
      </c>
    </row>
    <row r="2902" spans="1:2">
      <c r="A2902" s="7" t="s">
        <v>8708</v>
      </c>
      <c r="B2902" s="7" t="s">
        <v>8709</v>
      </c>
    </row>
    <row r="2903" spans="1:2">
      <c r="A2903" s="7" t="s">
        <v>8710</v>
      </c>
      <c r="B2903" s="7" t="s">
        <v>8711</v>
      </c>
    </row>
    <row r="2904" spans="1:2">
      <c r="A2904" s="7" t="s">
        <v>8712</v>
      </c>
      <c r="B2904" s="7" t="s">
        <v>7849</v>
      </c>
    </row>
    <row r="2905" spans="1:2">
      <c r="A2905" s="7" t="s">
        <v>8713</v>
      </c>
      <c r="B2905" s="7" t="s">
        <v>8714</v>
      </c>
    </row>
    <row r="2906" spans="1:2">
      <c r="A2906" s="7" t="s">
        <v>8715</v>
      </c>
      <c r="B2906" s="7" t="s">
        <v>8716</v>
      </c>
    </row>
    <row r="2907" spans="1:2">
      <c r="A2907" s="7" t="s">
        <v>8717</v>
      </c>
      <c r="B2907" s="7" t="s">
        <v>8718</v>
      </c>
    </row>
    <row r="2908" spans="1:2">
      <c r="A2908" s="7" t="s">
        <v>8719</v>
      </c>
      <c r="B2908" s="7" t="s">
        <v>5115</v>
      </c>
    </row>
    <row r="2909" spans="1:2">
      <c r="A2909" s="7" t="s">
        <v>8720</v>
      </c>
      <c r="B2909" s="7" t="s">
        <v>8721</v>
      </c>
    </row>
    <row r="2910" spans="1:2">
      <c r="A2910" s="7" t="s">
        <v>8722</v>
      </c>
      <c r="B2910" s="7" t="s">
        <v>8723</v>
      </c>
    </row>
    <row r="2911" spans="1:2">
      <c r="A2911" s="7" t="s">
        <v>8724</v>
      </c>
      <c r="B2911" s="7" t="s">
        <v>8725</v>
      </c>
    </row>
    <row r="2912" spans="1:2">
      <c r="A2912" s="7" t="s">
        <v>8726</v>
      </c>
      <c r="B2912" s="7" t="s">
        <v>8727</v>
      </c>
    </row>
    <row r="2913" spans="1:2">
      <c r="A2913" s="7" t="s">
        <v>8728</v>
      </c>
      <c r="B2913" s="7" t="s">
        <v>8729</v>
      </c>
    </row>
    <row r="2914" spans="1:2">
      <c r="A2914" s="7" t="s">
        <v>8730</v>
      </c>
      <c r="B2914" s="7" t="s">
        <v>8731</v>
      </c>
    </row>
    <row r="2915" spans="1:2">
      <c r="A2915" s="7" t="s">
        <v>8732</v>
      </c>
      <c r="B2915" s="7" t="s">
        <v>8733</v>
      </c>
    </row>
    <row r="2916" spans="1:2">
      <c r="A2916" s="7" t="s">
        <v>8734</v>
      </c>
      <c r="B2916" s="7" t="s">
        <v>4522</v>
      </c>
    </row>
    <row r="2917" spans="1:2">
      <c r="A2917" s="7" t="s">
        <v>8735</v>
      </c>
      <c r="B2917" s="7" t="s">
        <v>8736</v>
      </c>
    </row>
    <row r="2918" spans="1:2">
      <c r="A2918" s="7" t="s">
        <v>8737</v>
      </c>
      <c r="B2918" s="7" t="s">
        <v>7257</v>
      </c>
    </row>
    <row r="2919" spans="1:2">
      <c r="A2919" s="7" t="s">
        <v>8738</v>
      </c>
      <c r="B2919" s="7" t="s">
        <v>5446</v>
      </c>
    </row>
    <row r="2920" spans="1:2">
      <c r="A2920" s="7" t="s">
        <v>8739</v>
      </c>
      <c r="B2920" s="7" t="s">
        <v>8740</v>
      </c>
    </row>
    <row r="2921" spans="1:2">
      <c r="A2921" s="7" t="s">
        <v>8741</v>
      </c>
      <c r="B2921" s="7" t="s">
        <v>8742</v>
      </c>
    </row>
    <row r="2922" spans="1:2">
      <c r="A2922" s="7" t="s">
        <v>8743</v>
      </c>
      <c r="B2922" s="7" t="s">
        <v>8744</v>
      </c>
    </row>
    <row r="2923" spans="1:2">
      <c r="A2923" s="7" t="s">
        <v>8745</v>
      </c>
      <c r="B2923" s="7" t="s">
        <v>8746</v>
      </c>
    </row>
    <row r="2924" spans="1:2">
      <c r="A2924" s="7" t="s">
        <v>8747</v>
      </c>
      <c r="B2924" s="7" t="s">
        <v>8748</v>
      </c>
    </row>
    <row r="2925" spans="1:2">
      <c r="A2925" s="7" t="s">
        <v>8749</v>
      </c>
      <c r="B2925" s="7" t="s">
        <v>8750</v>
      </c>
    </row>
    <row r="2926" spans="1:2">
      <c r="A2926" s="7" t="s">
        <v>8751</v>
      </c>
      <c r="B2926" s="7" t="s">
        <v>8752</v>
      </c>
    </row>
    <row r="2927" spans="1:2">
      <c r="A2927" s="7" t="s">
        <v>8753</v>
      </c>
      <c r="B2927" s="7" t="s">
        <v>8754</v>
      </c>
    </row>
    <row r="2928" spans="1:2">
      <c r="A2928" s="7" t="s">
        <v>8755</v>
      </c>
      <c r="B2928" s="7" t="s">
        <v>8756</v>
      </c>
    </row>
    <row r="2929" spans="1:2">
      <c r="A2929" s="7" t="s">
        <v>8757</v>
      </c>
      <c r="B2929" s="7" t="s">
        <v>8758</v>
      </c>
    </row>
    <row r="2930" spans="1:2">
      <c r="A2930" s="7" t="s">
        <v>8759</v>
      </c>
      <c r="B2930" s="7" t="s">
        <v>8760</v>
      </c>
    </row>
    <row r="2931" spans="1:2">
      <c r="A2931" s="7" t="s">
        <v>8761</v>
      </c>
      <c r="B2931" s="7" t="s">
        <v>8762</v>
      </c>
    </row>
    <row r="2932" spans="1:2">
      <c r="A2932" s="7" t="s">
        <v>8763</v>
      </c>
      <c r="B2932" s="7" t="s">
        <v>8764</v>
      </c>
    </row>
    <row r="2933" spans="1:2">
      <c r="A2933" s="7" t="s">
        <v>8765</v>
      </c>
      <c r="B2933" s="7" t="s">
        <v>8766</v>
      </c>
    </row>
    <row r="2934" spans="1:2">
      <c r="A2934" s="7" t="s">
        <v>8767</v>
      </c>
      <c r="B2934" s="7" t="s">
        <v>8768</v>
      </c>
    </row>
    <row r="2935" spans="1:2">
      <c r="A2935" s="7" t="s">
        <v>8769</v>
      </c>
      <c r="B2935" s="7" t="s">
        <v>8770</v>
      </c>
    </row>
    <row r="2936" spans="1:2">
      <c r="A2936" s="7" t="s">
        <v>8771</v>
      </c>
      <c r="B2936" s="7" t="s">
        <v>8772</v>
      </c>
    </row>
    <row r="2937" spans="1:2">
      <c r="A2937" s="7" t="s">
        <v>8773</v>
      </c>
      <c r="B2937" s="7" t="s">
        <v>8774</v>
      </c>
    </row>
    <row r="2938" spans="1:2">
      <c r="A2938" s="7" t="s">
        <v>8775</v>
      </c>
      <c r="B2938" s="7" t="s">
        <v>8776</v>
      </c>
    </row>
    <row r="2939" spans="1:2">
      <c r="A2939" s="7" t="s">
        <v>8777</v>
      </c>
      <c r="B2939" s="7" t="s">
        <v>8778</v>
      </c>
    </row>
    <row r="2940" spans="1:2">
      <c r="A2940" s="7" t="s">
        <v>8779</v>
      </c>
      <c r="B2940" s="7" t="s">
        <v>8780</v>
      </c>
    </row>
    <row r="2941" spans="1:2">
      <c r="A2941" s="7" t="s">
        <v>8781</v>
      </c>
      <c r="B2941" s="7" t="s">
        <v>8782</v>
      </c>
    </row>
    <row r="2942" spans="1:2">
      <c r="A2942" s="7" t="s">
        <v>8783</v>
      </c>
      <c r="B2942" s="7" t="s">
        <v>8784</v>
      </c>
    </row>
    <row r="2943" spans="1:2">
      <c r="A2943" s="7" t="s">
        <v>8785</v>
      </c>
      <c r="B2943" s="7" t="s">
        <v>8786</v>
      </c>
    </row>
    <row r="2944" spans="1:2">
      <c r="A2944" s="7" t="s">
        <v>8787</v>
      </c>
      <c r="B2944" s="7" t="s">
        <v>8788</v>
      </c>
    </row>
    <row r="2945" spans="1:2">
      <c r="A2945" s="7" t="s">
        <v>8789</v>
      </c>
      <c r="B2945" s="7" t="s">
        <v>8790</v>
      </c>
    </row>
    <row r="2946" spans="1:2">
      <c r="A2946" s="7" t="s">
        <v>8791</v>
      </c>
      <c r="B2946" s="7" t="s">
        <v>8792</v>
      </c>
    </row>
    <row r="2947" spans="1:2">
      <c r="A2947" s="7" t="s">
        <v>8793</v>
      </c>
      <c r="B2947" s="7" t="s">
        <v>8794</v>
      </c>
    </row>
    <row r="2948" spans="1:2">
      <c r="A2948" s="7" t="s">
        <v>8795</v>
      </c>
      <c r="B2948" s="7" t="s">
        <v>8796</v>
      </c>
    </row>
    <row r="2949" spans="1:2">
      <c r="A2949" s="7" t="s">
        <v>8797</v>
      </c>
      <c r="B2949" s="7" t="s">
        <v>8798</v>
      </c>
    </row>
    <row r="2950" spans="1:2">
      <c r="A2950" s="7" t="s">
        <v>8799</v>
      </c>
      <c r="B2950" s="7" t="s">
        <v>8800</v>
      </c>
    </row>
    <row r="2951" spans="1:2">
      <c r="A2951" s="7" t="s">
        <v>8801</v>
      </c>
      <c r="B2951" s="7" t="s">
        <v>8802</v>
      </c>
    </row>
    <row r="2952" spans="1:2">
      <c r="A2952" s="7" t="s">
        <v>8803</v>
      </c>
      <c r="B2952" s="7" t="s">
        <v>8804</v>
      </c>
    </row>
    <row r="2953" spans="1:2">
      <c r="A2953" s="7" t="s">
        <v>8805</v>
      </c>
      <c r="B2953" s="7" t="s">
        <v>8806</v>
      </c>
    </row>
    <row r="2954" spans="1:2">
      <c r="A2954" s="7" t="s">
        <v>8807</v>
      </c>
      <c r="B2954" s="7" t="s">
        <v>8808</v>
      </c>
    </row>
    <row r="2955" spans="1:2">
      <c r="A2955" s="7" t="s">
        <v>8809</v>
      </c>
      <c r="B2955" s="7" t="s">
        <v>8810</v>
      </c>
    </row>
    <row r="2956" spans="1:2">
      <c r="A2956" s="7" t="s">
        <v>8811</v>
      </c>
      <c r="B2956" s="7" t="s">
        <v>8812</v>
      </c>
    </row>
    <row r="2957" spans="1:2">
      <c r="A2957" s="7" t="s">
        <v>8813</v>
      </c>
      <c r="B2957" s="7" t="s">
        <v>8814</v>
      </c>
    </row>
    <row r="2958" spans="1:2">
      <c r="A2958" s="7" t="s">
        <v>8815</v>
      </c>
      <c r="B2958" s="7" t="s">
        <v>8816</v>
      </c>
    </row>
    <row r="2959" spans="1:2">
      <c r="A2959" s="7" t="s">
        <v>8817</v>
      </c>
      <c r="B2959" s="7" t="s">
        <v>8818</v>
      </c>
    </row>
    <row r="2960" spans="1:2">
      <c r="A2960" s="7" t="s">
        <v>8819</v>
      </c>
      <c r="B2960" s="7" t="s">
        <v>8820</v>
      </c>
    </row>
    <row r="2961" spans="1:2">
      <c r="A2961" s="7" t="s">
        <v>8821</v>
      </c>
      <c r="B2961" s="7" t="s">
        <v>8822</v>
      </c>
    </row>
    <row r="2962" spans="1:2">
      <c r="A2962" s="7" t="s">
        <v>8823</v>
      </c>
      <c r="B2962" s="7" t="s">
        <v>8824</v>
      </c>
    </row>
    <row r="2963" spans="1:2">
      <c r="A2963" s="7" t="s">
        <v>8825</v>
      </c>
      <c r="B2963" s="7" t="s">
        <v>8826</v>
      </c>
    </row>
    <row r="2964" spans="1:2">
      <c r="A2964" s="7" t="s">
        <v>8827</v>
      </c>
      <c r="B2964" s="7" t="s">
        <v>8828</v>
      </c>
    </row>
    <row r="2965" spans="1:2">
      <c r="A2965" s="7" t="s">
        <v>8829</v>
      </c>
      <c r="B2965" s="7" t="s">
        <v>8830</v>
      </c>
    </row>
    <row r="2966" spans="1:2">
      <c r="A2966" s="7" t="s">
        <v>8831</v>
      </c>
      <c r="B2966" s="7" t="s">
        <v>8832</v>
      </c>
    </row>
    <row r="2967" spans="1:2">
      <c r="A2967" s="7" t="s">
        <v>8833</v>
      </c>
      <c r="B2967" s="7" t="s">
        <v>8834</v>
      </c>
    </row>
    <row r="2968" spans="1:2">
      <c r="A2968" s="7" t="s">
        <v>8835</v>
      </c>
      <c r="B2968" s="7" t="s">
        <v>8836</v>
      </c>
    </row>
    <row r="2969" spans="1:2">
      <c r="A2969" s="7" t="s">
        <v>8837</v>
      </c>
      <c r="B2969" s="7" t="s">
        <v>8838</v>
      </c>
    </row>
    <row r="2970" spans="1:2">
      <c r="A2970" s="7" t="s">
        <v>8839</v>
      </c>
      <c r="B2970" s="7" t="s">
        <v>8840</v>
      </c>
    </row>
    <row r="2971" spans="1:2">
      <c r="A2971" s="7" t="s">
        <v>8841</v>
      </c>
      <c r="B2971" s="7" t="s">
        <v>8842</v>
      </c>
    </row>
    <row r="2972" spans="1:2">
      <c r="A2972" s="7" t="s">
        <v>8843</v>
      </c>
      <c r="B2972" s="7" t="s">
        <v>8844</v>
      </c>
    </row>
    <row r="2973" spans="1:2">
      <c r="A2973" s="7" t="s">
        <v>8845</v>
      </c>
      <c r="B2973" s="7" t="s">
        <v>8846</v>
      </c>
    </row>
    <row r="2974" spans="1:2">
      <c r="A2974" s="7" t="s">
        <v>8847</v>
      </c>
      <c r="B2974" s="7" t="s">
        <v>8848</v>
      </c>
    </row>
    <row r="2975" spans="1:2">
      <c r="A2975" s="7" t="s">
        <v>8849</v>
      </c>
      <c r="B2975" s="7" t="s">
        <v>4138</v>
      </c>
    </row>
    <row r="2976" spans="1:2">
      <c r="A2976" s="7" t="s">
        <v>8850</v>
      </c>
      <c r="B2976" s="7" t="s">
        <v>8851</v>
      </c>
    </row>
    <row r="2977" spans="1:2">
      <c r="A2977" s="7" t="s">
        <v>8852</v>
      </c>
      <c r="B2977" s="7" t="s">
        <v>8853</v>
      </c>
    </row>
    <row r="2978" spans="1:2">
      <c r="A2978" s="7" t="s">
        <v>8854</v>
      </c>
      <c r="B2978" s="7" t="s">
        <v>8855</v>
      </c>
    </row>
    <row r="2979" spans="1:2">
      <c r="A2979" s="7" t="s">
        <v>8856</v>
      </c>
      <c r="B2979" s="7" t="s">
        <v>8857</v>
      </c>
    </row>
    <row r="2980" spans="1:2">
      <c r="A2980" s="7" t="s">
        <v>8858</v>
      </c>
      <c r="B2980" s="7" t="s">
        <v>8859</v>
      </c>
    </row>
    <row r="2981" spans="1:2">
      <c r="A2981" s="7" t="s">
        <v>8860</v>
      </c>
      <c r="B2981" s="7" t="s">
        <v>8861</v>
      </c>
    </row>
    <row r="2982" spans="1:2">
      <c r="A2982" s="7" t="s">
        <v>8862</v>
      </c>
      <c r="B2982" s="7" t="s">
        <v>8863</v>
      </c>
    </row>
    <row r="2983" spans="1:2">
      <c r="A2983" s="7" t="s">
        <v>8864</v>
      </c>
      <c r="B2983" s="7" t="s">
        <v>8865</v>
      </c>
    </row>
    <row r="2984" spans="1:2">
      <c r="A2984" s="7" t="s">
        <v>8866</v>
      </c>
      <c r="B2984" s="7" t="s">
        <v>8867</v>
      </c>
    </row>
    <row r="2985" spans="1:2">
      <c r="A2985" s="7" t="s">
        <v>8868</v>
      </c>
      <c r="B2985" s="7" t="s">
        <v>8869</v>
      </c>
    </row>
    <row r="2986" spans="1:2">
      <c r="A2986" s="7" t="s">
        <v>8870</v>
      </c>
      <c r="B2986" s="7" t="s">
        <v>8871</v>
      </c>
    </row>
    <row r="2987" spans="1:2">
      <c r="A2987" s="7" t="s">
        <v>8872</v>
      </c>
      <c r="B2987" s="7" t="s">
        <v>8873</v>
      </c>
    </row>
    <row r="2988" spans="1:2">
      <c r="A2988" s="7" t="s">
        <v>8874</v>
      </c>
      <c r="B2988" s="7" t="s">
        <v>8875</v>
      </c>
    </row>
    <row r="2989" spans="1:2">
      <c r="A2989" s="7" t="s">
        <v>8876</v>
      </c>
      <c r="B2989" s="7" t="s">
        <v>8877</v>
      </c>
    </row>
    <row r="2990" spans="1:2">
      <c r="A2990" s="7" t="s">
        <v>8878</v>
      </c>
      <c r="B2990" s="7" t="s">
        <v>8879</v>
      </c>
    </row>
    <row r="2991" spans="1:2">
      <c r="A2991" s="7" t="s">
        <v>8880</v>
      </c>
      <c r="B2991" s="7" t="s">
        <v>8881</v>
      </c>
    </row>
    <row r="2992" spans="1:2">
      <c r="A2992" s="7" t="s">
        <v>8882</v>
      </c>
      <c r="B2992" s="7" t="s">
        <v>8740</v>
      </c>
    </row>
    <row r="2993" spans="1:2">
      <c r="A2993" s="7" t="s">
        <v>8883</v>
      </c>
      <c r="B2993" s="7" t="s">
        <v>8884</v>
      </c>
    </row>
    <row r="2994" spans="1:2">
      <c r="A2994" s="7" t="s">
        <v>8885</v>
      </c>
      <c r="B2994" s="7" t="s">
        <v>8886</v>
      </c>
    </row>
    <row r="2995" spans="1:2">
      <c r="A2995" s="7" t="s">
        <v>8887</v>
      </c>
      <c r="B2995" s="7" t="s">
        <v>8888</v>
      </c>
    </row>
    <row r="2996" spans="1:2">
      <c r="A2996" s="7" t="s">
        <v>8889</v>
      </c>
      <c r="B2996" s="7" t="s">
        <v>8890</v>
      </c>
    </row>
    <row r="2997" spans="1:2">
      <c r="A2997" s="7" t="s">
        <v>8891</v>
      </c>
      <c r="B2997" s="7" t="s">
        <v>8892</v>
      </c>
    </row>
    <row r="2998" spans="1:2">
      <c r="A2998" s="7" t="s">
        <v>8893</v>
      </c>
      <c r="B2998" s="7" t="s">
        <v>8894</v>
      </c>
    </row>
    <row r="2999" spans="1:2">
      <c r="A2999" s="7" t="s">
        <v>8895</v>
      </c>
      <c r="B2999" s="7" t="s">
        <v>8896</v>
      </c>
    </row>
    <row r="3000" spans="1:2">
      <c r="A3000" s="7" t="s">
        <v>8897</v>
      </c>
      <c r="B3000" s="7" t="s">
        <v>8898</v>
      </c>
    </row>
    <row r="3001" spans="1:2">
      <c r="A3001" s="7" t="s">
        <v>8899</v>
      </c>
      <c r="B3001" s="7" t="s">
        <v>8900</v>
      </c>
    </row>
    <row r="3002" spans="1:2">
      <c r="A3002" s="7" t="s">
        <v>8901</v>
      </c>
      <c r="B3002" s="7" t="s">
        <v>8902</v>
      </c>
    </row>
    <row r="3003" spans="1:2">
      <c r="A3003" s="7" t="s">
        <v>8903</v>
      </c>
      <c r="B3003" s="7" t="s">
        <v>8904</v>
      </c>
    </row>
    <row r="3004" spans="1:2">
      <c r="A3004" s="7" t="s">
        <v>8905</v>
      </c>
      <c r="B3004" s="7" t="s">
        <v>8906</v>
      </c>
    </row>
    <row r="3005" spans="1:2">
      <c r="A3005" s="7" t="s">
        <v>8907</v>
      </c>
      <c r="B3005" s="7" t="s">
        <v>8908</v>
      </c>
    </row>
    <row r="3006" spans="1:2">
      <c r="A3006" s="7" t="s">
        <v>8909</v>
      </c>
      <c r="B3006" s="7" t="s">
        <v>8910</v>
      </c>
    </row>
    <row r="3007" spans="1:2">
      <c r="A3007" s="7" t="s">
        <v>8911</v>
      </c>
      <c r="B3007" s="7" t="s">
        <v>8912</v>
      </c>
    </row>
    <row r="3008" spans="1:2">
      <c r="A3008" s="7" t="s">
        <v>8913</v>
      </c>
      <c r="B3008" s="7" t="s">
        <v>8914</v>
      </c>
    </row>
    <row r="3009" spans="1:2">
      <c r="A3009" s="7" t="s">
        <v>8915</v>
      </c>
      <c r="B3009" s="7" t="s">
        <v>8916</v>
      </c>
    </row>
    <row r="3010" spans="1:2">
      <c r="A3010" s="7" t="s">
        <v>8917</v>
      </c>
      <c r="B3010" s="7" t="s">
        <v>8918</v>
      </c>
    </row>
    <row r="3011" spans="1:2">
      <c r="A3011" s="7" t="s">
        <v>8919</v>
      </c>
      <c r="B3011" s="7" t="s">
        <v>8920</v>
      </c>
    </row>
    <row r="3012" spans="1:2">
      <c r="A3012" s="7" t="s">
        <v>8921</v>
      </c>
      <c r="B3012" s="7" t="s">
        <v>8922</v>
      </c>
    </row>
    <row r="3013" spans="1:2">
      <c r="A3013" s="7" t="s">
        <v>8923</v>
      </c>
      <c r="B3013" s="7" t="s">
        <v>8924</v>
      </c>
    </row>
    <row r="3014" spans="1:2">
      <c r="A3014" s="7" t="s">
        <v>8925</v>
      </c>
      <c r="B3014" s="7" t="s">
        <v>8926</v>
      </c>
    </row>
    <row r="3015" spans="1:2">
      <c r="A3015" s="7" t="s">
        <v>8927</v>
      </c>
      <c r="B3015" s="7" t="s">
        <v>8928</v>
      </c>
    </row>
    <row r="3016" spans="1:2">
      <c r="A3016" s="7" t="s">
        <v>8929</v>
      </c>
      <c r="B3016" s="7" t="s">
        <v>8930</v>
      </c>
    </row>
    <row r="3017" spans="1:2">
      <c r="A3017" s="7" t="s">
        <v>8931</v>
      </c>
      <c r="B3017" s="7" t="s">
        <v>8744</v>
      </c>
    </row>
    <row r="3018" spans="1:2">
      <c r="A3018" s="7" t="s">
        <v>8932</v>
      </c>
      <c r="B3018" s="7" t="s">
        <v>8933</v>
      </c>
    </row>
    <row r="3019" spans="1:2">
      <c r="A3019" s="7" t="s">
        <v>8934</v>
      </c>
      <c r="B3019" s="7" t="s">
        <v>8935</v>
      </c>
    </row>
    <row r="3020" spans="1:2">
      <c r="A3020" s="7" t="s">
        <v>8936</v>
      </c>
      <c r="B3020" s="7" t="s">
        <v>5249</v>
      </c>
    </row>
    <row r="3021" spans="1:2">
      <c r="A3021" s="7" t="s">
        <v>8937</v>
      </c>
      <c r="B3021" s="7" t="s">
        <v>8938</v>
      </c>
    </row>
    <row r="3022" spans="1:2">
      <c r="A3022" s="7" t="s">
        <v>8939</v>
      </c>
      <c r="B3022" s="7" t="s">
        <v>8940</v>
      </c>
    </row>
    <row r="3023" spans="1:2">
      <c r="A3023" s="7" t="s">
        <v>8941</v>
      </c>
      <c r="B3023" s="7" t="s">
        <v>8942</v>
      </c>
    </row>
    <row r="3024" spans="1:2">
      <c r="A3024" s="7" t="s">
        <v>8943</v>
      </c>
      <c r="B3024" s="7" t="s">
        <v>8944</v>
      </c>
    </row>
    <row r="3025" spans="1:2">
      <c r="A3025" s="7" t="s">
        <v>8945</v>
      </c>
      <c r="B3025" s="7" t="s">
        <v>8946</v>
      </c>
    </row>
    <row r="3026" spans="1:2">
      <c r="A3026" s="7" t="s">
        <v>8947</v>
      </c>
      <c r="B3026" s="7" t="s">
        <v>8948</v>
      </c>
    </row>
    <row r="3027" spans="1:2">
      <c r="A3027" s="7" t="s">
        <v>8949</v>
      </c>
      <c r="B3027" s="7" t="s">
        <v>8950</v>
      </c>
    </row>
    <row r="3028" spans="1:2">
      <c r="A3028" s="7" t="s">
        <v>8951</v>
      </c>
      <c r="B3028" s="7" t="s">
        <v>8952</v>
      </c>
    </row>
    <row r="3029" spans="1:2">
      <c r="A3029" s="7" t="s">
        <v>8953</v>
      </c>
      <c r="B3029" s="7" t="s">
        <v>8954</v>
      </c>
    </row>
    <row r="3030" spans="1:2">
      <c r="A3030" s="7" t="s">
        <v>8955</v>
      </c>
      <c r="B3030" s="7" t="s">
        <v>8956</v>
      </c>
    </row>
    <row r="3031" spans="1:2">
      <c r="A3031" s="7" t="s">
        <v>8957</v>
      </c>
      <c r="B3031" s="7" t="s">
        <v>8958</v>
      </c>
    </row>
    <row r="3032" spans="1:2">
      <c r="A3032" s="7" t="s">
        <v>8959</v>
      </c>
      <c r="B3032" s="7" t="s">
        <v>8960</v>
      </c>
    </row>
    <row r="3033" spans="1:2">
      <c r="A3033" s="7" t="s">
        <v>8961</v>
      </c>
      <c r="B3033" s="7" t="s">
        <v>8962</v>
      </c>
    </row>
    <row r="3034" spans="1:2">
      <c r="A3034" s="7" t="s">
        <v>8963</v>
      </c>
      <c r="B3034" s="7" t="s">
        <v>8964</v>
      </c>
    </row>
    <row r="3035" spans="1:2">
      <c r="A3035" s="7" t="s">
        <v>8965</v>
      </c>
      <c r="B3035" s="7" t="s">
        <v>8966</v>
      </c>
    </row>
    <row r="3036" spans="1:2">
      <c r="A3036" s="7" t="s">
        <v>8967</v>
      </c>
      <c r="B3036" s="7" t="s">
        <v>8968</v>
      </c>
    </row>
    <row r="3037" spans="1:2">
      <c r="A3037" s="7" t="s">
        <v>8969</v>
      </c>
      <c r="B3037" s="7" t="s">
        <v>8970</v>
      </c>
    </row>
    <row r="3038" spans="1:2">
      <c r="A3038" s="7" t="s">
        <v>8971</v>
      </c>
      <c r="B3038" s="7" t="s">
        <v>8972</v>
      </c>
    </row>
    <row r="3039" spans="1:2">
      <c r="A3039" s="7" t="s">
        <v>8973</v>
      </c>
      <c r="B3039" s="7" t="s">
        <v>6793</v>
      </c>
    </row>
    <row r="3040" spans="1:2">
      <c r="A3040" s="7" t="s">
        <v>8974</v>
      </c>
      <c r="B3040" s="7" t="s">
        <v>8975</v>
      </c>
    </row>
    <row r="3041" spans="1:2">
      <c r="A3041" s="7" t="s">
        <v>8976</v>
      </c>
      <c r="B3041" s="7" t="s">
        <v>8977</v>
      </c>
    </row>
    <row r="3042" spans="1:2">
      <c r="A3042" s="7" t="s">
        <v>8978</v>
      </c>
      <c r="B3042" s="7" t="s">
        <v>8979</v>
      </c>
    </row>
    <row r="3043" spans="1:2">
      <c r="A3043" s="7" t="s">
        <v>8980</v>
      </c>
      <c r="B3043" s="7" t="s">
        <v>8981</v>
      </c>
    </row>
    <row r="3044" spans="1:2">
      <c r="A3044" s="7" t="s">
        <v>8982</v>
      </c>
      <c r="B3044" s="7" t="s">
        <v>8983</v>
      </c>
    </row>
    <row r="3045" spans="1:2">
      <c r="A3045" s="7" t="s">
        <v>8984</v>
      </c>
      <c r="B3045" s="7" t="s">
        <v>8985</v>
      </c>
    </row>
    <row r="3046" spans="1:2">
      <c r="A3046" s="7" t="s">
        <v>8986</v>
      </c>
      <c r="B3046" s="7" t="s">
        <v>8987</v>
      </c>
    </row>
    <row r="3047" spans="1:2">
      <c r="A3047" s="7" t="s">
        <v>8988</v>
      </c>
      <c r="B3047" s="7" t="s">
        <v>8989</v>
      </c>
    </row>
    <row r="3048" spans="1:2">
      <c r="A3048" s="7" t="s">
        <v>8990</v>
      </c>
      <c r="B3048" s="7" t="s">
        <v>8701</v>
      </c>
    </row>
    <row r="3049" spans="1:2">
      <c r="A3049" s="7" t="s">
        <v>8991</v>
      </c>
      <c r="B3049" s="7" t="s">
        <v>8992</v>
      </c>
    </row>
    <row r="3050" spans="1:2">
      <c r="A3050" s="7" t="s">
        <v>8993</v>
      </c>
      <c r="B3050" s="7" t="s">
        <v>8994</v>
      </c>
    </row>
    <row r="3051" spans="1:2">
      <c r="A3051" s="7" t="s">
        <v>8995</v>
      </c>
      <c r="B3051" s="7" t="s">
        <v>8996</v>
      </c>
    </row>
    <row r="3052" spans="1:2">
      <c r="A3052" s="7" t="s">
        <v>8997</v>
      </c>
      <c r="B3052" s="7" t="s">
        <v>8998</v>
      </c>
    </row>
    <row r="3053" spans="1:2">
      <c r="A3053" s="7" t="s">
        <v>8999</v>
      </c>
      <c r="B3053" s="7" t="s">
        <v>6822</v>
      </c>
    </row>
    <row r="3054" spans="1:2">
      <c r="A3054" s="7" t="s">
        <v>9000</v>
      </c>
      <c r="B3054" s="7" t="s">
        <v>9001</v>
      </c>
    </row>
    <row r="3055" spans="1:2">
      <c r="A3055" s="7" t="s">
        <v>9002</v>
      </c>
      <c r="B3055" s="7" t="s">
        <v>9003</v>
      </c>
    </row>
    <row r="3056" spans="1:2">
      <c r="A3056" s="7" t="s">
        <v>9004</v>
      </c>
      <c r="B3056" s="7" t="s">
        <v>9005</v>
      </c>
    </row>
    <row r="3057" spans="1:2">
      <c r="A3057" s="7" t="s">
        <v>9006</v>
      </c>
      <c r="B3057" s="7" t="s">
        <v>3431</v>
      </c>
    </row>
    <row r="3058" spans="1:2">
      <c r="A3058" s="7" t="s">
        <v>9007</v>
      </c>
      <c r="B3058" s="7" t="s">
        <v>4600</v>
      </c>
    </row>
    <row r="3059" spans="1:2">
      <c r="A3059" s="7" t="s">
        <v>9008</v>
      </c>
      <c r="B3059" s="7" t="s">
        <v>9009</v>
      </c>
    </row>
    <row r="3060" spans="1:2">
      <c r="A3060" s="7" t="s">
        <v>9010</v>
      </c>
      <c r="B3060" s="7" t="s">
        <v>9011</v>
      </c>
    </row>
    <row r="3061" spans="1:2">
      <c r="A3061" s="7" t="s">
        <v>9012</v>
      </c>
      <c r="B3061" s="7" t="s">
        <v>9013</v>
      </c>
    </row>
    <row r="3062" spans="1:2">
      <c r="A3062" s="7" t="s">
        <v>9014</v>
      </c>
      <c r="B3062" s="7" t="s">
        <v>9015</v>
      </c>
    </row>
    <row r="3063" spans="1:2">
      <c r="A3063" s="7" t="s">
        <v>9016</v>
      </c>
      <c r="B3063" s="7" t="s">
        <v>9017</v>
      </c>
    </row>
    <row r="3064" spans="1:2">
      <c r="A3064" s="7" t="s">
        <v>9018</v>
      </c>
      <c r="B3064" s="7" t="s">
        <v>9019</v>
      </c>
    </row>
    <row r="3065" spans="1:2">
      <c r="A3065" s="7" t="s">
        <v>9020</v>
      </c>
      <c r="B3065" s="7" t="s">
        <v>9021</v>
      </c>
    </row>
    <row r="3066" spans="1:2">
      <c r="A3066" s="7" t="s">
        <v>9022</v>
      </c>
      <c r="B3066" s="7" t="s">
        <v>9023</v>
      </c>
    </row>
    <row r="3067" spans="1:2">
      <c r="A3067" s="7" t="s">
        <v>9024</v>
      </c>
      <c r="B3067" s="7" t="s">
        <v>9025</v>
      </c>
    </row>
    <row r="3068" spans="1:2">
      <c r="A3068" s="7" t="s">
        <v>9026</v>
      </c>
      <c r="B3068" s="7" t="s">
        <v>9027</v>
      </c>
    </row>
    <row r="3069" spans="1:2">
      <c r="A3069" s="7" t="s">
        <v>9028</v>
      </c>
      <c r="B3069" s="7" t="s">
        <v>9029</v>
      </c>
    </row>
    <row r="3070" spans="1:2">
      <c r="A3070" s="7" t="s">
        <v>9030</v>
      </c>
      <c r="B3070" s="7" t="s">
        <v>9031</v>
      </c>
    </row>
    <row r="3071" spans="1:2">
      <c r="A3071" s="7" t="s">
        <v>9032</v>
      </c>
      <c r="B3071" s="7" t="s">
        <v>9033</v>
      </c>
    </row>
    <row r="3072" spans="1:2">
      <c r="A3072" s="7" t="s">
        <v>9034</v>
      </c>
      <c r="B3072" s="7" t="s">
        <v>9035</v>
      </c>
    </row>
    <row r="3073" spans="1:2">
      <c r="A3073" s="7" t="s">
        <v>9036</v>
      </c>
      <c r="B3073" s="7" t="s">
        <v>9037</v>
      </c>
    </row>
    <row r="3074" spans="1:2">
      <c r="A3074" s="7" t="s">
        <v>9038</v>
      </c>
      <c r="B3074" s="7" t="s">
        <v>4281</v>
      </c>
    </row>
    <row r="3075" spans="1:2">
      <c r="A3075" s="7" t="s">
        <v>9039</v>
      </c>
      <c r="B3075" s="7" t="s">
        <v>9040</v>
      </c>
    </row>
    <row r="3076" spans="1:2">
      <c r="A3076" s="7" t="s">
        <v>9041</v>
      </c>
      <c r="B3076" s="7" t="s">
        <v>9042</v>
      </c>
    </row>
    <row r="3077" spans="1:2">
      <c r="A3077" s="7" t="s">
        <v>9043</v>
      </c>
      <c r="B3077" s="7" t="s">
        <v>9044</v>
      </c>
    </row>
    <row r="3078" spans="1:2">
      <c r="A3078" s="7" t="s">
        <v>9045</v>
      </c>
      <c r="B3078" s="7" t="s">
        <v>9046</v>
      </c>
    </row>
    <row r="3079" spans="1:2">
      <c r="A3079" s="7" t="s">
        <v>9047</v>
      </c>
      <c r="B3079" s="7" t="s">
        <v>9048</v>
      </c>
    </row>
    <row r="3080" spans="1:2">
      <c r="A3080" s="7" t="s">
        <v>9049</v>
      </c>
      <c r="B3080" s="7" t="s">
        <v>9050</v>
      </c>
    </row>
    <row r="3081" spans="1:2">
      <c r="A3081" s="7" t="s">
        <v>9051</v>
      </c>
      <c r="B3081" s="7" t="s">
        <v>5156</v>
      </c>
    </row>
    <row r="3082" spans="1:2">
      <c r="A3082" s="7" t="s">
        <v>9052</v>
      </c>
      <c r="B3082" s="7" t="s">
        <v>9053</v>
      </c>
    </row>
    <row r="3083" spans="1:2">
      <c r="A3083" s="7" t="s">
        <v>9054</v>
      </c>
      <c r="B3083" s="7" t="s">
        <v>9055</v>
      </c>
    </row>
    <row r="3084" spans="1:2">
      <c r="A3084" s="7" t="s">
        <v>9056</v>
      </c>
      <c r="B3084" s="7" t="s">
        <v>9057</v>
      </c>
    </row>
    <row r="3085" spans="1:2">
      <c r="A3085" s="7" t="s">
        <v>9058</v>
      </c>
      <c r="B3085" s="7" t="s">
        <v>9059</v>
      </c>
    </row>
    <row r="3086" spans="1:2">
      <c r="A3086" s="7" t="s">
        <v>9060</v>
      </c>
      <c r="B3086" s="7" t="s">
        <v>9061</v>
      </c>
    </row>
    <row r="3087" spans="1:2">
      <c r="A3087" s="7" t="s">
        <v>9062</v>
      </c>
      <c r="B3087" s="7" t="s">
        <v>5454</v>
      </c>
    </row>
    <row r="3088" spans="1:2">
      <c r="A3088" s="7" t="s">
        <v>9063</v>
      </c>
      <c r="B3088" s="7" t="s">
        <v>9064</v>
      </c>
    </row>
    <row r="3089" spans="1:2">
      <c r="A3089" s="7" t="s">
        <v>9065</v>
      </c>
      <c r="B3089" s="7" t="s">
        <v>9066</v>
      </c>
    </row>
    <row r="3090" spans="1:2">
      <c r="A3090" s="7" t="s">
        <v>9067</v>
      </c>
      <c r="B3090" s="7" t="s">
        <v>9068</v>
      </c>
    </row>
    <row r="3091" spans="1:2">
      <c r="A3091" s="7" t="s">
        <v>9069</v>
      </c>
      <c r="B3091" s="7" t="s">
        <v>9070</v>
      </c>
    </row>
    <row r="3092" spans="1:2">
      <c r="A3092" s="7" t="s">
        <v>9071</v>
      </c>
      <c r="B3092" s="7" t="s">
        <v>9072</v>
      </c>
    </row>
    <row r="3093" spans="1:2">
      <c r="A3093" s="7" t="s">
        <v>9073</v>
      </c>
      <c r="B3093" s="7" t="s">
        <v>9074</v>
      </c>
    </row>
    <row r="3094" spans="1:2">
      <c r="A3094" s="7" t="s">
        <v>9075</v>
      </c>
      <c r="B3094" s="7" t="s">
        <v>6553</v>
      </c>
    </row>
    <row r="3095" spans="1:2">
      <c r="A3095" s="7" t="s">
        <v>9076</v>
      </c>
      <c r="B3095" s="7" t="s">
        <v>9077</v>
      </c>
    </row>
    <row r="3096" spans="1:2">
      <c r="A3096" s="7" t="s">
        <v>9078</v>
      </c>
      <c r="B3096" s="7" t="s">
        <v>9079</v>
      </c>
    </row>
    <row r="3097" spans="1:2">
      <c r="A3097" s="7" t="s">
        <v>9080</v>
      </c>
      <c r="B3097" s="7" t="s">
        <v>9081</v>
      </c>
    </row>
    <row r="3098" spans="1:2">
      <c r="A3098" s="7" t="s">
        <v>9082</v>
      </c>
      <c r="B3098" s="7" t="s">
        <v>9083</v>
      </c>
    </row>
    <row r="3099" spans="1:2">
      <c r="A3099" s="7" t="s">
        <v>9084</v>
      </c>
      <c r="B3099" s="7" t="s">
        <v>9085</v>
      </c>
    </row>
    <row r="3100" spans="1:2">
      <c r="A3100" s="7" t="s">
        <v>9086</v>
      </c>
      <c r="B3100" s="7" t="s">
        <v>9087</v>
      </c>
    </row>
    <row r="3101" spans="1:2">
      <c r="A3101" s="7" t="s">
        <v>9088</v>
      </c>
      <c r="B3101" s="7" t="s">
        <v>9089</v>
      </c>
    </row>
    <row r="3102" spans="1:2">
      <c r="A3102" s="7" t="s">
        <v>9090</v>
      </c>
      <c r="B3102" s="7" t="s">
        <v>9091</v>
      </c>
    </row>
    <row r="3103" spans="1:2">
      <c r="A3103" s="7" t="s">
        <v>9092</v>
      </c>
      <c r="B3103" s="7" t="s">
        <v>5415</v>
      </c>
    </row>
    <row r="3104" spans="1:2">
      <c r="A3104" s="7" t="s">
        <v>9093</v>
      </c>
      <c r="B3104" s="7" t="s">
        <v>9094</v>
      </c>
    </row>
    <row r="3105" spans="1:2">
      <c r="A3105" s="7" t="s">
        <v>9095</v>
      </c>
      <c r="B3105" s="7" t="s">
        <v>7033</v>
      </c>
    </row>
    <row r="3106" spans="1:2">
      <c r="A3106" s="7" t="s">
        <v>9096</v>
      </c>
      <c r="B3106" s="7" t="s">
        <v>9097</v>
      </c>
    </row>
    <row r="3107" spans="1:2">
      <c r="A3107" s="7" t="s">
        <v>9098</v>
      </c>
      <c r="B3107" s="7" t="s">
        <v>9099</v>
      </c>
    </row>
    <row r="3108" spans="1:2">
      <c r="A3108" s="7" t="s">
        <v>9100</v>
      </c>
      <c r="B3108" s="7" t="s">
        <v>9101</v>
      </c>
    </row>
    <row r="3109" spans="1:2">
      <c r="A3109" s="7" t="s">
        <v>9102</v>
      </c>
      <c r="B3109" s="7" t="s">
        <v>9103</v>
      </c>
    </row>
    <row r="3110" spans="1:2">
      <c r="A3110" s="7" t="s">
        <v>9104</v>
      </c>
      <c r="B3110" s="7" t="s">
        <v>9105</v>
      </c>
    </row>
    <row r="3111" spans="1:2">
      <c r="A3111" s="7" t="s">
        <v>9106</v>
      </c>
      <c r="B3111" s="7" t="s">
        <v>9107</v>
      </c>
    </row>
    <row r="3112" spans="1:2">
      <c r="A3112" s="7" t="s">
        <v>9108</v>
      </c>
      <c r="B3112" s="7" t="s">
        <v>9109</v>
      </c>
    </row>
    <row r="3113" spans="1:2">
      <c r="A3113" s="7" t="s">
        <v>9110</v>
      </c>
      <c r="B3113" s="7" t="s">
        <v>9111</v>
      </c>
    </row>
    <row r="3114" spans="1:2">
      <c r="A3114" s="7" t="s">
        <v>9112</v>
      </c>
      <c r="B3114" s="7" t="s">
        <v>9113</v>
      </c>
    </row>
    <row r="3115" spans="1:2">
      <c r="A3115" s="7" t="s">
        <v>9114</v>
      </c>
      <c r="B3115" s="7" t="s">
        <v>6911</v>
      </c>
    </row>
    <row r="3116" spans="1:2">
      <c r="A3116" s="7" t="s">
        <v>9115</v>
      </c>
      <c r="B3116" s="7" t="s">
        <v>9116</v>
      </c>
    </row>
    <row r="3117" spans="1:2">
      <c r="A3117" s="7" t="s">
        <v>9117</v>
      </c>
      <c r="B3117" s="7" t="s">
        <v>9118</v>
      </c>
    </row>
    <row r="3118" spans="1:2">
      <c r="A3118" s="7" t="s">
        <v>9119</v>
      </c>
      <c r="B3118" s="7" t="s">
        <v>9120</v>
      </c>
    </row>
    <row r="3119" spans="1:2">
      <c r="A3119" s="7" t="s">
        <v>9121</v>
      </c>
      <c r="B3119" s="7" t="s">
        <v>4662</v>
      </c>
    </row>
    <row r="3120" spans="1:2">
      <c r="A3120" s="7" t="s">
        <v>9122</v>
      </c>
      <c r="B3120" s="7" t="s">
        <v>9123</v>
      </c>
    </row>
    <row r="3121" spans="1:2">
      <c r="A3121" s="7" t="s">
        <v>9124</v>
      </c>
      <c r="B3121" s="7" t="s">
        <v>3535</v>
      </c>
    </row>
    <row r="3122" spans="1:2">
      <c r="A3122" s="7" t="s">
        <v>9125</v>
      </c>
      <c r="B3122" s="7" t="s">
        <v>9126</v>
      </c>
    </row>
    <row r="3123" spans="1:2">
      <c r="A3123" s="7" t="s">
        <v>9127</v>
      </c>
      <c r="B3123" s="7" t="s">
        <v>9128</v>
      </c>
    </row>
    <row r="3124" spans="1:2">
      <c r="A3124" s="7" t="s">
        <v>9129</v>
      </c>
      <c r="B3124" s="7" t="s">
        <v>9130</v>
      </c>
    </row>
    <row r="3125" spans="1:2">
      <c r="A3125" s="7" t="s">
        <v>9131</v>
      </c>
      <c r="B3125" s="7" t="s">
        <v>9132</v>
      </c>
    </row>
    <row r="3126" spans="1:2">
      <c r="A3126" s="7" t="s">
        <v>9133</v>
      </c>
      <c r="B3126" s="7" t="s">
        <v>9134</v>
      </c>
    </row>
    <row r="3127" spans="1:2">
      <c r="A3127" s="7" t="s">
        <v>9135</v>
      </c>
      <c r="B3127" s="7" t="s">
        <v>9136</v>
      </c>
    </row>
    <row r="3128" spans="1:2">
      <c r="A3128" s="7" t="s">
        <v>9137</v>
      </c>
      <c r="B3128" s="7" t="s">
        <v>9138</v>
      </c>
    </row>
    <row r="3129" spans="1:2">
      <c r="A3129" s="7" t="s">
        <v>9139</v>
      </c>
      <c r="B3129" s="7" t="s">
        <v>3597</v>
      </c>
    </row>
    <row r="3130" spans="1:2">
      <c r="A3130" s="7" t="s">
        <v>9140</v>
      </c>
      <c r="B3130" s="7" t="s">
        <v>9141</v>
      </c>
    </row>
    <row r="3131" spans="1:2">
      <c r="A3131" s="7" t="s">
        <v>9142</v>
      </c>
      <c r="B3131" s="7" t="s">
        <v>9143</v>
      </c>
    </row>
    <row r="3132" spans="1:2">
      <c r="A3132" s="7" t="s">
        <v>9144</v>
      </c>
      <c r="B3132" s="7" t="s">
        <v>9145</v>
      </c>
    </row>
    <row r="3133" spans="1:2">
      <c r="A3133" s="7" t="s">
        <v>9146</v>
      </c>
      <c r="B3133" s="7" t="s">
        <v>6018</v>
      </c>
    </row>
    <row r="3134" spans="1:2">
      <c r="A3134" s="7" t="s">
        <v>9147</v>
      </c>
      <c r="B3134" s="7" t="s">
        <v>9148</v>
      </c>
    </row>
    <row r="3135" spans="1:2">
      <c r="A3135" s="7" t="s">
        <v>9149</v>
      </c>
      <c r="B3135" s="7" t="s">
        <v>9150</v>
      </c>
    </row>
    <row r="3136" spans="1:2">
      <c r="A3136" s="7" t="s">
        <v>9151</v>
      </c>
      <c r="B3136" s="7" t="s">
        <v>9152</v>
      </c>
    </row>
    <row r="3137" spans="1:2">
      <c r="A3137" s="7" t="s">
        <v>9153</v>
      </c>
      <c r="B3137" s="7" t="s">
        <v>7224</v>
      </c>
    </row>
    <row r="3138" spans="1:2">
      <c r="A3138" s="7" t="s">
        <v>9154</v>
      </c>
      <c r="B3138" s="7" t="s">
        <v>9155</v>
      </c>
    </row>
    <row r="3139" spans="1:2">
      <c r="A3139" s="7" t="s">
        <v>9156</v>
      </c>
      <c r="B3139" s="7" t="s">
        <v>9157</v>
      </c>
    </row>
    <row r="3140" spans="1:2">
      <c r="A3140" s="7" t="s">
        <v>9158</v>
      </c>
      <c r="B3140" s="7" t="s">
        <v>9159</v>
      </c>
    </row>
    <row r="3141" spans="1:2">
      <c r="A3141" s="7" t="s">
        <v>9160</v>
      </c>
      <c r="B3141" s="7" t="s">
        <v>9161</v>
      </c>
    </row>
    <row r="3142" spans="1:2">
      <c r="A3142" s="7" t="s">
        <v>9162</v>
      </c>
      <c r="B3142" s="7" t="s">
        <v>9163</v>
      </c>
    </row>
    <row r="3143" spans="1:2">
      <c r="A3143" s="7" t="s">
        <v>9164</v>
      </c>
      <c r="B3143" s="7" t="s">
        <v>9165</v>
      </c>
    </row>
    <row r="3144" spans="1:2">
      <c r="A3144" s="7" t="s">
        <v>9166</v>
      </c>
      <c r="B3144" s="7" t="s">
        <v>9167</v>
      </c>
    </row>
    <row r="3145" spans="1:2">
      <c r="A3145" s="7" t="s">
        <v>9168</v>
      </c>
      <c r="B3145" s="7" t="s">
        <v>9169</v>
      </c>
    </row>
    <row r="3146" spans="1:2">
      <c r="A3146" s="7" t="s">
        <v>9170</v>
      </c>
      <c r="B3146" s="7" t="s">
        <v>9171</v>
      </c>
    </row>
    <row r="3147" spans="1:2">
      <c r="A3147" s="7" t="s">
        <v>9172</v>
      </c>
      <c r="B3147" s="7" t="s">
        <v>9173</v>
      </c>
    </row>
    <row r="3148" spans="1:2">
      <c r="A3148" s="7" t="s">
        <v>9174</v>
      </c>
      <c r="B3148" s="7" t="s">
        <v>6762</v>
      </c>
    </row>
    <row r="3149" spans="1:2">
      <c r="A3149" s="7" t="s">
        <v>9175</v>
      </c>
      <c r="B3149" s="7" t="s">
        <v>9176</v>
      </c>
    </row>
    <row r="3150" spans="1:2">
      <c r="A3150" s="7" t="s">
        <v>9177</v>
      </c>
      <c r="B3150" s="7" t="s">
        <v>6038</v>
      </c>
    </row>
    <row r="3151" spans="1:2">
      <c r="A3151" s="7" t="s">
        <v>9178</v>
      </c>
      <c r="B3151" s="7" t="s">
        <v>5123</v>
      </c>
    </row>
    <row r="3152" spans="1:2">
      <c r="A3152" s="7" t="s">
        <v>9179</v>
      </c>
      <c r="B3152" s="7" t="s">
        <v>9180</v>
      </c>
    </row>
    <row r="3153" spans="1:2">
      <c r="A3153" s="7" t="s">
        <v>9181</v>
      </c>
      <c r="B3153" s="7" t="s">
        <v>5235</v>
      </c>
    </row>
    <row r="3154" spans="1:2">
      <c r="A3154" s="7" t="s">
        <v>9182</v>
      </c>
      <c r="B3154" s="7" t="s">
        <v>9183</v>
      </c>
    </row>
    <row r="3155" spans="1:2">
      <c r="A3155" s="7" t="s">
        <v>9184</v>
      </c>
      <c r="B3155" s="7" t="s">
        <v>9185</v>
      </c>
    </row>
    <row r="3156" spans="1:2">
      <c r="A3156" s="7" t="s">
        <v>9186</v>
      </c>
      <c r="B3156" s="7" t="s">
        <v>9187</v>
      </c>
    </row>
    <row r="3157" spans="1:2">
      <c r="A3157" s="7" t="s">
        <v>9188</v>
      </c>
      <c r="B3157" s="7" t="s">
        <v>9189</v>
      </c>
    </row>
    <row r="3158" spans="1:2">
      <c r="A3158" s="7" t="s">
        <v>9190</v>
      </c>
      <c r="B3158" s="7" t="s">
        <v>9191</v>
      </c>
    </row>
    <row r="3159" spans="1:2">
      <c r="A3159" s="7" t="s">
        <v>9192</v>
      </c>
      <c r="B3159" s="7" t="s">
        <v>9193</v>
      </c>
    </row>
    <row r="3160" spans="1:2">
      <c r="A3160" s="7" t="s">
        <v>9194</v>
      </c>
      <c r="B3160" s="7" t="s">
        <v>9195</v>
      </c>
    </row>
    <row r="3161" spans="1:2">
      <c r="A3161" s="7" t="s">
        <v>9196</v>
      </c>
      <c r="B3161" s="7" t="s">
        <v>9197</v>
      </c>
    </row>
    <row r="3162" spans="1:2">
      <c r="A3162" s="7" t="s">
        <v>9198</v>
      </c>
      <c r="B3162" s="7" t="s">
        <v>9199</v>
      </c>
    </row>
    <row r="3163" spans="1:2">
      <c r="A3163" s="7" t="s">
        <v>9200</v>
      </c>
      <c r="B3163" s="7" t="s">
        <v>9201</v>
      </c>
    </row>
    <row r="3164" spans="1:2">
      <c r="A3164" s="7" t="s">
        <v>9202</v>
      </c>
      <c r="B3164" s="7" t="s">
        <v>9203</v>
      </c>
    </row>
    <row r="3165" spans="1:2">
      <c r="A3165" s="7" t="s">
        <v>9204</v>
      </c>
      <c r="B3165" s="7" t="s">
        <v>9205</v>
      </c>
    </row>
    <row r="3166" spans="1:2">
      <c r="A3166" s="7" t="s">
        <v>9206</v>
      </c>
      <c r="B3166" s="7" t="s">
        <v>9207</v>
      </c>
    </row>
    <row r="3167" spans="1:2">
      <c r="A3167" s="7" t="s">
        <v>9208</v>
      </c>
      <c r="B3167" s="7" t="s">
        <v>9209</v>
      </c>
    </row>
    <row r="3168" spans="1:2">
      <c r="A3168" s="7" t="s">
        <v>9210</v>
      </c>
      <c r="B3168" s="7" t="s">
        <v>9211</v>
      </c>
    </row>
    <row r="3169" spans="1:2">
      <c r="A3169" s="7" t="s">
        <v>9212</v>
      </c>
      <c r="B3169" s="7" t="s">
        <v>9213</v>
      </c>
    </row>
    <row r="3170" spans="1:2">
      <c r="A3170" s="7" t="s">
        <v>9214</v>
      </c>
      <c r="B3170" s="7" t="s">
        <v>9215</v>
      </c>
    </row>
    <row r="3171" spans="1:2">
      <c r="A3171" s="7" t="s">
        <v>9216</v>
      </c>
      <c r="B3171" s="7" t="s">
        <v>9217</v>
      </c>
    </row>
    <row r="3172" spans="1:2">
      <c r="A3172" s="7" t="s">
        <v>9218</v>
      </c>
      <c r="B3172" s="7" t="s">
        <v>9219</v>
      </c>
    </row>
    <row r="3173" spans="1:2">
      <c r="A3173" s="7" t="s">
        <v>9220</v>
      </c>
      <c r="B3173" s="7" t="s">
        <v>8752</v>
      </c>
    </row>
    <row r="3174" spans="1:2">
      <c r="A3174" s="7" t="s">
        <v>9221</v>
      </c>
      <c r="B3174" s="7" t="s">
        <v>9222</v>
      </c>
    </row>
    <row r="3175" spans="1:2">
      <c r="A3175" s="7" t="s">
        <v>9223</v>
      </c>
      <c r="B3175" s="7" t="s">
        <v>9224</v>
      </c>
    </row>
    <row r="3176" spans="1:2">
      <c r="A3176" s="7" t="s">
        <v>9225</v>
      </c>
      <c r="B3176" s="7" t="s">
        <v>9226</v>
      </c>
    </row>
    <row r="3177" spans="1:2">
      <c r="A3177" s="7" t="s">
        <v>9227</v>
      </c>
      <c r="B3177" s="7" t="s">
        <v>9228</v>
      </c>
    </row>
    <row r="3178" spans="1:2">
      <c r="A3178" s="7" t="s">
        <v>9229</v>
      </c>
      <c r="B3178" s="7" t="s">
        <v>4249</v>
      </c>
    </row>
    <row r="3179" spans="1:2">
      <c r="A3179" s="7" t="s">
        <v>9230</v>
      </c>
      <c r="B3179" s="7" t="s">
        <v>9231</v>
      </c>
    </row>
    <row r="3180" spans="1:2">
      <c r="A3180" s="7" t="s">
        <v>9232</v>
      </c>
      <c r="B3180" s="7" t="s">
        <v>9233</v>
      </c>
    </row>
    <row r="3181" spans="1:2">
      <c r="A3181" s="7" t="s">
        <v>9234</v>
      </c>
      <c r="B3181" s="7" t="s">
        <v>9235</v>
      </c>
    </row>
    <row r="3182" spans="1:2">
      <c r="A3182" s="7" t="s">
        <v>9236</v>
      </c>
      <c r="B3182" s="7" t="s">
        <v>9237</v>
      </c>
    </row>
    <row r="3183" spans="1:2">
      <c r="A3183" s="7" t="s">
        <v>9238</v>
      </c>
      <c r="B3183" s="7" t="s">
        <v>9239</v>
      </c>
    </row>
    <row r="3184" spans="1:2">
      <c r="A3184" s="7" t="s">
        <v>9240</v>
      </c>
      <c r="B3184" s="7" t="s">
        <v>9241</v>
      </c>
    </row>
    <row r="3185" spans="1:2">
      <c r="A3185" s="7" t="s">
        <v>9242</v>
      </c>
      <c r="B3185" s="7" t="s">
        <v>4041</v>
      </c>
    </row>
    <row r="3186" spans="1:2">
      <c r="A3186" s="7" t="s">
        <v>9243</v>
      </c>
      <c r="B3186" s="7" t="s">
        <v>9244</v>
      </c>
    </row>
    <row r="3187" spans="1:2">
      <c r="A3187" s="7" t="s">
        <v>9245</v>
      </c>
      <c r="B3187" s="7" t="s">
        <v>9246</v>
      </c>
    </row>
    <row r="3188" spans="1:2">
      <c r="A3188" s="7" t="s">
        <v>9247</v>
      </c>
      <c r="B3188" s="7" t="s">
        <v>9248</v>
      </c>
    </row>
    <row r="3189" spans="1:2">
      <c r="A3189" s="7" t="s">
        <v>9249</v>
      </c>
      <c r="B3189" s="7" t="s">
        <v>9250</v>
      </c>
    </row>
    <row r="3190" spans="1:2">
      <c r="A3190" s="7" t="s">
        <v>9251</v>
      </c>
      <c r="B3190" s="7" t="s">
        <v>9252</v>
      </c>
    </row>
    <row r="3191" spans="1:2">
      <c r="A3191" s="7" t="s">
        <v>9253</v>
      </c>
      <c r="B3191" s="7" t="s">
        <v>9254</v>
      </c>
    </row>
    <row r="3192" spans="1:2">
      <c r="A3192" s="7" t="s">
        <v>9255</v>
      </c>
      <c r="B3192" s="7" t="s">
        <v>9256</v>
      </c>
    </row>
    <row r="3193" spans="1:2">
      <c r="A3193" s="7" t="s">
        <v>9257</v>
      </c>
      <c r="B3193" s="7" t="s">
        <v>9258</v>
      </c>
    </row>
    <row r="3194" spans="1:2">
      <c r="A3194" s="7" t="s">
        <v>9259</v>
      </c>
      <c r="B3194" s="7" t="s">
        <v>9260</v>
      </c>
    </row>
    <row r="3195" spans="1:2">
      <c r="A3195" s="7" t="s">
        <v>9261</v>
      </c>
      <c r="B3195" s="7" t="s">
        <v>9262</v>
      </c>
    </row>
    <row r="3196" spans="1:2">
      <c r="A3196" s="7" t="s">
        <v>9263</v>
      </c>
      <c r="B3196" s="7" t="s">
        <v>9264</v>
      </c>
    </row>
    <row r="3197" spans="1:2">
      <c r="A3197" s="7" t="s">
        <v>9265</v>
      </c>
      <c r="B3197" s="7" t="s">
        <v>9266</v>
      </c>
    </row>
    <row r="3198" spans="1:2">
      <c r="A3198" s="7" t="s">
        <v>9267</v>
      </c>
      <c r="B3198" s="7" t="s">
        <v>9268</v>
      </c>
    </row>
    <row r="3199" spans="1:2">
      <c r="A3199" s="7" t="s">
        <v>9269</v>
      </c>
      <c r="B3199" s="7" t="s">
        <v>9270</v>
      </c>
    </row>
    <row r="3200" spans="1:2">
      <c r="A3200" s="7" t="s">
        <v>9271</v>
      </c>
      <c r="B3200" s="7" t="s">
        <v>4943</v>
      </c>
    </row>
    <row r="3201" spans="1:2">
      <c r="A3201" s="7" t="s">
        <v>9272</v>
      </c>
      <c r="B3201" s="7" t="s">
        <v>9273</v>
      </c>
    </row>
    <row r="3202" spans="1:2">
      <c r="A3202" s="7" t="s">
        <v>9274</v>
      </c>
      <c r="B3202" s="7" t="s">
        <v>9275</v>
      </c>
    </row>
    <row r="3203" spans="1:2">
      <c r="A3203" s="7" t="s">
        <v>9276</v>
      </c>
      <c r="B3203" s="7" t="s">
        <v>9277</v>
      </c>
    </row>
    <row r="3204" spans="1:2">
      <c r="A3204" s="7" t="s">
        <v>9278</v>
      </c>
      <c r="B3204" s="7" t="s">
        <v>5621</v>
      </c>
    </row>
    <row r="3205" spans="1:2">
      <c r="A3205" s="7" t="s">
        <v>9279</v>
      </c>
      <c r="B3205" s="7" t="s">
        <v>9280</v>
      </c>
    </row>
    <row r="3206" spans="1:2">
      <c r="A3206" s="7" t="s">
        <v>9281</v>
      </c>
      <c r="B3206" s="7" t="s">
        <v>9282</v>
      </c>
    </row>
    <row r="3207" spans="1:2">
      <c r="A3207" s="7" t="s">
        <v>9283</v>
      </c>
      <c r="B3207" s="7" t="s">
        <v>9284</v>
      </c>
    </row>
    <row r="3208" spans="1:2">
      <c r="A3208" s="7" t="s">
        <v>9285</v>
      </c>
      <c r="B3208" s="7" t="s">
        <v>9286</v>
      </c>
    </row>
    <row r="3209" spans="1:2">
      <c r="A3209" s="7" t="s">
        <v>9287</v>
      </c>
      <c r="B3209" s="7" t="s">
        <v>9288</v>
      </c>
    </row>
    <row r="3210" spans="1:2">
      <c r="A3210" s="7" t="s">
        <v>9289</v>
      </c>
      <c r="B3210" s="7" t="s">
        <v>9290</v>
      </c>
    </row>
    <row r="3211" spans="1:2">
      <c r="A3211" s="7" t="s">
        <v>9291</v>
      </c>
      <c r="B3211" s="7" t="s">
        <v>9292</v>
      </c>
    </row>
    <row r="3212" spans="1:2">
      <c r="A3212" s="7" t="s">
        <v>9293</v>
      </c>
      <c r="B3212" s="7" t="s">
        <v>8968</v>
      </c>
    </row>
    <row r="3213" spans="1:2">
      <c r="A3213" s="7" t="s">
        <v>9294</v>
      </c>
      <c r="B3213" s="7" t="s">
        <v>9295</v>
      </c>
    </row>
    <row r="3214" spans="1:2">
      <c r="A3214" s="7" t="s">
        <v>9296</v>
      </c>
      <c r="B3214" s="7" t="s">
        <v>9297</v>
      </c>
    </row>
    <row r="3215" spans="1:2">
      <c r="A3215" s="7" t="s">
        <v>9298</v>
      </c>
      <c r="B3215" s="7" t="s">
        <v>9299</v>
      </c>
    </row>
    <row r="3216" spans="1:2">
      <c r="A3216" s="7" t="s">
        <v>9300</v>
      </c>
      <c r="B3216" s="7" t="s">
        <v>9301</v>
      </c>
    </row>
    <row r="3217" spans="1:2">
      <c r="A3217" s="7" t="s">
        <v>9302</v>
      </c>
      <c r="B3217" s="7" t="s">
        <v>9303</v>
      </c>
    </row>
    <row r="3218" spans="1:2">
      <c r="A3218" s="7" t="s">
        <v>9304</v>
      </c>
      <c r="B3218" s="7" t="s">
        <v>9305</v>
      </c>
    </row>
    <row r="3219" spans="1:2">
      <c r="A3219" s="7" t="s">
        <v>9306</v>
      </c>
      <c r="B3219" s="7" t="s">
        <v>9307</v>
      </c>
    </row>
    <row r="3220" spans="1:2">
      <c r="A3220" s="7" t="s">
        <v>9308</v>
      </c>
      <c r="B3220" s="7" t="s">
        <v>9309</v>
      </c>
    </row>
    <row r="3221" spans="1:2">
      <c r="A3221" s="7" t="s">
        <v>9310</v>
      </c>
      <c r="B3221" s="7" t="s">
        <v>9311</v>
      </c>
    </row>
    <row r="3222" spans="1:2">
      <c r="A3222" s="7" t="s">
        <v>9312</v>
      </c>
      <c r="B3222" s="7" t="s">
        <v>9313</v>
      </c>
    </row>
    <row r="3223" spans="1:2">
      <c r="A3223" s="7" t="s">
        <v>9314</v>
      </c>
      <c r="B3223" s="7" t="s">
        <v>9315</v>
      </c>
    </row>
    <row r="3224" spans="1:2">
      <c r="A3224" s="7" t="s">
        <v>9316</v>
      </c>
      <c r="B3224" s="7" t="s">
        <v>9317</v>
      </c>
    </row>
    <row r="3225" spans="1:2">
      <c r="A3225" s="7" t="s">
        <v>9318</v>
      </c>
      <c r="B3225" s="7" t="s">
        <v>9319</v>
      </c>
    </row>
    <row r="3226" spans="1:2">
      <c r="A3226" s="7" t="s">
        <v>9320</v>
      </c>
      <c r="B3226" s="7" t="s">
        <v>9321</v>
      </c>
    </row>
    <row r="3227" spans="1:2">
      <c r="A3227" s="7" t="s">
        <v>9322</v>
      </c>
      <c r="B3227" s="7" t="s">
        <v>9323</v>
      </c>
    </row>
    <row r="3228" spans="1:2">
      <c r="A3228" s="7" t="s">
        <v>9324</v>
      </c>
      <c r="B3228" s="7" t="s">
        <v>9325</v>
      </c>
    </row>
    <row r="3229" spans="1:2">
      <c r="A3229" s="7" t="s">
        <v>9326</v>
      </c>
      <c r="B3229" s="7" t="s">
        <v>9327</v>
      </c>
    </row>
    <row r="3230" spans="1:2">
      <c r="A3230" s="7" t="s">
        <v>9328</v>
      </c>
      <c r="B3230" s="7" t="s">
        <v>9329</v>
      </c>
    </row>
    <row r="3231" spans="1:2">
      <c r="A3231" s="7" t="s">
        <v>9330</v>
      </c>
      <c r="B3231" s="7" t="s">
        <v>9331</v>
      </c>
    </row>
    <row r="3232" spans="1:2">
      <c r="A3232" s="7" t="s">
        <v>9332</v>
      </c>
      <c r="B3232" s="7" t="s">
        <v>9333</v>
      </c>
    </row>
    <row r="3233" spans="1:2">
      <c r="A3233" s="7" t="s">
        <v>9334</v>
      </c>
      <c r="B3233" s="7" t="s">
        <v>9335</v>
      </c>
    </row>
    <row r="3234" spans="1:2">
      <c r="A3234" s="7" t="s">
        <v>9336</v>
      </c>
      <c r="B3234" s="7" t="s">
        <v>9337</v>
      </c>
    </row>
    <row r="3235" spans="1:2">
      <c r="A3235" s="7" t="s">
        <v>9338</v>
      </c>
      <c r="B3235" s="7" t="s">
        <v>9339</v>
      </c>
    </row>
    <row r="3236" spans="1:2">
      <c r="A3236" s="7" t="s">
        <v>9340</v>
      </c>
      <c r="B3236" s="7" t="s">
        <v>9341</v>
      </c>
    </row>
    <row r="3237" spans="1:2">
      <c r="A3237" s="7" t="s">
        <v>9342</v>
      </c>
      <c r="B3237" s="7" t="s">
        <v>9343</v>
      </c>
    </row>
    <row r="3238" spans="1:2">
      <c r="A3238" s="7" t="s">
        <v>9344</v>
      </c>
      <c r="B3238" s="7" t="s">
        <v>9345</v>
      </c>
    </row>
    <row r="3239" spans="1:2">
      <c r="A3239" s="7" t="s">
        <v>9346</v>
      </c>
      <c r="B3239" s="7" t="s">
        <v>9347</v>
      </c>
    </row>
    <row r="3240" spans="1:2">
      <c r="A3240" s="7" t="s">
        <v>9348</v>
      </c>
      <c r="B3240" s="7" t="s">
        <v>9349</v>
      </c>
    </row>
    <row r="3241" spans="1:2">
      <c r="A3241" s="7" t="s">
        <v>9350</v>
      </c>
      <c r="B3241" s="7" t="s">
        <v>9351</v>
      </c>
    </row>
    <row r="3242" spans="1:2">
      <c r="A3242" s="7" t="s">
        <v>9352</v>
      </c>
      <c r="B3242" s="7" t="s">
        <v>6671</v>
      </c>
    </row>
    <row r="3243" spans="1:2">
      <c r="A3243" s="7" t="s">
        <v>9353</v>
      </c>
      <c r="B3243" s="7" t="s">
        <v>9354</v>
      </c>
    </row>
    <row r="3244" spans="1:2">
      <c r="A3244" s="7" t="s">
        <v>9355</v>
      </c>
      <c r="B3244" s="7" t="s">
        <v>9356</v>
      </c>
    </row>
    <row r="3245" spans="1:2">
      <c r="A3245" s="7" t="s">
        <v>9357</v>
      </c>
      <c r="B3245" s="7" t="s">
        <v>9358</v>
      </c>
    </row>
    <row r="3246" spans="1:2">
      <c r="A3246" s="7" t="s">
        <v>9359</v>
      </c>
      <c r="B3246" s="7" t="s">
        <v>9360</v>
      </c>
    </row>
    <row r="3247" spans="1:2">
      <c r="A3247" s="7" t="s">
        <v>9361</v>
      </c>
      <c r="B3247" s="7" t="s">
        <v>9362</v>
      </c>
    </row>
    <row r="3248" spans="1:2">
      <c r="A3248" s="7" t="s">
        <v>9363</v>
      </c>
      <c r="B3248" s="7" t="s">
        <v>9364</v>
      </c>
    </row>
    <row r="3249" spans="1:2">
      <c r="A3249" s="7" t="s">
        <v>9365</v>
      </c>
      <c r="B3249" s="7" t="s">
        <v>9366</v>
      </c>
    </row>
    <row r="3250" spans="1:2">
      <c r="A3250" s="7" t="s">
        <v>9367</v>
      </c>
      <c r="B3250" s="7" t="s">
        <v>9368</v>
      </c>
    </row>
    <row r="3251" spans="1:2">
      <c r="A3251" s="7" t="s">
        <v>9369</v>
      </c>
      <c r="B3251" s="7" t="s">
        <v>9370</v>
      </c>
    </row>
    <row r="3252" spans="1:2">
      <c r="A3252" s="7" t="s">
        <v>9371</v>
      </c>
      <c r="B3252" s="7" t="s">
        <v>9372</v>
      </c>
    </row>
    <row r="3253" spans="1:2">
      <c r="A3253" s="7" t="s">
        <v>9373</v>
      </c>
      <c r="B3253" s="7" t="s">
        <v>9374</v>
      </c>
    </row>
    <row r="3254" spans="1:2">
      <c r="A3254" s="7" t="s">
        <v>9375</v>
      </c>
      <c r="B3254" s="7" t="s">
        <v>9376</v>
      </c>
    </row>
    <row r="3255" spans="1:2">
      <c r="A3255" s="7" t="s">
        <v>9377</v>
      </c>
      <c r="B3255" s="7" t="s">
        <v>9378</v>
      </c>
    </row>
    <row r="3256" spans="1:2">
      <c r="A3256" s="7" t="s">
        <v>9379</v>
      </c>
      <c r="B3256" s="7" t="s">
        <v>9380</v>
      </c>
    </row>
    <row r="3257" spans="1:2">
      <c r="A3257" s="7" t="s">
        <v>9381</v>
      </c>
      <c r="B3257" s="7" t="s">
        <v>9382</v>
      </c>
    </row>
    <row r="3258" spans="1:2">
      <c r="A3258" s="7" t="s">
        <v>9383</v>
      </c>
      <c r="B3258" s="7" t="s">
        <v>9384</v>
      </c>
    </row>
    <row r="3259" spans="1:2">
      <c r="A3259" s="7" t="s">
        <v>9385</v>
      </c>
      <c r="B3259" s="7" t="s">
        <v>9386</v>
      </c>
    </row>
    <row r="3260" spans="1:2">
      <c r="A3260" s="7" t="s">
        <v>9387</v>
      </c>
      <c r="B3260" s="7" t="s">
        <v>7246</v>
      </c>
    </row>
    <row r="3261" spans="1:2">
      <c r="A3261" s="7" t="s">
        <v>9388</v>
      </c>
      <c r="B3261" s="7" t="s">
        <v>9389</v>
      </c>
    </row>
    <row r="3262" spans="1:2">
      <c r="A3262" s="7" t="s">
        <v>9390</v>
      </c>
      <c r="B3262" s="7" t="s">
        <v>3257</v>
      </c>
    </row>
    <row r="3263" spans="1:2">
      <c r="A3263" s="7" t="s">
        <v>9391</v>
      </c>
      <c r="B3263" s="7" t="s">
        <v>9392</v>
      </c>
    </row>
    <row r="3264" spans="1:2">
      <c r="A3264" s="7" t="s">
        <v>9393</v>
      </c>
      <c r="B3264" s="7" t="s">
        <v>4050</v>
      </c>
    </row>
    <row r="3265" spans="1:2">
      <c r="A3265" s="7" t="s">
        <v>9394</v>
      </c>
      <c r="B3265" s="7" t="s">
        <v>9395</v>
      </c>
    </row>
    <row r="3266" spans="1:2">
      <c r="A3266" s="7" t="s">
        <v>9396</v>
      </c>
      <c r="B3266" s="7" t="s">
        <v>9397</v>
      </c>
    </row>
    <row r="3267" spans="1:2">
      <c r="A3267" s="7" t="s">
        <v>9398</v>
      </c>
      <c r="B3267" s="7" t="s">
        <v>9399</v>
      </c>
    </row>
    <row r="3268" spans="1:2">
      <c r="A3268" s="7" t="s">
        <v>9400</v>
      </c>
      <c r="B3268" s="7" t="s">
        <v>9401</v>
      </c>
    </row>
    <row r="3269" spans="1:2">
      <c r="A3269" s="7" t="s">
        <v>9402</v>
      </c>
      <c r="B3269" s="7" t="s">
        <v>9403</v>
      </c>
    </row>
    <row r="3270" spans="1:2">
      <c r="A3270" s="7" t="s">
        <v>9404</v>
      </c>
      <c r="B3270" s="7" t="s">
        <v>9405</v>
      </c>
    </row>
    <row r="3271" spans="1:2">
      <c r="A3271" s="7" t="s">
        <v>9406</v>
      </c>
      <c r="B3271" s="7" t="s">
        <v>9407</v>
      </c>
    </row>
    <row r="3272" spans="1:2">
      <c r="A3272" s="7" t="s">
        <v>9408</v>
      </c>
      <c r="B3272" s="7" t="s">
        <v>7165</v>
      </c>
    </row>
    <row r="3273" spans="1:2">
      <c r="A3273" s="7" t="s">
        <v>9409</v>
      </c>
      <c r="B3273" s="7" t="s">
        <v>9410</v>
      </c>
    </row>
    <row r="3274" spans="1:2">
      <c r="A3274" s="7" t="s">
        <v>9411</v>
      </c>
      <c r="B3274" s="7" t="s">
        <v>9412</v>
      </c>
    </row>
    <row r="3275" spans="1:2">
      <c r="A3275" s="7" t="s">
        <v>9413</v>
      </c>
      <c r="B3275" s="7" t="s">
        <v>7491</v>
      </c>
    </row>
    <row r="3276" spans="1:2">
      <c r="A3276" s="7" t="s">
        <v>9414</v>
      </c>
      <c r="B3276" s="7" t="s">
        <v>4943</v>
      </c>
    </row>
    <row r="3277" spans="1:2">
      <c r="A3277" s="7" t="s">
        <v>9415</v>
      </c>
      <c r="B3277" s="7" t="s">
        <v>9416</v>
      </c>
    </row>
    <row r="3278" spans="1:2">
      <c r="A3278" s="7" t="s">
        <v>9417</v>
      </c>
      <c r="B3278" s="7" t="s">
        <v>9418</v>
      </c>
    </row>
    <row r="3279" spans="1:2">
      <c r="A3279" s="7" t="s">
        <v>9419</v>
      </c>
      <c r="B3279" s="7" t="s">
        <v>7440</v>
      </c>
    </row>
    <row r="3280" spans="1:2">
      <c r="A3280" s="7" t="s">
        <v>9420</v>
      </c>
      <c r="B3280" s="7" t="s">
        <v>9421</v>
      </c>
    </row>
    <row r="3281" spans="1:2">
      <c r="A3281" s="7" t="s">
        <v>9422</v>
      </c>
      <c r="B3281" s="7" t="s">
        <v>9423</v>
      </c>
    </row>
    <row r="3282" spans="1:2">
      <c r="A3282" s="7" t="s">
        <v>9424</v>
      </c>
      <c r="B3282" s="7" t="s">
        <v>9425</v>
      </c>
    </row>
    <row r="3283" spans="1:2">
      <c r="A3283" s="7" t="s">
        <v>9426</v>
      </c>
      <c r="B3283" s="7" t="s">
        <v>9427</v>
      </c>
    </row>
    <row r="3284" spans="1:2">
      <c r="A3284" s="7" t="s">
        <v>9428</v>
      </c>
      <c r="B3284" s="7" t="s">
        <v>9429</v>
      </c>
    </row>
    <row r="3285" spans="1:2">
      <c r="A3285" s="7" t="s">
        <v>9430</v>
      </c>
      <c r="B3285" s="7" t="s">
        <v>3920</v>
      </c>
    </row>
    <row r="3286" spans="1:2">
      <c r="A3286" s="7" t="s">
        <v>9431</v>
      </c>
      <c r="B3286" s="7" t="s">
        <v>9432</v>
      </c>
    </row>
    <row r="3287" spans="1:2">
      <c r="A3287" s="7" t="s">
        <v>9433</v>
      </c>
      <c r="B3287" s="7" t="s">
        <v>9434</v>
      </c>
    </row>
    <row r="3288" spans="1:2">
      <c r="A3288" s="7" t="s">
        <v>9435</v>
      </c>
      <c r="B3288" s="7" t="s">
        <v>6301</v>
      </c>
    </row>
    <row r="3289" spans="1:2">
      <c r="A3289" s="7" t="s">
        <v>9436</v>
      </c>
      <c r="B3289" s="7" t="s">
        <v>9437</v>
      </c>
    </row>
    <row r="3290" spans="1:2">
      <c r="A3290" s="7" t="s">
        <v>9438</v>
      </c>
      <c r="B3290" s="7" t="s">
        <v>8092</v>
      </c>
    </row>
    <row r="3291" spans="1:2">
      <c r="A3291" s="7" t="s">
        <v>9439</v>
      </c>
      <c r="B3291" s="7" t="s">
        <v>9440</v>
      </c>
    </row>
    <row r="3292" spans="1:2">
      <c r="A3292" s="7" t="s">
        <v>9441</v>
      </c>
      <c r="B3292" s="7" t="s">
        <v>9442</v>
      </c>
    </row>
    <row r="3293" spans="1:2">
      <c r="A3293" s="7" t="s">
        <v>9443</v>
      </c>
      <c r="B3293" s="7" t="s">
        <v>9444</v>
      </c>
    </row>
    <row r="3294" spans="1:2">
      <c r="A3294" s="7" t="s">
        <v>9445</v>
      </c>
      <c r="B3294" s="7" t="s">
        <v>9446</v>
      </c>
    </row>
    <row r="3295" spans="1:2">
      <c r="A3295" s="7" t="s">
        <v>9447</v>
      </c>
      <c r="B3295" s="7" t="s">
        <v>8096</v>
      </c>
    </row>
    <row r="3296" spans="1:2">
      <c r="A3296" s="7" t="s">
        <v>9448</v>
      </c>
      <c r="B3296" s="7" t="s">
        <v>9449</v>
      </c>
    </row>
    <row r="3297" spans="1:2">
      <c r="A3297" s="7" t="s">
        <v>9450</v>
      </c>
      <c r="B3297" s="7" t="s">
        <v>8424</v>
      </c>
    </row>
    <row r="3298" spans="1:2">
      <c r="A3298" s="7" t="s">
        <v>9451</v>
      </c>
      <c r="B3298" s="7" t="s">
        <v>9452</v>
      </c>
    </row>
    <row r="3299" spans="1:2">
      <c r="A3299" s="7" t="s">
        <v>9453</v>
      </c>
      <c r="B3299" s="7" t="s">
        <v>9454</v>
      </c>
    </row>
    <row r="3300" spans="1:2">
      <c r="A3300" s="7" t="s">
        <v>9455</v>
      </c>
      <c r="B3300" s="7" t="s">
        <v>9456</v>
      </c>
    </row>
    <row r="3301" spans="1:2">
      <c r="A3301" s="7" t="s">
        <v>9457</v>
      </c>
      <c r="B3301" s="7" t="s">
        <v>9458</v>
      </c>
    </row>
    <row r="3302" spans="1:2">
      <c r="A3302" s="7" t="s">
        <v>9459</v>
      </c>
      <c r="B3302" s="7" t="s">
        <v>9460</v>
      </c>
    </row>
    <row r="3303" spans="1:2">
      <c r="A3303" s="7" t="s">
        <v>9461</v>
      </c>
      <c r="B3303" s="7" t="s">
        <v>5296</v>
      </c>
    </row>
    <row r="3304" spans="1:2">
      <c r="A3304" s="7" t="s">
        <v>9462</v>
      </c>
      <c r="B3304" s="7" t="s">
        <v>9463</v>
      </c>
    </row>
    <row r="3305" spans="1:2">
      <c r="A3305" s="7" t="s">
        <v>9464</v>
      </c>
      <c r="B3305" s="7" t="s">
        <v>4664</v>
      </c>
    </row>
    <row r="3306" spans="1:2">
      <c r="A3306" s="7" t="s">
        <v>9465</v>
      </c>
      <c r="B3306" s="7" t="s">
        <v>9466</v>
      </c>
    </row>
    <row r="3307" spans="1:2">
      <c r="A3307" s="7" t="s">
        <v>9467</v>
      </c>
      <c r="B3307" s="7" t="s">
        <v>9468</v>
      </c>
    </row>
    <row r="3308" spans="1:2">
      <c r="A3308" s="7" t="s">
        <v>9469</v>
      </c>
      <c r="B3308" s="7" t="s">
        <v>9470</v>
      </c>
    </row>
    <row r="3309" spans="1:2">
      <c r="A3309" s="7" t="s">
        <v>9471</v>
      </c>
      <c r="B3309" s="7" t="s">
        <v>9472</v>
      </c>
    </row>
    <row r="3310" spans="1:2">
      <c r="A3310" s="7" t="s">
        <v>9473</v>
      </c>
      <c r="B3310" s="7" t="s">
        <v>9474</v>
      </c>
    </row>
    <row r="3311" spans="1:2">
      <c r="A3311" s="7" t="s">
        <v>9475</v>
      </c>
      <c r="B3311" s="7" t="s">
        <v>9476</v>
      </c>
    </row>
    <row r="3312" spans="1:2">
      <c r="A3312" s="7" t="s">
        <v>9477</v>
      </c>
      <c r="B3312" s="7" t="s">
        <v>9478</v>
      </c>
    </row>
    <row r="3313" spans="1:2">
      <c r="A3313" s="7" t="s">
        <v>9479</v>
      </c>
      <c r="B3313" s="7" t="s">
        <v>9480</v>
      </c>
    </row>
    <row r="3314" spans="1:2">
      <c r="A3314" s="7" t="s">
        <v>9481</v>
      </c>
      <c r="B3314" s="7" t="s">
        <v>9482</v>
      </c>
    </row>
    <row r="3315" spans="1:2">
      <c r="A3315" s="7" t="s">
        <v>9483</v>
      </c>
      <c r="B3315" s="7" t="s">
        <v>8094</v>
      </c>
    </row>
    <row r="3316" spans="1:2">
      <c r="A3316" s="7" t="s">
        <v>9484</v>
      </c>
      <c r="B3316" s="7" t="s">
        <v>9485</v>
      </c>
    </row>
    <row r="3317" spans="1:2">
      <c r="A3317" s="7" t="s">
        <v>9486</v>
      </c>
      <c r="B3317" s="7" t="s">
        <v>9487</v>
      </c>
    </row>
    <row r="3318" spans="1:2">
      <c r="A3318" s="7" t="s">
        <v>9488</v>
      </c>
      <c r="B3318" s="7" t="s">
        <v>9489</v>
      </c>
    </row>
    <row r="3319" spans="1:2">
      <c r="A3319" s="7" t="s">
        <v>9490</v>
      </c>
      <c r="B3319" s="7" t="s">
        <v>9491</v>
      </c>
    </row>
    <row r="3320" spans="1:2">
      <c r="A3320" s="7" t="s">
        <v>9492</v>
      </c>
      <c r="B3320" s="7" t="s">
        <v>9493</v>
      </c>
    </row>
    <row r="3321" spans="1:2">
      <c r="A3321" s="7" t="s">
        <v>9494</v>
      </c>
      <c r="B3321" s="7" t="s">
        <v>4767</v>
      </c>
    </row>
    <row r="3322" spans="1:2">
      <c r="A3322" s="7" t="s">
        <v>9495</v>
      </c>
      <c r="B3322" s="7" t="s">
        <v>9496</v>
      </c>
    </row>
    <row r="3323" spans="1:2">
      <c r="A3323" s="7" t="s">
        <v>9497</v>
      </c>
      <c r="B3323" s="7" t="s">
        <v>9498</v>
      </c>
    </row>
    <row r="3324" spans="1:2">
      <c r="A3324" s="7" t="s">
        <v>9499</v>
      </c>
      <c r="B3324" s="7" t="s">
        <v>9500</v>
      </c>
    </row>
    <row r="3325" spans="1:2">
      <c r="A3325" s="7" t="s">
        <v>9501</v>
      </c>
      <c r="B3325" s="7" t="s">
        <v>6617</v>
      </c>
    </row>
    <row r="3326" spans="1:2">
      <c r="A3326" s="7" t="s">
        <v>9502</v>
      </c>
      <c r="B3326" s="7" t="s">
        <v>6873</v>
      </c>
    </row>
    <row r="3327" spans="1:2">
      <c r="A3327" s="7" t="s">
        <v>9503</v>
      </c>
      <c r="B3327" s="7" t="s">
        <v>6412</v>
      </c>
    </row>
    <row r="3328" spans="1:2">
      <c r="A3328" s="7" t="s">
        <v>9504</v>
      </c>
      <c r="B3328" s="7" t="s">
        <v>9505</v>
      </c>
    </row>
    <row r="3329" spans="1:2">
      <c r="A3329" s="7" t="s">
        <v>9506</v>
      </c>
      <c r="B3329" s="7" t="s">
        <v>9507</v>
      </c>
    </row>
    <row r="3330" spans="1:2">
      <c r="A3330" s="7" t="s">
        <v>9508</v>
      </c>
      <c r="B3330" s="7" t="s">
        <v>7715</v>
      </c>
    </row>
    <row r="3331" spans="1:2">
      <c r="A3331" s="7" t="s">
        <v>9509</v>
      </c>
      <c r="B3331" s="7" t="s">
        <v>7853</v>
      </c>
    </row>
    <row r="3332" spans="1:2">
      <c r="A3332" s="7" t="s">
        <v>9510</v>
      </c>
      <c r="B3332" s="7" t="s">
        <v>9511</v>
      </c>
    </row>
    <row r="3333" spans="1:2">
      <c r="A3333" s="7" t="s">
        <v>9512</v>
      </c>
      <c r="B3333" s="7" t="s">
        <v>9513</v>
      </c>
    </row>
    <row r="3334" spans="1:2">
      <c r="A3334" s="7" t="s">
        <v>9514</v>
      </c>
      <c r="B3334" s="7" t="s">
        <v>9515</v>
      </c>
    </row>
    <row r="3335" spans="1:2">
      <c r="A3335" s="7" t="s">
        <v>9516</v>
      </c>
      <c r="B3335" s="7" t="s">
        <v>9517</v>
      </c>
    </row>
    <row r="3336" spans="1:2">
      <c r="A3336" s="7" t="s">
        <v>9518</v>
      </c>
      <c r="B3336" s="7" t="s">
        <v>9519</v>
      </c>
    </row>
    <row r="3337" spans="1:2">
      <c r="A3337" s="7" t="s">
        <v>9520</v>
      </c>
      <c r="B3337" s="7" t="s">
        <v>9521</v>
      </c>
    </row>
    <row r="3338" spans="1:2">
      <c r="A3338" s="7" t="s">
        <v>9522</v>
      </c>
      <c r="B3338" s="7" t="s">
        <v>9523</v>
      </c>
    </row>
    <row r="3339" spans="1:2">
      <c r="A3339" s="7" t="s">
        <v>9524</v>
      </c>
      <c r="B3339" s="7" t="s">
        <v>9525</v>
      </c>
    </row>
    <row r="3340" spans="1:2">
      <c r="A3340" s="7" t="s">
        <v>9526</v>
      </c>
      <c r="B3340" s="7" t="s">
        <v>9527</v>
      </c>
    </row>
    <row r="3341" spans="1:2">
      <c r="A3341" s="7" t="s">
        <v>9528</v>
      </c>
      <c r="B3341" s="7" t="s">
        <v>9529</v>
      </c>
    </row>
    <row r="3342" spans="1:2">
      <c r="A3342" s="7" t="s">
        <v>9530</v>
      </c>
      <c r="B3342" s="7" t="s">
        <v>9531</v>
      </c>
    </row>
    <row r="3343" spans="1:2">
      <c r="A3343" s="7" t="s">
        <v>9532</v>
      </c>
      <c r="B3343" s="7" t="s">
        <v>9533</v>
      </c>
    </row>
    <row r="3344" spans="1:2">
      <c r="A3344" s="7" t="s">
        <v>9534</v>
      </c>
      <c r="B3344" s="7" t="s">
        <v>9535</v>
      </c>
    </row>
    <row r="3345" spans="1:2">
      <c r="A3345" s="7" t="s">
        <v>9536</v>
      </c>
      <c r="B3345" s="7" t="s">
        <v>3535</v>
      </c>
    </row>
    <row r="3346" spans="1:2">
      <c r="A3346" s="7" t="s">
        <v>9537</v>
      </c>
      <c r="B3346" s="7" t="s">
        <v>9538</v>
      </c>
    </row>
    <row r="3347" spans="1:2">
      <c r="A3347" s="7" t="s">
        <v>9539</v>
      </c>
      <c r="B3347" s="7" t="s">
        <v>9540</v>
      </c>
    </row>
    <row r="3348" spans="1:2">
      <c r="A3348" s="7" t="s">
        <v>9541</v>
      </c>
      <c r="B3348" s="7" t="s">
        <v>9542</v>
      </c>
    </row>
    <row r="3349" spans="1:2">
      <c r="A3349" s="7" t="s">
        <v>9543</v>
      </c>
      <c r="B3349" s="7" t="s">
        <v>3510</v>
      </c>
    </row>
    <row r="3350" spans="1:2">
      <c r="A3350" s="7" t="s">
        <v>9544</v>
      </c>
      <c r="B3350" s="7" t="s">
        <v>9545</v>
      </c>
    </row>
    <row r="3351" spans="1:2">
      <c r="A3351" s="7" t="s">
        <v>9546</v>
      </c>
      <c r="B3351" s="7" t="s">
        <v>9547</v>
      </c>
    </row>
    <row r="3352" spans="1:2">
      <c r="A3352" s="7" t="s">
        <v>9548</v>
      </c>
      <c r="B3352" s="7" t="s">
        <v>9549</v>
      </c>
    </row>
    <row r="3353" spans="1:2">
      <c r="A3353" s="7" t="s">
        <v>9550</v>
      </c>
      <c r="B3353" s="7" t="s">
        <v>9551</v>
      </c>
    </row>
    <row r="3354" spans="1:2">
      <c r="A3354" s="7" t="s">
        <v>9552</v>
      </c>
      <c r="B3354" s="7" t="s">
        <v>5308</v>
      </c>
    </row>
    <row r="3355" spans="1:2">
      <c r="A3355" s="7" t="s">
        <v>9553</v>
      </c>
      <c r="B3355" s="7" t="s">
        <v>9554</v>
      </c>
    </row>
    <row r="3356" spans="1:2">
      <c r="A3356" s="7" t="s">
        <v>9555</v>
      </c>
      <c r="B3356" s="7" t="s">
        <v>9556</v>
      </c>
    </row>
    <row r="3357" spans="1:2">
      <c r="A3357" s="7" t="s">
        <v>9557</v>
      </c>
      <c r="B3357" s="7" t="s">
        <v>7340</v>
      </c>
    </row>
    <row r="3358" spans="1:2">
      <c r="A3358" s="7" t="s">
        <v>9558</v>
      </c>
      <c r="B3358" s="7" t="s">
        <v>9559</v>
      </c>
    </row>
    <row r="3359" spans="1:2">
      <c r="A3359" s="7" t="s">
        <v>9560</v>
      </c>
      <c r="B3359" s="7" t="s">
        <v>9561</v>
      </c>
    </row>
    <row r="3360" spans="1:2">
      <c r="A3360" s="7" t="s">
        <v>9562</v>
      </c>
      <c r="B3360" s="7" t="s">
        <v>9563</v>
      </c>
    </row>
    <row r="3361" spans="1:2">
      <c r="A3361" s="7" t="s">
        <v>9564</v>
      </c>
      <c r="B3361" s="7" t="s">
        <v>9565</v>
      </c>
    </row>
    <row r="3362" spans="1:2">
      <c r="A3362" s="7" t="s">
        <v>9566</v>
      </c>
      <c r="B3362" s="7" t="s">
        <v>9567</v>
      </c>
    </row>
    <row r="3363" spans="1:2">
      <c r="A3363" s="7" t="s">
        <v>9568</v>
      </c>
      <c r="B3363" s="7" t="s">
        <v>3299</v>
      </c>
    </row>
    <row r="3364" spans="1:2">
      <c r="A3364" s="7" t="s">
        <v>9569</v>
      </c>
      <c r="B3364" s="7" t="s">
        <v>9570</v>
      </c>
    </row>
    <row r="3365" spans="1:2">
      <c r="A3365" s="7" t="s">
        <v>9571</v>
      </c>
      <c r="B3365" s="7" t="s">
        <v>4355</v>
      </c>
    </row>
    <row r="3366" spans="1:2">
      <c r="A3366" s="7" t="s">
        <v>9572</v>
      </c>
      <c r="B3366" s="7" t="s">
        <v>7610</v>
      </c>
    </row>
    <row r="3367" spans="1:2">
      <c r="A3367" s="7" t="s">
        <v>9573</v>
      </c>
      <c r="B3367" s="7" t="s">
        <v>9574</v>
      </c>
    </row>
    <row r="3368" spans="1:2">
      <c r="A3368" s="7" t="s">
        <v>9575</v>
      </c>
      <c r="B3368" s="7" t="s">
        <v>9576</v>
      </c>
    </row>
    <row r="3369" spans="1:2">
      <c r="A3369" s="7" t="s">
        <v>9577</v>
      </c>
      <c r="B3369" s="7" t="s">
        <v>9578</v>
      </c>
    </row>
    <row r="3370" spans="1:2">
      <c r="A3370" s="7" t="s">
        <v>9579</v>
      </c>
      <c r="B3370" s="7" t="s">
        <v>9580</v>
      </c>
    </row>
    <row r="3371" spans="1:2">
      <c r="A3371" s="7" t="s">
        <v>9581</v>
      </c>
      <c r="B3371" s="7" t="s">
        <v>9582</v>
      </c>
    </row>
    <row r="3372" spans="1:2">
      <c r="A3372" s="7" t="s">
        <v>9583</v>
      </c>
      <c r="B3372" s="7" t="s">
        <v>9584</v>
      </c>
    </row>
    <row r="3373" spans="1:2">
      <c r="A3373" s="7" t="s">
        <v>9585</v>
      </c>
      <c r="B3373" s="7" t="s">
        <v>9586</v>
      </c>
    </row>
    <row r="3374" spans="1:2">
      <c r="A3374" s="7" t="s">
        <v>9587</v>
      </c>
      <c r="B3374" s="7" t="s">
        <v>9588</v>
      </c>
    </row>
    <row r="3375" spans="1:2">
      <c r="A3375" s="7" t="s">
        <v>9589</v>
      </c>
      <c r="B3375" s="7" t="s">
        <v>9590</v>
      </c>
    </row>
    <row r="3376" spans="1:2">
      <c r="A3376" s="7" t="s">
        <v>9591</v>
      </c>
      <c r="B3376" s="7" t="s">
        <v>9592</v>
      </c>
    </row>
    <row r="3377" spans="1:2">
      <c r="A3377" s="7" t="s">
        <v>9593</v>
      </c>
      <c r="B3377" s="7" t="s">
        <v>8397</v>
      </c>
    </row>
    <row r="3378" spans="1:2">
      <c r="A3378" s="7" t="s">
        <v>9594</v>
      </c>
      <c r="B3378" s="7" t="s">
        <v>4835</v>
      </c>
    </row>
    <row r="3379" spans="1:2">
      <c r="A3379" s="7" t="s">
        <v>9595</v>
      </c>
      <c r="B3379" s="7" t="s">
        <v>9596</v>
      </c>
    </row>
    <row r="3380" spans="1:2">
      <c r="A3380" s="7" t="s">
        <v>9597</v>
      </c>
      <c r="B3380" s="7" t="s">
        <v>9598</v>
      </c>
    </row>
    <row r="3381" spans="1:2">
      <c r="A3381" s="7" t="s">
        <v>9599</v>
      </c>
      <c r="B3381" s="7" t="s">
        <v>9600</v>
      </c>
    </row>
    <row r="3382" spans="1:2">
      <c r="A3382" s="7" t="s">
        <v>9601</v>
      </c>
      <c r="B3382" s="7" t="s">
        <v>9602</v>
      </c>
    </row>
    <row r="3383" spans="1:2">
      <c r="A3383" s="7" t="s">
        <v>9603</v>
      </c>
      <c r="B3383" s="7" t="s">
        <v>9604</v>
      </c>
    </row>
    <row r="3384" spans="1:2">
      <c r="A3384" s="7" t="s">
        <v>9605</v>
      </c>
      <c r="B3384" s="7" t="s">
        <v>9606</v>
      </c>
    </row>
    <row r="3385" spans="1:2">
      <c r="A3385" s="7" t="s">
        <v>9607</v>
      </c>
      <c r="B3385" s="7" t="s">
        <v>7192</v>
      </c>
    </row>
    <row r="3386" spans="1:2">
      <c r="A3386" s="7" t="s">
        <v>9608</v>
      </c>
      <c r="B3386" s="7" t="s">
        <v>9609</v>
      </c>
    </row>
    <row r="3387" spans="1:2">
      <c r="A3387" s="7" t="s">
        <v>9610</v>
      </c>
      <c r="B3387" s="7" t="s">
        <v>9611</v>
      </c>
    </row>
    <row r="3388" spans="1:2">
      <c r="A3388" s="7" t="s">
        <v>9612</v>
      </c>
      <c r="B3388" s="7" t="s">
        <v>9613</v>
      </c>
    </row>
    <row r="3389" spans="1:2">
      <c r="A3389" s="7" t="s">
        <v>9614</v>
      </c>
      <c r="B3389" s="7" t="s">
        <v>9615</v>
      </c>
    </row>
    <row r="3390" spans="1:2">
      <c r="A3390" s="7" t="s">
        <v>9616</v>
      </c>
      <c r="B3390" s="7" t="s">
        <v>9617</v>
      </c>
    </row>
    <row r="3391" spans="1:2">
      <c r="A3391" s="7" t="s">
        <v>9618</v>
      </c>
      <c r="B3391" s="7" t="s">
        <v>9619</v>
      </c>
    </row>
    <row r="3392" spans="1:2">
      <c r="A3392" s="7" t="s">
        <v>9620</v>
      </c>
      <c r="B3392" s="7" t="s">
        <v>5395</v>
      </c>
    </row>
    <row r="3393" spans="1:2">
      <c r="A3393" s="7" t="s">
        <v>9621</v>
      </c>
      <c r="B3393" s="7" t="s">
        <v>9622</v>
      </c>
    </row>
    <row r="3394" spans="1:2">
      <c r="A3394" s="7" t="s">
        <v>9623</v>
      </c>
      <c r="B3394" s="7" t="s">
        <v>7715</v>
      </c>
    </row>
    <row r="3395" spans="1:2">
      <c r="A3395" s="7" t="s">
        <v>9624</v>
      </c>
      <c r="B3395" s="7" t="s">
        <v>4415</v>
      </c>
    </row>
    <row r="3396" spans="1:2">
      <c r="A3396" s="7" t="s">
        <v>9625</v>
      </c>
      <c r="B3396" s="7" t="s">
        <v>8621</v>
      </c>
    </row>
    <row r="3397" spans="1:2">
      <c r="A3397" s="7" t="s">
        <v>9626</v>
      </c>
      <c r="B3397" s="7" t="s">
        <v>6594</v>
      </c>
    </row>
    <row r="3398" spans="1:2">
      <c r="A3398" s="7" t="s">
        <v>9627</v>
      </c>
      <c r="B3398" s="7" t="s">
        <v>9628</v>
      </c>
    </row>
    <row r="3399" spans="1:2">
      <c r="A3399" s="7" t="s">
        <v>9629</v>
      </c>
      <c r="B3399" s="7" t="s">
        <v>9630</v>
      </c>
    </row>
    <row r="3400" spans="1:2">
      <c r="A3400" s="7" t="s">
        <v>9631</v>
      </c>
      <c r="B3400" s="7" t="s">
        <v>9632</v>
      </c>
    </row>
    <row r="3401" spans="1:2">
      <c r="A3401" s="7" t="s">
        <v>9633</v>
      </c>
      <c r="B3401" s="7" t="s">
        <v>9634</v>
      </c>
    </row>
    <row r="3402" spans="1:2">
      <c r="A3402" s="7" t="s">
        <v>9635</v>
      </c>
      <c r="B3402" s="7" t="s">
        <v>9636</v>
      </c>
    </row>
    <row r="3403" spans="1:2">
      <c r="A3403" s="7" t="s">
        <v>9637</v>
      </c>
      <c r="B3403" s="7" t="s">
        <v>9638</v>
      </c>
    </row>
    <row r="3404" spans="1:2">
      <c r="A3404" s="7" t="s">
        <v>9639</v>
      </c>
      <c r="B3404" s="7" t="s">
        <v>4814</v>
      </c>
    </row>
    <row r="3405" spans="1:2">
      <c r="A3405" s="7" t="s">
        <v>9640</v>
      </c>
      <c r="B3405" s="7" t="s">
        <v>9641</v>
      </c>
    </row>
    <row r="3406" spans="1:2">
      <c r="A3406" s="7" t="s">
        <v>9642</v>
      </c>
      <c r="B3406" s="7" t="s">
        <v>9643</v>
      </c>
    </row>
    <row r="3407" spans="1:2">
      <c r="A3407" s="7" t="s">
        <v>9644</v>
      </c>
      <c r="B3407" s="7" t="s">
        <v>9645</v>
      </c>
    </row>
    <row r="3408" spans="1:2">
      <c r="A3408" s="7" t="s">
        <v>9646</v>
      </c>
      <c r="B3408" s="7" t="s">
        <v>9647</v>
      </c>
    </row>
    <row r="3409" spans="1:2">
      <c r="A3409" s="7" t="s">
        <v>9648</v>
      </c>
      <c r="B3409" s="7" t="s">
        <v>9649</v>
      </c>
    </row>
    <row r="3410" spans="1:2">
      <c r="A3410" s="7" t="s">
        <v>9650</v>
      </c>
      <c r="B3410" s="7" t="s">
        <v>9651</v>
      </c>
    </row>
    <row r="3411" spans="1:2">
      <c r="A3411" s="7" t="s">
        <v>9652</v>
      </c>
      <c r="B3411" s="7" t="s">
        <v>9653</v>
      </c>
    </row>
    <row r="3412" spans="1:2">
      <c r="A3412" s="7" t="s">
        <v>9654</v>
      </c>
      <c r="B3412" s="7" t="s">
        <v>9655</v>
      </c>
    </row>
    <row r="3413" spans="1:2">
      <c r="A3413" s="7" t="s">
        <v>9656</v>
      </c>
      <c r="B3413" s="7" t="s">
        <v>9657</v>
      </c>
    </row>
    <row r="3414" spans="1:2">
      <c r="A3414" s="7" t="s">
        <v>9658</v>
      </c>
      <c r="B3414" s="7" t="s">
        <v>9659</v>
      </c>
    </row>
    <row r="3415" spans="1:2">
      <c r="A3415" s="7" t="s">
        <v>9660</v>
      </c>
      <c r="B3415" s="7" t="s">
        <v>9661</v>
      </c>
    </row>
    <row r="3416" spans="1:2">
      <c r="A3416" s="7" t="s">
        <v>9662</v>
      </c>
      <c r="B3416" s="7" t="s">
        <v>9663</v>
      </c>
    </row>
    <row r="3417" spans="1:2">
      <c r="A3417" s="7" t="s">
        <v>9664</v>
      </c>
      <c r="B3417" s="7" t="s">
        <v>9665</v>
      </c>
    </row>
    <row r="3418" spans="1:2">
      <c r="A3418" s="7" t="s">
        <v>9666</v>
      </c>
      <c r="B3418" s="7" t="s">
        <v>9667</v>
      </c>
    </row>
    <row r="3419" spans="1:2">
      <c r="A3419" s="7" t="s">
        <v>9668</v>
      </c>
      <c r="B3419" s="7" t="s">
        <v>9669</v>
      </c>
    </row>
    <row r="3420" spans="1:2">
      <c r="A3420" s="7" t="s">
        <v>9670</v>
      </c>
      <c r="B3420" s="7" t="s">
        <v>9671</v>
      </c>
    </row>
    <row r="3421" spans="1:2">
      <c r="A3421" s="7" t="s">
        <v>9672</v>
      </c>
      <c r="B3421" s="7" t="s">
        <v>9161</v>
      </c>
    </row>
    <row r="3422" spans="1:2">
      <c r="A3422" s="7" t="s">
        <v>9673</v>
      </c>
      <c r="B3422" s="7" t="s">
        <v>9674</v>
      </c>
    </row>
    <row r="3423" spans="1:2">
      <c r="A3423" s="7" t="s">
        <v>9675</v>
      </c>
      <c r="B3423" s="7" t="s">
        <v>9676</v>
      </c>
    </row>
    <row r="3424" spans="1:2">
      <c r="A3424" s="7" t="s">
        <v>9677</v>
      </c>
      <c r="B3424" s="7" t="s">
        <v>9678</v>
      </c>
    </row>
    <row r="3425" spans="1:2">
      <c r="A3425" s="7" t="s">
        <v>9679</v>
      </c>
      <c r="B3425" s="7" t="s">
        <v>9680</v>
      </c>
    </row>
    <row r="3426" spans="1:2">
      <c r="A3426" s="7" t="s">
        <v>9681</v>
      </c>
      <c r="B3426" s="7" t="s">
        <v>9682</v>
      </c>
    </row>
    <row r="3427" spans="1:2">
      <c r="A3427" s="7" t="s">
        <v>9683</v>
      </c>
      <c r="B3427" s="7" t="s">
        <v>9684</v>
      </c>
    </row>
    <row r="3428" spans="1:2">
      <c r="A3428" s="7" t="s">
        <v>9685</v>
      </c>
      <c r="B3428" s="7" t="s">
        <v>9686</v>
      </c>
    </row>
    <row r="3429" spans="1:2">
      <c r="A3429" s="7" t="s">
        <v>9687</v>
      </c>
      <c r="B3429" s="7" t="s">
        <v>9688</v>
      </c>
    </row>
    <row r="3430" spans="1:2">
      <c r="A3430" s="7" t="s">
        <v>9689</v>
      </c>
      <c r="B3430" s="7" t="s">
        <v>9690</v>
      </c>
    </row>
    <row r="3431" spans="1:2">
      <c r="A3431" s="7" t="s">
        <v>9691</v>
      </c>
      <c r="B3431" s="7" t="s">
        <v>9692</v>
      </c>
    </row>
    <row r="3432" spans="1:2">
      <c r="A3432" s="7" t="s">
        <v>9693</v>
      </c>
      <c r="B3432" s="7" t="s">
        <v>9694</v>
      </c>
    </row>
    <row r="3433" spans="1:2">
      <c r="A3433" s="7" t="s">
        <v>9695</v>
      </c>
      <c r="B3433" s="7" t="s">
        <v>9696</v>
      </c>
    </row>
    <row r="3434" spans="1:2">
      <c r="A3434" s="7" t="s">
        <v>9697</v>
      </c>
      <c r="B3434" s="7" t="s">
        <v>9698</v>
      </c>
    </row>
    <row r="3435" spans="1:2">
      <c r="A3435" s="7" t="s">
        <v>9699</v>
      </c>
      <c r="B3435" s="7" t="s">
        <v>9700</v>
      </c>
    </row>
    <row r="3436" spans="1:2">
      <c r="A3436" s="7" t="s">
        <v>9701</v>
      </c>
      <c r="B3436" s="7" t="s">
        <v>7163</v>
      </c>
    </row>
    <row r="3437" spans="1:2">
      <c r="A3437" s="7" t="s">
        <v>9702</v>
      </c>
      <c r="B3437" s="7" t="s">
        <v>9703</v>
      </c>
    </row>
    <row r="3438" spans="1:2">
      <c r="A3438" s="7" t="s">
        <v>9704</v>
      </c>
      <c r="B3438" s="7" t="s">
        <v>9705</v>
      </c>
    </row>
    <row r="3439" spans="1:2">
      <c r="A3439" s="7" t="s">
        <v>9706</v>
      </c>
      <c r="B3439" s="7" t="s">
        <v>9707</v>
      </c>
    </row>
    <row r="3440" spans="1:2">
      <c r="A3440" s="7" t="s">
        <v>9708</v>
      </c>
      <c r="B3440" s="7" t="s">
        <v>9709</v>
      </c>
    </row>
    <row r="3441" spans="1:2">
      <c r="A3441" s="7" t="s">
        <v>9710</v>
      </c>
      <c r="B3441" s="7" t="s">
        <v>4325</v>
      </c>
    </row>
    <row r="3442" spans="1:2">
      <c r="A3442" s="7" t="s">
        <v>9711</v>
      </c>
      <c r="B3442" s="7" t="s">
        <v>9712</v>
      </c>
    </row>
    <row r="3443" spans="1:2">
      <c r="A3443" s="7" t="s">
        <v>9713</v>
      </c>
      <c r="B3443" s="7" t="s">
        <v>9714</v>
      </c>
    </row>
    <row r="3444" spans="1:2">
      <c r="A3444" s="7" t="s">
        <v>9715</v>
      </c>
      <c r="B3444" s="7" t="s">
        <v>9716</v>
      </c>
    </row>
    <row r="3445" spans="1:2">
      <c r="A3445" s="7" t="s">
        <v>9717</v>
      </c>
      <c r="B3445" s="7" t="s">
        <v>9718</v>
      </c>
    </row>
    <row r="3446" spans="1:2">
      <c r="A3446" s="7" t="s">
        <v>9719</v>
      </c>
      <c r="B3446" s="7" t="s">
        <v>3535</v>
      </c>
    </row>
    <row r="3447" spans="1:2">
      <c r="A3447" s="7" t="s">
        <v>9720</v>
      </c>
      <c r="B3447" s="7" t="s">
        <v>9721</v>
      </c>
    </row>
    <row r="3448" spans="1:2">
      <c r="A3448" s="7" t="s">
        <v>9722</v>
      </c>
      <c r="B3448" s="7" t="s">
        <v>5140</v>
      </c>
    </row>
    <row r="3449" spans="1:2">
      <c r="A3449" s="7" t="s">
        <v>9723</v>
      </c>
      <c r="B3449" s="7" t="s">
        <v>9724</v>
      </c>
    </row>
    <row r="3450" spans="1:2">
      <c r="A3450" s="7" t="s">
        <v>9725</v>
      </c>
      <c r="B3450" s="7" t="s">
        <v>4126</v>
      </c>
    </row>
    <row r="3451" spans="1:2">
      <c r="A3451" s="7" t="s">
        <v>9726</v>
      </c>
      <c r="B3451" s="7" t="s">
        <v>7946</v>
      </c>
    </row>
    <row r="3452" spans="1:2">
      <c r="A3452" s="7" t="s">
        <v>9727</v>
      </c>
      <c r="B3452" s="7" t="s">
        <v>9728</v>
      </c>
    </row>
    <row r="3453" spans="1:2">
      <c r="A3453" s="7" t="s">
        <v>9729</v>
      </c>
      <c r="B3453" s="7" t="s">
        <v>9730</v>
      </c>
    </row>
    <row r="3454" spans="1:2">
      <c r="A3454" s="7" t="s">
        <v>9731</v>
      </c>
      <c r="B3454" s="7" t="s">
        <v>9732</v>
      </c>
    </row>
    <row r="3455" spans="1:2">
      <c r="A3455" s="7" t="s">
        <v>9733</v>
      </c>
      <c r="B3455" s="7" t="s">
        <v>9734</v>
      </c>
    </row>
    <row r="3456" spans="1:2">
      <c r="A3456" s="7" t="s">
        <v>9735</v>
      </c>
      <c r="B3456" s="7" t="s">
        <v>3463</v>
      </c>
    </row>
    <row r="3457" spans="1:2">
      <c r="A3457" s="7" t="s">
        <v>9736</v>
      </c>
      <c r="B3457" s="7" t="s">
        <v>9737</v>
      </c>
    </row>
    <row r="3458" spans="1:2">
      <c r="A3458" s="7" t="s">
        <v>9738</v>
      </c>
      <c r="B3458" s="7" t="s">
        <v>9270</v>
      </c>
    </row>
    <row r="3459" spans="1:2">
      <c r="A3459" s="7" t="s">
        <v>9739</v>
      </c>
      <c r="B3459" s="7" t="s">
        <v>9740</v>
      </c>
    </row>
    <row r="3460" spans="1:2">
      <c r="A3460" s="7" t="s">
        <v>9741</v>
      </c>
      <c r="B3460" s="7" t="s">
        <v>7440</v>
      </c>
    </row>
    <row r="3461" spans="1:2">
      <c r="A3461" s="7" t="s">
        <v>9742</v>
      </c>
      <c r="B3461" s="7" t="s">
        <v>9743</v>
      </c>
    </row>
    <row r="3462" spans="1:2">
      <c r="A3462" s="7" t="s">
        <v>9744</v>
      </c>
      <c r="B3462" s="7" t="s">
        <v>9745</v>
      </c>
    </row>
    <row r="3463" spans="1:2">
      <c r="A3463" s="7" t="s">
        <v>9746</v>
      </c>
      <c r="B3463" s="7" t="s">
        <v>9747</v>
      </c>
    </row>
    <row r="3464" spans="1:2">
      <c r="A3464" s="7" t="s">
        <v>9748</v>
      </c>
      <c r="B3464" s="7" t="s">
        <v>9749</v>
      </c>
    </row>
    <row r="3465" spans="1:2">
      <c r="A3465" s="7" t="s">
        <v>9750</v>
      </c>
      <c r="B3465" s="7" t="s">
        <v>5115</v>
      </c>
    </row>
    <row r="3466" spans="1:2">
      <c r="A3466" s="7" t="s">
        <v>9751</v>
      </c>
      <c r="B3466" s="7" t="s">
        <v>6946</v>
      </c>
    </row>
    <row r="3467" spans="1:2">
      <c r="A3467" s="7" t="s">
        <v>9752</v>
      </c>
      <c r="B3467" s="7" t="s">
        <v>4639</v>
      </c>
    </row>
    <row r="3468" spans="1:2">
      <c r="A3468" s="7" t="s">
        <v>9753</v>
      </c>
      <c r="B3468" s="7" t="s">
        <v>9754</v>
      </c>
    </row>
    <row r="3469" spans="1:2">
      <c r="A3469" s="7" t="s">
        <v>9755</v>
      </c>
      <c r="B3469" s="7" t="s">
        <v>6686</v>
      </c>
    </row>
    <row r="3470" spans="1:2">
      <c r="A3470" s="7" t="s">
        <v>9756</v>
      </c>
      <c r="B3470" s="7" t="s">
        <v>9757</v>
      </c>
    </row>
    <row r="3471" spans="1:2">
      <c r="A3471" s="7" t="s">
        <v>9758</v>
      </c>
      <c r="B3471" s="7" t="s">
        <v>9759</v>
      </c>
    </row>
    <row r="3472" spans="1:2">
      <c r="A3472" s="7" t="s">
        <v>9760</v>
      </c>
      <c r="B3472" s="7" t="s">
        <v>9761</v>
      </c>
    </row>
    <row r="3473" spans="1:2">
      <c r="A3473" s="7" t="s">
        <v>9762</v>
      </c>
      <c r="B3473" s="7" t="s">
        <v>4151</v>
      </c>
    </row>
    <row r="3474" spans="1:2">
      <c r="A3474" s="7" t="s">
        <v>9763</v>
      </c>
      <c r="B3474" s="7" t="s">
        <v>9764</v>
      </c>
    </row>
    <row r="3475" spans="1:2">
      <c r="A3475" s="7" t="s">
        <v>9765</v>
      </c>
      <c r="B3475" s="7" t="s">
        <v>9766</v>
      </c>
    </row>
    <row r="3476" spans="1:2">
      <c r="A3476" s="7" t="s">
        <v>9767</v>
      </c>
      <c r="B3476" s="7" t="s">
        <v>9768</v>
      </c>
    </row>
    <row r="3477" spans="1:2">
      <c r="A3477" s="7" t="s">
        <v>9769</v>
      </c>
      <c r="B3477" s="7" t="s">
        <v>5163</v>
      </c>
    </row>
    <row r="3478" spans="1:2">
      <c r="A3478" s="7" t="s">
        <v>9770</v>
      </c>
      <c r="B3478" s="7" t="s">
        <v>9771</v>
      </c>
    </row>
    <row r="3479" spans="1:2">
      <c r="A3479" s="7" t="s">
        <v>9772</v>
      </c>
      <c r="B3479" s="7" t="s">
        <v>9773</v>
      </c>
    </row>
    <row r="3480" spans="1:2">
      <c r="A3480" s="7" t="s">
        <v>9774</v>
      </c>
      <c r="B3480" s="7" t="s">
        <v>9775</v>
      </c>
    </row>
    <row r="3481" spans="1:2">
      <c r="A3481" s="7" t="s">
        <v>9776</v>
      </c>
      <c r="B3481" s="7" t="s">
        <v>5665</v>
      </c>
    </row>
    <row r="3482" spans="1:2">
      <c r="A3482" s="7" t="s">
        <v>9777</v>
      </c>
      <c r="B3482" s="7" t="s">
        <v>9778</v>
      </c>
    </row>
    <row r="3483" spans="1:2">
      <c r="A3483" s="7" t="s">
        <v>9779</v>
      </c>
      <c r="B3483" s="7" t="s">
        <v>9780</v>
      </c>
    </row>
    <row r="3484" spans="1:2">
      <c r="A3484" s="7" t="s">
        <v>9781</v>
      </c>
      <c r="B3484" s="7" t="s">
        <v>4504</v>
      </c>
    </row>
    <row r="3485" spans="1:2">
      <c r="A3485" s="7" t="s">
        <v>9782</v>
      </c>
      <c r="B3485" s="7" t="s">
        <v>9783</v>
      </c>
    </row>
    <row r="3486" spans="1:2">
      <c r="A3486" s="7" t="s">
        <v>9784</v>
      </c>
      <c r="B3486" s="7" t="s">
        <v>9785</v>
      </c>
    </row>
    <row r="3487" spans="1:2">
      <c r="A3487" s="7" t="s">
        <v>9786</v>
      </c>
      <c r="B3487" s="7" t="s">
        <v>9787</v>
      </c>
    </row>
    <row r="3488" spans="1:2">
      <c r="A3488" s="7" t="s">
        <v>9788</v>
      </c>
      <c r="B3488" s="7" t="s">
        <v>9789</v>
      </c>
    </row>
    <row r="3489" spans="1:2">
      <c r="A3489" s="7" t="s">
        <v>9790</v>
      </c>
      <c r="B3489" s="7" t="s">
        <v>9791</v>
      </c>
    </row>
    <row r="3490" spans="1:2">
      <c r="A3490" s="7" t="s">
        <v>9792</v>
      </c>
      <c r="B3490" s="7" t="s">
        <v>6964</v>
      </c>
    </row>
    <row r="3491" spans="1:2">
      <c r="A3491" s="7" t="s">
        <v>9793</v>
      </c>
      <c r="B3491" s="7" t="s">
        <v>9794</v>
      </c>
    </row>
    <row r="3492" spans="1:2">
      <c r="A3492" s="7" t="s">
        <v>9795</v>
      </c>
      <c r="B3492" s="7" t="s">
        <v>9796</v>
      </c>
    </row>
    <row r="3493" spans="1:2">
      <c r="A3493" s="7" t="s">
        <v>9797</v>
      </c>
      <c r="B3493" s="7" t="s">
        <v>9798</v>
      </c>
    </row>
    <row r="3494" spans="1:2">
      <c r="A3494" s="7" t="s">
        <v>9799</v>
      </c>
      <c r="B3494" s="7" t="s">
        <v>9800</v>
      </c>
    </row>
    <row r="3495" spans="1:2">
      <c r="A3495" s="7" t="s">
        <v>9801</v>
      </c>
      <c r="B3495" s="7" t="s">
        <v>9802</v>
      </c>
    </row>
    <row r="3496" spans="1:2">
      <c r="A3496" s="7" t="s">
        <v>9803</v>
      </c>
      <c r="B3496" s="7" t="s">
        <v>9804</v>
      </c>
    </row>
    <row r="3497" spans="1:2">
      <c r="A3497" s="7" t="s">
        <v>9805</v>
      </c>
      <c r="B3497" s="7" t="s">
        <v>5138</v>
      </c>
    </row>
    <row r="3498" spans="1:2">
      <c r="A3498" s="7" t="s">
        <v>9806</v>
      </c>
      <c r="B3498" s="7" t="s">
        <v>3535</v>
      </c>
    </row>
    <row r="3499" spans="1:2">
      <c r="A3499" s="7" t="s">
        <v>9807</v>
      </c>
      <c r="B3499" s="7" t="s">
        <v>9808</v>
      </c>
    </row>
    <row r="3500" spans="1:2">
      <c r="A3500" s="7" t="s">
        <v>9809</v>
      </c>
      <c r="B3500" s="7" t="s">
        <v>9810</v>
      </c>
    </row>
    <row r="3501" spans="1:2">
      <c r="A3501" s="7" t="s">
        <v>9811</v>
      </c>
      <c r="B3501" s="7" t="s">
        <v>5889</v>
      </c>
    </row>
    <row r="3502" spans="1:2">
      <c r="A3502" s="7" t="s">
        <v>9812</v>
      </c>
      <c r="B3502" s="7" t="s">
        <v>3666</v>
      </c>
    </row>
    <row r="3503" spans="1:2">
      <c r="A3503" s="7" t="s">
        <v>9813</v>
      </c>
      <c r="B3503" s="7" t="s">
        <v>3253</v>
      </c>
    </row>
    <row r="3504" spans="1:2">
      <c r="A3504" s="7" t="s">
        <v>9814</v>
      </c>
      <c r="B3504" s="7" t="s">
        <v>9815</v>
      </c>
    </row>
    <row r="3505" spans="1:2">
      <c r="A3505" s="7" t="s">
        <v>9816</v>
      </c>
      <c r="B3505" s="7" t="s">
        <v>9817</v>
      </c>
    </row>
    <row r="3506" spans="1:2">
      <c r="A3506" s="7" t="s">
        <v>9818</v>
      </c>
      <c r="B3506" s="7" t="s">
        <v>7946</v>
      </c>
    </row>
    <row r="3507" spans="1:2">
      <c r="A3507" s="7" t="s">
        <v>9819</v>
      </c>
      <c r="B3507" s="7" t="s">
        <v>3461</v>
      </c>
    </row>
    <row r="3508" spans="1:2">
      <c r="A3508" s="7" t="s">
        <v>9820</v>
      </c>
      <c r="B3508" s="7" t="s">
        <v>9821</v>
      </c>
    </row>
    <row r="3509" spans="1:2">
      <c r="A3509" s="7" t="s">
        <v>9822</v>
      </c>
      <c r="B3509" s="7" t="s">
        <v>7033</v>
      </c>
    </row>
    <row r="3510" spans="1:2">
      <c r="A3510" s="7" t="s">
        <v>9823</v>
      </c>
      <c r="B3510" s="7" t="s">
        <v>9824</v>
      </c>
    </row>
    <row r="3511" spans="1:2">
      <c r="A3511" s="7" t="s">
        <v>9825</v>
      </c>
      <c r="B3511" s="7" t="s">
        <v>9826</v>
      </c>
    </row>
    <row r="3512" spans="1:2">
      <c r="A3512" s="7" t="s">
        <v>9827</v>
      </c>
      <c r="B3512" s="7" t="s">
        <v>9828</v>
      </c>
    </row>
    <row r="3513" spans="1:2">
      <c r="A3513" s="7" t="s">
        <v>9829</v>
      </c>
      <c r="B3513" s="7" t="s">
        <v>9830</v>
      </c>
    </row>
    <row r="3514" spans="1:2">
      <c r="A3514" s="7" t="s">
        <v>9831</v>
      </c>
      <c r="B3514" s="7" t="s">
        <v>9832</v>
      </c>
    </row>
    <row r="3515" spans="1:2">
      <c r="A3515" s="7" t="s">
        <v>9833</v>
      </c>
      <c r="B3515" s="7" t="s">
        <v>9834</v>
      </c>
    </row>
    <row r="3516" spans="1:2">
      <c r="A3516" s="7" t="s">
        <v>9835</v>
      </c>
      <c r="B3516" s="7" t="s">
        <v>9836</v>
      </c>
    </row>
    <row r="3517" spans="1:2">
      <c r="A3517" s="7" t="s">
        <v>9837</v>
      </c>
      <c r="B3517" s="7" t="s">
        <v>9838</v>
      </c>
    </row>
    <row r="3518" spans="1:2">
      <c r="A3518" s="7" t="s">
        <v>9839</v>
      </c>
      <c r="B3518" s="7" t="s">
        <v>5604</v>
      </c>
    </row>
    <row r="3519" spans="1:2">
      <c r="A3519" s="7" t="s">
        <v>9840</v>
      </c>
      <c r="B3519" s="7" t="s">
        <v>5742</v>
      </c>
    </row>
    <row r="3520" spans="1:2">
      <c r="A3520" s="7" t="s">
        <v>9841</v>
      </c>
      <c r="B3520" s="7" t="s">
        <v>5609</v>
      </c>
    </row>
    <row r="3521" spans="1:2">
      <c r="A3521" s="7" t="s">
        <v>9842</v>
      </c>
      <c r="B3521" s="7" t="s">
        <v>9843</v>
      </c>
    </row>
    <row r="3522" spans="1:2">
      <c r="A3522" s="7" t="s">
        <v>9844</v>
      </c>
      <c r="B3522" s="7" t="s">
        <v>9845</v>
      </c>
    </row>
    <row r="3523" spans="1:2">
      <c r="A3523" s="7" t="s">
        <v>9846</v>
      </c>
      <c r="B3523" s="7" t="s">
        <v>9847</v>
      </c>
    </row>
    <row r="3524" spans="1:2">
      <c r="A3524" s="7" t="s">
        <v>9848</v>
      </c>
      <c r="B3524" s="7" t="s">
        <v>6594</v>
      </c>
    </row>
    <row r="3525" spans="1:2">
      <c r="A3525" s="7" t="s">
        <v>9849</v>
      </c>
      <c r="B3525" s="7" t="s">
        <v>9850</v>
      </c>
    </row>
    <row r="3526" spans="1:2">
      <c r="A3526" s="7" t="s">
        <v>9851</v>
      </c>
      <c r="B3526" s="7" t="s">
        <v>7273</v>
      </c>
    </row>
    <row r="3527" spans="1:2">
      <c r="A3527" s="7" t="s">
        <v>9852</v>
      </c>
      <c r="B3527" s="7" t="s">
        <v>9853</v>
      </c>
    </row>
    <row r="3528" spans="1:2">
      <c r="A3528" s="7" t="s">
        <v>9854</v>
      </c>
      <c r="B3528" s="7" t="s">
        <v>9855</v>
      </c>
    </row>
    <row r="3529" spans="1:2">
      <c r="A3529" s="7" t="s">
        <v>9856</v>
      </c>
      <c r="B3529" s="7" t="s">
        <v>9857</v>
      </c>
    </row>
    <row r="3530" spans="1:2">
      <c r="A3530" s="7" t="s">
        <v>9858</v>
      </c>
      <c r="B3530" s="7" t="s">
        <v>9859</v>
      </c>
    </row>
    <row r="3531" spans="1:2">
      <c r="A3531" s="7" t="s">
        <v>9860</v>
      </c>
      <c r="B3531" s="7" t="s">
        <v>9861</v>
      </c>
    </row>
    <row r="3532" spans="1:2">
      <c r="A3532" s="7" t="s">
        <v>9862</v>
      </c>
      <c r="B3532" s="7" t="s">
        <v>6511</v>
      </c>
    </row>
    <row r="3533" spans="1:2">
      <c r="A3533" s="7" t="s">
        <v>9863</v>
      </c>
      <c r="B3533" s="7" t="s">
        <v>9864</v>
      </c>
    </row>
    <row r="3534" spans="1:2">
      <c r="A3534" s="7" t="s">
        <v>9865</v>
      </c>
      <c r="B3534" s="7" t="s">
        <v>9866</v>
      </c>
    </row>
    <row r="3535" spans="1:2">
      <c r="A3535" s="7" t="s">
        <v>9867</v>
      </c>
      <c r="B3535" s="7" t="s">
        <v>9868</v>
      </c>
    </row>
    <row r="3536" spans="1:2">
      <c r="A3536" s="7" t="s">
        <v>9869</v>
      </c>
      <c r="B3536" s="7" t="s">
        <v>9870</v>
      </c>
    </row>
    <row r="3537" spans="1:2">
      <c r="A3537" s="7" t="s">
        <v>9871</v>
      </c>
      <c r="B3537" s="7" t="s">
        <v>6230</v>
      </c>
    </row>
    <row r="3538" spans="1:2">
      <c r="A3538" s="7" t="s">
        <v>9872</v>
      </c>
      <c r="B3538" s="7" t="s">
        <v>9141</v>
      </c>
    </row>
    <row r="3539" spans="1:2">
      <c r="A3539" s="7" t="s">
        <v>9873</v>
      </c>
      <c r="B3539" s="7" t="s">
        <v>9874</v>
      </c>
    </row>
    <row r="3540" spans="1:2">
      <c r="A3540" s="7" t="s">
        <v>9875</v>
      </c>
      <c r="B3540" s="7" t="s">
        <v>9876</v>
      </c>
    </row>
    <row r="3541" spans="1:2">
      <c r="A3541" s="7" t="s">
        <v>9877</v>
      </c>
      <c r="B3541" s="7" t="s">
        <v>9878</v>
      </c>
    </row>
    <row r="3542" spans="1:2">
      <c r="A3542" s="7" t="s">
        <v>9879</v>
      </c>
      <c r="B3542" s="7" t="s">
        <v>9880</v>
      </c>
    </row>
    <row r="3543" spans="1:2">
      <c r="A3543" s="7" t="s">
        <v>9881</v>
      </c>
      <c r="B3543" s="7" t="s">
        <v>6958</v>
      </c>
    </row>
    <row r="3544" spans="1:2">
      <c r="A3544" s="7" t="s">
        <v>9882</v>
      </c>
      <c r="B3544" s="7" t="s">
        <v>9883</v>
      </c>
    </row>
    <row r="3545" spans="1:2">
      <c r="A3545" s="7" t="s">
        <v>9884</v>
      </c>
      <c r="B3545" s="7" t="s">
        <v>9885</v>
      </c>
    </row>
    <row r="3546" spans="1:2">
      <c r="A3546" s="7" t="s">
        <v>9886</v>
      </c>
      <c r="B3546" s="7" t="s">
        <v>9887</v>
      </c>
    </row>
    <row r="3547" spans="1:2">
      <c r="A3547" s="7" t="s">
        <v>9888</v>
      </c>
      <c r="B3547" s="7" t="s">
        <v>9889</v>
      </c>
    </row>
    <row r="3548" spans="1:2">
      <c r="A3548" s="7" t="s">
        <v>9890</v>
      </c>
      <c r="B3548" s="7" t="s">
        <v>9891</v>
      </c>
    </row>
    <row r="3549" spans="1:2">
      <c r="A3549" s="7" t="s">
        <v>9892</v>
      </c>
      <c r="B3549" s="7" t="s">
        <v>3776</v>
      </c>
    </row>
    <row r="3550" spans="1:2">
      <c r="A3550" s="7" t="s">
        <v>9893</v>
      </c>
      <c r="B3550" s="7" t="s">
        <v>9894</v>
      </c>
    </row>
    <row r="3551" spans="1:2">
      <c r="A3551" s="7" t="s">
        <v>9895</v>
      </c>
      <c r="B3551" s="7" t="s">
        <v>9896</v>
      </c>
    </row>
    <row r="3552" spans="1:2">
      <c r="A3552" s="7" t="s">
        <v>9897</v>
      </c>
      <c r="B3552" s="7" t="s">
        <v>9898</v>
      </c>
    </row>
    <row r="3553" spans="1:2">
      <c r="A3553" s="7" t="s">
        <v>9899</v>
      </c>
      <c r="B3553" s="7" t="s">
        <v>3535</v>
      </c>
    </row>
    <row r="3554" spans="1:2">
      <c r="A3554" s="7" t="s">
        <v>9900</v>
      </c>
      <c r="B3554" s="7" t="s">
        <v>9901</v>
      </c>
    </row>
    <row r="3555" spans="1:2">
      <c r="A3555" s="7" t="s">
        <v>9902</v>
      </c>
      <c r="B3555" s="7" t="s">
        <v>9903</v>
      </c>
    </row>
    <row r="3556" spans="1:2">
      <c r="A3556" s="7" t="s">
        <v>9904</v>
      </c>
      <c r="B3556" s="7" t="s">
        <v>9905</v>
      </c>
    </row>
    <row r="3557" spans="1:2">
      <c r="A3557" s="7" t="s">
        <v>9906</v>
      </c>
      <c r="B3557" s="7" t="s">
        <v>9907</v>
      </c>
    </row>
    <row r="3558" spans="1:2">
      <c r="A3558" s="7" t="s">
        <v>9908</v>
      </c>
      <c r="B3558" s="7" t="s">
        <v>9909</v>
      </c>
    </row>
    <row r="3559" spans="1:2">
      <c r="A3559" s="7" t="s">
        <v>9910</v>
      </c>
      <c r="B3559" s="7" t="s">
        <v>6076</v>
      </c>
    </row>
    <row r="3560" spans="1:2">
      <c r="A3560" s="7" t="s">
        <v>9911</v>
      </c>
      <c r="B3560" s="7" t="s">
        <v>6851</v>
      </c>
    </row>
    <row r="3561" spans="1:2">
      <c r="A3561" s="7" t="s">
        <v>9912</v>
      </c>
      <c r="B3561" s="7" t="s">
        <v>9913</v>
      </c>
    </row>
    <row r="3562" spans="1:2">
      <c r="A3562" s="7" t="s">
        <v>9914</v>
      </c>
      <c r="B3562" s="7" t="s">
        <v>6911</v>
      </c>
    </row>
    <row r="3563" spans="1:2">
      <c r="A3563" s="7" t="s">
        <v>9915</v>
      </c>
      <c r="B3563" s="7" t="s">
        <v>9916</v>
      </c>
    </row>
    <row r="3564" spans="1:2">
      <c r="A3564" s="7" t="s">
        <v>9917</v>
      </c>
      <c r="B3564" s="7" t="s">
        <v>9918</v>
      </c>
    </row>
    <row r="3565" spans="1:2">
      <c r="A3565" s="7" t="s">
        <v>9919</v>
      </c>
      <c r="B3565" s="7" t="s">
        <v>9920</v>
      </c>
    </row>
    <row r="3566" spans="1:2">
      <c r="A3566" s="7" t="s">
        <v>9921</v>
      </c>
      <c r="B3566" s="7" t="s">
        <v>7340</v>
      </c>
    </row>
    <row r="3567" spans="1:2">
      <c r="A3567" s="7" t="s">
        <v>9922</v>
      </c>
      <c r="B3567" s="7" t="s">
        <v>6206</v>
      </c>
    </row>
    <row r="3568" spans="1:2">
      <c r="A3568" s="7" t="s">
        <v>9923</v>
      </c>
      <c r="B3568" s="7" t="s">
        <v>3253</v>
      </c>
    </row>
    <row r="3569" spans="1:2">
      <c r="A3569" s="7" t="s">
        <v>9924</v>
      </c>
      <c r="B3569" s="7" t="s">
        <v>6161</v>
      </c>
    </row>
    <row r="3570" spans="1:2">
      <c r="A3570" s="7" t="s">
        <v>9925</v>
      </c>
      <c r="B3570" s="7" t="s">
        <v>9926</v>
      </c>
    </row>
    <row r="3571" spans="1:2">
      <c r="A3571" s="7" t="s">
        <v>9927</v>
      </c>
      <c r="B3571" s="7" t="s">
        <v>9928</v>
      </c>
    </row>
    <row r="3572" spans="1:2">
      <c r="A3572" s="7" t="s">
        <v>9929</v>
      </c>
      <c r="B3572" s="7" t="s">
        <v>9930</v>
      </c>
    </row>
    <row r="3573" spans="1:2">
      <c r="A3573" s="7" t="s">
        <v>9931</v>
      </c>
      <c r="B3573" s="7" t="s">
        <v>5909</v>
      </c>
    </row>
    <row r="3574" spans="1:2">
      <c r="A3574" s="7" t="s">
        <v>9932</v>
      </c>
      <c r="B3574" s="7" t="s">
        <v>9933</v>
      </c>
    </row>
    <row r="3575" spans="1:2">
      <c r="A3575" s="7" t="s">
        <v>9934</v>
      </c>
      <c r="B3575" s="7" t="s">
        <v>9935</v>
      </c>
    </row>
    <row r="3576" spans="1:2">
      <c r="A3576" s="7" t="s">
        <v>9936</v>
      </c>
      <c r="B3576" s="7" t="s">
        <v>9937</v>
      </c>
    </row>
    <row r="3577" spans="1:2">
      <c r="A3577" s="7" t="s">
        <v>9938</v>
      </c>
      <c r="B3577" s="7" t="s">
        <v>3461</v>
      </c>
    </row>
    <row r="3578" spans="1:2">
      <c r="A3578" s="7" t="s">
        <v>9939</v>
      </c>
      <c r="B3578" s="7" t="s">
        <v>9940</v>
      </c>
    </row>
    <row r="3579" spans="1:2">
      <c r="A3579" s="7" t="s">
        <v>9941</v>
      </c>
      <c r="B3579" s="7" t="s">
        <v>9942</v>
      </c>
    </row>
    <row r="3580" spans="1:2">
      <c r="A3580" s="7" t="s">
        <v>9943</v>
      </c>
      <c r="B3580" s="7" t="s">
        <v>9944</v>
      </c>
    </row>
    <row r="3581" spans="1:2">
      <c r="A3581" s="7" t="s">
        <v>9945</v>
      </c>
      <c r="B3581" s="7" t="s">
        <v>9732</v>
      </c>
    </row>
    <row r="3582" spans="1:2">
      <c r="A3582" s="7" t="s">
        <v>9946</v>
      </c>
      <c r="B3582" s="7" t="s">
        <v>4249</v>
      </c>
    </row>
    <row r="3583" spans="1:2">
      <c r="A3583" s="7" t="s">
        <v>9947</v>
      </c>
      <c r="B3583" s="7" t="s">
        <v>7849</v>
      </c>
    </row>
    <row r="3584" spans="1:2">
      <c r="A3584" s="7" t="s">
        <v>9948</v>
      </c>
      <c r="B3584" s="7" t="s">
        <v>3567</v>
      </c>
    </row>
    <row r="3585" spans="1:2">
      <c r="A3585" s="7" t="s">
        <v>9949</v>
      </c>
      <c r="B3585" s="7" t="s">
        <v>9950</v>
      </c>
    </row>
    <row r="3586" spans="1:2">
      <c r="A3586" s="7" t="s">
        <v>9951</v>
      </c>
      <c r="B3586" s="7" t="s">
        <v>9952</v>
      </c>
    </row>
    <row r="3587" spans="1:2">
      <c r="A3587" s="7" t="s">
        <v>9953</v>
      </c>
      <c r="B3587" s="7" t="s">
        <v>9954</v>
      </c>
    </row>
    <row r="3588" spans="1:2">
      <c r="A3588" s="7" t="s">
        <v>9955</v>
      </c>
      <c r="B3588" s="7" t="s">
        <v>9824</v>
      </c>
    </row>
    <row r="3589" spans="1:2">
      <c r="A3589" s="7" t="s">
        <v>9956</v>
      </c>
      <c r="B3589" s="7" t="s">
        <v>9957</v>
      </c>
    </row>
    <row r="3590" spans="1:2">
      <c r="A3590" s="7" t="s">
        <v>9958</v>
      </c>
      <c r="B3590" s="7" t="s">
        <v>9959</v>
      </c>
    </row>
    <row r="3591" spans="1:2">
      <c r="A3591" s="7" t="s">
        <v>9960</v>
      </c>
      <c r="B3591" s="7" t="s">
        <v>9961</v>
      </c>
    </row>
    <row r="3592" spans="1:2">
      <c r="A3592" s="7" t="s">
        <v>9962</v>
      </c>
      <c r="B3592" s="7" t="s">
        <v>9963</v>
      </c>
    </row>
    <row r="3593" spans="1:2">
      <c r="A3593" s="7" t="s">
        <v>9964</v>
      </c>
      <c r="B3593" s="7" t="s">
        <v>6032</v>
      </c>
    </row>
    <row r="3594" spans="1:2">
      <c r="A3594" s="7" t="s">
        <v>9965</v>
      </c>
      <c r="B3594" s="7" t="s">
        <v>9966</v>
      </c>
    </row>
    <row r="3595" spans="1:2">
      <c r="A3595" s="7" t="s">
        <v>9967</v>
      </c>
      <c r="B3595" s="7" t="s">
        <v>9968</v>
      </c>
    </row>
    <row r="3596" spans="1:2">
      <c r="A3596" s="7" t="s">
        <v>9969</v>
      </c>
      <c r="B3596" s="7" t="s">
        <v>9970</v>
      </c>
    </row>
    <row r="3597" spans="1:2">
      <c r="A3597" s="7" t="s">
        <v>9971</v>
      </c>
      <c r="B3597" s="7" t="s">
        <v>9972</v>
      </c>
    </row>
    <row r="3598" spans="1:2">
      <c r="A3598" s="7" t="s">
        <v>9973</v>
      </c>
      <c r="B3598" s="7" t="s">
        <v>9974</v>
      </c>
    </row>
    <row r="3599" spans="1:2">
      <c r="A3599" s="7" t="s">
        <v>9975</v>
      </c>
      <c r="B3599" s="7" t="s">
        <v>7440</v>
      </c>
    </row>
    <row r="3600" spans="1:2">
      <c r="A3600" s="7" t="s">
        <v>9976</v>
      </c>
      <c r="B3600" s="7" t="s">
        <v>4767</v>
      </c>
    </row>
    <row r="3601" spans="1:2">
      <c r="A3601" s="7" t="s">
        <v>9977</v>
      </c>
      <c r="B3601" s="7" t="s">
        <v>9978</v>
      </c>
    </row>
    <row r="3602" spans="1:2">
      <c r="A3602" s="7" t="s">
        <v>9979</v>
      </c>
      <c r="B3602" s="7" t="s">
        <v>9980</v>
      </c>
    </row>
    <row r="3603" spans="1:2">
      <c r="A3603" s="7" t="s">
        <v>9981</v>
      </c>
      <c r="B3603" s="7" t="s">
        <v>9982</v>
      </c>
    </row>
    <row r="3604" spans="1:2">
      <c r="A3604" s="7" t="s">
        <v>9983</v>
      </c>
      <c r="B3604" s="7" t="s">
        <v>9984</v>
      </c>
    </row>
    <row r="3605" spans="1:2">
      <c r="A3605" s="7" t="s">
        <v>9985</v>
      </c>
      <c r="B3605" s="7" t="s">
        <v>9986</v>
      </c>
    </row>
    <row r="3606" spans="1:2">
      <c r="A3606" s="7" t="s">
        <v>9987</v>
      </c>
      <c r="B3606" s="7" t="s">
        <v>9988</v>
      </c>
    </row>
    <row r="3607" spans="1:2">
      <c r="A3607" s="7" t="s">
        <v>9989</v>
      </c>
      <c r="B3607" s="7" t="s">
        <v>9990</v>
      </c>
    </row>
    <row r="3608" spans="1:2">
      <c r="A3608" s="7" t="s">
        <v>9991</v>
      </c>
      <c r="B3608" s="7" t="s">
        <v>9992</v>
      </c>
    </row>
    <row r="3609" spans="1:2">
      <c r="A3609" s="7" t="s">
        <v>9993</v>
      </c>
      <c r="B3609" s="7" t="s">
        <v>9994</v>
      </c>
    </row>
    <row r="3610" spans="1:2">
      <c r="A3610" s="7" t="s">
        <v>9995</v>
      </c>
      <c r="B3610" s="7" t="s">
        <v>9996</v>
      </c>
    </row>
    <row r="3611" spans="1:2">
      <c r="A3611" s="7" t="s">
        <v>9997</v>
      </c>
      <c r="B3611" s="7" t="s">
        <v>9998</v>
      </c>
    </row>
    <row r="3612" spans="1:2">
      <c r="A3612" s="7" t="s">
        <v>9999</v>
      </c>
      <c r="B3612" s="7" t="s">
        <v>10000</v>
      </c>
    </row>
    <row r="3613" spans="1:2">
      <c r="A3613" s="7" t="s">
        <v>10001</v>
      </c>
      <c r="B3613" s="7" t="s">
        <v>10002</v>
      </c>
    </row>
    <row r="3614" spans="1:2">
      <c r="A3614" s="7" t="s">
        <v>10003</v>
      </c>
      <c r="B3614" s="7" t="s">
        <v>9337</v>
      </c>
    </row>
    <row r="3615" spans="1:2">
      <c r="A3615" s="7" t="s">
        <v>10004</v>
      </c>
      <c r="B3615" s="7" t="s">
        <v>10005</v>
      </c>
    </row>
    <row r="3616" spans="1:2">
      <c r="A3616" s="7" t="s">
        <v>10006</v>
      </c>
      <c r="B3616" s="7" t="s">
        <v>10007</v>
      </c>
    </row>
    <row r="3617" spans="1:2">
      <c r="A3617" s="7" t="s">
        <v>10008</v>
      </c>
      <c r="B3617" s="7" t="s">
        <v>9757</v>
      </c>
    </row>
    <row r="3618" spans="1:2">
      <c r="A3618" s="7" t="s">
        <v>10009</v>
      </c>
      <c r="B3618" s="7" t="s">
        <v>10010</v>
      </c>
    </row>
    <row r="3619" spans="1:2">
      <c r="A3619" s="7" t="s">
        <v>10011</v>
      </c>
      <c r="B3619" s="7" t="s">
        <v>10012</v>
      </c>
    </row>
    <row r="3620" spans="1:2">
      <c r="A3620" s="7" t="s">
        <v>10013</v>
      </c>
      <c r="B3620" s="7" t="s">
        <v>10014</v>
      </c>
    </row>
    <row r="3621" spans="1:2">
      <c r="A3621" s="7" t="s">
        <v>10015</v>
      </c>
      <c r="B3621" s="7" t="s">
        <v>10016</v>
      </c>
    </row>
    <row r="3622" spans="1:2">
      <c r="A3622" s="7" t="s">
        <v>10017</v>
      </c>
      <c r="B3622" s="7" t="s">
        <v>10018</v>
      </c>
    </row>
    <row r="3623" spans="1:2">
      <c r="A3623" s="7" t="s">
        <v>10019</v>
      </c>
      <c r="B3623" s="7" t="s">
        <v>10020</v>
      </c>
    </row>
    <row r="3624" spans="1:2">
      <c r="A3624" s="7" t="s">
        <v>10021</v>
      </c>
      <c r="B3624" s="7" t="s">
        <v>3547</v>
      </c>
    </row>
    <row r="3625" spans="1:2">
      <c r="A3625" s="7" t="s">
        <v>10022</v>
      </c>
      <c r="B3625" s="7" t="s">
        <v>10023</v>
      </c>
    </row>
    <row r="3626" spans="1:2">
      <c r="A3626" s="7" t="s">
        <v>10024</v>
      </c>
      <c r="B3626" s="7" t="s">
        <v>10025</v>
      </c>
    </row>
    <row r="3627" spans="1:2">
      <c r="A3627" s="7" t="s">
        <v>10026</v>
      </c>
      <c r="B3627" s="7" t="s">
        <v>10027</v>
      </c>
    </row>
    <row r="3628" spans="1:2">
      <c r="A3628" s="7" t="s">
        <v>10028</v>
      </c>
      <c r="B3628" s="7" t="s">
        <v>5163</v>
      </c>
    </row>
    <row r="3629" spans="1:2">
      <c r="A3629" s="7" t="s">
        <v>10029</v>
      </c>
      <c r="B3629" s="7" t="s">
        <v>10030</v>
      </c>
    </row>
    <row r="3630" spans="1:2">
      <c r="A3630" s="7" t="s">
        <v>10031</v>
      </c>
      <c r="B3630" s="7" t="s">
        <v>10032</v>
      </c>
    </row>
    <row r="3631" spans="1:2">
      <c r="A3631" s="7" t="s">
        <v>10033</v>
      </c>
      <c r="B3631" s="7" t="s">
        <v>10034</v>
      </c>
    </row>
    <row r="3632" spans="1:2">
      <c r="A3632" s="7" t="s">
        <v>10035</v>
      </c>
      <c r="B3632" s="7" t="s">
        <v>10036</v>
      </c>
    </row>
    <row r="3633" spans="1:2">
      <c r="A3633" s="7" t="s">
        <v>10037</v>
      </c>
      <c r="B3633" s="7" t="s">
        <v>10038</v>
      </c>
    </row>
    <row r="3634" spans="1:2">
      <c r="A3634" s="7" t="s">
        <v>10039</v>
      </c>
      <c r="B3634" s="7" t="s">
        <v>10040</v>
      </c>
    </row>
    <row r="3635" spans="1:2">
      <c r="A3635" s="7" t="s">
        <v>10041</v>
      </c>
      <c r="B3635" s="7" t="s">
        <v>10042</v>
      </c>
    </row>
    <row r="3636" spans="1:2">
      <c r="A3636" s="7" t="s">
        <v>10043</v>
      </c>
      <c r="B3636" s="7" t="s">
        <v>10044</v>
      </c>
    </row>
    <row r="3637" spans="1:2">
      <c r="A3637" s="7" t="s">
        <v>10045</v>
      </c>
      <c r="B3637" s="7" t="s">
        <v>4664</v>
      </c>
    </row>
    <row r="3638" spans="1:2">
      <c r="A3638" s="7" t="s">
        <v>10046</v>
      </c>
      <c r="B3638" s="7" t="s">
        <v>10047</v>
      </c>
    </row>
    <row r="3639" spans="1:2">
      <c r="A3639" s="7" t="s">
        <v>10048</v>
      </c>
      <c r="B3639" s="7" t="s">
        <v>10049</v>
      </c>
    </row>
    <row r="3640" spans="1:2">
      <c r="A3640" s="7" t="s">
        <v>10050</v>
      </c>
      <c r="B3640" s="7" t="s">
        <v>10051</v>
      </c>
    </row>
    <row r="3641" spans="1:2">
      <c r="A3641" s="7" t="s">
        <v>10052</v>
      </c>
      <c r="B3641" s="7" t="s">
        <v>10053</v>
      </c>
    </row>
    <row r="3642" spans="1:2">
      <c r="A3642" s="7" t="s">
        <v>10054</v>
      </c>
      <c r="B3642" s="7" t="s">
        <v>6964</v>
      </c>
    </row>
    <row r="3643" spans="1:2">
      <c r="A3643" s="7" t="s">
        <v>10055</v>
      </c>
      <c r="B3643" s="7" t="s">
        <v>10056</v>
      </c>
    </row>
    <row r="3644" spans="1:2">
      <c r="A3644" s="7" t="s">
        <v>10057</v>
      </c>
      <c r="B3644" s="7" t="s">
        <v>10058</v>
      </c>
    </row>
    <row r="3645" spans="1:2">
      <c r="A3645" s="7" t="s">
        <v>10059</v>
      </c>
      <c r="B3645" s="7" t="s">
        <v>9165</v>
      </c>
    </row>
    <row r="3646" spans="1:2">
      <c r="A3646" s="7" t="s">
        <v>10060</v>
      </c>
      <c r="B3646" s="7" t="s">
        <v>10061</v>
      </c>
    </row>
    <row r="3647" spans="1:2">
      <c r="A3647" s="7" t="s">
        <v>10062</v>
      </c>
      <c r="B3647" s="7" t="s">
        <v>10063</v>
      </c>
    </row>
    <row r="3648" spans="1:2">
      <c r="A3648" s="7" t="s">
        <v>10064</v>
      </c>
      <c r="B3648" s="7" t="s">
        <v>3912</v>
      </c>
    </row>
    <row r="3649" spans="1:2">
      <c r="A3649" s="7" t="s">
        <v>10065</v>
      </c>
      <c r="B3649" s="7" t="s">
        <v>7765</v>
      </c>
    </row>
    <row r="3650" spans="1:2">
      <c r="A3650" s="7" t="s">
        <v>10066</v>
      </c>
      <c r="B3650" s="7" t="s">
        <v>3403</v>
      </c>
    </row>
    <row r="3651" spans="1:2">
      <c r="A3651" s="7" t="s">
        <v>10067</v>
      </c>
      <c r="B3651" s="7" t="s">
        <v>6903</v>
      </c>
    </row>
    <row r="3652" spans="1:2">
      <c r="A3652" s="7" t="s">
        <v>10068</v>
      </c>
      <c r="B3652" s="7" t="s">
        <v>10069</v>
      </c>
    </row>
    <row r="3653" spans="1:2">
      <c r="A3653" s="7" t="s">
        <v>10070</v>
      </c>
      <c r="B3653" s="7" t="s">
        <v>10071</v>
      </c>
    </row>
    <row r="3654" spans="1:2">
      <c r="A3654" s="7" t="s">
        <v>10072</v>
      </c>
      <c r="B3654" s="7" t="s">
        <v>10073</v>
      </c>
    </row>
    <row r="3655" spans="1:2">
      <c r="A3655" s="7" t="s">
        <v>10074</v>
      </c>
      <c r="B3655" s="7" t="s">
        <v>10075</v>
      </c>
    </row>
    <row r="3656" spans="1:2">
      <c r="A3656" s="7" t="s">
        <v>10076</v>
      </c>
      <c r="B3656" s="7" t="s">
        <v>10077</v>
      </c>
    </row>
    <row r="3657" spans="1:2">
      <c r="A3657" s="7" t="s">
        <v>10078</v>
      </c>
      <c r="B3657" s="7" t="s">
        <v>9821</v>
      </c>
    </row>
    <row r="3658" spans="1:2">
      <c r="A3658" s="7" t="s">
        <v>10079</v>
      </c>
      <c r="B3658" s="7" t="s">
        <v>10080</v>
      </c>
    </row>
    <row r="3659" spans="1:2">
      <c r="A3659" s="7" t="s">
        <v>10081</v>
      </c>
      <c r="B3659" s="7" t="s">
        <v>3567</v>
      </c>
    </row>
    <row r="3660" spans="1:2">
      <c r="A3660" s="7" t="s">
        <v>10082</v>
      </c>
      <c r="B3660" s="7" t="s">
        <v>7853</v>
      </c>
    </row>
    <row r="3661" spans="1:2">
      <c r="A3661" s="7" t="s">
        <v>10083</v>
      </c>
      <c r="B3661" s="7" t="s">
        <v>10084</v>
      </c>
    </row>
    <row r="3662" spans="1:2">
      <c r="A3662" s="7" t="s">
        <v>10085</v>
      </c>
      <c r="B3662" s="7" t="s">
        <v>10086</v>
      </c>
    </row>
    <row r="3663" spans="1:2">
      <c r="A3663" s="7" t="s">
        <v>10087</v>
      </c>
      <c r="B3663" s="7" t="s">
        <v>10088</v>
      </c>
    </row>
    <row r="3664" spans="1:2">
      <c r="A3664" s="7" t="s">
        <v>10089</v>
      </c>
      <c r="B3664" s="7" t="s">
        <v>10090</v>
      </c>
    </row>
    <row r="3665" spans="1:2">
      <c r="A3665" s="7" t="s">
        <v>10091</v>
      </c>
      <c r="B3665" s="7" t="s">
        <v>10092</v>
      </c>
    </row>
    <row r="3666" spans="1:2">
      <c r="A3666" s="7" t="s">
        <v>10093</v>
      </c>
      <c r="B3666" s="7" t="s">
        <v>10094</v>
      </c>
    </row>
    <row r="3667" spans="1:2">
      <c r="A3667" s="7" t="s">
        <v>10095</v>
      </c>
      <c r="B3667" s="7" t="s">
        <v>6890</v>
      </c>
    </row>
    <row r="3668" spans="1:2">
      <c r="A3668" s="7" t="s">
        <v>10096</v>
      </c>
      <c r="B3668" s="7" t="s">
        <v>10097</v>
      </c>
    </row>
    <row r="3669" spans="1:2">
      <c r="A3669" s="7" t="s">
        <v>10098</v>
      </c>
      <c r="B3669" s="7" t="s">
        <v>4173</v>
      </c>
    </row>
    <row r="3670" spans="1:2">
      <c r="A3670" s="7" t="s">
        <v>10099</v>
      </c>
      <c r="B3670" s="7" t="s">
        <v>10100</v>
      </c>
    </row>
    <row r="3671" spans="1:2">
      <c r="A3671" s="7" t="s">
        <v>10101</v>
      </c>
      <c r="B3671" s="7" t="s">
        <v>10102</v>
      </c>
    </row>
    <row r="3672" spans="1:2">
      <c r="A3672" s="7" t="s">
        <v>10103</v>
      </c>
      <c r="B3672" s="7" t="s">
        <v>10104</v>
      </c>
    </row>
    <row r="3673" spans="1:2">
      <c r="A3673" s="7" t="s">
        <v>10105</v>
      </c>
      <c r="B3673" s="7" t="s">
        <v>10106</v>
      </c>
    </row>
    <row r="3674" spans="1:2">
      <c r="A3674" s="7" t="s">
        <v>10107</v>
      </c>
      <c r="B3674" s="7" t="s">
        <v>10108</v>
      </c>
    </row>
    <row r="3675" spans="1:2">
      <c r="A3675" s="7" t="s">
        <v>10109</v>
      </c>
      <c r="B3675" s="7" t="s">
        <v>10110</v>
      </c>
    </row>
    <row r="3676" spans="1:2">
      <c r="A3676" s="7" t="s">
        <v>10111</v>
      </c>
      <c r="B3676" s="7" t="s">
        <v>10112</v>
      </c>
    </row>
    <row r="3677" spans="1:2">
      <c r="A3677" s="7" t="s">
        <v>10113</v>
      </c>
      <c r="B3677" s="7" t="s">
        <v>10114</v>
      </c>
    </row>
    <row r="3678" spans="1:2">
      <c r="A3678" s="7" t="s">
        <v>10115</v>
      </c>
      <c r="B3678" s="7" t="s">
        <v>10116</v>
      </c>
    </row>
    <row r="3679" spans="1:2">
      <c r="A3679" s="7" t="s">
        <v>10117</v>
      </c>
      <c r="B3679" s="7" t="s">
        <v>6797</v>
      </c>
    </row>
    <row r="3680" spans="1:2">
      <c r="A3680" s="7" t="s">
        <v>10118</v>
      </c>
      <c r="B3680" s="7" t="s">
        <v>10119</v>
      </c>
    </row>
    <row r="3681" spans="1:2">
      <c r="A3681" s="7" t="s">
        <v>10120</v>
      </c>
      <c r="B3681" s="7" t="s">
        <v>10121</v>
      </c>
    </row>
    <row r="3682" spans="1:2">
      <c r="A3682" s="7" t="s">
        <v>10122</v>
      </c>
      <c r="B3682" s="7" t="s">
        <v>10123</v>
      </c>
    </row>
    <row r="3683" spans="1:2">
      <c r="A3683" s="7" t="s">
        <v>10124</v>
      </c>
      <c r="B3683" s="7" t="s">
        <v>10125</v>
      </c>
    </row>
    <row r="3684" spans="1:2">
      <c r="A3684" s="7" t="s">
        <v>10126</v>
      </c>
      <c r="B3684" s="7" t="s">
        <v>10127</v>
      </c>
    </row>
    <row r="3685" spans="1:2">
      <c r="A3685" s="7" t="s">
        <v>10128</v>
      </c>
      <c r="B3685" s="7" t="s">
        <v>5247</v>
      </c>
    </row>
    <row r="3686" spans="1:2">
      <c r="A3686" s="7" t="s">
        <v>10129</v>
      </c>
      <c r="B3686" s="7" t="s">
        <v>10130</v>
      </c>
    </row>
    <row r="3687" spans="1:2">
      <c r="A3687" s="7" t="s">
        <v>10131</v>
      </c>
      <c r="B3687" s="7" t="s">
        <v>4054</v>
      </c>
    </row>
    <row r="3688" spans="1:2">
      <c r="A3688" s="7" t="s">
        <v>10132</v>
      </c>
      <c r="B3688" s="7" t="s">
        <v>10133</v>
      </c>
    </row>
    <row r="3689" spans="1:2">
      <c r="A3689" s="7" t="s">
        <v>10134</v>
      </c>
      <c r="B3689" s="7" t="s">
        <v>5249</v>
      </c>
    </row>
    <row r="3690" spans="1:2">
      <c r="A3690" s="7" t="s">
        <v>10135</v>
      </c>
      <c r="B3690" s="7" t="s">
        <v>10136</v>
      </c>
    </row>
    <row r="3691" spans="1:2">
      <c r="A3691" s="7" t="s">
        <v>10137</v>
      </c>
      <c r="B3691" s="7" t="s">
        <v>4417</v>
      </c>
    </row>
    <row r="3692" spans="1:2">
      <c r="A3692" s="7" t="s">
        <v>10138</v>
      </c>
      <c r="B3692" s="7" t="s">
        <v>6220</v>
      </c>
    </row>
    <row r="3693" spans="1:2">
      <c r="A3693" s="7" t="s">
        <v>10139</v>
      </c>
      <c r="B3693" s="7" t="s">
        <v>5123</v>
      </c>
    </row>
    <row r="3694" spans="1:2">
      <c r="A3694" s="7" t="s">
        <v>10140</v>
      </c>
      <c r="B3694" s="7" t="s">
        <v>6695</v>
      </c>
    </row>
    <row r="3695" spans="1:2">
      <c r="A3695" s="7" t="s">
        <v>10141</v>
      </c>
      <c r="B3695" s="7" t="s">
        <v>10142</v>
      </c>
    </row>
    <row r="3696" spans="1:2">
      <c r="A3696" s="7" t="s">
        <v>10143</v>
      </c>
      <c r="B3696" s="7" t="s">
        <v>10144</v>
      </c>
    </row>
    <row r="3697" spans="1:2">
      <c r="A3697" s="7" t="s">
        <v>10145</v>
      </c>
      <c r="B3697" s="7" t="s">
        <v>5657</v>
      </c>
    </row>
    <row r="3698" spans="1:2">
      <c r="A3698" s="7" t="s">
        <v>10146</v>
      </c>
      <c r="B3698" s="7" t="s">
        <v>10147</v>
      </c>
    </row>
    <row r="3699" spans="1:2">
      <c r="A3699" s="7" t="s">
        <v>10148</v>
      </c>
      <c r="B3699" s="7" t="s">
        <v>3786</v>
      </c>
    </row>
    <row r="3700" spans="1:2">
      <c r="A3700" s="7" t="s">
        <v>10149</v>
      </c>
      <c r="B3700" s="7" t="s">
        <v>3897</v>
      </c>
    </row>
    <row r="3701" spans="1:2">
      <c r="A3701" s="7" t="s">
        <v>10150</v>
      </c>
      <c r="B3701" s="7" t="s">
        <v>10038</v>
      </c>
    </row>
    <row r="3702" spans="1:2">
      <c r="A3702" s="7" t="s">
        <v>10151</v>
      </c>
      <c r="B3702" s="7" t="s">
        <v>3901</v>
      </c>
    </row>
    <row r="3703" spans="1:2">
      <c r="A3703" s="7" t="s">
        <v>10152</v>
      </c>
      <c r="B3703" s="7" t="s">
        <v>10153</v>
      </c>
    </row>
    <row r="3704" spans="1:2">
      <c r="A3704" s="7" t="s">
        <v>10154</v>
      </c>
      <c r="B3704" s="7" t="s">
        <v>10155</v>
      </c>
    </row>
    <row r="3705" spans="1:2">
      <c r="A3705" s="7" t="s">
        <v>10156</v>
      </c>
      <c r="B3705" s="7" t="s">
        <v>10157</v>
      </c>
    </row>
    <row r="3706" spans="1:2">
      <c r="A3706" s="7" t="s">
        <v>10158</v>
      </c>
      <c r="B3706" s="7" t="s">
        <v>5992</v>
      </c>
    </row>
    <row r="3707" spans="1:2">
      <c r="A3707" s="7" t="s">
        <v>10159</v>
      </c>
      <c r="B3707" s="7" t="s">
        <v>10160</v>
      </c>
    </row>
    <row r="3708" spans="1:2">
      <c r="A3708" s="7" t="s">
        <v>10161</v>
      </c>
      <c r="B3708" s="7" t="s">
        <v>5698</v>
      </c>
    </row>
    <row r="3709" spans="1:2">
      <c r="A3709" s="7" t="s">
        <v>10162</v>
      </c>
      <c r="B3709" s="7" t="s">
        <v>10163</v>
      </c>
    </row>
    <row r="3710" spans="1:2">
      <c r="A3710" s="7" t="s">
        <v>10164</v>
      </c>
      <c r="B3710" s="7" t="s">
        <v>5015</v>
      </c>
    </row>
    <row r="3711" spans="1:2">
      <c r="A3711" s="7" t="s">
        <v>10165</v>
      </c>
      <c r="B3711" s="7" t="s">
        <v>10166</v>
      </c>
    </row>
    <row r="3712" spans="1:2">
      <c r="A3712" s="7" t="s">
        <v>10167</v>
      </c>
      <c r="B3712" s="7" t="s">
        <v>10168</v>
      </c>
    </row>
    <row r="3713" spans="1:2">
      <c r="A3713" s="7" t="s">
        <v>10169</v>
      </c>
      <c r="B3713" s="7" t="s">
        <v>10170</v>
      </c>
    </row>
    <row r="3714" spans="1:2">
      <c r="A3714" s="7" t="s">
        <v>10171</v>
      </c>
      <c r="B3714" s="7" t="s">
        <v>10172</v>
      </c>
    </row>
    <row r="3715" spans="1:2">
      <c r="A3715" s="7" t="s">
        <v>10173</v>
      </c>
      <c r="B3715" s="7" t="s">
        <v>10174</v>
      </c>
    </row>
    <row r="3716" spans="1:2">
      <c r="A3716" s="7" t="s">
        <v>10175</v>
      </c>
      <c r="B3716" s="7" t="s">
        <v>10176</v>
      </c>
    </row>
    <row r="3717" spans="1:2">
      <c r="A3717" s="7" t="s">
        <v>10177</v>
      </c>
      <c r="B3717" s="7" t="s">
        <v>9201</v>
      </c>
    </row>
    <row r="3718" spans="1:2">
      <c r="A3718" s="7" t="s">
        <v>10178</v>
      </c>
      <c r="B3718" s="7" t="s">
        <v>10179</v>
      </c>
    </row>
    <row r="3719" spans="1:2">
      <c r="A3719" s="7" t="s">
        <v>10180</v>
      </c>
      <c r="B3719" s="7" t="s">
        <v>10181</v>
      </c>
    </row>
    <row r="3720" spans="1:2">
      <c r="A3720" s="7" t="s">
        <v>10182</v>
      </c>
      <c r="B3720" s="7" t="s">
        <v>5465</v>
      </c>
    </row>
    <row r="3721" spans="1:2">
      <c r="A3721" s="7" t="s">
        <v>10183</v>
      </c>
      <c r="B3721" s="7" t="s">
        <v>3865</v>
      </c>
    </row>
    <row r="3722" spans="1:2">
      <c r="A3722" s="7" t="s">
        <v>10184</v>
      </c>
      <c r="B3722" s="7" t="s">
        <v>10185</v>
      </c>
    </row>
    <row r="3723" spans="1:2">
      <c r="A3723" s="7" t="s">
        <v>10186</v>
      </c>
      <c r="B3723" s="7" t="s">
        <v>10187</v>
      </c>
    </row>
    <row r="3724" spans="1:2">
      <c r="A3724" s="7" t="s">
        <v>10188</v>
      </c>
      <c r="B3724" s="7" t="s">
        <v>10189</v>
      </c>
    </row>
    <row r="3725" spans="1:2">
      <c r="A3725" s="7" t="s">
        <v>10190</v>
      </c>
      <c r="B3725" s="7" t="s">
        <v>9463</v>
      </c>
    </row>
    <row r="3726" spans="1:2">
      <c r="A3726" s="7" t="s">
        <v>10191</v>
      </c>
      <c r="B3726" s="7" t="s">
        <v>10192</v>
      </c>
    </row>
    <row r="3727" spans="1:2">
      <c r="A3727" s="7" t="s">
        <v>10193</v>
      </c>
      <c r="B3727" s="7" t="s">
        <v>10194</v>
      </c>
    </row>
    <row r="3728" spans="1:2">
      <c r="A3728" s="7" t="s">
        <v>10195</v>
      </c>
      <c r="B3728" s="7" t="s">
        <v>10196</v>
      </c>
    </row>
    <row r="3729" spans="1:2">
      <c r="A3729" s="7" t="s">
        <v>10197</v>
      </c>
      <c r="B3729" s="7" t="s">
        <v>10198</v>
      </c>
    </row>
    <row r="3730" spans="1:2">
      <c r="A3730" s="7" t="s">
        <v>10199</v>
      </c>
      <c r="B3730" s="7" t="s">
        <v>10200</v>
      </c>
    </row>
    <row r="3731" spans="1:2">
      <c r="A3731" s="7" t="s">
        <v>10201</v>
      </c>
      <c r="B3731" s="7" t="s">
        <v>10202</v>
      </c>
    </row>
    <row r="3732" spans="1:2">
      <c r="A3732" s="7" t="s">
        <v>10203</v>
      </c>
      <c r="B3732" s="7" t="s">
        <v>9718</v>
      </c>
    </row>
    <row r="3733" spans="1:2">
      <c r="A3733" s="7" t="s">
        <v>10204</v>
      </c>
      <c r="B3733" s="7" t="s">
        <v>10205</v>
      </c>
    </row>
    <row r="3734" spans="1:2">
      <c r="A3734" s="7" t="s">
        <v>10206</v>
      </c>
      <c r="B3734" s="7" t="s">
        <v>10207</v>
      </c>
    </row>
    <row r="3735" spans="1:2">
      <c r="A3735" s="7" t="s">
        <v>10208</v>
      </c>
      <c r="B3735" s="7" t="s">
        <v>7946</v>
      </c>
    </row>
    <row r="3736" spans="1:2">
      <c r="A3736" s="7" t="s">
        <v>10209</v>
      </c>
      <c r="B3736" s="7" t="s">
        <v>9942</v>
      </c>
    </row>
    <row r="3737" spans="1:2">
      <c r="A3737" s="7" t="s">
        <v>10210</v>
      </c>
      <c r="B3737" s="7" t="s">
        <v>3617</v>
      </c>
    </row>
    <row r="3738" spans="1:2">
      <c r="A3738" s="7" t="s">
        <v>10211</v>
      </c>
      <c r="B3738" s="7" t="s">
        <v>10212</v>
      </c>
    </row>
    <row r="3739" spans="1:2">
      <c r="A3739" s="7" t="s">
        <v>10213</v>
      </c>
      <c r="B3739" s="7" t="s">
        <v>3879</v>
      </c>
    </row>
    <row r="3740" spans="1:2">
      <c r="A3740" s="7" t="s">
        <v>10214</v>
      </c>
      <c r="B3740" s="7" t="s">
        <v>3367</v>
      </c>
    </row>
    <row r="3741" spans="1:2">
      <c r="A3741" s="7" t="s">
        <v>10215</v>
      </c>
      <c r="B3741" s="7" t="s">
        <v>10216</v>
      </c>
    </row>
    <row r="3742" spans="1:2">
      <c r="A3742" s="7" t="s">
        <v>10217</v>
      </c>
      <c r="B3742" s="7" t="s">
        <v>10218</v>
      </c>
    </row>
    <row r="3743" spans="1:2">
      <c r="A3743" s="7" t="s">
        <v>10219</v>
      </c>
      <c r="B3743" s="7" t="s">
        <v>10220</v>
      </c>
    </row>
    <row r="3744" spans="1:2">
      <c r="A3744" s="7" t="s">
        <v>10221</v>
      </c>
      <c r="B3744" s="7" t="s">
        <v>10222</v>
      </c>
    </row>
    <row r="3745" spans="1:2">
      <c r="A3745" s="7" t="s">
        <v>10223</v>
      </c>
      <c r="B3745" s="7" t="s">
        <v>10224</v>
      </c>
    </row>
    <row r="3746" spans="1:2">
      <c r="A3746" s="7" t="s">
        <v>10225</v>
      </c>
      <c r="B3746" s="7" t="s">
        <v>10226</v>
      </c>
    </row>
    <row r="3747" spans="1:2">
      <c r="A3747" s="7" t="s">
        <v>10227</v>
      </c>
      <c r="B3747" s="7" t="s">
        <v>10228</v>
      </c>
    </row>
    <row r="3748" spans="1:2">
      <c r="A3748" s="7" t="s">
        <v>10229</v>
      </c>
      <c r="B3748" s="7" t="s">
        <v>10230</v>
      </c>
    </row>
    <row r="3749" spans="1:2">
      <c r="A3749" s="7" t="s">
        <v>10231</v>
      </c>
      <c r="B3749" s="7" t="s">
        <v>10232</v>
      </c>
    </row>
    <row r="3750" spans="1:2">
      <c r="A3750" s="7" t="s">
        <v>10233</v>
      </c>
      <c r="B3750" s="7" t="s">
        <v>10234</v>
      </c>
    </row>
    <row r="3751" spans="1:2">
      <c r="A3751" s="7" t="s">
        <v>10235</v>
      </c>
      <c r="B3751" s="7" t="s">
        <v>10236</v>
      </c>
    </row>
    <row r="3752" spans="1:2">
      <c r="A3752" s="7" t="s">
        <v>10237</v>
      </c>
      <c r="B3752" s="7" t="s">
        <v>10238</v>
      </c>
    </row>
    <row r="3753" spans="1:2">
      <c r="A3753" s="7" t="s">
        <v>10239</v>
      </c>
      <c r="B3753" s="7" t="s">
        <v>10240</v>
      </c>
    </row>
    <row r="3754" spans="1:2">
      <c r="A3754" s="7" t="s">
        <v>10241</v>
      </c>
      <c r="B3754" s="7" t="s">
        <v>10242</v>
      </c>
    </row>
    <row r="3755" spans="1:2">
      <c r="A3755" s="7" t="s">
        <v>10243</v>
      </c>
      <c r="B3755" s="7" t="s">
        <v>10244</v>
      </c>
    </row>
    <row r="3756" spans="1:2">
      <c r="A3756" s="7" t="s">
        <v>10245</v>
      </c>
      <c r="B3756" s="7" t="s">
        <v>10246</v>
      </c>
    </row>
    <row r="3757" spans="1:2">
      <c r="A3757" s="7" t="s">
        <v>10247</v>
      </c>
      <c r="B3757" s="7" t="s">
        <v>10248</v>
      </c>
    </row>
    <row r="3758" spans="1:2">
      <c r="A3758" s="7" t="s">
        <v>10249</v>
      </c>
      <c r="B3758" s="7" t="s">
        <v>10250</v>
      </c>
    </row>
    <row r="3759" spans="1:2">
      <c r="A3759" s="7" t="s">
        <v>10251</v>
      </c>
      <c r="B3759" s="7" t="s">
        <v>10252</v>
      </c>
    </row>
    <row r="3760" spans="1:2">
      <c r="A3760" s="7" t="s">
        <v>10253</v>
      </c>
      <c r="B3760" s="7" t="s">
        <v>10254</v>
      </c>
    </row>
    <row r="3761" spans="1:2">
      <c r="A3761" s="7" t="s">
        <v>10255</v>
      </c>
      <c r="B3761" s="7" t="s">
        <v>10256</v>
      </c>
    </row>
    <row r="3762" spans="1:2">
      <c r="A3762" s="7" t="s">
        <v>10257</v>
      </c>
      <c r="B3762" s="7" t="s">
        <v>5322</v>
      </c>
    </row>
    <row r="3763" spans="1:2">
      <c r="A3763" s="7" t="s">
        <v>10258</v>
      </c>
      <c r="B3763" s="7" t="s">
        <v>10259</v>
      </c>
    </row>
    <row r="3764" spans="1:2">
      <c r="A3764" s="7" t="s">
        <v>10260</v>
      </c>
      <c r="B3764" s="7" t="s">
        <v>10261</v>
      </c>
    </row>
    <row r="3765" spans="1:2">
      <c r="A3765" s="7" t="s">
        <v>10262</v>
      </c>
      <c r="B3765" s="7" t="s">
        <v>10263</v>
      </c>
    </row>
    <row r="3766" spans="1:2">
      <c r="A3766" s="7" t="s">
        <v>10264</v>
      </c>
      <c r="B3766" s="7" t="s">
        <v>10265</v>
      </c>
    </row>
    <row r="3767" spans="1:2">
      <c r="A3767" s="7" t="s">
        <v>10266</v>
      </c>
      <c r="B3767" s="7" t="s">
        <v>10267</v>
      </c>
    </row>
    <row r="3768" spans="1:2">
      <c r="A3768" s="7" t="s">
        <v>10268</v>
      </c>
      <c r="B3768" s="7" t="s">
        <v>10269</v>
      </c>
    </row>
    <row r="3769" spans="1:2">
      <c r="A3769" s="7" t="s">
        <v>10270</v>
      </c>
      <c r="B3769" s="7" t="s">
        <v>10271</v>
      </c>
    </row>
    <row r="3770" spans="1:2">
      <c r="A3770" s="7" t="s">
        <v>10272</v>
      </c>
      <c r="B3770" s="7" t="s">
        <v>10273</v>
      </c>
    </row>
    <row r="3771" spans="1:2">
      <c r="A3771" s="7" t="s">
        <v>10274</v>
      </c>
      <c r="B3771" s="7" t="s">
        <v>10275</v>
      </c>
    </row>
    <row r="3772" spans="1:2">
      <c r="A3772" s="7" t="s">
        <v>10276</v>
      </c>
      <c r="B3772" s="7" t="s">
        <v>5335</v>
      </c>
    </row>
    <row r="3773" spans="1:2">
      <c r="A3773" s="7" t="s">
        <v>10277</v>
      </c>
      <c r="B3773" s="7" t="s">
        <v>10278</v>
      </c>
    </row>
    <row r="3774" spans="1:2">
      <c r="A3774" s="7" t="s">
        <v>10279</v>
      </c>
      <c r="B3774" s="7" t="s">
        <v>7292</v>
      </c>
    </row>
    <row r="3775" spans="1:2">
      <c r="A3775" s="7" t="s">
        <v>10280</v>
      </c>
      <c r="B3775" s="7" t="s">
        <v>10281</v>
      </c>
    </row>
    <row r="3776" spans="1:2">
      <c r="A3776" s="7" t="s">
        <v>10282</v>
      </c>
      <c r="B3776" s="7" t="s">
        <v>10283</v>
      </c>
    </row>
    <row r="3777" spans="1:2">
      <c r="A3777" s="7" t="s">
        <v>10284</v>
      </c>
      <c r="B3777" s="7" t="s">
        <v>10285</v>
      </c>
    </row>
    <row r="3778" spans="1:2">
      <c r="A3778" s="7" t="s">
        <v>10286</v>
      </c>
      <c r="B3778" s="7" t="s">
        <v>4814</v>
      </c>
    </row>
    <row r="3779" spans="1:2">
      <c r="A3779" s="7" t="s">
        <v>10287</v>
      </c>
      <c r="B3779" s="7" t="s">
        <v>10288</v>
      </c>
    </row>
    <row r="3780" spans="1:2">
      <c r="A3780" s="7" t="s">
        <v>10289</v>
      </c>
      <c r="B3780" s="7" t="s">
        <v>10290</v>
      </c>
    </row>
    <row r="3781" spans="1:2">
      <c r="A3781" s="7" t="s">
        <v>10291</v>
      </c>
      <c r="B3781" s="7" t="s">
        <v>10292</v>
      </c>
    </row>
    <row r="3782" spans="1:2">
      <c r="A3782" s="7" t="s">
        <v>10293</v>
      </c>
      <c r="B3782" s="7" t="s">
        <v>10294</v>
      </c>
    </row>
    <row r="3783" spans="1:2">
      <c r="A3783" s="7" t="s">
        <v>10295</v>
      </c>
      <c r="B3783" s="7" t="s">
        <v>10296</v>
      </c>
    </row>
    <row r="3784" spans="1:2">
      <c r="A3784" s="7" t="s">
        <v>10297</v>
      </c>
      <c r="B3784" s="7" t="s">
        <v>10298</v>
      </c>
    </row>
    <row r="3785" spans="1:2">
      <c r="A3785" s="7" t="s">
        <v>10299</v>
      </c>
      <c r="B3785" s="7" t="s">
        <v>3429</v>
      </c>
    </row>
    <row r="3786" spans="1:2">
      <c r="A3786" s="7" t="s">
        <v>10300</v>
      </c>
      <c r="B3786" s="7" t="s">
        <v>10301</v>
      </c>
    </row>
    <row r="3787" spans="1:2">
      <c r="A3787" s="7" t="s">
        <v>10302</v>
      </c>
      <c r="B3787" s="7" t="s">
        <v>10303</v>
      </c>
    </row>
    <row r="3788" spans="1:2">
      <c r="A3788" s="7" t="s">
        <v>10304</v>
      </c>
      <c r="B3788" s="7" t="s">
        <v>10305</v>
      </c>
    </row>
    <row r="3789" spans="1:2">
      <c r="A3789" s="7" t="s">
        <v>10306</v>
      </c>
      <c r="B3789" s="7" t="s">
        <v>10307</v>
      </c>
    </row>
    <row r="3790" spans="1:2">
      <c r="A3790" s="7" t="s">
        <v>10308</v>
      </c>
      <c r="B3790" s="7" t="s">
        <v>10309</v>
      </c>
    </row>
    <row r="3791" spans="1:2">
      <c r="A3791" s="7" t="s">
        <v>10310</v>
      </c>
      <c r="B3791" s="7" t="s">
        <v>10311</v>
      </c>
    </row>
    <row r="3792" spans="1:2">
      <c r="A3792" s="7" t="s">
        <v>10312</v>
      </c>
      <c r="B3792" s="7" t="s">
        <v>10313</v>
      </c>
    </row>
    <row r="3793" spans="1:2">
      <c r="A3793" s="7" t="s">
        <v>10314</v>
      </c>
      <c r="B3793" s="7" t="s">
        <v>10315</v>
      </c>
    </row>
    <row r="3794" spans="1:2">
      <c r="A3794" s="7" t="s">
        <v>10316</v>
      </c>
      <c r="B3794" s="7" t="s">
        <v>10317</v>
      </c>
    </row>
    <row r="3795" spans="1:2">
      <c r="A3795" s="7" t="s">
        <v>10318</v>
      </c>
      <c r="B3795" s="7" t="s">
        <v>10319</v>
      </c>
    </row>
    <row r="3796" spans="1:2">
      <c r="A3796" s="7" t="s">
        <v>10320</v>
      </c>
      <c r="B3796" s="7" t="s">
        <v>10321</v>
      </c>
    </row>
    <row r="3797" spans="1:2">
      <c r="A3797" s="7" t="s">
        <v>10322</v>
      </c>
      <c r="B3797" s="7" t="s">
        <v>7610</v>
      </c>
    </row>
    <row r="3798" spans="1:2">
      <c r="A3798" s="7" t="s">
        <v>10323</v>
      </c>
      <c r="B3798" s="7" t="s">
        <v>10324</v>
      </c>
    </row>
    <row r="3799" spans="1:2">
      <c r="A3799" s="7" t="s">
        <v>10325</v>
      </c>
      <c r="B3799" s="7" t="s">
        <v>10326</v>
      </c>
    </row>
    <row r="3800" spans="1:2">
      <c r="A3800" s="7" t="s">
        <v>10327</v>
      </c>
      <c r="B3800" s="7" t="s">
        <v>10328</v>
      </c>
    </row>
    <row r="3801" spans="1:2">
      <c r="A3801" s="7" t="s">
        <v>10329</v>
      </c>
      <c r="B3801" s="7" t="s">
        <v>4943</v>
      </c>
    </row>
    <row r="3802" spans="1:2">
      <c r="A3802" s="7" t="s">
        <v>10330</v>
      </c>
      <c r="B3802" s="7" t="s">
        <v>5156</v>
      </c>
    </row>
    <row r="3803" spans="1:2">
      <c r="A3803" s="7" t="s">
        <v>10331</v>
      </c>
      <c r="B3803" s="7" t="s">
        <v>10332</v>
      </c>
    </row>
    <row r="3804" spans="1:2">
      <c r="A3804" s="7" t="s">
        <v>10333</v>
      </c>
      <c r="B3804" s="7" t="s">
        <v>3881</v>
      </c>
    </row>
    <row r="3805" spans="1:2">
      <c r="A3805" s="7" t="s">
        <v>10334</v>
      </c>
      <c r="B3805" s="7" t="s">
        <v>6412</v>
      </c>
    </row>
    <row r="3806" spans="1:2">
      <c r="A3806" s="7" t="s">
        <v>10335</v>
      </c>
      <c r="B3806" s="7" t="s">
        <v>10336</v>
      </c>
    </row>
    <row r="3807" spans="1:2">
      <c r="A3807" s="7" t="s">
        <v>10337</v>
      </c>
      <c r="B3807" s="7" t="s">
        <v>10338</v>
      </c>
    </row>
    <row r="3808" spans="1:2">
      <c r="A3808" s="7" t="s">
        <v>10339</v>
      </c>
      <c r="B3808" s="7" t="s">
        <v>10340</v>
      </c>
    </row>
    <row r="3809" spans="1:2">
      <c r="A3809" s="7" t="s">
        <v>10341</v>
      </c>
      <c r="B3809" s="7" t="s">
        <v>10342</v>
      </c>
    </row>
    <row r="3810" spans="1:2">
      <c r="A3810" s="7" t="s">
        <v>10343</v>
      </c>
      <c r="B3810" s="7" t="s">
        <v>10344</v>
      </c>
    </row>
    <row r="3811" spans="1:2">
      <c r="A3811" s="7" t="s">
        <v>10345</v>
      </c>
      <c r="B3811" s="7" t="s">
        <v>10346</v>
      </c>
    </row>
    <row r="3812" spans="1:2">
      <c r="A3812" s="7" t="s">
        <v>10347</v>
      </c>
      <c r="B3812" s="7" t="s">
        <v>6466</v>
      </c>
    </row>
    <row r="3813" spans="1:2">
      <c r="A3813" s="7" t="s">
        <v>10348</v>
      </c>
      <c r="B3813" s="7" t="s">
        <v>10349</v>
      </c>
    </row>
    <row r="3814" spans="1:2">
      <c r="A3814" s="7" t="s">
        <v>10350</v>
      </c>
      <c r="B3814" s="7" t="s">
        <v>10351</v>
      </c>
    </row>
    <row r="3815" spans="1:2">
      <c r="A3815" s="7" t="s">
        <v>10352</v>
      </c>
      <c r="B3815" s="7" t="s">
        <v>4814</v>
      </c>
    </row>
    <row r="3816" spans="1:2">
      <c r="A3816" s="7" t="s">
        <v>10353</v>
      </c>
      <c r="B3816" s="7" t="s">
        <v>10354</v>
      </c>
    </row>
    <row r="3817" spans="1:2">
      <c r="A3817" s="7" t="s">
        <v>10355</v>
      </c>
      <c r="B3817" s="7" t="s">
        <v>10356</v>
      </c>
    </row>
    <row r="3818" spans="1:2">
      <c r="A3818" s="7" t="s">
        <v>10357</v>
      </c>
      <c r="B3818" s="7" t="s">
        <v>10358</v>
      </c>
    </row>
    <row r="3819" spans="1:2">
      <c r="A3819" s="7" t="s">
        <v>10359</v>
      </c>
      <c r="B3819" s="7" t="s">
        <v>10360</v>
      </c>
    </row>
    <row r="3820" spans="1:2">
      <c r="A3820" s="7" t="s">
        <v>10361</v>
      </c>
      <c r="B3820" s="7" t="s">
        <v>10362</v>
      </c>
    </row>
    <row r="3821" spans="1:2">
      <c r="A3821" s="7" t="s">
        <v>10363</v>
      </c>
      <c r="B3821" s="7" t="s">
        <v>10364</v>
      </c>
    </row>
    <row r="3822" spans="1:2">
      <c r="A3822" s="7" t="s">
        <v>10365</v>
      </c>
      <c r="B3822" s="7" t="s">
        <v>10366</v>
      </c>
    </row>
    <row r="3823" spans="1:2">
      <c r="A3823" s="7" t="s">
        <v>10367</v>
      </c>
      <c r="B3823" s="7" t="s">
        <v>10368</v>
      </c>
    </row>
    <row r="3824" spans="1:2">
      <c r="A3824" s="7" t="s">
        <v>10369</v>
      </c>
      <c r="B3824" s="7" t="s">
        <v>10370</v>
      </c>
    </row>
    <row r="3825" spans="1:2">
      <c r="A3825" s="7" t="s">
        <v>10371</v>
      </c>
      <c r="B3825" s="7" t="s">
        <v>10372</v>
      </c>
    </row>
    <row r="3826" spans="1:2">
      <c r="A3826" s="7" t="s">
        <v>10373</v>
      </c>
      <c r="B3826" s="7" t="s">
        <v>10374</v>
      </c>
    </row>
    <row r="3827" spans="1:2">
      <c r="A3827" s="7" t="s">
        <v>10375</v>
      </c>
      <c r="B3827" s="7" t="s">
        <v>3776</v>
      </c>
    </row>
    <row r="3828" spans="1:2">
      <c r="A3828" s="7" t="s">
        <v>10376</v>
      </c>
      <c r="B3828" s="7" t="s">
        <v>10377</v>
      </c>
    </row>
    <row r="3829" spans="1:2">
      <c r="A3829" s="7" t="s">
        <v>10378</v>
      </c>
      <c r="B3829" s="7" t="s">
        <v>10379</v>
      </c>
    </row>
    <row r="3830" spans="1:2">
      <c r="A3830" s="7" t="s">
        <v>10380</v>
      </c>
      <c r="B3830" s="7" t="s">
        <v>10381</v>
      </c>
    </row>
    <row r="3831" spans="1:2">
      <c r="A3831" s="7" t="s">
        <v>10382</v>
      </c>
      <c r="B3831" s="7" t="s">
        <v>10383</v>
      </c>
    </row>
    <row r="3832" spans="1:2">
      <c r="A3832" s="7" t="s">
        <v>10384</v>
      </c>
      <c r="B3832" s="7" t="s">
        <v>9757</v>
      </c>
    </row>
    <row r="3833" spans="1:2">
      <c r="A3833" s="7" t="s">
        <v>10385</v>
      </c>
      <c r="B3833" s="7" t="s">
        <v>7715</v>
      </c>
    </row>
    <row r="3834" spans="1:2">
      <c r="A3834" s="7" t="s">
        <v>10386</v>
      </c>
      <c r="B3834" s="7" t="s">
        <v>10387</v>
      </c>
    </row>
    <row r="3835" spans="1:2">
      <c r="A3835" s="7" t="s">
        <v>10388</v>
      </c>
      <c r="B3835" s="7" t="s">
        <v>10389</v>
      </c>
    </row>
    <row r="3836" spans="1:2">
      <c r="A3836" s="7" t="s">
        <v>10390</v>
      </c>
      <c r="B3836" s="7" t="s">
        <v>10391</v>
      </c>
    </row>
    <row r="3837" spans="1:2">
      <c r="A3837" s="7" t="s">
        <v>10392</v>
      </c>
      <c r="B3837" s="7" t="s">
        <v>10393</v>
      </c>
    </row>
    <row r="3838" spans="1:2">
      <c r="A3838" s="7" t="s">
        <v>10394</v>
      </c>
      <c r="B3838" s="7" t="s">
        <v>10395</v>
      </c>
    </row>
    <row r="3839" spans="1:2">
      <c r="A3839" s="7" t="s">
        <v>10396</v>
      </c>
      <c r="B3839" s="7" t="s">
        <v>10397</v>
      </c>
    </row>
    <row r="3840" spans="1:2">
      <c r="A3840" s="7" t="s">
        <v>10398</v>
      </c>
      <c r="B3840" s="7" t="s">
        <v>10399</v>
      </c>
    </row>
    <row r="3841" spans="1:2">
      <c r="A3841" s="7" t="s">
        <v>10400</v>
      </c>
      <c r="B3841" s="7" t="s">
        <v>10401</v>
      </c>
    </row>
    <row r="3842" spans="1:2">
      <c r="A3842" s="7" t="s">
        <v>10402</v>
      </c>
      <c r="B3842" s="7" t="s">
        <v>10403</v>
      </c>
    </row>
    <row r="3843" spans="1:2">
      <c r="A3843" s="7" t="s">
        <v>10404</v>
      </c>
      <c r="B3843" s="7" t="s">
        <v>10405</v>
      </c>
    </row>
    <row r="3844" spans="1:2">
      <c r="A3844" s="7" t="s">
        <v>10406</v>
      </c>
      <c r="B3844" s="7" t="s">
        <v>10407</v>
      </c>
    </row>
    <row r="3845" spans="1:2">
      <c r="A3845" s="7" t="s">
        <v>10408</v>
      </c>
      <c r="B3845" s="7" t="s">
        <v>10409</v>
      </c>
    </row>
    <row r="3846" spans="1:2">
      <c r="A3846" s="7" t="s">
        <v>10410</v>
      </c>
      <c r="B3846" s="7" t="s">
        <v>10411</v>
      </c>
    </row>
    <row r="3847" spans="1:2">
      <c r="A3847" s="7" t="s">
        <v>10412</v>
      </c>
      <c r="B3847" s="7" t="s">
        <v>6408</v>
      </c>
    </row>
    <row r="3848" spans="1:2">
      <c r="A3848" s="7" t="s">
        <v>10413</v>
      </c>
      <c r="B3848" s="7" t="s">
        <v>10414</v>
      </c>
    </row>
    <row r="3849" spans="1:2">
      <c r="A3849" s="7" t="s">
        <v>10415</v>
      </c>
      <c r="B3849" s="7" t="s">
        <v>8894</v>
      </c>
    </row>
    <row r="3850" spans="1:2">
      <c r="A3850" s="7" t="s">
        <v>10416</v>
      </c>
      <c r="B3850" s="7" t="s">
        <v>10417</v>
      </c>
    </row>
    <row r="3851" spans="1:2">
      <c r="A3851" s="7" t="s">
        <v>10418</v>
      </c>
      <c r="B3851" s="7" t="s">
        <v>10419</v>
      </c>
    </row>
    <row r="3852" spans="1:2">
      <c r="A3852" s="7" t="s">
        <v>10420</v>
      </c>
      <c r="B3852" s="7" t="s">
        <v>10421</v>
      </c>
    </row>
    <row r="3853" spans="1:2">
      <c r="A3853" s="7" t="s">
        <v>10422</v>
      </c>
      <c r="B3853" s="7" t="s">
        <v>10423</v>
      </c>
    </row>
    <row r="3854" spans="1:2">
      <c r="A3854" s="7" t="s">
        <v>10424</v>
      </c>
      <c r="B3854" s="7" t="s">
        <v>10425</v>
      </c>
    </row>
    <row r="3855" spans="1:2">
      <c r="A3855" s="7" t="s">
        <v>10426</v>
      </c>
      <c r="B3855" s="7" t="s">
        <v>10427</v>
      </c>
    </row>
    <row r="3856" spans="1:2">
      <c r="A3856" s="7" t="s">
        <v>10428</v>
      </c>
      <c r="B3856" s="7" t="s">
        <v>10429</v>
      </c>
    </row>
    <row r="3857" spans="1:2">
      <c r="A3857" s="7" t="s">
        <v>10430</v>
      </c>
      <c r="B3857" s="7" t="s">
        <v>10431</v>
      </c>
    </row>
    <row r="3858" spans="1:2">
      <c r="A3858" s="7" t="s">
        <v>10432</v>
      </c>
      <c r="B3858" s="7" t="s">
        <v>10433</v>
      </c>
    </row>
    <row r="3859" spans="1:2">
      <c r="A3859" s="7" t="s">
        <v>10434</v>
      </c>
      <c r="B3859" s="7" t="s">
        <v>10435</v>
      </c>
    </row>
    <row r="3860" spans="1:2">
      <c r="A3860" s="7" t="s">
        <v>10436</v>
      </c>
      <c r="B3860" s="7" t="s">
        <v>10437</v>
      </c>
    </row>
    <row r="3861" spans="1:2">
      <c r="A3861" s="7" t="s">
        <v>10438</v>
      </c>
      <c r="B3861" s="7" t="s">
        <v>10439</v>
      </c>
    </row>
    <row r="3862" spans="1:2">
      <c r="A3862" s="7" t="s">
        <v>10440</v>
      </c>
      <c r="B3862" s="7" t="s">
        <v>4251</v>
      </c>
    </row>
    <row r="3863" spans="1:2">
      <c r="A3863" s="7" t="s">
        <v>10441</v>
      </c>
      <c r="B3863" s="7" t="s">
        <v>10442</v>
      </c>
    </row>
    <row r="3864" spans="1:2">
      <c r="A3864" s="7" t="s">
        <v>10443</v>
      </c>
      <c r="B3864" s="7" t="s">
        <v>10444</v>
      </c>
    </row>
    <row r="3865" spans="1:2">
      <c r="A3865" s="7" t="s">
        <v>10445</v>
      </c>
      <c r="B3865" s="7" t="s">
        <v>10446</v>
      </c>
    </row>
    <row r="3866" spans="1:2">
      <c r="A3866" s="7" t="s">
        <v>10447</v>
      </c>
      <c r="B3866" s="7" t="s">
        <v>10448</v>
      </c>
    </row>
    <row r="3867" spans="1:2">
      <c r="A3867" s="7" t="s">
        <v>10449</v>
      </c>
      <c r="B3867" s="7" t="s">
        <v>10450</v>
      </c>
    </row>
    <row r="3868" spans="1:2">
      <c r="A3868" s="7" t="s">
        <v>10451</v>
      </c>
      <c r="B3868" s="7" t="s">
        <v>10452</v>
      </c>
    </row>
    <row r="3869" spans="1:2">
      <c r="A3869" s="7" t="s">
        <v>10453</v>
      </c>
      <c r="B3869" s="7" t="s">
        <v>8416</v>
      </c>
    </row>
    <row r="3870" spans="1:2">
      <c r="A3870" s="7" t="s">
        <v>10454</v>
      </c>
      <c r="B3870" s="7" t="s">
        <v>5341</v>
      </c>
    </row>
    <row r="3871" spans="1:2">
      <c r="A3871" s="7" t="s">
        <v>10455</v>
      </c>
      <c r="B3871" s="7" t="s">
        <v>10456</v>
      </c>
    </row>
    <row r="3872" spans="1:2">
      <c r="A3872" s="7" t="s">
        <v>10457</v>
      </c>
      <c r="B3872" s="7" t="s">
        <v>3337</v>
      </c>
    </row>
    <row r="3873" spans="1:2">
      <c r="A3873" s="7" t="s">
        <v>10458</v>
      </c>
      <c r="B3873" s="7" t="s">
        <v>10459</v>
      </c>
    </row>
    <row r="3874" spans="1:2">
      <c r="A3874" s="7" t="s">
        <v>10460</v>
      </c>
      <c r="B3874" s="7" t="s">
        <v>10461</v>
      </c>
    </row>
    <row r="3875" spans="1:2">
      <c r="A3875" s="7" t="s">
        <v>10462</v>
      </c>
      <c r="B3875" s="7" t="s">
        <v>10463</v>
      </c>
    </row>
    <row r="3876" spans="1:2">
      <c r="A3876" s="7" t="s">
        <v>10464</v>
      </c>
      <c r="B3876" s="7" t="s">
        <v>4806</v>
      </c>
    </row>
    <row r="3877" spans="1:2">
      <c r="A3877" s="7" t="s">
        <v>10465</v>
      </c>
      <c r="B3877" s="7" t="s">
        <v>10466</v>
      </c>
    </row>
    <row r="3878" spans="1:2">
      <c r="A3878" s="7" t="s">
        <v>10467</v>
      </c>
      <c r="B3878" s="7" t="s">
        <v>10468</v>
      </c>
    </row>
    <row r="3879" spans="1:2">
      <c r="A3879" s="7" t="s">
        <v>10469</v>
      </c>
      <c r="B3879" s="7" t="s">
        <v>10470</v>
      </c>
    </row>
    <row r="3880" spans="1:2">
      <c r="A3880" s="7" t="s">
        <v>10471</v>
      </c>
      <c r="B3880" s="7" t="s">
        <v>10472</v>
      </c>
    </row>
    <row r="3881" spans="1:2">
      <c r="A3881" s="7" t="s">
        <v>10473</v>
      </c>
      <c r="B3881" s="7" t="s">
        <v>7208</v>
      </c>
    </row>
    <row r="3882" spans="1:2">
      <c r="A3882" s="7" t="s">
        <v>10474</v>
      </c>
      <c r="B3882" s="7" t="s">
        <v>10475</v>
      </c>
    </row>
    <row r="3883" spans="1:2">
      <c r="A3883" s="7" t="s">
        <v>10476</v>
      </c>
      <c r="B3883" s="7" t="s">
        <v>10477</v>
      </c>
    </row>
    <row r="3884" spans="1:2">
      <c r="A3884" s="7" t="s">
        <v>10478</v>
      </c>
      <c r="B3884" s="7" t="s">
        <v>3425</v>
      </c>
    </row>
    <row r="3885" spans="1:2">
      <c r="A3885" s="7" t="s">
        <v>10479</v>
      </c>
      <c r="B3885" s="7" t="s">
        <v>10480</v>
      </c>
    </row>
    <row r="3886" spans="1:2">
      <c r="A3886" s="7" t="s">
        <v>10481</v>
      </c>
      <c r="B3886" s="7" t="s">
        <v>10482</v>
      </c>
    </row>
    <row r="3887" spans="1:2">
      <c r="A3887" s="7" t="s">
        <v>10483</v>
      </c>
      <c r="B3887" s="7" t="s">
        <v>9602</v>
      </c>
    </row>
    <row r="3888" spans="1:2">
      <c r="A3888" s="7" t="s">
        <v>10484</v>
      </c>
      <c r="B3888" s="7" t="s">
        <v>10485</v>
      </c>
    </row>
    <row r="3889" spans="1:2">
      <c r="A3889" s="7" t="s">
        <v>10486</v>
      </c>
      <c r="B3889" s="7" t="s">
        <v>10487</v>
      </c>
    </row>
    <row r="3890" spans="1:2">
      <c r="A3890" s="7" t="s">
        <v>10488</v>
      </c>
      <c r="B3890" s="7" t="s">
        <v>10489</v>
      </c>
    </row>
    <row r="3891" spans="1:2">
      <c r="A3891" s="7" t="s">
        <v>10490</v>
      </c>
      <c r="B3891" s="7" t="s">
        <v>10491</v>
      </c>
    </row>
    <row r="3892" spans="1:2">
      <c r="A3892" s="7" t="s">
        <v>10492</v>
      </c>
      <c r="B3892" s="7" t="s">
        <v>10493</v>
      </c>
    </row>
    <row r="3893" spans="1:2">
      <c r="A3893" s="7" t="s">
        <v>10494</v>
      </c>
      <c r="B3893" s="7" t="s">
        <v>10495</v>
      </c>
    </row>
    <row r="3894" spans="1:2">
      <c r="A3894" s="7" t="s">
        <v>10496</v>
      </c>
      <c r="B3894" s="7" t="s">
        <v>10497</v>
      </c>
    </row>
    <row r="3895" spans="1:2">
      <c r="A3895" s="7" t="s">
        <v>10498</v>
      </c>
      <c r="B3895" s="7" t="s">
        <v>10499</v>
      </c>
    </row>
    <row r="3896" spans="1:2">
      <c r="A3896" s="7" t="s">
        <v>10500</v>
      </c>
      <c r="B3896" s="7" t="s">
        <v>10501</v>
      </c>
    </row>
    <row r="3897" spans="1:2">
      <c r="A3897" s="7" t="s">
        <v>10502</v>
      </c>
      <c r="B3897" s="7" t="s">
        <v>10503</v>
      </c>
    </row>
    <row r="3898" spans="1:2">
      <c r="A3898" s="7" t="s">
        <v>10504</v>
      </c>
      <c r="B3898" s="7" t="s">
        <v>10505</v>
      </c>
    </row>
    <row r="3899" spans="1:2">
      <c r="A3899" s="7" t="s">
        <v>10506</v>
      </c>
      <c r="B3899" s="7" t="s">
        <v>10507</v>
      </c>
    </row>
    <row r="3900" spans="1:2">
      <c r="A3900" s="7" t="s">
        <v>10508</v>
      </c>
      <c r="B3900" s="7" t="s">
        <v>10509</v>
      </c>
    </row>
    <row r="3901" spans="1:2">
      <c r="A3901" s="7" t="s">
        <v>10510</v>
      </c>
      <c r="B3901" s="7" t="s">
        <v>10511</v>
      </c>
    </row>
    <row r="3902" spans="1:2">
      <c r="A3902" s="7" t="s">
        <v>10512</v>
      </c>
      <c r="B3902" s="7" t="s">
        <v>10513</v>
      </c>
    </row>
    <row r="3903" spans="1:2">
      <c r="A3903" s="7" t="s">
        <v>10514</v>
      </c>
      <c r="B3903" s="7" t="s">
        <v>10515</v>
      </c>
    </row>
    <row r="3904" spans="1:2">
      <c r="A3904" s="7" t="s">
        <v>10516</v>
      </c>
      <c r="B3904" s="7" t="s">
        <v>10517</v>
      </c>
    </row>
    <row r="3905" spans="1:2">
      <c r="A3905" s="7" t="s">
        <v>10518</v>
      </c>
      <c r="B3905" s="7" t="s">
        <v>10519</v>
      </c>
    </row>
    <row r="3906" spans="1:2">
      <c r="A3906" s="7" t="s">
        <v>10520</v>
      </c>
      <c r="B3906" s="7" t="s">
        <v>10521</v>
      </c>
    </row>
    <row r="3907" spans="1:2">
      <c r="A3907" s="7" t="s">
        <v>10522</v>
      </c>
      <c r="B3907" s="7" t="s">
        <v>10523</v>
      </c>
    </row>
    <row r="3908" spans="1:2">
      <c r="A3908" s="7" t="s">
        <v>10524</v>
      </c>
      <c r="B3908" s="7" t="s">
        <v>10525</v>
      </c>
    </row>
    <row r="3909" spans="1:2">
      <c r="A3909" s="7" t="s">
        <v>10526</v>
      </c>
      <c r="B3909" s="7" t="s">
        <v>10527</v>
      </c>
    </row>
    <row r="3910" spans="1:2">
      <c r="A3910" s="7" t="s">
        <v>10528</v>
      </c>
      <c r="B3910" s="7" t="s">
        <v>10529</v>
      </c>
    </row>
    <row r="3911" spans="1:2">
      <c r="A3911" s="7" t="s">
        <v>10530</v>
      </c>
      <c r="B3911" s="7" t="s">
        <v>10531</v>
      </c>
    </row>
    <row r="3912" spans="1:2">
      <c r="A3912" s="7" t="s">
        <v>10532</v>
      </c>
      <c r="B3912" s="7" t="s">
        <v>10533</v>
      </c>
    </row>
    <row r="3913" spans="1:2">
      <c r="A3913" s="7" t="s">
        <v>10534</v>
      </c>
      <c r="B3913" s="7" t="s">
        <v>10535</v>
      </c>
    </row>
    <row r="3914" spans="1:2">
      <c r="A3914" s="7" t="s">
        <v>10536</v>
      </c>
      <c r="B3914" s="7" t="s">
        <v>10537</v>
      </c>
    </row>
    <row r="3915" spans="1:2">
      <c r="A3915" s="7" t="s">
        <v>10538</v>
      </c>
      <c r="B3915" s="7" t="s">
        <v>10539</v>
      </c>
    </row>
    <row r="3916" spans="1:2">
      <c r="A3916" s="7" t="s">
        <v>10540</v>
      </c>
      <c r="B3916" s="7" t="s">
        <v>10541</v>
      </c>
    </row>
    <row r="3917" spans="1:2">
      <c r="A3917" s="7" t="s">
        <v>10542</v>
      </c>
      <c r="B3917" s="7" t="s">
        <v>6553</v>
      </c>
    </row>
    <row r="3918" spans="1:2">
      <c r="A3918" s="7" t="s">
        <v>10543</v>
      </c>
      <c r="B3918" s="7" t="s">
        <v>10544</v>
      </c>
    </row>
    <row r="3919" spans="1:2">
      <c r="A3919" s="7" t="s">
        <v>10545</v>
      </c>
      <c r="B3919" s="7" t="s">
        <v>10546</v>
      </c>
    </row>
    <row r="3920" spans="1:2">
      <c r="A3920" s="7" t="s">
        <v>10547</v>
      </c>
      <c r="B3920" s="7" t="s">
        <v>10548</v>
      </c>
    </row>
    <row r="3921" spans="1:2">
      <c r="A3921" s="7" t="s">
        <v>10549</v>
      </c>
      <c r="B3921" s="7" t="s">
        <v>10550</v>
      </c>
    </row>
    <row r="3922" spans="1:2">
      <c r="A3922" s="7" t="s">
        <v>10551</v>
      </c>
      <c r="B3922" s="7" t="s">
        <v>10552</v>
      </c>
    </row>
    <row r="3923" spans="1:2">
      <c r="A3923" s="7" t="s">
        <v>10553</v>
      </c>
      <c r="B3923" s="7" t="s">
        <v>10554</v>
      </c>
    </row>
    <row r="3924" spans="1:2">
      <c r="A3924" s="7" t="s">
        <v>10555</v>
      </c>
      <c r="B3924" s="7" t="s">
        <v>10556</v>
      </c>
    </row>
    <row r="3925" spans="1:2">
      <c r="A3925" s="7" t="s">
        <v>10557</v>
      </c>
      <c r="B3925" s="7" t="s">
        <v>10558</v>
      </c>
    </row>
    <row r="3926" spans="1:2">
      <c r="A3926" s="7" t="s">
        <v>10559</v>
      </c>
      <c r="B3926" s="7" t="s">
        <v>10560</v>
      </c>
    </row>
    <row r="3927" spans="1:2">
      <c r="A3927" s="7" t="s">
        <v>10561</v>
      </c>
      <c r="B3927" s="7" t="s">
        <v>10562</v>
      </c>
    </row>
    <row r="3928" spans="1:2">
      <c r="A3928" s="7" t="s">
        <v>10563</v>
      </c>
      <c r="B3928" s="7" t="s">
        <v>10564</v>
      </c>
    </row>
    <row r="3929" spans="1:2">
      <c r="A3929" s="7" t="s">
        <v>10565</v>
      </c>
      <c r="B3929" s="7" t="s">
        <v>10566</v>
      </c>
    </row>
    <row r="3930" spans="1:2">
      <c r="A3930" s="7" t="s">
        <v>10567</v>
      </c>
      <c r="B3930" s="7" t="s">
        <v>9132</v>
      </c>
    </row>
    <row r="3931" spans="1:2">
      <c r="A3931" s="7" t="s">
        <v>10568</v>
      </c>
      <c r="B3931" s="7" t="s">
        <v>10569</v>
      </c>
    </row>
    <row r="3932" spans="1:2">
      <c r="A3932" s="7" t="s">
        <v>10570</v>
      </c>
      <c r="B3932" s="7" t="s">
        <v>10571</v>
      </c>
    </row>
    <row r="3933" spans="1:2">
      <c r="A3933" s="7" t="s">
        <v>10572</v>
      </c>
      <c r="B3933" s="7" t="s">
        <v>10573</v>
      </c>
    </row>
    <row r="3934" spans="1:2">
      <c r="A3934" s="7" t="s">
        <v>10574</v>
      </c>
      <c r="B3934" s="7" t="s">
        <v>10575</v>
      </c>
    </row>
    <row r="3935" spans="1:2">
      <c r="A3935" s="7" t="s">
        <v>10576</v>
      </c>
      <c r="B3935" s="7" t="s">
        <v>9103</v>
      </c>
    </row>
    <row r="3936" spans="1:2">
      <c r="A3936" s="7" t="s">
        <v>10577</v>
      </c>
      <c r="B3936" s="7" t="s">
        <v>10578</v>
      </c>
    </row>
    <row r="3937" spans="1:2">
      <c r="A3937" s="7" t="s">
        <v>10579</v>
      </c>
      <c r="B3937" s="7" t="s">
        <v>10580</v>
      </c>
    </row>
    <row r="3938" spans="1:2">
      <c r="A3938" s="7" t="s">
        <v>10581</v>
      </c>
      <c r="B3938" s="7" t="s">
        <v>10582</v>
      </c>
    </row>
    <row r="3939" spans="1:2">
      <c r="A3939" s="7" t="s">
        <v>10583</v>
      </c>
      <c r="B3939" s="7" t="s">
        <v>10584</v>
      </c>
    </row>
    <row r="3940" spans="1:2">
      <c r="A3940" s="7" t="s">
        <v>10585</v>
      </c>
      <c r="B3940" s="7" t="s">
        <v>10586</v>
      </c>
    </row>
    <row r="3941" spans="1:2">
      <c r="A3941" s="7" t="s">
        <v>10587</v>
      </c>
      <c r="B3941" s="7" t="s">
        <v>10588</v>
      </c>
    </row>
    <row r="3942" spans="1:2">
      <c r="A3942" s="7" t="s">
        <v>10589</v>
      </c>
      <c r="B3942" s="7" t="s">
        <v>10590</v>
      </c>
    </row>
    <row r="3943" spans="1:2">
      <c r="A3943" s="7" t="s">
        <v>10591</v>
      </c>
      <c r="B3943" s="7" t="s">
        <v>10592</v>
      </c>
    </row>
    <row r="3944" spans="1:2">
      <c r="A3944" s="7" t="s">
        <v>10593</v>
      </c>
      <c r="B3944" s="7" t="s">
        <v>10594</v>
      </c>
    </row>
    <row r="3945" spans="1:2">
      <c r="A3945" s="7" t="s">
        <v>10595</v>
      </c>
      <c r="B3945" s="7" t="s">
        <v>10596</v>
      </c>
    </row>
    <row r="3946" spans="1:2">
      <c r="A3946" s="7" t="s">
        <v>10597</v>
      </c>
      <c r="B3946" s="7" t="s">
        <v>10598</v>
      </c>
    </row>
    <row r="3947" spans="1:2">
      <c r="A3947" s="7" t="s">
        <v>10599</v>
      </c>
      <c r="B3947" s="7" t="s">
        <v>10600</v>
      </c>
    </row>
    <row r="3948" spans="1:2">
      <c r="A3948" s="7" t="s">
        <v>10601</v>
      </c>
      <c r="B3948" s="7" t="s">
        <v>10602</v>
      </c>
    </row>
    <row r="3949" spans="1:2">
      <c r="A3949" s="7" t="s">
        <v>10603</v>
      </c>
      <c r="B3949" s="7" t="s">
        <v>10604</v>
      </c>
    </row>
    <row r="3950" spans="1:2">
      <c r="A3950" s="7" t="s">
        <v>10605</v>
      </c>
      <c r="B3950" s="7" t="s">
        <v>10606</v>
      </c>
    </row>
    <row r="3951" spans="1:2">
      <c r="A3951" s="7" t="s">
        <v>10607</v>
      </c>
      <c r="B3951" s="7" t="s">
        <v>10608</v>
      </c>
    </row>
    <row r="3952" spans="1:2">
      <c r="A3952" s="7" t="s">
        <v>10609</v>
      </c>
      <c r="B3952" s="7" t="s">
        <v>10610</v>
      </c>
    </row>
    <row r="3953" spans="1:2">
      <c r="A3953" s="7" t="s">
        <v>10611</v>
      </c>
      <c r="B3953" s="7" t="s">
        <v>7525</v>
      </c>
    </row>
    <row r="3954" spans="1:2">
      <c r="A3954" s="7" t="s">
        <v>10612</v>
      </c>
      <c r="B3954" s="7" t="s">
        <v>10613</v>
      </c>
    </row>
    <row r="3955" spans="1:2">
      <c r="A3955" s="7" t="s">
        <v>10614</v>
      </c>
      <c r="B3955" s="7" t="s">
        <v>8652</v>
      </c>
    </row>
    <row r="3956" spans="1:2">
      <c r="A3956" s="7" t="s">
        <v>10615</v>
      </c>
      <c r="B3956" s="7" t="s">
        <v>10616</v>
      </c>
    </row>
    <row r="3957" spans="1:2">
      <c r="A3957" s="7" t="s">
        <v>10617</v>
      </c>
      <c r="B3957" s="7" t="s">
        <v>10618</v>
      </c>
    </row>
    <row r="3958" spans="1:2">
      <c r="A3958" s="7" t="s">
        <v>10619</v>
      </c>
      <c r="B3958" s="7" t="s">
        <v>10620</v>
      </c>
    </row>
    <row r="3959" spans="1:2">
      <c r="A3959" s="7" t="s">
        <v>10621</v>
      </c>
      <c r="B3959" s="7" t="s">
        <v>7347</v>
      </c>
    </row>
    <row r="3960" spans="1:2">
      <c r="A3960" s="7" t="s">
        <v>10622</v>
      </c>
      <c r="B3960" s="7" t="s">
        <v>10623</v>
      </c>
    </row>
    <row r="3961" spans="1:2">
      <c r="A3961" s="7" t="s">
        <v>10624</v>
      </c>
      <c r="B3961" s="7" t="s">
        <v>10625</v>
      </c>
    </row>
    <row r="3962" spans="1:2">
      <c r="A3962" s="7" t="s">
        <v>10626</v>
      </c>
      <c r="B3962" s="7" t="s">
        <v>10627</v>
      </c>
    </row>
    <row r="3963" spans="1:2">
      <c r="A3963" s="7" t="s">
        <v>10628</v>
      </c>
      <c r="B3963" s="7" t="s">
        <v>10629</v>
      </c>
    </row>
    <row r="3964" spans="1:2">
      <c r="A3964" s="7" t="s">
        <v>10630</v>
      </c>
      <c r="B3964" s="7" t="s">
        <v>10631</v>
      </c>
    </row>
    <row r="3965" spans="1:2">
      <c r="A3965" s="7" t="s">
        <v>10632</v>
      </c>
      <c r="B3965" s="7" t="s">
        <v>10472</v>
      </c>
    </row>
    <row r="3966" spans="1:2">
      <c r="A3966" s="7" t="s">
        <v>10633</v>
      </c>
      <c r="B3966" s="7" t="s">
        <v>10634</v>
      </c>
    </row>
    <row r="3967" spans="1:2">
      <c r="A3967" s="7" t="s">
        <v>10635</v>
      </c>
      <c r="B3967" s="7" t="s">
        <v>3331</v>
      </c>
    </row>
    <row r="3968" spans="1:2">
      <c r="A3968" s="7" t="s">
        <v>10636</v>
      </c>
      <c r="B3968" s="7" t="s">
        <v>10637</v>
      </c>
    </row>
    <row r="3969" spans="1:2">
      <c r="A3969" s="7" t="s">
        <v>10638</v>
      </c>
      <c r="B3969" s="7" t="s">
        <v>10639</v>
      </c>
    </row>
    <row r="3970" spans="1:2">
      <c r="A3970" s="7" t="s">
        <v>10640</v>
      </c>
      <c r="B3970" s="7" t="s">
        <v>8538</v>
      </c>
    </row>
    <row r="3971" spans="1:2">
      <c r="A3971" s="7" t="s">
        <v>10641</v>
      </c>
      <c r="B3971" s="7" t="s">
        <v>10642</v>
      </c>
    </row>
    <row r="3972" spans="1:2">
      <c r="A3972" s="7" t="s">
        <v>10643</v>
      </c>
      <c r="B3972" s="7" t="s">
        <v>10644</v>
      </c>
    </row>
    <row r="3973" spans="1:2">
      <c r="A3973" s="7" t="s">
        <v>10645</v>
      </c>
      <c r="B3973" s="7" t="s">
        <v>10646</v>
      </c>
    </row>
    <row r="3974" spans="1:2">
      <c r="A3974" s="7" t="s">
        <v>10647</v>
      </c>
      <c r="B3974" s="7" t="s">
        <v>10648</v>
      </c>
    </row>
    <row r="3975" spans="1:2">
      <c r="A3975" s="7" t="s">
        <v>10649</v>
      </c>
      <c r="B3975" s="7" t="s">
        <v>8623</v>
      </c>
    </row>
    <row r="3976" spans="1:2">
      <c r="A3976" s="7" t="s">
        <v>10650</v>
      </c>
      <c r="B3976" s="7" t="s">
        <v>3597</v>
      </c>
    </row>
    <row r="3977" spans="1:2">
      <c r="A3977" s="7" t="s">
        <v>10651</v>
      </c>
      <c r="B3977" s="7" t="s">
        <v>10652</v>
      </c>
    </row>
    <row r="3978" spans="1:2">
      <c r="A3978" s="7" t="s">
        <v>10653</v>
      </c>
      <c r="B3978" s="7" t="s">
        <v>10654</v>
      </c>
    </row>
    <row r="3979" spans="1:2">
      <c r="A3979" s="7" t="s">
        <v>10655</v>
      </c>
      <c r="B3979" s="7" t="s">
        <v>10656</v>
      </c>
    </row>
    <row r="3980" spans="1:2">
      <c r="A3980" s="7" t="s">
        <v>10657</v>
      </c>
      <c r="B3980" s="7" t="s">
        <v>10658</v>
      </c>
    </row>
    <row r="3981" spans="1:2">
      <c r="A3981" s="7" t="s">
        <v>10659</v>
      </c>
      <c r="B3981" s="7" t="s">
        <v>10660</v>
      </c>
    </row>
    <row r="3982" spans="1:2">
      <c r="A3982" s="7" t="s">
        <v>10661</v>
      </c>
      <c r="B3982" s="7" t="s">
        <v>10662</v>
      </c>
    </row>
    <row r="3983" spans="1:2">
      <c r="A3983" s="7" t="s">
        <v>10663</v>
      </c>
      <c r="B3983" s="7" t="s">
        <v>5051</v>
      </c>
    </row>
    <row r="3984" spans="1:2">
      <c r="A3984" s="7" t="s">
        <v>10664</v>
      </c>
      <c r="B3984" s="7" t="s">
        <v>10665</v>
      </c>
    </row>
    <row r="3985" spans="1:2">
      <c r="A3985" s="7" t="s">
        <v>10666</v>
      </c>
      <c r="B3985" s="7" t="s">
        <v>10667</v>
      </c>
    </row>
    <row r="3986" spans="1:2">
      <c r="A3986" s="7" t="s">
        <v>10668</v>
      </c>
      <c r="B3986" s="7" t="s">
        <v>10669</v>
      </c>
    </row>
    <row r="3987" spans="1:2">
      <c r="A3987" s="7" t="s">
        <v>10670</v>
      </c>
      <c r="B3987" s="7" t="s">
        <v>10671</v>
      </c>
    </row>
    <row r="3988" spans="1:2">
      <c r="A3988" s="7" t="s">
        <v>10672</v>
      </c>
      <c r="B3988" s="7" t="s">
        <v>10673</v>
      </c>
    </row>
    <row r="3989" spans="1:2">
      <c r="A3989" s="7" t="s">
        <v>10674</v>
      </c>
      <c r="B3989" s="7" t="s">
        <v>10675</v>
      </c>
    </row>
    <row r="3990" spans="1:2">
      <c r="A3990" s="7" t="s">
        <v>10676</v>
      </c>
      <c r="B3990" s="7" t="s">
        <v>10677</v>
      </c>
    </row>
    <row r="3991" spans="1:2">
      <c r="A3991" s="7" t="s">
        <v>10678</v>
      </c>
      <c r="B3991" s="7" t="s">
        <v>10679</v>
      </c>
    </row>
    <row r="3992" spans="1:2">
      <c r="A3992" s="7" t="s">
        <v>10680</v>
      </c>
      <c r="B3992" s="7" t="s">
        <v>8652</v>
      </c>
    </row>
    <row r="3993" spans="1:2">
      <c r="A3993" s="7" t="s">
        <v>10681</v>
      </c>
      <c r="B3993" s="7" t="s">
        <v>10682</v>
      </c>
    </row>
    <row r="3994" spans="1:2">
      <c r="A3994" s="7" t="s">
        <v>10683</v>
      </c>
      <c r="B3994" s="7" t="s">
        <v>10684</v>
      </c>
    </row>
    <row r="3995" spans="1:2">
      <c r="A3995" s="7" t="s">
        <v>10685</v>
      </c>
      <c r="B3995" s="7" t="s">
        <v>10686</v>
      </c>
    </row>
    <row r="3996" spans="1:2">
      <c r="A3996" s="7" t="s">
        <v>10687</v>
      </c>
      <c r="B3996" s="7" t="s">
        <v>10688</v>
      </c>
    </row>
    <row r="3997" spans="1:2">
      <c r="A3997" s="7" t="s">
        <v>10689</v>
      </c>
      <c r="B3997" s="7" t="s">
        <v>4679</v>
      </c>
    </row>
    <row r="3998" spans="1:2">
      <c r="A3998" s="7" t="s">
        <v>10690</v>
      </c>
      <c r="B3998" s="7" t="s">
        <v>10691</v>
      </c>
    </row>
    <row r="3999" spans="1:2">
      <c r="A3999" s="7" t="s">
        <v>10692</v>
      </c>
      <c r="B3999" s="7" t="s">
        <v>10693</v>
      </c>
    </row>
    <row r="4000" spans="1:2">
      <c r="A4000" s="7" t="s">
        <v>10694</v>
      </c>
      <c r="B4000" s="7" t="s">
        <v>10695</v>
      </c>
    </row>
    <row r="4001" spans="1:2">
      <c r="A4001" s="7" t="s">
        <v>10696</v>
      </c>
      <c r="B4001" s="7" t="s">
        <v>10697</v>
      </c>
    </row>
    <row r="4002" spans="1:2">
      <c r="A4002" s="7" t="s">
        <v>10698</v>
      </c>
      <c r="B4002" s="7" t="s">
        <v>10699</v>
      </c>
    </row>
    <row r="4003" spans="1:2">
      <c r="A4003" s="7" t="s">
        <v>10700</v>
      </c>
      <c r="B4003" s="7" t="s">
        <v>9830</v>
      </c>
    </row>
    <row r="4004" spans="1:2">
      <c r="A4004" s="7" t="s">
        <v>10701</v>
      </c>
      <c r="B4004" s="7" t="s">
        <v>10702</v>
      </c>
    </row>
    <row r="4005" spans="1:2">
      <c r="A4005" s="7" t="s">
        <v>10703</v>
      </c>
      <c r="B4005" s="7" t="s">
        <v>10704</v>
      </c>
    </row>
    <row r="4006" spans="1:2">
      <c r="A4006" s="7" t="s">
        <v>10705</v>
      </c>
      <c r="B4006" s="7" t="s">
        <v>10706</v>
      </c>
    </row>
    <row r="4007" spans="1:2">
      <c r="A4007" s="7" t="s">
        <v>10707</v>
      </c>
      <c r="B4007" s="7" t="s">
        <v>10708</v>
      </c>
    </row>
    <row r="4008" spans="1:2">
      <c r="A4008" s="7" t="s">
        <v>10709</v>
      </c>
      <c r="B4008" s="7" t="s">
        <v>10541</v>
      </c>
    </row>
    <row r="4009" spans="1:2">
      <c r="A4009" s="7" t="s">
        <v>10710</v>
      </c>
      <c r="B4009" s="7" t="s">
        <v>7758</v>
      </c>
    </row>
    <row r="4010" spans="1:2">
      <c r="A4010" s="7" t="s">
        <v>10711</v>
      </c>
      <c r="B4010" s="7" t="s">
        <v>10712</v>
      </c>
    </row>
    <row r="4011" spans="1:2">
      <c r="A4011" s="7" t="s">
        <v>10713</v>
      </c>
      <c r="B4011" s="7" t="s">
        <v>10714</v>
      </c>
    </row>
    <row r="4012" spans="1:2">
      <c r="A4012" s="7" t="s">
        <v>10715</v>
      </c>
      <c r="B4012" s="7" t="s">
        <v>3776</v>
      </c>
    </row>
    <row r="4013" spans="1:2">
      <c r="A4013" s="7" t="s">
        <v>10716</v>
      </c>
      <c r="B4013" s="7" t="s">
        <v>10717</v>
      </c>
    </row>
    <row r="4014" spans="1:2">
      <c r="A4014" s="7" t="s">
        <v>10718</v>
      </c>
      <c r="B4014" s="7" t="s">
        <v>10719</v>
      </c>
    </row>
    <row r="4015" spans="1:2">
      <c r="A4015" s="7" t="s">
        <v>10720</v>
      </c>
      <c r="B4015" s="7" t="s">
        <v>10721</v>
      </c>
    </row>
    <row r="4016" spans="1:2">
      <c r="A4016" s="7" t="s">
        <v>10722</v>
      </c>
      <c r="B4016" s="7" t="s">
        <v>10723</v>
      </c>
    </row>
    <row r="4017" spans="1:2">
      <c r="A4017" s="7" t="s">
        <v>10724</v>
      </c>
      <c r="B4017" s="7" t="s">
        <v>10725</v>
      </c>
    </row>
    <row r="4018" spans="1:2">
      <c r="A4018" s="7" t="s">
        <v>10726</v>
      </c>
      <c r="B4018" s="7" t="s">
        <v>10727</v>
      </c>
    </row>
    <row r="4019" spans="1:2">
      <c r="A4019" s="7" t="s">
        <v>10728</v>
      </c>
      <c r="B4019" s="7" t="s">
        <v>3881</v>
      </c>
    </row>
    <row r="4020" spans="1:2">
      <c r="A4020" s="7" t="s">
        <v>10729</v>
      </c>
      <c r="B4020" s="7" t="s">
        <v>10730</v>
      </c>
    </row>
    <row r="4021" spans="1:2">
      <c r="A4021" s="7" t="s">
        <v>10731</v>
      </c>
      <c r="B4021" s="7" t="s">
        <v>10732</v>
      </c>
    </row>
    <row r="4022" spans="1:2">
      <c r="A4022" s="7" t="s">
        <v>10733</v>
      </c>
      <c r="B4022" s="7" t="s">
        <v>10734</v>
      </c>
    </row>
    <row r="4023" spans="1:2">
      <c r="A4023" s="7" t="s">
        <v>10735</v>
      </c>
      <c r="B4023" s="7" t="s">
        <v>6594</v>
      </c>
    </row>
    <row r="4024" spans="1:2">
      <c r="A4024" s="7" t="s">
        <v>10736</v>
      </c>
      <c r="B4024" s="7" t="s">
        <v>10737</v>
      </c>
    </row>
    <row r="4025" spans="1:2">
      <c r="A4025" s="7" t="s">
        <v>10738</v>
      </c>
      <c r="B4025" s="7" t="s">
        <v>6724</v>
      </c>
    </row>
    <row r="4026" spans="1:2">
      <c r="A4026" s="7" t="s">
        <v>10739</v>
      </c>
      <c r="B4026" s="7" t="s">
        <v>10740</v>
      </c>
    </row>
    <row r="4027" spans="1:2">
      <c r="A4027" s="7" t="s">
        <v>10741</v>
      </c>
      <c r="B4027" s="7" t="s">
        <v>10742</v>
      </c>
    </row>
    <row r="4028" spans="1:2">
      <c r="A4028" s="7" t="s">
        <v>10743</v>
      </c>
      <c r="B4028" s="7" t="s">
        <v>10744</v>
      </c>
    </row>
    <row r="4029" spans="1:2">
      <c r="A4029" s="7" t="s">
        <v>10745</v>
      </c>
      <c r="B4029" s="7" t="s">
        <v>10746</v>
      </c>
    </row>
    <row r="4030" spans="1:2">
      <c r="A4030" s="7" t="s">
        <v>10747</v>
      </c>
      <c r="B4030" s="7" t="s">
        <v>10748</v>
      </c>
    </row>
    <row r="4031" spans="1:2">
      <c r="A4031" s="7" t="s">
        <v>10749</v>
      </c>
      <c r="B4031" s="7" t="s">
        <v>10750</v>
      </c>
    </row>
    <row r="4032" spans="1:2">
      <c r="A4032" s="7" t="s">
        <v>10751</v>
      </c>
      <c r="B4032" s="7" t="s">
        <v>10752</v>
      </c>
    </row>
    <row r="4033" spans="1:2">
      <c r="A4033" s="7" t="s">
        <v>10753</v>
      </c>
      <c r="B4033" s="7" t="s">
        <v>9824</v>
      </c>
    </row>
    <row r="4034" spans="1:2">
      <c r="A4034" s="7" t="s">
        <v>10754</v>
      </c>
      <c r="B4034" s="7" t="s">
        <v>5446</v>
      </c>
    </row>
    <row r="4035" spans="1:2">
      <c r="A4035" s="7" t="s">
        <v>10755</v>
      </c>
      <c r="B4035" s="7" t="s">
        <v>3331</v>
      </c>
    </row>
    <row r="4036" spans="1:2">
      <c r="A4036" s="7" t="s">
        <v>10756</v>
      </c>
      <c r="B4036" s="7" t="s">
        <v>5249</v>
      </c>
    </row>
    <row r="4037" spans="1:2">
      <c r="A4037" s="7" t="s">
        <v>10757</v>
      </c>
      <c r="B4037" s="7" t="s">
        <v>8196</v>
      </c>
    </row>
    <row r="4038" spans="1:2">
      <c r="A4038" s="7" t="s">
        <v>10758</v>
      </c>
      <c r="B4038" s="7" t="s">
        <v>10759</v>
      </c>
    </row>
    <row r="4039" spans="1:2">
      <c r="A4039" s="7" t="s">
        <v>10760</v>
      </c>
      <c r="B4039" s="7" t="s">
        <v>10761</v>
      </c>
    </row>
    <row r="4040" spans="1:2">
      <c r="A4040" s="7" t="s">
        <v>10762</v>
      </c>
      <c r="B4040" s="7" t="s">
        <v>10763</v>
      </c>
    </row>
    <row r="4041" spans="1:2">
      <c r="A4041" s="7" t="s">
        <v>10764</v>
      </c>
      <c r="B4041" s="7" t="s">
        <v>9778</v>
      </c>
    </row>
    <row r="4042" spans="1:2">
      <c r="A4042" s="7" t="s">
        <v>10765</v>
      </c>
      <c r="B4042" s="7" t="s">
        <v>10766</v>
      </c>
    </row>
    <row r="4043" spans="1:2">
      <c r="A4043" s="7" t="s">
        <v>10767</v>
      </c>
      <c r="B4043" s="7" t="s">
        <v>10768</v>
      </c>
    </row>
    <row r="4044" spans="1:2">
      <c r="A4044" s="7" t="s">
        <v>10769</v>
      </c>
      <c r="B4044" s="7" t="s">
        <v>10770</v>
      </c>
    </row>
    <row r="4045" spans="1:2">
      <c r="A4045" s="7" t="s">
        <v>10771</v>
      </c>
      <c r="B4045" s="7" t="s">
        <v>10772</v>
      </c>
    </row>
    <row r="4046" spans="1:2">
      <c r="A4046" s="7" t="s">
        <v>10773</v>
      </c>
      <c r="B4046" s="7" t="s">
        <v>10774</v>
      </c>
    </row>
    <row r="4047" spans="1:2">
      <c r="A4047" s="7" t="s">
        <v>10775</v>
      </c>
      <c r="B4047" s="7" t="s">
        <v>8992</v>
      </c>
    </row>
    <row r="4048" spans="1:2">
      <c r="A4048" s="7" t="s">
        <v>10776</v>
      </c>
      <c r="B4048" s="7" t="s">
        <v>10777</v>
      </c>
    </row>
    <row r="4049" spans="1:2">
      <c r="A4049" s="7" t="s">
        <v>10778</v>
      </c>
      <c r="B4049" s="7" t="s">
        <v>10779</v>
      </c>
    </row>
    <row r="4050" spans="1:2">
      <c r="A4050" s="7" t="s">
        <v>10780</v>
      </c>
      <c r="B4050" s="7" t="s">
        <v>10781</v>
      </c>
    </row>
    <row r="4051" spans="1:2">
      <c r="A4051" s="7" t="s">
        <v>10782</v>
      </c>
      <c r="B4051" s="7" t="s">
        <v>10783</v>
      </c>
    </row>
    <row r="4052" spans="1:2">
      <c r="A4052" s="7" t="s">
        <v>10784</v>
      </c>
      <c r="B4052" s="7" t="s">
        <v>10785</v>
      </c>
    </row>
    <row r="4053" spans="1:2">
      <c r="A4053" s="7" t="s">
        <v>10786</v>
      </c>
      <c r="B4053" s="7" t="s">
        <v>10787</v>
      </c>
    </row>
    <row r="4054" spans="1:2">
      <c r="A4054" s="7" t="s">
        <v>10788</v>
      </c>
      <c r="B4054" s="7" t="s">
        <v>6913</v>
      </c>
    </row>
    <row r="4055" spans="1:2">
      <c r="A4055" s="7" t="s">
        <v>10789</v>
      </c>
      <c r="B4055" s="7" t="s">
        <v>10790</v>
      </c>
    </row>
    <row r="4056" spans="1:2">
      <c r="A4056" s="7" t="s">
        <v>10791</v>
      </c>
      <c r="B4056" s="7" t="s">
        <v>10792</v>
      </c>
    </row>
    <row r="4057" spans="1:2">
      <c r="A4057" s="7" t="s">
        <v>10793</v>
      </c>
      <c r="B4057" s="7" t="s">
        <v>10794</v>
      </c>
    </row>
    <row r="4058" spans="1:2">
      <c r="A4058" s="7" t="s">
        <v>10795</v>
      </c>
      <c r="B4058" s="7" t="s">
        <v>10796</v>
      </c>
    </row>
    <row r="4059" spans="1:2">
      <c r="A4059" s="7" t="s">
        <v>10797</v>
      </c>
      <c r="B4059" s="7" t="s">
        <v>10798</v>
      </c>
    </row>
    <row r="4060" spans="1:2">
      <c r="A4060" s="7" t="s">
        <v>10799</v>
      </c>
      <c r="B4060" s="7" t="s">
        <v>10580</v>
      </c>
    </row>
    <row r="4061" spans="1:2">
      <c r="A4061" s="7" t="s">
        <v>10800</v>
      </c>
      <c r="B4061" s="7" t="s">
        <v>10801</v>
      </c>
    </row>
    <row r="4062" spans="1:2">
      <c r="A4062" s="7" t="s">
        <v>10802</v>
      </c>
      <c r="B4062" s="7" t="s">
        <v>10803</v>
      </c>
    </row>
    <row r="4063" spans="1:2">
      <c r="A4063" s="7" t="s">
        <v>10804</v>
      </c>
      <c r="B4063" s="7" t="s">
        <v>10805</v>
      </c>
    </row>
    <row r="4064" spans="1:2">
      <c r="A4064" s="7" t="s">
        <v>10806</v>
      </c>
      <c r="B4064" s="7" t="s">
        <v>10807</v>
      </c>
    </row>
    <row r="4065" spans="1:2">
      <c r="A4065" s="7" t="s">
        <v>10808</v>
      </c>
      <c r="B4065" s="7" t="s">
        <v>6060</v>
      </c>
    </row>
    <row r="4066" spans="1:2">
      <c r="A4066" s="7" t="s">
        <v>10809</v>
      </c>
      <c r="B4066" s="7" t="s">
        <v>10810</v>
      </c>
    </row>
    <row r="4067" spans="1:2">
      <c r="A4067" s="7" t="s">
        <v>10811</v>
      </c>
      <c r="B4067" s="7" t="s">
        <v>10812</v>
      </c>
    </row>
    <row r="4068" spans="1:2">
      <c r="A4068" s="7" t="s">
        <v>10813</v>
      </c>
      <c r="B4068" s="7" t="s">
        <v>10814</v>
      </c>
    </row>
    <row r="4069" spans="1:2">
      <c r="A4069" s="7" t="s">
        <v>10815</v>
      </c>
      <c r="B4069" s="7" t="s">
        <v>10816</v>
      </c>
    </row>
    <row r="4070" spans="1:2">
      <c r="A4070" s="7" t="s">
        <v>10817</v>
      </c>
      <c r="B4070" s="7" t="s">
        <v>10818</v>
      </c>
    </row>
    <row r="4071" spans="1:2">
      <c r="A4071" s="7" t="s">
        <v>10819</v>
      </c>
      <c r="B4071" s="7" t="s">
        <v>10820</v>
      </c>
    </row>
    <row r="4072" spans="1:2">
      <c r="A4072" s="7" t="s">
        <v>10821</v>
      </c>
      <c r="B4072" s="7" t="s">
        <v>10822</v>
      </c>
    </row>
    <row r="4073" spans="1:2">
      <c r="A4073" s="7" t="s">
        <v>10823</v>
      </c>
      <c r="B4073" s="7" t="s">
        <v>9105</v>
      </c>
    </row>
    <row r="4074" spans="1:2">
      <c r="A4074" s="7" t="s">
        <v>10824</v>
      </c>
      <c r="B4074" s="7" t="s">
        <v>3912</v>
      </c>
    </row>
    <row r="4075" spans="1:2">
      <c r="A4075" s="7" t="s">
        <v>10825</v>
      </c>
      <c r="B4075" s="7" t="s">
        <v>6018</v>
      </c>
    </row>
    <row r="4076" spans="1:2">
      <c r="A4076" s="7" t="s">
        <v>10826</v>
      </c>
      <c r="B4076" s="7" t="s">
        <v>6906</v>
      </c>
    </row>
    <row r="4077" spans="1:2">
      <c r="A4077" s="7" t="s">
        <v>10827</v>
      </c>
      <c r="B4077" s="7" t="s">
        <v>8701</v>
      </c>
    </row>
    <row r="4078" spans="1:2">
      <c r="A4078" s="7" t="s">
        <v>10828</v>
      </c>
      <c r="B4078" s="7" t="s">
        <v>10719</v>
      </c>
    </row>
    <row r="4079" spans="1:2">
      <c r="A4079" s="7" t="s">
        <v>10829</v>
      </c>
      <c r="B4079" s="7" t="s">
        <v>3561</v>
      </c>
    </row>
    <row r="4080" spans="1:2">
      <c r="A4080" s="7" t="s">
        <v>10830</v>
      </c>
      <c r="B4080" s="7" t="s">
        <v>10831</v>
      </c>
    </row>
    <row r="4081" spans="1:2">
      <c r="A4081" s="7" t="s">
        <v>10832</v>
      </c>
      <c r="B4081" s="7" t="s">
        <v>3567</v>
      </c>
    </row>
    <row r="4082" spans="1:2">
      <c r="A4082" s="7" t="s">
        <v>10833</v>
      </c>
      <c r="B4082" s="7" t="s">
        <v>10834</v>
      </c>
    </row>
    <row r="4083" spans="1:2">
      <c r="A4083" s="7" t="s">
        <v>10835</v>
      </c>
      <c r="B4083" s="7" t="s">
        <v>6934</v>
      </c>
    </row>
    <row r="4084" spans="1:2">
      <c r="A4084" s="7" t="s">
        <v>10836</v>
      </c>
      <c r="B4084" s="7" t="s">
        <v>10837</v>
      </c>
    </row>
    <row r="4085" spans="1:2">
      <c r="A4085" s="7" t="s">
        <v>10838</v>
      </c>
      <c r="B4085" s="7" t="s">
        <v>10839</v>
      </c>
    </row>
    <row r="4086" spans="1:2">
      <c r="A4086" s="7" t="s">
        <v>10840</v>
      </c>
      <c r="B4086" s="7" t="s">
        <v>6038</v>
      </c>
    </row>
    <row r="4087" spans="1:2">
      <c r="A4087" s="7" t="s">
        <v>10841</v>
      </c>
      <c r="B4087" s="7" t="s">
        <v>5627</v>
      </c>
    </row>
    <row r="4088" spans="1:2">
      <c r="A4088" s="7" t="s">
        <v>10842</v>
      </c>
      <c r="B4088" s="7" t="s">
        <v>10843</v>
      </c>
    </row>
    <row r="4089" spans="1:2">
      <c r="A4089" s="7" t="s">
        <v>10844</v>
      </c>
      <c r="B4089" s="7" t="s">
        <v>6822</v>
      </c>
    </row>
    <row r="4090" spans="1:2">
      <c r="A4090" s="7" t="s">
        <v>10845</v>
      </c>
      <c r="B4090" s="7" t="s">
        <v>10846</v>
      </c>
    </row>
    <row r="4091" spans="1:2">
      <c r="A4091" s="7" t="s">
        <v>10847</v>
      </c>
      <c r="B4091" s="7" t="s">
        <v>10848</v>
      </c>
    </row>
    <row r="4092" spans="1:2">
      <c r="A4092" s="7" t="s">
        <v>10849</v>
      </c>
      <c r="B4092" s="7" t="s">
        <v>10850</v>
      </c>
    </row>
    <row r="4093" spans="1:2">
      <c r="A4093" s="7" t="s">
        <v>10851</v>
      </c>
      <c r="B4093" s="7" t="s">
        <v>10852</v>
      </c>
    </row>
    <row r="4094" spans="1:2">
      <c r="A4094" s="7" t="s">
        <v>10853</v>
      </c>
      <c r="B4094" s="7" t="s">
        <v>10854</v>
      </c>
    </row>
    <row r="4095" spans="1:2">
      <c r="A4095" s="7" t="s">
        <v>10855</v>
      </c>
      <c r="B4095" s="7" t="s">
        <v>5051</v>
      </c>
    </row>
    <row r="4096" spans="1:2">
      <c r="A4096" s="7" t="s">
        <v>10856</v>
      </c>
      <c r="B4096" s="7" t="s">
        <v>10857</v>
      </c>
    </row>
    <row r="4097" spans="1:2">
      <c r="A4097" s="7" t="s">
        <v>10858</v>
      </c>
      <c r="B4097" s="7" t="s">
        <v>8729</v>
      </c>
    </row>
    <row r="4098" spans="1:2">
      <c r="A4098" s="7" t="s">
        <v>10859</v>
      </c>
      <c r="B4098" s="7" t="s">
        <v>6896</v>
      </c>
    </row>
    <row r="4099" spans="1:2">
      <c r="A4099" s="7" t="s">
        <v>10860</v>
      </c>
      <c r="B4099" s="7" t="s">
        <v>10861</v>
      </c>
    </row>
    <row r="4100" spans="1:2">
      <c r="A4100" s="7" t="s">
        <v>10862</v>
      </c>
      <c r="B4100" s="7" t="s">
        <v>10863</v>
      </c>
    </row>
    <row r="4101" spans="1:2">
      <c r="A4101" s="7" t="s">
        <v>10864</v>
      </c>
      <c r="B4101" s="7" t="s">
        <v>10865</v>
      </c>
    </row>
    <row r="4102" spans="1:2">
      <c r="A4102" s="7" t="s">
        <v>10866</v>
      </c>
      <c r="B4102" s="7" t="s">
        <v>7412</v>
      </c>
    </row>
    <row r="4103" spans="1:2">
      <c r="A4103" s="7" t="s">
        <v>10867</v>
      </c>
      <c r="B4103" s="7" t="s">
        <v>10868</v>
      </c>
    </row>
    <row r="4104" spans="1:2">
      <c r="A4104" s="7" t="s">
        <v>10869</v>
      </c>
      <c r="B4104" s="7" t="s">
        <v>7033</v>
      </c>
    </row>
    <row r="4105" spans="1:2">
      <c r="A4105" s="7" t="s">
        <v>10870</v>
      </c>
      <c r="B4105" s="7" t="s">
        <v>10871</v>
      </c>
    </row>
    <row r="4106" spans="1:2">
      <c r="A4106" s="7" t="s">
        <v>10872</v>
      </c>
      <c r="B4106" s="7" t="s">
        <v>5446</v>
      </c>
    </row>
    <row r="4107" spans="1:2">
      <c r="A4107" s="7" t="s">
        <v>10873</v>
      </c>
      <c r="B4107" s="7" t="s">
        <v>10874</v>
      </c>
    </row>
    <row r="4108" spans="1:2">
      <c r="A4108" s="7" t="s">
        <v>10875</v>
      </c>
      <c r="B4108" s="7" t="s">
        <v>10876</v>
      </c>
    </row>
    <row r="4109" spans="1:2">
      <c r="A4109" s="7" t="s">
        <v>10877</v>
      </c>
      <c r="B4109" s="7" t="s">
        <v>3475</v>
      </c>
    </row>
    <row r="4110" spans="1:2">
      <c r="A4110" s="7" t="s">
        <v>10878</v>
      </c>
      <c r="B4110" s="7" t="s">
        <v>10879</v>
      </c>
    </row>
    <row r="4111" spans="1:2">
      <c r="A4111" s="7" t="s">
        <v>10880</v>
      </c>
      <c r="B4111" s="7" t="s">
        <v>10881</v>
      </c>
    </row>
    <row r="4112" spans="1:2">
      <c r="A4112" s="7" t="s">
        <v>10882</v>
      </c>
      <c r="B4112" s="7" t="s">
        <v>10883</v>
      </c>
    </row>
    <row r="4113" spans="1:2">
      <c r="A4113" s="7" t="s">
        <v>10884</v>
      </c>
      <c r="B4113" s="7" t="s">
        <v>9802</v>
      </c>
    </row>
    <row r="4114" spans="1:2">
      <c r="A4114" s="7" t="s">
        <v>10885</v>
      </c>
      <c r="B4114" s="7" t="s">
        <v>8733</v>
      </c>
    </row>
    <row r="4115" spans="1:2">
      <c r="A4115" s="7" t="s">
        <v>10886</v>
      </c>
      <c r="B4115" s="7" t="s">
        <v>9718</v>
      </c>
    </row>
    <row r="4116" spans="1:2">
      <c r="A4116" s="7" t="s">
        <v>10887</v>
      </c>
      <c r="B4116" s="7" t="s">
        <v>5723</v>
      </c>
    </row>
    <row r="4117" spans="1:2">
      <c r="A4117" s="7" t="s">
        <v>10888</v>
      </c>
      <c r="B4117" s="7" t="s">
        <v>8652</v>
      </c>
    </row>
    <row r="4118" spans="1:2">
      <c r="A4118" s="7" t="s">
        <v>10889</v>
      </c>
      <c r="B4118" s="7" t="s">
        <v>10890</v>
      </c>
    </row>
    <row r="4119" spans="1:2">
      <c r="A4119" s="7" t="s">
        <v>10891</v>
      </c>
      <c r="B4119" s="7" t="s">
        <v>10892</v>
      </c>
    </row>
    <row r="4120" spans="1:2">
      <c r="A4120" s="7" t="s">
        <v>10893</v>
      </c>
      <c r="B4120" s="7" t="s">
        <v>10894</v>
      </c>
    </row>
    <row r="4121" spans="1:2">
      <c r="A4121" s="7" t="s">
        <v>10895</v>
      </c>
      <c r="B4121" s="7" t="s">
        <v>10896</v>
      </c>
    </row>
    <row r="4122" spans="1:2">
      <c r="A4122" s="7" t="s">
        <v>10897</v>
      </c>
      <c r="B4122" s="7" t="s">
        <v>7440</v>
      </c>
    </row>
    <row r="4123" spans="1:2">
      <c r="A4123" s="7" t="s">
        <v>10898</v>
      </c>
      <c r="B4123" s="7" t="s">
        <v>10899</v>
      </c>
    </row>
    <row r="4124" spans="1:2">
      <c r="A4124" s="7" t="s">
        <v>10900</v>
      </c>
      <c r="B4124" s="7" t="s">
        <v>10901</v>
      </c>
    </row>
    <row r="4125" spans="1:2">
      <c r="A4125" s="7" t="s">
        <v>10902</v>
      </c>
      <c r="B4125" s="7" t="s">
        <v>10018</v>
      </c>
    </row>
    <row r="4126" spans="1:2">
      <c r="A4126" s="7" t="s">
        <v>10903</v>
      </c>
      <c r="B4126" s="7" t="s">
        <v>10904</v>
      </c>
    </row>
    <row r="4127" spans="1:2">
      <c r="A4127" s="7" t="s">
        <v>10905</v>
      </c>
      <c r="B4127" s="7" t="s">
        <v>10906</v>
      </c>
    </row>
    <row r="4128" spans="1:2">
      <c r="A4128" s="7" t="s">
        <v>10907</v>
      </c>
      <c r="B4128" s="7" t="s">
        <v>10908</v>
      </c>
    </row>
    <row r="4129" spans="1:2">
      <c r="A4129" s="7" t="s">
        <v>10909</v>
      </c>
      <c r="B4129" s="7" t="s">
        <v>10910</v>
      </c>
    </row>
    <row r="4130" spans="1:2">
      <c r="A4130" s="7" t="s">
        <v>10911</v>
      </c>
      <c r="B4130" s="7" t="s">
        <v>10912</v>
      </c>
    </row>
    <row r="4131" spans="1:2">
      <c r="A4131" s="7" t="s">
        <v>10913</v>
      </c>
      <c r="B4131" s="7" t="s">
        <v>10914</v>
      </c>
    </row>
    <row r="4132" spans="1:2">
      <c r="A4132" s="7" t="s">
        <v>10915</v>
      </c>
      <c r="B4132" s="7" t="s">
        <v>10916</v>
      </c>
    </row>
    <row r="4133" spans="1:2">
      <c r="A4133" s="7" t="s">
        <v>10917</v>
      </c>
      <c r="B4133" s="7" t="s">
        <v>6903</v>
      </c>
    </row>
    <row r="4134" spans="1:2">
      <c r="A4134" s="7" t="s">
        <v>10918</v>
      </c>
      <c r="B4134" s="7" t="s">
        <v>10919</v>
      </c>
    </row>
    <row r="4135" spans="1:2">
      <c r="A4135" s="7" t="s">
        <v>10920</v>
      </c>
      <c r="B4135" s="7" t="s">
        <v>10921</v>
      </c>
    </row>
    <row r="4136" spans="1:2">
      <c r="A4136" s="7" t="s">
        <v>10922</v>
      </c>
      <c r="B4136" s="7" t="s">
        <v>4757</v>
      </c>
    </row>
    <row r="4137" spans="1:2">
      <c r="A4137" s="7" t="s">
        <v>10923</v>
      </c>
      <c r="B4137" s="7" t="s">
        <v>10924</v>
      </c>
    </row>
    <row r="4138" spans="1:2">
      <c r="A4138" s="7" t="s">
        <v>10925</v>
      </c>
      <c r="B4138" s="7" t="s">
        <v>10080</v>
      </c>
    </row>
    <row r="4139" spans="1:2">
      <c r="A4139" s="7" t="s">
        <v>10926</v>
      </c>
      <c r="B4139" s="7" t="s">
        <v>9734</v>
      </c>
    </row>
    <row r="4140" spans="1:2">
      <c r="A4140" s="7" t="s">
        <v>10927</v>
      </c>
      <c r="B4140" s="7" t="s">
        <v>10928</v>
      </c>
    </row>
    <row r="4141" spans="1:2">
      <c r="A4141" s="7" t="s">
        <v>10929</v>
      </c>
      <c r="B4141" s="7" t="s">
        <v>7043</v>
      </c>
    </row>
    <row r="4142" spans="1:2">
      <c r="A4142" s="7" t="s">
        <v>10930</v>
      </c>
      <c r="B4142" s="7" t="s">
        <v>7529</v>
      </c>
    </row>
    <row r="4143" spans="1:2">
      <c r="A4143" s="7" t="s">
        <v>10931</v>
      </c>
      <c r="B4143" s="7" t="s">
        <v>10932</v>
      </c>
    </row>
    <row r="4144" spans="1:2">
      <c r="A4144" s="7" t="s">
        <v>10933</v>
      </c>
      <c r="B4144" s="7" t="s">
        <v>10934</v>
      </c>
    </row>
    <row r="4145" spans="1:2">
      <c r="A4145" s="7" t="s">
        <v>10935</v>
      </c>
      <c r="B4145" s="7" t="s">
        <v>6170</v>
      </c>
    </row>
    <row r="4146" spans="1:2">
      <c r="A4146" s="7" t="s">
        <v>10936</v>
      </c>
      <c r="B4146" s="7" t="s">
        <v>10937</v>
      </c>
    </row>
    <row r="4147" spans="1:2">
      <c r="A4147" s="7" t="s">
        <v>10938</v>
      </c>
      <c r="B4147" s="7" t="s">
        <v>3629</v>
      </c>
    </row>
    <row r="4148" spans="1:2">
      <c r="A4148" s="7" t="s">
        <v>10939</v>
      </c>
      <c r="B4148" s="7" t="s">
        <v>10940</v>
      </c>
    </row>
    <row r="4149" spans="1:2">
      <c r="A4149" s="7" t="s">
        <v>10941</v>
      </c>
      <c r="B4149" s="7" t="s">
        <v>6545</v>
      </c>
    </row>
    <row r="4150" spans="1:2">
      <c r="A4150" s="7" t="s">
        <v>10942</v>
      </c>
      <c r="B4150" s="7" t="s">
        <v>10018</v>
      </c>
    </row>
    <row r="4151" spans="1:2">
      <c r="A4151" s="7" t="s">
        <v>10943</v>
      </c>
      <c r="B4151" s="7" t="s">
        <v>10944</v>
      </c>
    </row>
    <row r="4152" spans="1:2">
      <c r="A4152" s="7" t="s">
        <v>10945</v>
      </c>
      <c r="B4152" s="7" t="s">
        <v>10946</v>
      </c>
    </row>
    <row r="4153" spans="1:2">
      <c r="A4153" s="7" t="s">
        <v>10947</v>
      </c>
      <c r="B4153" s="7" t="s">
        <v>10948</v>
      </c>
    </row>
    <row r="4154" spans="1:2">
      <c r="A4154" s="7" t="s">
        <v>10949</v>
      </c>
      <c r="B4154" s="7" t="s">
        <v>10950</v>
      </c>
    </row>
    <row r="4155" spans="1:2">
      <c r="A4155" s="7" t="s">
        <v>10951</v>
      </c>
      <c r="B4155" s="7" t="s">
        <v>10952</v>
      </c>
    </row>
    <row r="4156" spans="1:2">
      <c r="A4156" s="7" t="s">
        <v>10953</v>
      </c>
      <c r="B4156" s="7" t="s">
        <v>10954</v>
      </c>
    </row>
    <row r="4157" spans="1:2">
      <c r="A4157" s="7" t="s">
        <v>10955</v>
      </c>
      <c r="B4157" s="7" t="s">
        <v>3926</v>
      </c>
    </row>
    <row r="4158" spans="1:2">
      <c r="A4158" s="7" t="s">
        <v>10956</v>
      </c>
      <c r="B4158" s="7" t="s">
        <v>10957</v>
      </c>
    </row>
    <row r="4159" spans="1:2">
      <c r="A4159" s="7" t="s">
        <v>10958</v>
      </c>
      <c r="B4159" s="7" t="s">
        <v>10959</v>
      </c>
    </row>
    <row r="4160" spans="1:2">
      <c r="A4160" s="7" t="s">
        <v>10960</v>
      </c>
      <c r="B4160" s="7" t="s">
        <v>5085</v>
      </c>
    </row>
    <row r="4161" spans="1:2">
      <c r="A4161" s="7" t="s">
        <v>10961</v>
      </c>
      <c r="B4161" s="7" t="s">
        <v>8701</v>
      </c>
    </row>
    <row r="4162" spans="1:2">
      <c r="A4162" s="7" t="s">
        <v>10962</v>
      </c>
      <c r="B4162" s="7" t="s">
        <v>10963</v>
      </c>
    </row>
    <row r="4163" spans="1:2">
      <c r="A4163" s="7" t="s">
        <v>10964</v>
      </c>
      <c r="B4163" s="7" t="s">
        <v>10965</v>
      </c>
    </row>
    <row r="4164" spans="1:2">
      <c r="A4164" s="7" t="s">
        <v>10966</v>
      </c>
      <c r="B4164" s="7" t="s">
        <v>10967</v>
      </c>
    </row>
    <row r="4165" spans="1:2">
      <c r="A4165" s="7" t="s">
        <v>10968</v>
      </c>
      <c r="B4165" s="7" t="s">
        <v>6745</v>
      </c>
    </row>
    <row r="4166" spans="1:2">
      <c r="A4166" s="7" t="s">
        <v>10969</v>
      </c>
      <c r="B4166" s="7" t="s">
        <v>7849</v>
      </c>
    </row>
    <row r="4167" spans="1:2">
      <c r="A4167" s="7" t="s">
        <v>10970</v>
      </c>
      <c r="B4167" s="7" t="s">
        <v>3567</v>
      </c>
    </row>
    <row r="4168" spans="1:2">
      <c r="A4168" s="7" t="s">
        <v>10971</v>
      </c>
      <c r="B4168" s="7" t="s">
        <v>10972</v>
      </c>
    </row>
    <row r="4169" spans="1:2">
      <c r="A4169" s="7" t="s">
        <v>10973</v>
      </c>
      <c r="B4169" s="7" t="s">
        <v>5247</v>
      </c>
    </row>
    <row r="4170" spans="1:2">
      <c r="A4170" s="7" t="s">
        <v>10974</v>
      </c>
      <c r="B4170" s="7" t="s">
        <v>10975</v>
      </c>
    </row>
    <row r="4171" spans="1:2">
      <c r="A4171" s="7" t="s">
        <v>10976</v>
      </c>
      <c r="B4171" s="7" t="s">
        <v>3331</v>
      </c>
    </row>
    <row r="4172" spans="1:2">
      <c r="A4172" s="7" t="s">
        <v>10977</v>
      </c>
      <c r="B4172" s="7" t="s">
        <v>10978</v>
      </c>
    </row>
    <row r="4173" spans="1:2">
      <c r="A4173" s="7" t="s">
        <v>10979</v>
      </c>
      <c r="B4173" s="7" t="s">
        <v>5627</v>
      </c>
    </row>
    <row r="4174" spans="1:2">
      <c r="A4174" s="7" t="s">
        <v>10980</v>
      </c>
      <c r="B4174" s="7" t="s">
        <v>10981</v>
      </c>
    </row>
    <row r="4175" spans="1:2">
      <c r="A4175" s="7" t="s">
        <v>10982</v>
      </c>
      <c r="B4175" s="7" t="s">
        <v>5641</v>
      </c>
    </row>
    <row r="4176" spans="1:2">
      <c r="A4176" s="7" t="s">
        <v>10983</v>
      </c>
      <c r="B4176" s="7" t="s">
        <v>4556</v>
      </c>
    </row>
    <row r="4177" spans="1:2">
      <c r="A4177" s="7" t="s">
        <v>10984</v>
      </c>
      <c r="B4177" s="7" t="s">
        <v>10985</v>
      </c>
    </row>
    <row r="4178" spans="1:2">
      <c r="A4178" s="7" t="s">
        <v>10986</v>
      </c>
      <c r="B4178" s="7" t="s">
        <v>10987</v>
      </c>
    </row>
    <row r="4179" spans="1:2">
      <c r="A4179" s="7" t="s">
        <v>10988</v>
      </c>
      <c r="B4179" s="7" t="s">
        <v>10989</v>
      </c>
    </row>
    <row r="4180" spans="1:2">
      <c r="A4180" s="7" t="s">
        <v>10990</v>
      </c>
      <c r="B4180" s="7" t="s">
        <v>10991</v>
      </c>
    </row>
    <row r="4181" spans="1:2">
      <c r="A4181" s="7" t="s">
        <v>10992</v>
      </c>
      <c r="B4181" s="7" t="s">
        <v>10993</v>
      </c>
    </row>
    <row r="4182" spans="1:2">
      <c r="A4182" s="7" t="s">
        <v>10994</v>
      </c>
      <c r="B4182" s="7" t="s">
        <v>10995</v>
      </c>
    </row>
    <row r="4183" spans="1:2">
      <c r="A4183" s="7" t="s">
        <v>10996</v>
      </c>
      <c r="B4183" s="7" t="s">
        <v>4877</v>
      </c>
    </row>
    <row r="4184" spans="1:2">
      <c r="A4184" s="7" t="s">
        <v>10997</v>
      </c>
      <c r="B4184" s="7" t="s">
        <v>10998</v>
      </c>
    </row>
    <row r="4185" spans="1:2">
      <c r="A4185" s="7" t="s">
        <v>10999</v>
      </c>
      <c r="B4185" s="7" t="s">
        <v>11000</v>
      </c>
    </row>
    <row r="4186" spans="1:2">
      <c r="A4186" s="7" t="s">
        <v>11001</v>
      </c>
      <c r="B4186" s="7" t="s">
        <v>11002</v>
      </c>
    </row>
    <row r="4187" spans="1:2">
      <c r="A4187" s="7" t="s">
        <v>11003</v>
      </c>
      <c r="B4187" s="7" t="s">
        <v>11004</v>
      </c>
    </row>
    <row r="4188" spans="1:2">
      <c r="A4188" s="7" t="s">
        <v>11005</v>
      </c>
      <c r="B4188" s="7" t="s">
        <v>11006</v>
      </c>
    </row>
    <row r="4189" spans="1:2">
      <c r="A4189" s="7" t="s">
        <v>11007</v>
      </c>
      <c r="B4189" s="7" t="s">
        <v>11008</v>
      </c>
    </row>
    <row r="4190" spans="1:2">
      <c r="A4190" s="7" t="s">
        <v>11009</v>
      </c>
      <c r="B4190" s="7" t="s">
        <v>11010</v>
      </c>
    </row>
    <row r="4191" spans="1:2">
      <c r="A4191" s="7" t="s">
        <v>11011</v>
      </c>
      <c r="B4191" s="7" t="s">
        <v>11012</v>
      </c>
    </row>
    <row r="4192" spans="1:2">
      <c r="A4192" s="7" t="s">
        <v>11013</v>
      </c>
      <c r="B4192" s="7" t="s">
        <v>11014</v>
      </c>
    </row>
    <row r="4193" spans="1:2">
      <c r="A4193" s="7" t="s">
        <v>11015</v>
      </c>
      <c r="B4193" s="7" t="s">
        <v>7823</v>
      </c>
    </row>
    <row r="4194" spans="1:2">
      <c r="A4194" s="7" t="s">
        <v>11016</v>
      </c>
      <c r="B4194" s="7" t="s">
        <v>11017</v>
      </c>
    </row>
    <row r="4195" spans="1:2">
      <c r="A4195" s="7" t="s">
        <v>11018</v>
      </c>
      <c r="B4195" s="7" t="s">
        <v>4943</v>
      </c>
    </row>
    <row r="4196" spans="1:2">
      <c r="A4196" s="7" t="s">
        <v>11019</v>
      </c>
      <c r="B4196" s="7" t="s">
        <v>11020</v>
      </c>
    </row>
    <row r="4197" spans="1:2">
      <c r="A4197" s="7" t="s">
        <v>11021</v>
      </c>
      <c r="B4197" s="7" t="s">
        <v>11022</v>
      </c>
    </row>
    <row r="4198" spans="1:2">
      <c r="A4198" s="7" t="s">
        <v>11023</v>
      </c>
      <c r="B4198" s="7" t="s">
        <v>6797</v>
      </c>
    </row>
    <row r="4199" spans="1:2">
      <c r="A4199" s="7" t="s">
        <v>11024</v>
      </c>
      <c r="B4199" s="7" t="s">
        <v>11025</v>
      </c>
    </row>
    <row r="4200" spans="1:2">
      <c r="A4200" s="7" t="s">
        <v>11026</v>
      </c>
      <c r="B4200" s="7" t="s">
        <v>5915</v>
      </c>
    </row>
    <row r="4201" spans="1:2">
      <c r="A4201" s="7" t="s">
        <v>11027</v>
      </c>
      <c r="B4201" s="7" t="s">
        <v>11028</v>
      </c>
    </row>
    <row r="4202" spans="1:2">
      <c r="A4202" s="7" t="s">
        <v>11029</v>
      </c>
      <c r="B4202" s="7" t="s">
        <v>4582</v>
      </c>
    </row>
    <row r="4203" spans="1:2">
      <c r="A4203" s="7" t="s">
        <v>11030</v>
      </c>
      <c r="B4203" s="7" t="s">
        <v>11031</v>
      </c>
    </row>
    <row r="4204" spans="1:2">
      <c r="A4204" s="7" t="s">
        <v>11032</v>
      </c>
      <c r="B4204" s="7" t="s">
        <v>8329</v>
      </c>
    </row>
    <row r="4205" spans="1:2">
      <c r="A4205" s="7" t="s">
        <v>11033</v>
      </c>
      <c r="B4205" s="7" t="s">
        <v>11034</v>
      </c>
    </row>
    <row r="4206" spans="1:2">
      <c r="A4206" s="7" t="s">
        <v>11035</v>
      </c>
      <c r="B4206" s="7" t="s">
        <v>11036</v>
      </c>
    </row>
    <row r="4207" spans="1:2">
      <c r="A4207" s="7" t="s">
        <v>11037</v>
      </c>
      <c r="B4207" s="7" t="s">
        <v>11038</v>
      </c>
    </row>
    <row r="4208" spans="1:2">
      <c r="A4208" s="7" t="s">
        <v>11039</v>
      </c>
      <c r="B4208" s="7" t="s">
        <v>4681</v>
      </c>
    </row>
    <row r="4209" spans="1:2">
      <c r="A4209" s="7" t="s">
        <v>11040</v>
      </c>
      <c r="B4209" s="7" t="s">
        <v>11041</v>
      </c>
    </row>
    <row r="4210" spans="1:2">
      <c r="A4210" s="7" t="s">
        <v>11042</v>
      </c>
      <c r="B4210" s="7" t="s">
        <v>5588</v>
      </c>
    </row>
    <row r="4211" spans="1:2">
      <c r="A4211" s="7" t="s">
        <v>11043</v>
      </c>
      <c r="B4211" s="7" t="s">
        <v>11044</v>
      </c>
    </row>
    <row r="4212" spans="1:2">
      <c r="A4212" s="7" t="s">
        <v>11045</v>
      </c>
      <c r="B4212" s="7" t="s">
        <v>3865</v>
      </c>
    </row>
    <row r="4213" spans="1:2">
      <c r="A4213" s="7" t="s">
        <v>11046</v>
      </c>
      <c r="B4213" s="7" t="s">
        <v>11047</v>
      </c>
    </row>
    <row r="4214" spans="1:2">
      <c r="A4214" s="7" t="s">
        <v>11048</v>
      </c>
      <c r="B4214" s="7" t="s">
        <v>10086</v>
      </c>
    </row>
    <row r="4215" spans="1:2">
      <c r="A4215" s="7" t="s">
        <v>11049</v>
      </c>
      <c r="B4215" s="7" t="s">
        <v>11050</v>
      </c>
    </row>
    <row r="4216" spans="1:2">
      <c r="A4216" s="7" t="s">
        <v>11051</v>
      </c>
      <c r="B4216" s="7" t="s">
        <v>11052</v>
      </c>
    </row>
    <row r="4217" spans="1:2">
      <c r="A4217" s="7" t="s">
        <v>11053</v>
      </c>
      <c r="B4217" s="7" t="s">
        <v>11054</v>
      </c>
    </row>
    <row r="4218" spans="1:2">
      <c r="A4218" s="7" t="s">
        <v>11055</v>
      </c>
      <c r="B4218" s="7" t="s">
        <v>11056</v>
      </c>
    </row>
    <row r="4219" spans="1:2">
      <c r="A4219" s="7" t="s">
        <v>11057</v>
      </c>
      <c r="B4219" s="7" t="s">
        <v>11058</v>
      </c>
    </row>
    <row r="4220" spans="1:2">
      <c r="A4220" s="7" t="s">
        <v>11059</v>
      </c>
      <c r="B4220" s="7" t="s">
        <v>5927</v>
      </c>
    </row>
    <row r="4221" spans="1:2">
      <c r="A4221" s="7" t="s">
        <v>11060</v>
      </c>
      <c r="B4221" s="7" t="s">
        <v>11061</v>
      </c>
    </row>
    <row r="4222" spans="1:2">
      <c r="A4222" s="7" t="s">
        <v>11062</v>
      </c>
      <c r="B4222" s="7" t="s">
        <v>11063</v>
      </c>
    </row>
    <row r="4223" spans="1:2">
      <c r="A4223" s="7" t="s">
        <v>11064</v>
      </c>
      <c r="B4223" s="7" t="s">
        <v>11065</v>
      </c>
    </row>
    <row r="4224" spans="1:2">
      <c r="A4224" s="7" t="s">
        <v>11066</v>
      </c>
      <c r="B4224" s="7" t="s">
        <v>11067</v>
      </c>
    </row>
    <row r="4225" spans="1:2">
      <c r="A4225" s="7" t="s">
        <v>11068</v>
      </c>
      <c r="B4225" s="7" t="s">
        <v>11069</v>
      </c>
    </row>
    <row r="4226" spans="1:2">
      <c r="A4226" s="7" t="s">
        <v>11070</v>
      </c>
      <c r="B4226" s="7" t="s">
        <v>11071</v>
      </c>
    </row>
    <row r="4227" spans="1:2">
      <c r="A4227" s="7" t="s">
        <v>11072</v>
      </c>
      <c r="B4227" s="7" t="s">
        <v>11073</v>
      </c>
    </row>
    <row r="4228" spans="1:2">
      <c r="A4228" s="7" t="s">
        <v>11074</v>
      </c>
      <c r="B4228" s="7" t="s">
        <v>7733</v>
      </c>
    </row>
    <row r="4229" spans="1:2">
      <c r="A4229" s="7" t="s">
        <v>11075</v>
      </c>
      <c r="B4229" s="7" t="s">
        <v>3231</v>
      </c>
    </row>
    <row r="4230" spans="1:2">
      <c r="A4230" s="7" t="s">
        <v>11076</v>
      </c>
      <c r="B4230" s="7" t="s">
        <v>9878</v>
      </c>
    </row>
    <row r="4231" spans="1:2">
      <c r="A4231" s="7" t="s">
        <v>11077</v>
      </c>
      <c r="B4231" s="7" t="s">
        <v>3705</v>
      </c>
    </row>
    <row r="4232" spans="1:2">
      <c r="A4232" s="7" t="s">
        <v>11078</v>
      </c>
      <c r="B4232" s="7" t="s">
        <v>11079</v>
      </c>
    </row>
    <row r="4233" spans="1:2">
      <c r="A4233" s="7" t="s">
        <v>11080</v>
      </c>
      <c r="B4233" s="7" t="s">
        <v>11081</v>
      </c>
    </row>
    <row r="4234" spans="1:2">
      <c r="A4234" s="7" t="s">
        <v>11082</v>
      </c>
      <c r="B4234" s="7" t="s">
        <v>11083</v>
      </c>
    </row>
    <row r="4235" spans="1:2">
      <c r="A4235" s="7" t="s">
        <v>11084</v>
      </c>
      <c r="B4235" s="7" t="s">
        <v>11085</v>
      </c>
    </row>
    <row r="4236" spans="1:2">
      <c r="A4236" s="7" t="s">
        <v>11086</v>
      </c>
      <c r="B4236" s="7" t="s">
        <v>5415</v>
      </c>
    </row>
    <row r="4237" spans="1:2">
      <c r="A4237" s="7" t="s">
        <v>11087</v>
      </c>
      <c r="B4237" s="7" t="s">
        <v>11088</v>
      </c>
    </row>
    <row r="4238" spans="1:2">
      <c r="A4238" s="7" t="s">
        <v>11089</v>
      </c>
      <c r="B4238" s="7" t="s">
        <v>11090</v>
      </c>
    </row>
    <row r="4239" spans="1:2">
      <c r="A4239" s="7" t="s">
        <v>11091</v>
      </c>
      <c r="B4239" s="7" t="s">
        <v>11092</v>
      </c>
    </row>
    <row r="4240" spans="1:2">
      <c r="A4240" s="7" t="s">
        <v>11093</v>
      </c>
      <c r="B4240" s="7" t="s">
        <v>11094</v>
      </c>
    </row>
    <row r="4241" spans="1:2">
      <c r="A4241" s="7" t="s">
        <v>11095</v>
      </c>
      <c r="B4241" s="7" t="s">
        <v>11096</v>
      </c>
    </row>
    <row r="4242" spans="1:2">
      <c r="A4242" s="7" t="s">
        <v>11097</v>
      </c>
      <c r="B4242" s="7" t="s">
        <v>11098</v>
      </c>
    </row>
    <row r="4243" spans="1:2">
      <c r="A4243" s="7" t="s">
        <v>11099</v>
      </c>
      <c r="B4243" s="7" t="s">
        <v>3433</v>
      </c>
    </row>
    <row r="4244" spans="1:2">
      <c r="A4244" s="7" t="s">
        <v>11100</v>
      </c>
      <c r="B4244" s="7" t="s">
        <v>11101</v>
      </c>
    </row>
    <row r="4245" spans="1:2">
      <c r="A4245" s="7" t="s">
        <v>11102</v>
      </c>
      <c r="B4245" s="7" t="s">
        <v>7009</v>
      </c>
    </row>
    <row r="4246" spans="1:2">
      <c r="A4246" s="7" t="s">
        <v>11103</v>
      </c>
      <c r="B4246" s="7" t="s">
        <v>11104</v>
      </c>
    </row>
    <row r="4247" spans="1:2">
      <c r="A4247" s="7" t="s">
        <v>11105</v>
      </c>
      <c r="B4247" s="7" t="s">
        <v>11106</v>
      </c>
    </row>
    <row r="4248" spans="1:2">
      <c r="A4248" s="7" t="s">
        <v>11107</v>
      </c>
      <c r="B4248" s="7" t="s">
        <v>11108</v>
      </c>
    </row>
    <row r="4249" spans="1:2">
      <c r="A4249" s="7" t="s">
        <v>11109</v>
      </c>
      <c r="B4249" s="7" t="s">
        <v>7017</v>
      </c>
    </row>
    <row r="4250" spans="1:2">
      <c r="A4250" s="7" t="s">
        <v>11110</v>
      </c>
      <c r="B4250" s="7" t="s">
        <v>7849</v>
      </c>
    </row>
    <row r="4251" spans="1:2">
      <c r="A4251" s="7" t="s">
        <v>11111</v>
      </c>
      <c r="B4251" s="7" t="s">
        <v>11112</v>
      </c>
    </row>
    <row r="4252" spans="1:2">
      <c r="A4252" s="7" t="s">
        <v>11113</v>
      </c>
      <c r="B4252" s="7" t="s">
        <v>11114</v>
      </c>
    </row>
    <row r="4253" spans="1:2">
      <c r="A4253" s="7" t="s">
        <v>11115</v>
      </c>
      <c r="B4253" s="7" t="s">
        <v>11116</v>
      </c>
    </row>
    <row r="4254" spans="1:2">
      <c r="A4254" s="7" t="s">
        <v>11117</v>
      </c>
      <c r="B4254" s="7" t="s">
        <v>11118</v>
      </c>
    </row>
    <row r="4255" spans="1:2">
      <c r="A4255" s="7" t="s">
        <v>11119</v>
      </c>
      <c r="B4255" s="7" t="s">
        <v>11120</v>
      </c>
    </row>
    <row r="4256" spans="1:2">
      <c r="A4256" s="7" t="s">
        <v>11121</v>
      </c>
      <c r="B4256" s="7" t="s">
        <v>7043</v>
      </c>
    </row>
    <row r="4257" spans="1:2">
      <c r="A4257" s="7" t="s">
        <v>11122</v>
      </c>
      <c r="B4257" s="7" t="s">
        <v>11123</v>
      </c>
    </row>
    <row r="4258" spans="1:2">
      <c r="A4258" s="7" t="s">
        <v>11124</v>
      </c>
      <c r="B4258" s="7" t="s">
        <v>11125</v>
      </c>
    </row>
    <row r="4259" spans="1:2">
      <c r="A4259" s="7" t="s">
        <v>11126</v>
      </c>
      <c r="B4259" s="7" t="s">
        <v>11127</v>
      </c>
    </row>
    <row r="4260" spans="1:2">
      <c r="A4260" s="7" t="s">
        <v>11128</v>
      </c>
      <c r="B4260" s="7" t="s">
        <v>6422</v>
      </c>
    </row>
    <row r="4261" spans="1:2">
      <c r="A4261" s="7" t="s">
        <v>11129</v>
      </c>
      <c r="B4261" s="7" t="s">
        <v>11130</v>
      </c>
    </row>
    <row r="4262" spans="1:2">
      <c r="A4262" s="7" t="s">
        <v>11131</v>
      </c>
      <c r="B4262" s="7" t="s">
        <v>10533</v>
      </c>
    </row>
    <row r="4263" spans="1:2">
      <c r="A4263" s="7" t="s">
        <v>11132</v>
      </c>
      <c r="B4263" s="7" t="s">
        <v>11133</v>
      </c>
    </row>
    <row r="4264" spans="1:2">
      <c r="A4264" s="7" t="s">
        <v>11134</v>
      </c>
      <c r="B4264" s="7" t="s">
        <v>11135</v>
      </c>
    </row>
    <row r="4265" spans="1:2">
      <c r="A4265" s="7" t="s">
        <v>11136</v>
      </c>
      <c r="B4265" s="7" t="s">
        <v>11137</v>
      </c>
    </row>
    <row r="4266" spans="1:2">
      <c r="A4266" s="7" t="s">
        <v>11138</v>
      </c>
      <c r="B4266" s="7" t="s">
        <v>11139</v>
      </c>
    </row>
    <row r="4267" spans="1:2">
      <c r="A4267" s="7" t="s">
        <v>11140</v>
      </c>
      <c r="B4267" s="7" t="s">
        <v>9337</v>
      </c>
    </row>
    <row r="4268" spans="1:2">
      <c r="A4268" s="7" t="s">
        <v>11141</v>
      </c>
      <c r="B4268" s="7" t="s">
        <v>3335</v>
      </c>
    </row>
    <row r="4269" spans="1:2">
      <c r="A4269" s="7" t="s">
        <v>11142</v>
      </c>
      <c r="B4269" s="7" t="s">
        <v>11143</v>
      </c>
    </row>
    <row r="4270" spans="1:2">
      <c r="A4270" s="7" t="s">
        <v>11144</v>
      </c>
      <c r="B4270" s="7" t="s">
        <v>11145</v>
      </c>
    </row>
    <row r="4271" spans="1:2">
      <c r="A4271" s="7" t="s">
        <v>11146</v>
      </c>
      <c r="B4271" s="7" t="s">
        <v>11147</v>
      </c>
    </row>
    <row r="4272" spans="1:2">
      <c r="A4272" s="7" t="s">
        <v>11148</v>
      </c>
      <c r="B4272" s="7" t="s">
        <v>11149</v>
      </c>
    </row>
    <row r="4273" spans="1:2">
      <c r="A4273" s="7" t="s">
        <v>11150</v>
      </c>
      <c r="B4273" s="7" t="s">
        <v>11151</v>
      </c>
    </row>
    <row r="4274" spans="1:2">
      <c r="A4274" s="7" t="s">
        <v>11152</v>
      </c>
      <c r="B4274" s="7" t="s">
        <v>11153</v>
      </c>
    </row>
    <row r="4275" spans="1:2">
      <c r="A4275" s="7" t="s">
        <v>11154</v>
      </c>
      <c r="B4275" s="7" t="s">
        <v>11155</v>
      </c>
    </row>
    <row r="4276" spans="1:2">
      <c r="A4276" s="7" t="s">
        <v>11156</v>
      </c>
      <c r="B4276" s="7" t="s">
        <v>11157</v>
      </c>
    </row>
    <row r="4277" spans="1:2">
      <c r="A4277" s="7" t="s">
        <v>11158</v>
      </c>
      <c r="B4277" s="7" t="s">
        <v>11159</v>
      </c>
    </row>
    <row r="4278" spans="1:2">
      <c r="A4278" s="7" t="s">
        <v>11160</v>
      </c>
      <c r="B4278" s="7" t="s">
        <v>11161</v>
      </c>
    </row>
    <row r="4279" spans="1:2">
      <c r="A4279" s="7" t="s">
        <v>11162</v>
      </c>
      <c r="B4279" s="7" t="s">
        <v>11163</v>
      </c>
    </row>
    <row r="4280" spans="1:2">
      <c r="A4280" s="7" t="s">
        <v>11164</v>
      </c>
      <c r="B4280" s="7" t="s">
        <v>10852</v>
      </c>
    </row>
    <row r="4281" spans="1:2">
      <c r="A4281" s="7" t="s">
        <v>11165</v>
      </c>
      <c r="B4281" s="7" t="s">
        <v>8985</v>
      </c>
    </row>
    <row r="4282" spans="1:2">
      <c r="A4282" s="7" t="s">
        <v>11166</v>
      </c>
      <c r="B4282" s="7" t="s">
        <v>11167</v>
      </c>
    </row>
    <row r="4283" spans="1:2">
      <c r="A4283" s="7" t="s">
        <v>11168</v>
      </c>
      <c r="B4283" s="7" t="s">
        <v>7099</v>
      </c>
    </row>
    <row r="4284" spans="1:2">
      <c r="A4284" s="7" t="s">
        <v>11169</v>
      </c>
      <c r="B4284" s="7" t="s">
        <v>4502</v>
      </c>
    </row>
    <row r="4285" spans="1:2">
      <c r="A4285" s="7" t="s">
        <v>11170</v>
      </c>
      <c r="B4285" s="7" t="s">
        <v>9105</v>
      </c>
    </row>
    <row r="4286" spans="1:2">
      <c r="A4286" s="7" t="s">
        <v>11171</v>
      </c>
      <c r="B4286" s="7" t="s">
        <v>11172</v>
      </c>
    </row>
    <row r="4287" spans="1:2">
      <c r="A4287" s="7" t="s">
        <v>11173</v>
      </c>
      <c r="B4287" s="7" t="s">
        <v>11174</v>
      </c>
    </row>
    <row r="4288" spans="1:2">
      <c r="A4288" s="7" t="s">
        <v>11175</v>
      </c>
      <c r="B4288" s="7" t="s">
        <v>6242</v>
      </c>
    </row>
    <row r="4289" spans="1:2">
      <c r="A4289" s="7" t="s">
        <v>11176</v>
      </c>
      <c r="B4289" s="7" t="s">
        <v>11177</v>
      </c>
    </row>
    <row r="4290" spans="1:2">
      <c r="A4290" s="7" t="s">
        <v>11178</v>
      </c>
      <c r="B4290" s="7" t="s">
        <v>11179</v>
      </c>
    </row>
    <row r="4291" spans="1:2">
      <c r="A4291" s="7" t="s">
        <v>11180</v>
      </c>
      <c r="B4291" s="7" t="s">
        <v>11181</v>
      </c>
    </row>
    <row r="4292" spans="1:2">
      <c r="A4292" s="7" t="s">
        <v>11182</v>
      </c>
      <c r="B4292" s="7" t="s">
        <v>11183</v>
      </c>
    </row>
    <row r="4293" spans="1:2">
      <c r="A4293" s="7" t="s">
        <v>11184</v>
      </c>
      <c r="B4293" s="7" t="s">
        <v>8514</v>
      </c>
    </row>
    <row r="4294" spans="1:2">
      <c r="A4294" s="7" t="s">
        <v>11185</v>
      </c>
      <c r="B4294" s="7" t="s">
        <v>11186</v>
      </c>
    </row>
    <row r="4295" spans="1:2">
      <c r="A4295" s="7" t="s">
        <v>11187</v>
      </c>
      <c r="B4295" s="7" t="s">
        <v>9802</v>
      </c>
    </row>
    <row r="4296" spans="1:2">
      <c r="A4296" s="7" t="s">
        <v>11188</v>
      </c>
      <c r="B4296" s="7" t="s">
        <v>11189</v>
      </c>
    </row>
    <row r="4297" spans="1:2">
      <c r="A4297" s="7" t="s">
        <v>11190</v>
      </c>
      <c r="B4297" s="7" t="s">
        <v>11191</v>
      </c>
    </row>
    <row r="4298" spans="1:2">
      <c r="A4298" s="7" t="s">
        <v>11192</v>
      </c>
      <c r="B4298" s="7" t="s">
        <v>11193</v>
      </c>
    </row>
    <row r="4299" spans="1:2">
      <c r="A4299" s="7" t="s">
        <v>11194</v>
      </c>
      <c r="B4299" s="7" t="s">
        <v>11195</v>
      </c>
    </row>
    <row r="4300" spans="1:2">
      <c r="A4300" s="7" t="s">
        <v>11196</v>
      </c>
      <c r="B4300" s="7" t="s">
        <v>6018</v>
      </c>
    </row>
    <row r="4301" spans="1:2">
      <c r="A4301" s="7" t="s">
        <v>11197</v>
      </c>
      <c r="B4301" s="7" t="s">
        <v>3660</v>
      </c>
    </row>
    <row r="4302" spans="1:2">
      <c r="A4302" s="7" t="s">
        <v>11198</v>
      </c>
      <c r="B4302" s="7" t="s">
        <v>7237</v>
      </c>
    </row>
    <row r="4303" spans="1:2">
      <c r="A4303" s="7" t="s">
        <v>11199</v>
      </c>
      <c r="B4303" s="7" t="s">
        <v>3371</v>
      </c>
    </row>
    <row r="4304" spans="1:2">
      <c r="A4304" s="7" t="s">
        <v>11200</v>
      </c>
      <c r="B4304" s="7" t="s">
        <v>11201</v>
      </c>
    </row>
    <row r="4305" spans="1:2">
      <c r="A4305" s="7" t="s">
        <v>11202</v>
      </c>
      <c r="B4305" s="7" t="s">
        <v>11203</v>
      </c>
    </row>
    <row r="4306" spans="1:2">
      <c r="A4306" s="7" t="s">
        <v>11204</v>
      </c>
      <c r="B4306" s="7" t="s">
        <v>11205</v>
      </c>
    </row>
    <row r="4307" spans="1:2">
      <c r="A4307" s="7" t="s">
        <v>11206</v>
      </c>
      <c r="B4307" s="7" t="s">
        <v>3251</v>
      </c>
    </row>
    <row r="4308" spans="1:2">
      <c r="A4308" s="7" t="s">
        <v>11207</v>
      </c>
      <c r="B4308" s="7" t="s">
        <v>11208</v>
      </c>
    </row>
    <row r="4309" spans="1:2">
      <c r="A4309" s="7" t="s">
        <v>11209</v>
      </c>
      <c r="B4309" s="7" t="s">
        <v>11210</v>
      </c>
    </row>
    <row r="4310" spans="1:2">
      <c r="A4310" s="7" t="s">
        <v>11211</v>
      </c>
      <c r="B4310" s="7" t="s">
        <v>11212</v>
      </c>
    </row>
    <row r="4311" spans="1:2">
      <c r="A4311" s="7" t="s">
        <v>11213</v>
      </c>
      <c r="B4311" s="7" t="s">
        <v>11214</v>
      </c>
    </row>
    <row r="4312" spans="1:2">
      <c r="A4312" s="7" t="s">
        <v>11215</v>
      </c>
      <c r="B4312" s="7" t="s">
        <v>5415</v>
      </c>
    </row>
    <row r="4313" spans="1:2">
      <c r="A4313" s="7" t="s">
        <v>11216</v>
      </c>
      <c r="B4313" s="7" t="s">
        <v>11217</v>
      </c>
    </row>
    <row r="4314" spans="1:2">
      <c r="A4314" s="7" t="s">
        <v>11218</v>
      </c>
      <c r="B4314" s="7" t="s">
        <v>11219</v>
      </c>
    </row>
    <row r="4315" spans="1:2">
      <c r="A4315" s="7" t="s">
        <v>11220</v>
      </c>
      <c r="B4315" s="7" t="s">
        <v>11221</v>
      </c>
    </row>
    <row r="4316" spans="1:2">
      <c r="A4316" s="7" t="s">
        <v>11222</v>
      </c>
      <c r="B4316" s="7" t="s">
        <v>11223</v>
      </c>
    </row>
    <row r="4317" spans="1:2">
      <c r="A4317" s="7" t="s">
        <v>11224</v>
      </c>
      <c r="B4317" s="7" t="s">
        <v>10166</v>
      </c>
    </row>
    <row r="4318" spans="1:2">
      <c r="A4318" s="7" t="s">
        <v>11225</v>
      </c>
      <c r="B4318" s="7" t="s">
        <v>11226</v>
      </c>
    </row>
    <row r="4319" spans="1:2">
      <c r="A4319" s="7" t="s">
        <v>11227</v>
      </c>
      <c r="B4319" s="7" t="s">
        <v>11228</v>
      </c>
    </row>
    <row r="4320" spans="1:2">
      <c r="A4320" s="7" t="s">
        <v>11229</v>
      </c>
      <c r="B4320" s="7" t="s">
        <v>10106</v>
      </c>
    </row>
    <row r="4321" spans="1:2">
      <c r="A4321" s="7" t="s">
        <v>11230</v>
      </c>
      <c r="B4321" s="7" t="s">
        <v>11231</v>
      </c>
    </row>
    <row r="4322" spans="1:2">
      <c r="A4322" s="7" t="s">
        <v>11232</v>
      </c>
      <c r="B4322" s="7" t="s">
        <v>6911</v>
      </c>
    </row>
    <row r="4323" spans="1:2">
      <c r="A4323" s="7" t="s">
        <v>11233</v>
      </c>
      <c r="B4323" s="7" t="s">
        <v>11234</v>
      </c>
    </row>
    <row r="4324" spans="1:2">
      <c r="A4324" s="7" t="s">
        <v>11235</v>
      </c>
      <c r="B4324" s="7" t="s">
        <v>11236</v>
      </c>
    </row>
    <row r="4325" spans="1:2">
      <c r="A4325" s="7" t="s">
        <v>11237</v>
      </c>
      <c r="B4325" s="7" t="s">
        <v>11238</v>
      </c>
    </row>
    <row r="4326" spans="1:2">
      <c r="A4326" s="7" t="s">
        <v>11239</v>
      </c>
      <c r="B4326" s="7" t="s">
        <v>11098</v>
      </c>
    </row>
    <row r="4327" spans="1:2">
      <c r="A4327" s="7" t="s">
        <v>11240</v>
      </c>
      <c r="B4327" s="7" t="s">
        <v>11241</v>
      </c>
    </row>
    <row r="4328" spans="1:2">
      <c r="A4328" s="7" t="s">
        <v>11242</v>
      </c>
      <c r="B4328" s="7" t="s">
        <v>11243</v>
      </c>
    </row>
    <row r="4329" spans="1:2">
      <c r="A4329" s="7" t="s">
        <v>11244</v>
      </c>
      <c r="B4329" s="7" t="s">
        <v>9928</v>
      </c>
    </row>
    <row r="4330" spans="1:2">
      <c r="A4330" s="7" t="s">
        <v>11245</v>
      </c>
      <c r="B4330" s="7" t="s">
        <v>3207</v>
      </c>
    </row>
    <row r="4331" spans="1:2">
      <c r="A4331" s="7" t="s">
        <v>11246</v>
      </c>
      <c r="B4331" s="7" t="s">
        <v>11247</v>
      </c>
    </row>
    <row r="4332" spans="1:2">
      <c r="A4332" s="7" t="s">
        <v>11248</v>
      </c>
      <c r="B4332" s="7" t="s">
        <v>11249</v>
      </c>
    </row>
    <row r="4333" spans="1:2">
      <c r="A4333" s="7" t="s">
        <v>11250</v>
      </c>
      <c r="B4333" s="7" t="s">
        <v>11251</v>
      </c>
    </row>
    <row r="4334" spans="1:2">
      <c r="A4334" s="7" t="s">
        <v>11252</v>
      </c>
      <c r="B4334" s="7" t="s">
        <v>11253</v>
      </c>
    </row>
    <row r="4335" spans="1:2">
      <c r="A4335" s="7" t="s">
        <v>11254</v>
      </c>
      <c r="B4335" s="7" t="s">
        <v>5786</v>
      </c>
    </row>
    <row r="4336" spans="1:2">
      <c r="A4336" s="7" t="s">
        <v>11255</v>
      </c>
      <c r="B4336" s="7" t="s">
        <v>11256</v>
      </c>
    </row>
    <row r="4337" spans="1:2">
      <c r="A4337" s="7" t="s">
        <v>11257</v>
      </c>
      <c r="B4337" s="7" t="s">
        <v>6755</v>
      </c>
    </row>
    <row r="4338" spans="1:2">
      <c r="A4338" s="7" t="s">
        <v>11258</v>
      </c>
      <c r="B4338" s="7" t="s">
        <v>11259</v>
      </c>
    </row>
    <row r="4339" spans="1:2">
      <c r="A4339" s="7" t="s">
        <v>11260</v>
      </c>
      <c r="B4339" s="7" t="s">
        <v>11261</v>
      </c>
    </row>
    <row r="4340" spans="1:2">
      <c r="A4340" s="7" t="s">
        <v>11262</v>
      </c>
      <c r="B4340" s="7" t="s">
        <v>11263</v>
      </c>
    </row>
    <row r="4341" spans="1:2">
      <c r="A4341" s="7" t="s">
        <v>11264</v>
      </c>
      <c r="B4341" s="7" t="s">
        <v>5563</v>
      </c>
    </row>
    <row r="4342" spans="1:2">
      <c r="A4342" s="7" t="s">
        <v>11265</v>
      </c>
      <c r="B4342" s="7" t="s">
        <v>11266</v>
      </c>
    </row>
    <row r="4343" spans="1:2">
      <c r="A4343" s="7" t="s">
        <v>11267</v>
      </c>
      <c r="B4343" s="7" t="s">
        <v>11268</v>
      </c>
    </row>
    <row r="4344" spans="1:2">
      <c r="A4344" s="7" t="s">
        <v>11269</v>
      </c>
      <c r="B4344" s="7" t="s">
        <v>11270</v>
      </c>
    </row>
    <row r="4345" spans="1:2">
      <c r="A4345" s="7" t="s">
        <v>11271</v>
      </c>
      <c r="B4345" s="7" t="s">
        <v>11272</v>
      </c>
    </row>
    <row r="4346" spans="1:2">
      <c r="A4346" s="7" t="s">
        <v>11273</v>
      </c>
      <c r="B4346" s="7" t="s">
        <v>11274</v>
      </c>
    </row>
    <row r="4347" spans="1:2">
      <c r="A4347" s="7" t="s">
        <v>11275</v>
      </c>
      <c r="B4347" s="7" t="s">
        <v>5103</v>
      </c>
    </row>
    <row r="4348" spans="1:2">
      <c r="A4348" s="7" t="s">
        <v>11276</v>
      </c>
      <c r="B4348" s="7" t="s">
        <v>11277</v>
      </c>
    </row>
    <row r="4349" spans="1:2">
      <c r="A4349" s="7" t="s">
        <v>11278</v>
      </c>
      <c r="B4349" s="7" t="s">
        <v>11279</v>
      </c>
    </row>
    <row r="4350" spans="1:2">
      <c r="A4350" s="7" t="s">
        <v>11280</v>
      </c>
      <c r="B4350" s="7" t="s">
        <v>7033</v>
      </c>
    </row>
    <row r="4351" spans="1:2">
      <c r="A4351" s="7" t="s">
        <v>11281</v>
      </c>
      <c r="B4351" s="7" t="s">
        <v>9828</v>
      </c>
    </row>
    <row r="4352" spans="1:2">
      <c r="A4352" s="7" t="s">
        <v>11282</v>
      </c>
      <c r="B4352" s="7" t="s">
        <v>11283</v>
      </c>
    </row>
    <row r="4353" spans="1:2">
      <c r="A4353" s="7" t="s">
        <v>11284</v>
      </c>
      <c r="B4353" s="7" t="s">
        <v>11285</v>
      </c>
    </row>
    <row r="4354" spans="1:2">
      <c r="A4354" s="7" t="s">
        <v>11286</v>
      </c>
      <c r="B4354" s="7" t="s">
        <v>11287</v>
      </c>
    </row>
    <row r="4355" spans="1:2">
      <c r="A4355" s="7" t="s">
        <v>11288</v>
      </c>
      <c r="B4355" s="7" t="s">
        <v>11289</v>
      </c>
    </row>
    <row r="4356" spans="1:2">
      <c r="A4356" s="7" t="s">
        <v>11290</v>
      </c>
      <c r="B4356" s="7" t="s">
        <v>11291</v>
      </c>
    </row>
    <row r="4357" spans="1:2">
      <c r="A4357" s="7" t="s">
        <v>11292</v>
      </c>
      <c r="B4357" s="7" t="s">
        <v>11293</v>
      </c>
    </row>
    <row r="4358" spans="1:2">
      <c r="A4358" s="7" t="s">
        <v>11294</v>
      </c>
      <c r="B4358" s="7" t="s">
        <v>6032</v>
      </c>
    </row>
    <row r="4359" spans="1:2">
      <c r="A4359" s="7" t="s">
        <v>11295</v>
      </c>
      <c r="B4359" s="7" t="s">
        <v>11296</v>
      </c>
    </row>
    <row r="4360" spans="1:2">
      <c r="A4360" s="7" t="s">
        <v>11297</v>
      </c>
      <c r="B4360" s="7" t="s">
        <v>11298</v>
      </c>
    </row>
    <row r="4361" spans="1:2">
      <c r="A4361" s="7" t="s">
        <v>11299</v>
      </c>
      <c r="B4361" s="7" t="s">
        <v>11300</v>
      </c>
    </row>
    <row r="4362" spans="1:2">
      <c r="A4362" s="7" t="s">
        <v>11301</v>
      </c>
      <c r="B4362" s="7" t="s">
        <v>11302</v>
      </c>
    </row>
    <row r="4363" spans="1:2">
      <c r="A4363" s="7" t="s">
        <v>11303</v>
      </c>
      <c r="B4363" s="7" t="s">
        <v>11304</v>
      </c>
    </row>
    <row r="4364" spans="1:2">
      <c r="A4364" s="7" t="s">
        <v>11305</v>
      </c>
      <c r="B4364" s="7" t="s">
        <v>11306</v>
      </c>
    </row>
    <row r="4365" spans="1:2">
      <c r="A4365" s="7" t="s">
        <v>11307</v>
      </c>
      <c r="B4365" s="7" t="s">
        <v>6867</v>
      </c>
    </row>
    <row r="4366" spans="1:2">
      <c r="A4366" s="7" t="s">
        <v>11308</v>
      </c>
      <c r="B4366" s="7" t="s">
        <v>11309</v>
      </c>
    </row>
    <row r="4367" spans="1:2">
      <c r="A4367" s="7" t="s">
        <v>11310</v>
      </c>
      <c r="B4367" s="7" t="s">
        <v>11311</v>
      </c>
    </row>
    <row r="4368" spans="1:2">
      <c r="A4368" s="7" t="s">
        <v>11312</v>
      </c>
      <c r="B4368" s="7" t="s">
        <v>9843</v>
      </c>
    </row>
    <row r="4369" spans="1:2">
      <c r="A4369" s="7" t="s">
        <v>11313</v>
      </c>
      <c r="B4369" s="7" t="s">
        <v>11314</v>
      </c>
    </row>
    <row r="4370" spans="1:2">
      <c r="A4370" s="7" t="s">
        <v>11315</v>
      </c>
      <c r="B4370" s="7" t="s">
        <v>11316</v>
      </c>
    </row>
    <row r="4371" spans="1:2">
      <c r="A4371" s="7" t="s">
        <v>11317</v>
      </c>
      <c r="B4371" s="7" t="s">
        <v>3871</v>
      </c>
    </row>
    <row r="4372" spans="1:2">
      <c r="A4372" s="7" t="s">
        <v>11318</v>
      </c>
      <c r="B4372" s="7" t="s">
        <v>11319</v>
      </c>
    </row>
    <row r="4373" spans="1:2">
      <c r="A4373" s="7" t="s">
        <v>11320</v>
      </c>
      <c r="B4373" s="7" t="s">
        <v>11321</v>
      </c>
    </row>
    <row r="4374" spans="1:2">
      <c r="A4374" s="7" t="s">
        <v>11322</v>
      </c>
      <c r="B4374" s="7" t="s">
        <v>3335</v>
      </c>
    </row>
    <row r="4375" spans="1:2">
      <c r="A4375" s="7" t="s">
        <v>11323</v>
      </c>
      <c r="B4375" s="7" t="s">
        <v>11324</v>
      </c>
    </row>
    <row r="4376" spans="1:2">
      <c r="A4376" s="7" t="s">
        <v>11325</v>
      </c>
      <c r="B4376" s="7" t="s">
        <v>9757</v>
      </c>
    </row>
    <row r="4377" spans="1:2">
      <c r="A4377" s="7" t="s">
        <v>11326</v>
      </c>
      <c r="B4377" s="7" t="s">
        <v>11327</v>
      </c>
    </row>
    <row r="4378" spans="1:2">
      <c r="A4378" s="7" t="s">
        <v>11328</v>
      </c>
      <c r="B4378" s="7" t="s">
        <v>11329</v>
      </c>
    </row>
    <row r="4379" spans="1:2">
      <c r="A4379" s="7" t="s">
        <v>11330</v>
      </c>
      <c r="B4379" s="7" t="s">
        <v>6178</v>
      </c>
    </row>
    <row r="4380" spans="1:2">
      <c r="A4380" s="7" t="s">
        <v>11331</v>
      </c>
      <c r="B4380" s="7" t="s">
        <v>9215</v>
      </c>
    </row>
    <row r="4381" spans="1:2">
      <c r="A4381" s="7" t="s">
        <v>11332</v>
      </c>
      <c r="B4381" s="7" t="s">
        <v>11333</v>
      </c>
    </row>
    <row r="4382" spans="1:2">
      <c r="A4382" s="7" t="s">
        <v>11334</v>
      </c>
      <c r="B4382" s="7" t="s">
        <v>3893</v>
      </c>
    </row>
    <row r="4383" spans="1:2">
      <c r="A4383" s="7" t="s">
        <v>11335</v>
      </c>
      <c r="B4383" s="7" t="s">
        <v>11336</v>
      </c>
    </row>
    <row r="4384" spans="1:2">
      <c r="A4384" s="7" t="s">
        <v>11337</v>
      </c>
      <c r="B4384" s="7" t="s">
        <v>11338</v>
      </c>
    </row>
    <row r="4385" spans="1:2">
      <c r="A4385" s="7" t="s">
        <v>11339</v>
      </c>
      <c r="B4385" s="7" t="s">
        <v>11340</v>
      </c>
    </row>
    <row r="4386" spans="1:2">
      <c r="A4386" s="7" t="s">
        <v>11341</v>
      </c>
      <c r="B4386" s="7" t="s">
        <v>11342</v>
      </c>
    </row>
    <row r="4387" spans="1:2">
      <c r="A4387" s="7" t="s">
        <v>11343</v>
      </c>
      <c r="B4387" s="7" t="s">
        <v>11344</v>
      </c>
    </row>
    <row r="4388" spans="1:2">
      <c r="A4388" s="7" t="s">
        <v>11345</v>
      </c>
      <c r="B4388" s="7" t="s">
        <v>11346</v>
      </c>
    </row>
    <row r="4389" spans="1:2">
      <c r="A4389" s="7" t="s">
        <v>11347</v>
      </c>
      <c r="B4389" s="7" t="s">
        <v>9105</v>
      </c>
    </row>
    <row r="4390" spans="1:2">
      <c r="A4390" s="7" t="s">
        <v>11348</v>
      </c>
      <c r="B4390" s="7" t="s">
        <v>11349</v>
      </c>
    </row>
    <row r="4391" spans="1:2">
      <c r="A4391" s="7" t="s">
        <v>11350</v>
      </c>
      <c r="B4391" s="7" t="s">
        <v>11351</v>
      </c>
    </row>
    <row r="4392" spans="1:2">
      <c r="A4392" s="7" t="s">
        <v>11352</v>
      </c>
      <c r="B4392" s="7" t="s">
        <v>6781</v>
      </c>
    </row>
    <row r="4393" spans="1:2">
      <c r="A4393" s="7" t="s">
        <v>11353</v>
      </c>
      <c r="B4393" s="7" t="s">
        <v>7758</v>
      </c>
    </row>
    <row r="4394" spans="1:2">
      <c r="A4394" s="7" t="s">
        <v>11354</v>
      </c>
      <c r="B4394" s="7" t="s">
        <v>4103</v>
      </c>
    </row>
    <row r="4395" spans="1:2">
      <c r="A4395" s="7" t="s">
        <v>11355</v>
      </c>
      <c r="B4395" s="7" t="s">
        <v>11356</v>
      </c>
    </row>
    <row r="4396" spans="1:2">
      <c r="A4396" s="7" t="s">
        <v>11357</v>
      </c>
      <c r="B4396" s="7" t="s">
        <v>6134</v>
      </c>
    </row>
    <row r="4397" spans="1:2">
      <c r="A4397" s="7" t="s">
        <v>11358</v>
      </c>
      <c r="B4397" s="7" t="s">
        <v>11359</v>
      </c>
    </row>
    <row r="4398" spans="1:2">
      <c r="A4398" s="7" t="s">
        <v>11360</v>
      </c>
      <c r="B4398" s="7" t="s">
        <v>6847</v>
      </c>
    </row>
    <row r="4399" spans="1:2">
      <c r="A4399" s="7" t="s">
        <v>11361</v>
      </c>
      <c r="B4399" s="7" t="s">
        <v>6718</v>
      </c>
    </row>
    <row r="4400" spans="1:2">
      <c r="A4400" s="7" t="s">
        <v>11362</v>
      </c>
      <c r="B4400" s="7" t="s">
        <v>11363</v>
      </c>
    </row>
    <row r="4401" spans="1:2">
      <c r="A4401" s="7" t="s">
        <v>11364</v>
      </c>
      <c r="B4401" s="7" t="s">
        <v>11365</v>
      </c>
    </row>
    <row r="4402" spans="1:2">
      <c r="A4402" s="7" t="s">
        <v>11366</v>
      </c>
      <c r="B4402" s="7" t="s">
        <v>11367</v>
      </c>
    </row>
    <row r="4403" spans="1:2">
      <c r="A4403" s="7" t="s">
        <v>11368</v>
      </c>
      <c r="B4403" s="7" t="s">
        <v>11369</v>
      </c>
    </row>
    <row r="4404" spans="1:2">
      <c r="A4404" s="7" t="s">
        <v>11370</v>
      </c>
      <c r="B4404" s="7" t="s">
        <v>11371</v>
      </c>
    </row>
    <row r="4405" spans="1:2">
      <c r="A4405" s="7" t="s">
        <v>11372</v>
      </c>
      <c r="B4405" s="7" t="s">
        <v>11373</v>
      </c>
    </row>
    <row r="4406" spans="1:2">
      <c r="A4406" s="7" t="s">
        <v>11374</v>
      </c>
      <c r="B4406" s="7" t="s">
        <v>11375</v>
      </c>
    </row>
    <row r="4407" spans="1:2">
      <c r="A4407" s="7" t="s">
        <v>11376</v>
      </c>
      <c r="B4407" s="7" t="s">
        <v>11377</v>
      </c>
    </row>
    <row r="4408" spans="1:2">
      <c r="A4408" s="7" t="s">
        <v>11378</v>
      </c>
      <c r="B4408" s="7" t="s">
        <v>11379</v>
      </c>
    </row>
    <row r="4409" spans="1:2">
      <c r="A4409" s="7" t="s">
        <v>11380</v>
      </c>
      <c r="B4409" s="7" t="s">
        <v>11381</v>
      </c>
    </row>
    <row r="4410" spans="1:2">
      <c r="A4410" s="7" t="s">
        <v>11382</v>
      </c>
      <c r="B4410" s="7" t="s">
        <v>11383</v>
      </c>
    </row>
    <row r="4411" spans="1:2">
      <c r="A4411" s="7" t="s">
        <v>11384</v>
      </c>
      <c r="B4411" s="7" t="s">
        <v>11385</v>
      </c>
    </row>
    <row r="4412" spans="1:2">
      <c r="A4412" s="7" t="s">
        <v>11386</v>
      </c>
      <c r="B4412" s="7" t="s">
        <v>11387</v>
      </c>
    </row>
    <row r="4413" spans="1:2">
      <c r="A4413" s="7" t="s">
        <v>11388</v>
      </c>
      <c r="B4413" s="7" t="s">
        <v>11389</v>
      </c>
    </row>
    <row r="4414" spans="1:2">
      <c r="A4414" s="7" t="s">
        <v>11390</v>
      </c>
      <c r="B4414" s="7" t="s">
        <v>11391</v>
      </c>
    </row>
    <row r="4415" spans="1:2">
      <c r="A4415" s="7" t="s">
        <v>11392</v>
      </c>
      <c r="B4415" s="7" t="s">
        <v>5138</v>
      </c>
    </row>
    <row r="4416" spans="1:2">
      <c r="A4416" s="7" t="s">
        <v>11393</v>
      </c>
      <c r="B4416" s="7" t="s">
        <v>5415</v>
      </c>
    </row>
    <row r="4417" spans="1:2">
      <c r="A4417" s="7" t="s">
        <v>11394</v>
      </c>
      <c r="B4417" s="7" t="s">
        <v>11395</v>
      </c>
    </row>
    <row r="4418" spans="1:2">
      <c r="A4418" s="7" t="s">
        <v>11396</v>
      </c>
      <c r="B4418" s="7" t="s">
        <v>11397</v>
      </c>
    </row>
    <row r="4419" spans="1:2">
      <c r="A4419" s="7" t="s">
        <v>11398</v>
      </c>
      <c r="B4419" s="7" t="s">
        <v>4685</v>
      </c>
    </row>
    <row r="4420" spans="1:2">
      <c r="A4420" s="7" t="s">
        <v>11399</v>
      </c>
      <c r="B4420" s="7" t="s">
        <v>3253</v>
      </c>
    </row>
    <row r="4421" spans="1:2">
      <c r="A4421" s="7" t="s">
        <v>11400</v>
      </c>
      <c r="B4421" s="7" t="s">
        <v>11401</v>
      </c>
    </row>
    <row r="4422" spans="1:2">
      <c r="A4422" s="7" t="s">
        <v>11402</v>
      </c>
      <c r="B4422" s="7" t="s">
        <v>11403</v>
      </c>
    </row>
    <row r="4423" spans="1:2">
      <c r="A4423" s="7" t="s">
        <v>11404</v>
      </c>
      <c r="B4423" s="7" t="s">
        <v>11405</v>
      </c>
    </row>
    <row r="4424" spans="1:2">
      <c r="A4424" s="7" t="s">
        <v>11406</v>
      </c>
      <c r="B4424" s="7" t="s">
        <v>11407</v>
      </c>
    </row>
    <row r="4425" spans="1:2">
      <c r="A4425" s="7" t="s">
        <v>11408</v>
      </c>
      <c r="B4425" s="7" t="s">
        <v>9821</v>
      </c>
    </row>
    <row r="4426" spans="1:2">
      <c r="A4426" s="7" t="s">
        <v>11409</v>
      </c>
      <c r="B4426" s="7" t="s">
        <v>11410</v>
      </c>
    </row>
    <row r="4427" spans="1:2">
      <c r="A4427" s="7" t="s">
        <v>11411</v>
      </c>
      <c r="B4427" s="7" t="s">
        <v>11412</v>
      </c>
    </row>
    <row r="4428" spans="1:2">
      <c r="A4428" s="7" t="s">
        <v>11413</v>
      </c>
      <c r="B4428" s="7" t="s">
        <v>11414</v>
      </c>
    </row>
    <row r="4429" spans="1:2">
      <c r="A4429" s="7" t="s">
        <v>11415</v>
      </c>
      <c r="B4429" s="7" t="s">
        <v>11416</v>
      </c>
    </row>
    <row r="4430" spans="1:2">
      <c r="A4430" s="7" t="s">
        <v>11417</v>
      </c>
      <c r="B4430" s="7" t="s">
        <v>11418</v>
      </c>
    </row>
    <row r="4431" spans="1:2">
      <c r="A4431" s="7" t="s">
        <v>11419</v>
      </c>
      <c r="B4431" s="7" t="s">
        <v>11420</v>
      </c>
    </row>
    <row r="4432" spans="1:2">
      <c r="A4432" s="7" t="s">
        <v>11421</v>
      </c>
      <c r="B4432" s="7" t="s">
        <v>11422</v>
      </c>
    </row>
    <row r="4433" spans="1:2">
      <c r="A4433" s="7" t="s">
        <v>11423</v>
      </c>
      <c r="B4433" s="7" t="s">
        <v>11424</v>
      </c>
    </row>
    <row r="4434" spans="1:2">
      <c r="A4434" s="7" t="s">
        <v>11425</v>
      </c>
      <c r="B4434" s="7" t="s">
        <v>4054</v>
      </c>
    </row>
    <row r="4435" spans="1:2">
      <c r="A4435" s="7" t="s">
        <v>11426</v>
      </c>
      <c r="B4435" s="7" t="s">
        <v>11427</v>
      </c>
    </row>
    <row r="4436" spans="1:2">
      <c r="A4436" s="7" t="s">
        <v>11428</v>
      </c>
      <c r="B4436" s="7" t="s">
        <v>3679</v>
      </c>
    </row>
    <row r="4437" spans="1:2">
      <c r="A4437" s="7" t="s">
        <v>11429</v>
      </c>
      <c r="B4437" s="7" t="s">
        <v>11430</v>
      </c>
    </row>
    <row r="4438" spans="1:2">
      <c r="A4438" s="7" t="s">
        <v>11431</v>
      </c>
      <c r="B4438" s="7" t="s">
        <v>11432</v>
      </c>
    </row>
    <row r="4439" spans="1:2">
      <c r="A4439" s="7" t="s">
        <v>11433</v>
      </c>
      <c r="B4439" s="7" t="s">
        <v>11434</v>
      </c>
    </row>
    <row r="4440" spans="1:2">
      <c r="A4440" s="7" t="s">
        <v>11435</v>
      </c>
      <c r="B4440" s="7" t="s">
        <v>11436</v>
      </c>
    </row>
    <row r="4441" spans="1:2">
      <c r="A4441" s="7" t="s">
        <v>11437</v>
      </c>
      <c r="B4441" s="7" t="s">
        <v>3627</v>
      </c>
    </row>
    <row r="4442" spans="1:2">
      <c r="A4442" s="7" t="s">
        <v>11438</v>
      </c>
      <c r="B4442" s="7" t="s">
        <v>11439</v>
      </c>
    </row>
    <row r="4443" spans="1:2">
      <c r="A4443" s="7" t="s">
        <v>11440</v>
      </c>
      <c r="B4443" s="7" t="s">
        <v>11441</v>
      </c>
    </row>
    <row r="4444" spans="1:2">
      <c r="A4444" s="7" t="s">
        <v>11442</v>
      </c>
      <c r="B4444" s="7" t="s">
        <v>11443</v>
      </c>
    </row>
    <row r="4445" spans="1:2">
      <c r="A4445" s="7" t="s">
        <v>11444</v>
      </c>
      <c r="B4445" s="7" t="s">
        <v>11445</v>
      </c>
    </row>
    <row r="4446" spans="1:2">
      <c r="A4446" s="7" t="s">
        <v>11446</v>
      </c>
      <c r="B4446" s="7" t="s">
        <v>11447</v>
      </c>
    </row>
    <row r="4447" spans="1:2">
      <c r="A4447" s="7" t="s">
        <v>11448</v>
      </c>
      <c r="B4447" s="7" t="s">
        <v>5826</v>
      </c>
    </row>
    <row r="4448" spans="1:2">
      <c r="A4448" s="7" t="s">
        <v>11449</v>
      </c>
      <c r="B4448" s="7" t="s">
        <v>11450</v>
      </c>
    </row>
    <row r="4449" spans="1:2">
      <c r="A4449" s="7" t="s">
        <v>11451</v>
      </c>
      <c r="B4449" s="7" t="s">
        <v>10018</v>
      </c>
    </row>
    <row r="4450" spans="1:2">
      <c r="A4450" s="7" t="s">
        <v>11452</v>
      </c>
      <c r="B4450" s="7" t="s">
        <v>5163</v>
      </c>
    </row>
    <row r="4451" spans="1:2">
      <c r="A4451" s="7" t="s">
        <v>11453</v>
      </c>
      <c r="B4451" s="7" t="s">
        <v>11454</v>
      </c>
    </row>
    <row r="4452" spans="1:2">
      <c r="A4452" s="7" t="s">
        <v>11455</v>
      </c>
      <c r="B4452" s="7" t="s">
        <v>4996</v>
      </c>
    </row>
    <row r="4453" spans="1:2">
      <c r="A4453" s="7" t="s">
        <v>11456</v>
      </c>
      <c r="B4453" s="7" t="s">
        <v>5653</v>
      </c>
    </row>
    <row r="4454" spans="1:2">
      <c r="A4454" s="7" t="s">
        <v>11457</v>
      </c>
      <c r="B4454" s="7" t="s">
        <v>11458</v>
      </c>
    </row>
    <row r="4455" spans="1:2">
      <c r="A4455" s="7" t="s">
        <v>11459</v>
      </c>
      <c r="B4455" s="7" t="s">
        <v>11460</v>
      </c>
    </row>
    <row r="4456" spans="1:2">
      <c r="A4456" s="7" t="s">
        <v>11461</v>
      </c>
      <c r="B4456" s="7" t="s">
        <v>6230</v>
      </c>
    </row>
    <row r="4457" spans="1:2">
      <c r="A4457" s="7" t="s">
        <v>11462</v>
      </c>
      <c r="B4457" s="7" t="s">
        <v>11463</v>
      </c>
    </row>
    <row r="4458" spans="1:2">
      <c r="A4458" s="7" t="s">
        <v>11464</v>
      </c>
      <c r="B4458" s="7" t="s">
        <v>11465</v>
      </c>
    </row>
    <row r="4459" spans="1:2">
      <c r="A4459" s="7" t="s">
        <v>11466</v>
      </c>
      <c r="B4459" s="7" t="s">
        <v>11467</v>
      </c>
    </row>
    <row r="4460" spans="1:2">
      <c r="A4460" s="7" t="s">
        <v>11468</v>
      </c>
      <c r="B4460" s="7" t="s">
        <v>11469</v>
      </c>
    </row>
    <row r="4461" spans="1:2">
      <c r="A4461" s="7" t="s">
        <v>11470</v>
      </c>
      <c r="B4461" s="7" t="s">
        <v>11471</v>
      </c>
    </row>
    <row r="4462" spans="1:2">
      <c r="A4462" s="7" t="s">
        <v>11472</v>
      </c>
      <c r="B4462" s="7" t="s">
        <v>11473</v>
      </c>
    </row>
    <row r="4463" spans="1:2">
      <c r="A4463" s="7" t="s">
        <v>11474</v>
      </c>
      <c r="B4463" s="7" t="s">
        <v>11475</v>
      </c>
    </row>
    <row r="4464" spans="1:2">
      <c r="A4464" s="7" t="s">
        <v>11476</v>
      </c>
      <c r="B4464" s="7" t="s">
        <v>9787</v>
      </c>
    </row>
    <row r="4465" spans="1:2">
      <c r="A4465" s="7" t="s">
        <v>11477</v>
      </c>
      <c r="B4465" s="7" t="s">
        <v>11478</v>
      </c>
    </row>
    <row r="4466" spans="1:2">
      <c r="A4466" s="7" t="s">
        <v>11479</v>
      </c>
      <c r="B4466" s="7" t="s">
        <v>11480</v>
      </c>
    </row>
    <row r="4467" spans="1:2">
      <c r="A4467" s="7" t="s">
        <v>11481</v>
      </c>
      <c r="B4467" s="7" t="s">
        <v>11482</v>
      </c>
    </row>
    <row r="4468" spans="1:2">
      <c r="A4468" s="7" t="s">
        <v>11483</v>
      </c>
      <c r="B4468" s="7" t="s">
        <v>11484</v>
      </c>
    </row>
    <row r="4469" spans="1:2">
      <c r="A4469" s="7" t="s">
        <v>11485</v>
      </c>
      <c r="B4469" s="7" t="s">
        <v>5235</v>
      </c>
    </row>
    <row r="4470" spans="1:2">
      <c r="A4470" s="7" t="s">
        <v>11486</v>
      </c>
      <c r="B4470" s="7" t="s">
        <v>11487</v>
      </c>
    </row>
    <row r="4471" spans="1:2">
      <c r="A4471" s="7" t="s">
        <v>11488</v>
      </c>
      <c r="B4471" s="7" t="s">
        <v>11489</v>
      </c>
    </row>
    <row r="4472" spans="1:2">
      <c r="A4472" s="7" t="s">
        <v>11490</v>
      </c>
      <c r="B4472" s="7" t="s">
        <v>3533</v>
      </c>
    </row>
    <row r="4473" spans="1:2">
      <c r="A4473" s="7" t="s">
        <v>11491</v>
      </c>
      <c r="B4473" s="7" t="s">
        <v>11492</v>
      </c>
    </row>
    <row r="4474" spans="1:2">
      <c r="A4474" s="7" t="s">
        <v>11493</v>
      </c>
      <c r="B4474" s="7" t="s">
        <v>11494</v>
      </c>
    </row>
    <row r="4475" spans="1:2">
      <c r="A4475" s="7" t="s">
        <v>11495</v>
      </c>
      <c r="B4475" s="7" t="s">
        <v>11496</v>
      </c>
    </row>
    <row r="4476" spans="1:2">
      <c r="A4476" s="7" t="s">
        <v>11497</v>
      </c>
      <c r="B4476" s="7" t="s">
        <v>11498</v>
      </c>
    </row>
    <row r="4477" spans="1:2">
      <c r="A4477" s="7" t="s">
        <v>11499</v>
      </c>
      <c r="B4477" s="7" t="s">
        <v>6143</v>
      </c>
    </row>
    <row r="4478" spans="1:2">
      <c r="A4478" s="7" t="s">
        <v>11500</v>
      </c>
      <c r="B4478" s="7" t="s">
        <v>11501</v>
      </c>
    </row>
    <row r="4479" spans="1:2">
      <c r="A4479" s="7" t="s">
        <v>11502</v>
      </c>
      <c r="B4479" s="7" t="s">
        <v>11503</v>
      </c>
    </row>
    <row r="4480" spans="1:2">
      <c r="A4480" s="7" t="s">
        <v>11504</v>
      </c>
      <c r="B4480" s="7" t="s">
        <v>11505</v>
      </c>
    </row>
    <row r="4481" spans="1:2">
      <c r="A4481" s="7" t="s">
        <v>11506</v>
      </c>
      <c r="B4481" s="7" t="s">
        <v>11507</v>
      </c>
    </row>
    <row r="4482" spans="1:2">
      <c r="A4482" s="7" t="s">
        <v>11508</v>
      </c>
      <c r="B4482" s="7" t="s">
        <v>6200</v>
      </c>
    </row>
    <row r="4483" spans="1:2">
      <c r="A4483" s="7" t="s">
        <v>11509</v>
      </c>
      <c r="B4483" s="7" t="s">
        <v>11510</v>
      </c>
    </row>
    <row r="4484" spans="1:2">
      <c r="A4484" s="7" t="s">
        <v>11511</v>
      </c>
      <c r="B4484" s="7" t="s">
        <v>10106</v>
      </c>
    </row>
    <row r="4485" spans="1:2">
      <c r="A4485" s="7" t="s">
        <v>11512</v>
      </c>
      <c r="B4485" s="7" t="s">
        <v>11513</v>
      </c>
    </row>
    <row r="4486" spans="1:2">
      <c r="A4486" s="7" t="s">
        <v>11514</v>
      </c>
      <c r="B4486" s="7" t="s">
        <v>6851</v>
      </c>
    </row>
    <row r="4487" spans="1:2">
      <c r="A4487" s="7" t="s">
        <v>11515</v>
      </c>
      <c r="B4487" s="7" t="s">
        <v>11516</v>
      </c>
    </row>
    <row r="4488" spans="1:2">
      <c r="A4488" s="7" t="s">
        <v>11517</v>
      </c>
      <c r="B4488" s="7" t="s">
        <v>11518</v>
      </c>
    </row>
    <row r="4489" spans="1:2">
      <c r="A4489" s="7" t="s">
        <v>11519</v>
      </c>
      <c r="B4489" s="7" t="s">
        <v>11520</v>
      </c>
    </row>
    <row r="4490" spans="1:2">
      <c r="A4490" s="7" t="s">
        <v>11521</v>
      </c>
      <c r="B4490" s="7" t="s">
        <v>9724</v>
      </c>
    </row>
    <row r="4491" spans="1:2">
      <c r="A4491" s="7" t="s">
        <v>11522</v>
      </c>
      <c r="B4491" s="7" t="s">
        <v>11523</v>
      </c>
    </row>
    <row r="4492" spans="1:2">
      <c r="A4492" s="7" t="s">
        <v>11524</v>
      </c>
      <c r="B4492" s="7" t="s">
        <v>11525</v>
      </c>
    </row>
    <row r="4493" spans="1:2">
      <c r="A4493" s="7" t="s">
        <v>11526</v>
      </c>
      <c r="B4493" s="7" t="s">
        <v>11527</v>
      </c>
    </row>
    <row r="4494" spans="1:2">
      <c r="A4494" s="7" t="s">
        <v>11528</v>
      </c>
      <c r="B4494" s="7" t="s">
        <v>11529</v>
      </c>
    </row>
    <row r="4495" spans="1:2">
      <c r="A4495" s="7" t="s">
        <v>11530</v>
      </c>
      <c r="B4495" s="7" t="s">
        <v>10172</v>
      </c>
    </row>
    <row r="4496" spans="1:2">
      <c r="A4496" s="7" t="s">
        <v>11531</v>
      </c>
      <c r="B4496" s="7" t="s">
        <v>11532</v>
      </c>
    </row>
    <row r="4497" spans="1:2">
      <c r="A4497" s="7" t="s">
        <v>11533</v>
      </c>
      <c r="B4497" s="7" t="s">
        <v>11534</v>
      </c>
    </row>
    <row r="4498" spans="1:2">
      <c r="A4498" s="7" t="s">
        <v>11535</v>
      </c>
      <c r="B4498" s="7" t="s">
        <v>11536</v>
      </c>
    </row>
    <row r="4499" spans="1:2">
      <c r="A4499" s="7" t="s">
        <v>11537</v>
      </c>
      <c r="B4499" s="7" t="s">
        <v>11538</v>
      </c>
    </row>
    <row r="4500" spans="1:2">
      <c r="A4500" s="7" t="s">
        <v>11539</v>
      </c>
      <c r="B4500" s="7" t="s">
        <v>11540</v>
      </c>
    </row>
    <row r="4501" spans="1:2">
      <c r="A4501" s="7" t="s">
        <v>11541</v>
      </c>
      <c r="B4501" s="7" t="s">
        <v>11542</v>
      </c>
    </row>
    <row r="4502" spans="1:2">
      <c r="A4502" s="7" t="s">
        <v>11543</v>
      </c>
      <c r="B4502" s="7" t="s">
        <v>11544</v>
      </c>
    </row>
    <row r="4503" spans="1:2">
      <c r="A4503" s="7" t="s">
        <v>11545</v>
      </c>
      <c r="B4503" s="7" t="s">
        <v>11546</v>
      </c>
    </row>
    <row r="4504" spans="1:2">
      <c r="A4504" s="7" t="s">
        <v>11547</v>
      </c>
      <c r="B4504" s="7" t="s">
        <v>11548</v>
      </c>
    </row>
    <row r="4505" spans="1:2">
      <c r="A4505" s="7" t="s">
        <v>11549</v>
      </c>
      <c r="B4505" s="7" t="s">
        <v>11550</v>
      </c>
    </row>
    <row r="4506" spans="1:2">
      <c r="A4506" s="7" t="s">
        <v>11551</v>
      </c>
      <c r="B4506" s="7" t="s">
        <v>6466</v>
      </c>
    </row>
    <row r="4507" spans="1:2">
      <c r="A4507" s="7" t="s">
        <v>11552</v>
      </c>
      <c r="B4507" s="7" t="s">
        <v>11553</v>
      </c>
    </row>
    <row r="4508" spans="1:2">
      <c r="A4508" s="7" t="s">
        <v>11554</v>
      </c>
      <c r="B4508" s="7" t="s">
        <v>5943</v>
      </c>
    </row>
    <row r="4509" spans="1:2">
      <c r="A4509" s="7" t="s">
        <v>11555</v>
      </c>
      <c r="B4509" s="7" t="s">
        <v>11556</v>
      </c>
    </row>
    <row r="4510" spans="1:2">
      <c r="A4510" s="7" t="s">
        <v>11557</v>
      </c>
      <c r="B4510" s="7" t="s">
        <v>11558</v>
      </c>
    </row>
    <row r="4511" spans="1:2">
      <c r="A4511" s="7" t="s">
        <v>11559</v>
      </c>
      <c r="B4511" s="7" t="s">
        <v>11560</v>
      </c>
    </row>
    <row r="4512" spans="1:2">
      <c r="A4512" s="7" t="s">
        <v>11561</v>
      </c>
      <c r="B4512" s="7" t="s">
        <v>11562</v>
      </c>
    </row>
    <row r="4513" spans="1:2">
      <c r="A4513" s="7" t="s">
        <v>11563</v>
      </c>
      <c r="B4513" s="7" t="s">
        <v>3879</v>
      </c>
    </row>
    <row r="4514" spans="1:2">
      <c r="A4514" s="7" t="s">
        <v>11564</v>
      </c>
      <c r="B4514" s="7" t="s">
        <v>11565</v>
      </c>
    </row>
    <row r="4515" spans="1:2">
      <c r="A4515" s="7" t="s">
        <v>11566</v>
      </c>
      <c r="B4515" s="7" t="s">
        <v>3547</v>
      </c>
    </row>
    <row r="4516" spans="1:2">
      <c r="A4516" s="7" t="s">
        <v>11567</v>
      </c>
      <c r="B4516" s="7" t="s">
        <v>11568</v>
      </c>
    </row>
    <row r="4517" spans="1:2">
      <c r="A4517" s="7" t="s">
        <v>11569</v>
      </c>
      <c r="B4517" s="7" t="s">
        <v>11570</v>
      </c>
    </row>
    <row r="4518" spans="1:2">
      <c r="A4518" s="7" t="s">
        <v>11571</v>
      </c>
      <c r="B4518" s="7" t="s">
        <v>11572</v>
      </c>
    </row>
    <row r="4519" spans="1:2">
      <c r="A4519" s="7" t="s">
        <v>11573</v>
      </c>
      <c r="B4519" s="7" t="s">
        <v>11574</v>
      </c>
    </row>
    <row r="4520" spans="1:2">
      <c r="A4520" s="7" t="s">
        <v>11575</v>
      </c>
      <c r="B4520" s="7" t="s">
        <v>10852</v>
      </c>
    </row>
    <row r="4521" spans="1:2">
      <c r="A4521" s="7" t="s">
        <v>11576</v>
      </c>
      <c r="B4521" s="7" t="s">
        <v>11577</v>
      </c>
    </row>
    <row r="4522" spans="1:2">
      <c r="A4522" s="7" t="s">
        <v>11578</v>
      </c>
      <c r="B4522" s="7" t="s">
        <v>5000</v>
      </c>
    </row>
    <row r="4523" spans="1:2">
      <c r="A4523" s="7" t="s">
        <v>11579</v>
      </c>
      <c r="B4523" s="7" t="s">
        <v>11580</v>
      </c>
    </row>
    <row r="4524" spans="1:2">
      <c r="A4524" s="7" t="s">
        <v>11581</v>
      </c>
      <c r="B4524" s="7" t="s">
        <v>11582</v>
      </c>
    </row>
    <row r="4525" spans="1:2">
      <c r="A4525" s="7" t="s">
        <v>11583</v>
      </c>
      <c r="B4525" s="7" t="s">
        <v>3401</v>
      </c>
    </row>
    <row r="4526" spans="1:2">
      <c r="A4526" s="7" t="s">
        <v>11584</v>
      </c>
      <c r="B4526" s="7" t="s">
        <v>11585</v>
      </c>
    </row>
    <row r="4527" spans="1:2">
      <c r="A4527" s="7" t="s">
        <v>11586</v>
      </c>
      <c r="B4527" s="7" t="s">
        <v>11587</v>
      </c>
    </row>
    <row r="4528" spans="1:2">
      <c r="A4528" s="7" t="s">
        <v>11588</v>
      </c>
      <c r="B4528" s="7" t="s">
        <v>11589</v>
      </c>
    </row>
    <row r="4529" spans="1:2">
      <c r="A4529" s="7" t="s">
        <v>11590</v>
      </c>
      <c r="B4529" s="7" t="s">
        <v>11591</v>
      </c>
    </row>
    <row r="4530" spans="1:2">
      <c r="A4530" s="7" t="s">
        <v>11592</v>
      </c>
      <c r="B4530" s="7" t="s">
        <v>5516</v>
      </c>
    </row>
    <row r="4531" spans="1:2">
      <c r="A4531" s="7" t="s">
        <v>11593</v>
      </c>
      <c r="B4531" s="7" t="s">
        <v>11594</v>
      </c>
    </row>
    <row r="4532" spans="1:2">
      <c r="A4532" s="7" t="s">
        <v>11595</v>
      </c>
      <c r="B4532" s="7" t="s">
        <v>11596</v>
      </c>
    </row>
    <row r="4533" spans="1:2">
      <c r="A4533" s="7" t="s">
        <v>11597</v>
      </c>
      <c r="B4533" s="7" t="s">
        <v>4435</v>
      </c>
    </row>
    <row r="4534" spans="1:2">
      <c r="A4534" s="7" t="s">
        <v>11598</v>
      </c>
      <c r="B4534" s="7" t="s">
        <v>10774</v>
      </c>
    </row>
    <row r="4535" spans="1:2">
      <c r="A4535" s="7" t="s">
        <v>11599</v>
      </c>
      <c r="B4535" s="7" t="s">
        <v>11600</v>
      </c>
    </row>
    <row r="4536" spans="1:2">
      <c r="A4536" s="7" t="s">
        <v>11601</v>
      </c>
      <c r="B4536" s="7" t="s">
        <v>5897</v>
      </c>
    </row>
    <row r="4537" spans="1:2">
      <c r="A4537" s="7" t="s">
        <v>11602</v>
      </c>
      <c r="B4537" s="7" t="s">
        <v>11603</v>
      </c>
    </row>
    <row r="4538" spans="1:2">
      <c r="A4538" s="7" t="s">
        <v>11604</v>
      </c>
      <c r="B4538" s="7" t="s">
        <v>3411</v>
      </c>
    </row>
    <row r="4539" spans="1:2">
      <c r="A4539" s="7" t="s">
        <v>11605</v>
      </c>
      <c r="B4539" s="7" t="s">
        <v>5604</v>
      </c>
    </row>
    <row r="4540" spans="1:2">
      <c r="A4540" s="7" t="s">
        <v>11606</v>
      </c>
      <c r="B4540" s="7" t="s">
        <v>3679</v>
      </c>
    </row>
    <row r="4541" spans="1:2">
      <c r="A4541" s="7" t="s">
        <v>11607</v>
      </c>
      <c r="B4541" s="7" t="s">
        <v>3397</v>
      </c>
    </row>
    <row r="4542" spans="1:2">
      <c r="A4542" s="7" t="s">
        <v>11608</v>
      </c>
      <c r="B4542" s="7" t="s">
        <v>11609</v>
      </c>
    </row>
    <row r="4543" spans="1:2">
      <c r="A4543" s="7" t="s">
        <v>11610</v>
      </c>
      <c r="B4543" s="7" t="s">
        <v>11611</v>
      </c>
    </row>
    <row r="4544" spans="1:2">
      <c r="A4544" s="7" t="s">
        <v>11612</v>
      </c>
      <c r="B4544" s="7" t="s">
        <v>6877</v>
      </c>
    </row>
    <row r="4545" spans="1:2">
      <c r="A4545" s="7" t="s">
        <v>11613</v>
      </c>
      <c r="B4545" s="7" t="s">
        <v>11614</v>
      </c>
    </row>
    <row r="4546" spans="1:2">
      <c r="A4546" s="7" t="s">
        <v>11615</v>
      </c>
      <c r="B4546" s="7" t="s">
        <v>6697</v>
      </c>
    </row>
    <row r="4547" spans="1:2">
      <c r="A4547" s="7" t="s">
        <v>11616</v>
      </c>
      <c r="B4547" s="7" t="s">
        <v>11617</v>
      </c>
    </row>
    <row r="4548" spans="1:2">
      <c r="A4548" s="7" t="s">
        <v>11618</v>
      </c>
      <c r="B4548" s="7" t="s">
        <v>11619</v>
      </c>
    </row>
    <row r="4549" spans="1:2">
      <c r="A4549" s="7" t="s">
        <v>11620</v>
      </c>
      <c r="B4549" s="7" t="s">
        <v>11621</v>
      </c>
    </row>
    <row r="4550" spans="1:2">
      <c r="A4550" s="7" t="s">
        <v>11622</v>
      </c>
      <c r="B4550" s="7" t="s">
        <v>11623</v>
      </c>
    </row>
    <row r="4551" spans="1:2">
      <c r="A4551" s="7" t="s">
        <v>11624</v>
      </c>
      <c r="B4551" s="7" t="s">
        <v>11625</v>
      </c>
    </row>
    <row r="4552" spans="1:2">
      <c r="A4552" s="7" t="s">
        <v>11626</v>
      </c>
      <c r="B4552" s="7" t="s">
        <v>11627</v>
      </c>
    </row>
    <row r="4553" spans="1:2">
      <c r="A4553" s="7" t="s">
        <v>11628</v>
      </c>
      <c r="B4553" s="7" t="s">
        <v>11629</v>
      </c>
    </row>
    <row r="4554" spans="1:2">
      <c r="A4554" s="7" t="s">
        <v>11630</v>
      </c>
      <c r="B4554" s="7" t="s">
        <v>11631</v>
      </c>
    </row>
    <row r="4555" spans="1:2">
      <c r="A4555" s="7" t="s">
        <v>11632</v>
      </c>
      <c r="B4555" s="7" t="s">
        <v>11633</v>
      </c>
    </row>
    <row r="4556" spans="1:2">
      <c r="A4556" s="7" t="s">
        <v>11634</v>
      </c>
      <c r="B4556" s="7" t="s">
        <v>11635</v>
      </c>
    </row>
    <row r="4557" spans="1:2">
      <c r="A4557" s="7" t="s">
        <v>11636</v>
      </c>
      <c r="B4557" s="7" t="s">
        <v>11637</v>
      </c>
    </row>
    <row r="4558" spans="1:2">
      <c r="A4558" s="7" t="s">
        <v>11638</v>
      </c>
      <c r="B4558" s="7" t="s">
        <v>11639</v>
      </c>
    </row>
    <row r="4559" spans="1:2">
      <c r="A4559" s="7" t="s">
        <v>11640</v>
      </c>
      <c r="B4559" s="7" t="s">
        <v>11641</v>
      </c>
    </row>
    <row r="4560" spans="1:2">
      <c r="A4560" s="7" t="s">
        <v>11642</v>
      </c>
      <c r="B4560" s="7" t="s">
        <v>11643</v>
      </c>
    </row>
    <row r="4561" spans="1:2">
      <c r="A4561" s="7" t="s">
        <v>11644</v>
      </c>
      <c r="B4561" s="7" t="s">
        <v>4685</v>
      </c>
    </row>
    <row r="4562" spans="1:2">
      <c r="A4562" s="7" t="s">
        <v>11645</v>
      </c>
      <c r="B4562" s="7" t="s">
        <v>3561</v>
      </c>
    </row>
    <row r="4563" spans="1:2">
      <c r="A4563" s="7" t="s">
        <v>11646</v>
      </c>
      <c r="B4563" s="7" t="s">
        <v>3435</v>
      </c>
    </row>
    <row r="4564" spans="1:2">
      <c r="A4564" s="7" t="s">
        <v>11647</v>
      </c>
      <c r="B4564" s="7" t="s">
        <v>7017</v>
      </c>
    </row>
    <row r="4565" spans="1:2">
      <c r="A4565" s="7" t="s">
        <v>11648</v>
      </c>
      <c r="B4565" s="7" t="s">
        <v>11649</v>
      </c>
    </row>
    <row r="4566" spans="1:2">
      <c r="A4566" s="7" t="s">
        <v>11650</v>
      </c>
      <c r="B4566" s="7" t="s">
        <v>7033</v>
      </c>
    </row>
    <row r="4567" spans="1:2">
      <c r="A4567" s="7" t="s">
        <v>11651</v>
      </c>
      <c r="B4567" s="7" t="s">
        <v>4696</v>
      </c>
    </row>
    <row r="4568" spans="1:2">
      <c r="A4568" s="7" t="s">
        <v>11652</v>
      </c>
      <c r="B4568" s="7" t="s">
        <v>11653</v>
      </c>
    </row>
    <row r="4569" spans="1:2">
      <c r="A4569" s="7" t="s">
        <v>11654</v>
      </c>
      <c r="B4569" s="7" t="s">
        <v>11655</v>
      </c>
    </row>
    <row r="4570" spans="1:2">
      <c r="A4570" s="7" t="s">
        <v>11656</v>
      </c>
      <c r="B4570" s="7" t="s">
        <v>11657</v>
      </c>
    </row>
    <row r="4571" spans="1:2">
      <c r="A4571" s="7" t="s">
        <v>11658</v>
      </c>
      <c r="B4571" s="7" t="s">
        <v>11659</v>
      </c>
    </row>
    <row r="4572" spans="1:2">
      <c r="A4572" s="7" t="s">
        <v>11660</v>
      </c>
      <c r="B4572" s="7" t="s">
        <v>4982</v>
      </c>
    </row>
    <row r="4573" spans="1:2">
      <c r="A4573" s="7" t="s">
        <v>11661</v>
      </c>
      <c r="B4573" s="7" t="s">
        <v>11662</v>
      </c>
    </row>
    <row r="4574" spans="1:2">
      <c r="A4574" s="7" t="s">
        <v>11663</v>
      </c>
      <c r="B4574" s="7" t="s">
        <v>6760</v>
      </c>
    </row>
    <row r="4575" spans="1:2">
      <c r="A4575" s="7" t="s">
        <v>11664</v>
      </c>
      <c r="B4575" s="7" t="s">
        <v>11665</v>
      </c>
    </row>
    <row r="4576" spans="1:2">
      <c r="A4576" s="7" t="s">
        <v>11666</v>
      </c>
      <c r="B4576" s="7" t="s">
        <v>11667</v>
      </c>
    </row>
    <row r="4577" spans="1:2">
      <c r="A4577" s="7" t="s">
        <v>11668</v>
      </c>
      <c r="B4577" s="7" t="s">
        <v>11669</v>
      </c>
    </row>
    <row r="4578" spans="1:2">
      <c r="A4578" s="7" t="s">
        <v>11670</v>
      </c>
      <c r="B4578" s="7" t="s">
        <v>4362</v>
      </c>
    </row>
    <row r="4579" spans="1:2">
      <c r="A4579" s="7" t="s">
        <v>11671</v>
      </c>
      <c r="B4579" s="7" t="s">
        <v>7771</v>
      </c>
    </row>
    <row r="4580" spans="1:2">
      <c r="A4580" s="7" t="s">
        <v>11672</v>
      </c>
      <c r="B4580" s="7" t="s">
        <v>11673</v>
      </c>
    </row>
    <row r="4581" spans="1:2">
      <c r="A4581" s="7" t="s">
        <v>11674</v>
      </c>
      <c r="B4581" s="7" t="s">
        <v>11675</v>
      </c>
    </row>
    <row r="4582" spans="1:2">
      <c r="A4582" s="7" t="s">
        <v>11676</v>
      </c>
      <c r="B4582" s="7" t="s">
        <v>11677</v>
      </c>
    </row>
    <row r="4583" spans="1:2">
      <c r="A4583" s="7" t="s">
        <v>11678</v>
      </c>
      <c r="B4583" s="7" t="s">
        <v>5649</v>
      </c>
    </row>
    <row r="4584" spans="1:2">
      <c r="A4584" s="7" t="s">
        <v>11679</v>
      </c>
      <c r="B4584" s="7" t="s">
        <v>11680</v>
      </c>
    </row>
    <row r="4585" spans="1:2">
      <c r="A4585" s="7" t="s">
        <v>11681</v>
      </c>
      <c r="B4585" s="7" t="s">
        <v>11682</v>
      </c>
    </row>
    <row r="4586" spans="1:2">
      <c r="A4586" s="7" t="s">
        <v>11683</v>
      </c>
      <c r="B4586" s="7" t="s">
        <v>11684</v>
      </c>
    </row>
    <row r="4587" spans="1:2">
      <c r="A4587" s="7" t="s">
        <v>11685</v>
      </c>
      <c r="B4587" s="7" t="s">
        <v>11686</v>
      </c>
    </row>
    <row r="4588" spans="1:2">
      <c r="A4588" s="7" t="s">
        <v>11687</v>
      </c>
      <c r="B4588" s="7" t="s">
        <v>11688</v>
      </c>
    </row>
    <row r="4589" spans="1:2">
      <c r="A4589" s="7" t="s">
        <v>11689</v>
      </c>
      <c r="B4589" s="7" t="s">
        <v>6956</v>
      </c>
    </row>
    <row r="4590" spans="1:2">
      <c r="A4590" s="7" t="s">
        <v>11690</v>
      </c>
      <c r="B4590" s="7" t="s">
        <v>7758</v>
      </c>
    </row>
    <row r="4591" spans="1:2">
      <c r="A4591" s="7" t="s">
        <v>11691</v>
      </c>
      <c r="B4591" s="7" t="s">
        <v>11692</v>
      </c>
    </row>
    <row r="4592" spans="1:2">
      <c r="A4592" s="7" t="s">
        <v>11693</v>
      </c>
      <c r="B4592" s="7" t="s">
        <v>11694</v>
      </c>
    </row>
    <row r="4593" spans="1:2">
      <c r="A4593" s="7" t="s">
        <v>11695</v>
      </c>
      <c r="B4593" s="7" t="s">
        <v>11696</v>
      </c>
    </row>
    <row r="4594" spans="1:2">
      <c r="A4594" s="7" t="s">
        <v>11697</v>
      </c>
      <c r="B4594" s="7" t="s">
        <v>11698</v>
      </c>
    </row>
    <row r="4595" spans="1:2">
      <c r="A4595" s="7" t="s">
        <v>11699</v>
      </c>
      <c r="B4595" s="7" t="s">
        <v>5085</v>
      </c>
    </row>
    <row r="4596" spans="1:2">
      <c r="A4596" s="7" t="s">
        <v>11700</v>
      </c>
      <c r="B4596" s="7" t="s">
        <v>11496</v>
      </c>
    </row>
    <row r="4597" spans="1:2">
      <c r="A4597" s="7" t="s">
        <v>11701</v>
      </c>
      <c r="B4597" s="7" t="s">
        <v>11637</v>
      </c>
    </row>
    <row r="4598" spans="1:2">
      <c r="A4598" s="7" t="s">
        <v>11702</v>
      </c>
      <c r="B4598" s="7" t="s">
        <v>11703</v>
      </c>
    </row>
    <row r="4599" spans="1:2">
      <c r="A4599" s="7" t="s">
        <v>11704</v>
      </c>
      <c r="B4599" s="7" t="s">
        <v>11705</v>
      </c>
    </row>
    <row r="4600" spans="1:2">
      <c r="A4600" s="7" t="s">
        <v>11706</v>
      </c>
      <c r="B4600" s="7" t="s">
        <v>11707</v>
      </c>
    </row>
    <row r="4601" spans="1:2">
      <c r="A4601" s="7" t="s">
        <v>11708</v>
      </c>
      <c r="B4601" s="7" t="s">
        <v>11709</v>
      </c>
    </row>
    <row r="4602" spans="1:2">
      <c r="A4602" s="7" t="s">
        <v>11710</v>
      </c>
      <c r="B4602" s="7" t="s">
        <v>11711</v>
      </c>
    </row>
    <row r="4603" spans="1:2">
      <c r="A4603" s="7" t="s">
        <v>11712</v>
      </c>
      <c r="B4603" s="7" t="s">
        <v>11713</v>
      </c>
    </row>
    <row r="4604" spans="1:2">
      <c r="A4604" s="7" t="s">
        <v>11714</v>
      </c>
      <c r="B4604" s="7" t="s">
        <v>11715</v>
      </c>
    </row>
    <row r="4605" spans="1:2">
      <c r="A4605" s="7" t="s">
        <v>11716</v>
      </c>
      <c r="B4605" s="7" t="s">
        <v>11717</v>
      </c>
    </row>
    <row r="4606" spans="1:2">
      <c r="A4606" s="7" t="s">
        <v>11718</v>
      </c>
      <c r="B4606" s="7" t="s">
        <v>11719</v>
      </c>
    </row>
    <row r="4607" spans="1:2">
      <c r="A4607" s="7" t="s">
        <v>11720</v>
      </c>
      <c r="B4607" s="7" t="s">
        <v>11721</v>
      </c>
    </row>
    <row r="4608" spans="1:2">
      <c r="A4608" s="7" t="s">
        <v>11722</v>
      </c>
      <c r="B4608" s="7" t="s">
        <v>3567</v>
      </c>
    </row>
    <row r="4609" spans="1:2">
      <c r="A4609" s="7" t="s">
        <v>11723</v>
      </c>
      <c r="B4609" s="7" t="s">
        <v>11724</v>
      </c>
    </row>
    <row r="4610" spans="1:2">
      <c r="A4610" s="7" t="s">
        <v>11725</v>
      </c>
      <c r="B4610" s="7" t="s">
        <v>11726</v>
      </c>
    </row>
    <row r="4611" spans="1:2">
      <c r="A4611" s="7" t="s">
        <v>11727</v>
      </c>
      <c r="B4611" s="7" t="s">
        <v>11728</v>
      </c>
    </row>
    <row r="4612" spans="1:2">
      <c r="A4612" s="7" t="s">
        <v>11729</v>
      </c>
      <c r="B4612" s="7" t="s">
        <v>4220</v>
      </c>
    </row>
    <row r="4613" spans="1:2">
      <c r="A4613" s="7" t="s">
        <v>11730</v>
      </c>
      <c r="B4613" s="7" t="s">
        <v>11306</v>
      </c>
    </row>
    <row r="4614" spans="1:2">
      <c r="A4614" s="7" t="s">
        <v>11731</v>
      </c>
      <c r="B4614" s="7" t="s">
        <v>3679</v>
      </c>
    </row>
    <row r="4615" spans="1:2">
      <c r="A4615" s="7" t="s">
        <v>11732</v>
      </c>
      <c r="B4615" s="7" t="s">
        <v>11733</v>
      </c>
    </row>
    <row r="4616" spans="1:2">
      <c r="A4616" s="7" t="s">
        <v>11734</v>
      </c>
      <c r="B4616" s="7" t="s">
        <v>11735</v>
      </c>
    </row>
    <row r="4617" spans="1:2">
      <c r="A4617" s="7" t="s">
        <v>11736</v>
      </c>
      <c r="B4617" s="7" t="s">
        <v>4494</v>
      </c>
    </row>
    <row r="4618" spans="1:2">
      <c r="A4618" s="7" t="s">
        <v>11737</v>
      </c>
      <c r="B4618" s="7" t="s">
        <v>10533</v>
      </c>
    </row>
    <row r="4619" spans="1:2">
      <c r="A4619" s="7" t="s">
        <v>11738</v>
      </c>
      <c r="B4619" s="7" t="s">
        <v>11739</v>
      </c>
    </row>
    <row r="4620" spans="1:2">
      <c r="A4620" s="7" t="s">
        <v>11740</v>
      </c>
      <c r="B4620" s="7" t="s">
        <v>11741</v>
      </c>
    </row>
    <row r="4621" spans="1:2">
      <c r="A4621" s="7" t="s">
        <v>11742</v>
      </c>
      <c r="B4621" s="7" t="s">
        <v>11743</v>
      </c>
    </row>
    <row r="4622" spans="1:2">
      <c r="A4622" s="7" t="s">
        <v>11744</v>
      </c>
      <c r="B4622" s="7" t="s">
        <v>11745</v>
      </c>
    </row>
    <row r="4623" spans="1:2">
      <c r="A4623" s="7" t="s">
        <v>11746</v>
      </c>
      <c r="B4623" s="7" t="s">
        <v>5619</v>
      </c>
    </row>
    <row r="4624" spans="1:2">
      <c r="A4624" s="7" t="s">
        <v>11747</v>
      </c>
      <c r="B4624" s="7" t="s">
        <v>11748</v>
      </c>
    </row>
    <row r="4625" spans="1:2">
      <c r="A4625" s="7" t="s">
        <v>11749</v>
      </c>
      <c r="B4625" s="7" t="s">
        <v>11750</v>
      </c>
    </row>
    <row r="4626" spans="1:2">
      <c r="A4626" s="7" t="s">
        <v>11751</v>
      </c>
      <c r="B4626" s="7" t="s">
        <v>11752</v>
      </c>
    </row>
    <row r="4627" spans="1:2">
      <c r="A4627" s="7" t="s">
        <v>11753</v>
      </c>
      <c r="B4627" s="7" t="s">
        <v>5038</v>
      </c>
    </row>
    <row r="4628" spans="1:2">
      <c r="A4628" s="7" t="s">
        <v>11754</v>
      </c>
      <c r="B4628" s="7" t="s">
        <v>11755</v>
      </c>
    </row>
    <row r="4629" spans="1:2">
      <c r="A4629" s="7" t="s">
        <v>11756</v>
      </c>
      <c r="B4629" s="7" t="s">
        <v>11757</v>
      </c>
    </row>
    <row r="4630" spans="1:2">
      <c r="A4630" s="7" t="s">
        <v>11758</v>
      </c>
      <c r="B4630" s="7" t="s">
        <v>6877</v>
      </c>
    </row>
    <row r="4631" spans="1:2">
      <c r="A4631" s="7" t="s">
        <v>11759</v>
      </c>
      <c r="B4631" s="7" t="s">
        <v>11760</v>
      </c>
    </row>
    <row r="4632" spans="1:2">
      <c r="A4632" s="7" t="s">
        <v>11761</v>
      </c>
      <c r="B4632" s="7" t="s">
        <v>11762</v>
      </c>
    </row>
    <row r="4633" spans="1:2">
      <c r="A4633" s="7" t="s">
        <v>11763</v>
      </c>
      <c r="B4633" s="7" t="s">
        <v>11764</v>
      </c>
    </row>
    <row r="4634" spans="1:2">
      <c r="A4634" s="7" t="s">
        <v>11765</v>
      </c>
      <c r="B4634" s="7" t="s">
        <v>9141</v>
      </c>
    </row>
    <row r="4635" spans="1:2">
      <c r="A4635" s="7" t="s">
        <v>11766</v>
      </c>
      <c r="B4635" s="7" t="s">
        <v>4502</v>
      </c>
    </row>
    <row r="4636" spans="1:2">
      <c r="A4636" s="7" t="s">
        <v>11767</v>
      </c>
      <c r="B4636" s="7" t="s">
        <v>5681</v>
      </c>
    </row>
    <row r="4637" spans="1:2">
      <c r="A4637" s="7" t="s">
        <v>11768</v>
      </c>
      <c r="B4637" s="7" t="s">
        <v>11769</v>
      </c>
    </row>
    <row r="4638" spans="1:2">
      <c r="A4638" s="7" t="s">
        <v>11770</v>
      </c>
      <c r="B4638" s="7" t="s">
        <v>11480</v>
      </c>
    </row>
    <row r="4639" spans="1:2">
      <c r="A4639" s="7" t="s">
        <v>11771</v>
      </c>
      <c r="B4639" s="7" t="s">
        <v>11772</v>
      </c>
    </row>
    <row r="4640" spans="1:2">
      <c r="A4640" s="7" t="s">
        <v>11773</v>
      </c>
      <c r="B4640" s="7" t="s">
        <v>11774</v>
      </c>
    </row>
    <row r="4641" spans="1:2">
      <c r="A4641" s="7" t="s">
        <v>11775</v>
      </c>
      <c r="B4641" s="7" t="s">
        <v>11776</v>
      </c>
    </row>
    <row r="4642" spans="1:2">
      <c r="A4642" s="7" t="s">
        <v>11777</v>
      </c>
      <c r="B4642" s="7" t="s">
        <v>9800</v>
      </c>
    </row>
    <row r="4643" spans="1:2">
      <c r="A4643" s="7" t="s">
        <v>11778</v>
      </c>
      <c r="B4643" s="7" t="s">
        <v>11779</v>
      </c>
    </row>
    <row r="4644" spans="1:2">
      <c r="A4644" s="7" t="s">
        <v>11780</v>
      </c>
      <c r="B4644" s="7" t="s">
        <v>4111</v>
      </c>
    </row>
    <row r="4645" spans="1:2">
      <c r="A4645" s="7" t="s">
        <v>11781</v>
      </c>
      <c r="B4645" s="7" t="s">
        <v>11782</v>
      </c>
    </row>
    <row r="4646" spans="1:2">
      <c r="A4646" s="7" t="s">
        <v>11783</v>
      </c>
      <c r="B4646" s="7" t="s">
        <v>6253</v>
      </c>
    </row>
    <row r="4647" spans="1:2">
      <c r="A4647" s="7" t="s">
        <v>11784</v>
      </c>
      <c r="B4647" s="7" t="s">
        <v>11785</v>
      </c>
    </row>
    <row r="4648" spans="1:2">
      <c r="A4648" s="7" t="s">
        <v>11786</v>
      </c>
      <c r="B4648" s="7" t="s">
        <v>11787</v>
      </c>
    </row>
    <row r="4649" spans="1:2">
      <c r="A4649" s="7" t="s">
        <v>11788</v>
      </c>
      <c r="B4649" s="7" t="s">
        <v>11789</v>
      </c>
    </row>
    <row r="4650" spans="1:2">
      <c r="A4650" s="7" t="s">
        <v>11790</v>
      </c>
      <c r="B4650" s="7" t="s">
        <v>3455</v>
      </c>
    </row>
    <row r="4651" spans="1:2">
      <c r="A4651" s="7" t="s">
        <v>11791</v>
      </c>
      <c r="B4651" s="7" t="s">
        <v>11792</v>
      </c>
    </row>
    <row r="4652" spans="1:2">
      <c r="A4652" s="7" t="s">
        <v>11793</v>
      </c>
      <c r="B4652" s="7" t="s">
        <v>11794</v>
      </c>
    </row>
    <row r="4653" spans="1:2">
      <c r="A4653" s="7" t="s">
        <v>11795</v>
      </c>
      <c r="B4653" s="7" t="s">
        <v>3459</v>
      </c>
    </row>
    <row r="4654" spans="1:2">
      <c r="A4654" s="7" t="s">
        <v>11796</v>
      </c>
      <c r="B4654" s="7" t="s">
        <v>10752</v>
      </c>
    </row>
    <row r="4655" spans="1:2">
      <c r="A4655" s="7" t="s">
        <v>11797</v>
      </c>
      <c r="B4655" s="7" t="s">
        <v>11114</v>
      </c>
    </row>
    <row r="4656" spans="1:2">
      <c r="A4656" s="7" t="s">
        <v>11798</v>
      </c>
      <c r="B4656" s="7" t="s">
        <v>11799</v>
      </c>
    </row>
    <row r="4657" spans="1:2">
      <c r="A4657" s="7" t="s">
        <v>11800</v>
      </c>
      <c r="B4657" s="7" t="s">
        <v>11801</v>
      </c>
    </row>
    <row r="4658" spans="1:2">
      <c r="A4658" s="7" t="s">
        <v>11802</v>
      </c>
      <c r="B4658" s="7" t="s">
        <v>11803</v>
      </c>
    </row>
    <row r="4659" spans="1:2">
      <c r="A4659" s="7" t="s">
        <v>11804</v>
      </c>
      <c r="B4659" s="7" t="s">
        <v>10338</v>
      </c>
    </row>
    <row r="4660" spans="1:2">
      <c r="A4660" s="7" t="s">
        <v>11805</v>
      </c>
      <c r="B4660" s="7" t="s">
        <v>6617</v>
      </c>
    </row>
    <row r="4661" spans="1:2">
      <c r="A4661" s="7" t="s">
        <v>11806</v>
      </c>
      <c r="B4661" s="7" t="s">
        <v>11807</v>
      </c>
    </row>
    <row r="4662" spans="1:2">
      <c r="A4662" s="7" t="s">
        <v>11808</v>
      </c>
      <c r="B4662" s="7" t="s">
        <v>6879</v>
      </c>
    </row>
    <row r="4663" spans="1:2">
      <c r="A4663" s="7" t="s">
        <v>11809</v>
      </c>
      <c r="B4663" s="7" t="s">
        <v>11810</v>
      </c>
    </row>
    <row r="4664" spans="1:2">
      <c r="A4664" s="7" t="s">
        <v>11811</v>
      </c>
      <c r="B4664" s="7" t="s">
        <v>11812</v>
      </c>
    </row>
    <row r="4665" spans="1:2">
      <c r="A4665" s="7" t="s">
        <v>11813</v>
      </c>
      <c r="B4665" s="7" t="s">
        <v>5760</v>
      </c>
    </row>
    <row r="4666" spans="1:2">
      <c r="A4666" s="7" t="s">
        <v>11814</v>
      </c>
      <c r="B4666" s="7" t="s">
        <v>11577</v>
      </c>
    </row>
    <row r="4667" spans="1:2">
      <c r="A4667" s="7" t="s">
        <v>11815</v>
      </c>
      <c r="B4667" s="7" t="s">
        <v>11816</v>
      </c>
    </row>
    <row r="4668" spans="1:2">
      <c r="A4668" s="7" t="s">
        <v>11817</v>
      </c>
      <c r="B4668" s="7" t="s">
        <v>6890</v>
      </c>
    </row>
    <row r="4669" spans="1:2">
      <c r="A4669" s="7" t="s">
        <v>11818</v>
      </c>
      <c r="B4669" s="7" t="s">
        <v>11819</v>
      </c>
    </row>
    <row r="4670" spans="1:2">
      <c r="A4670" s="7" t="s">
        <v>11820</v>
      </c>
      <c r="B4670" s="7" t="s">
        <v>6242</v>
      </c>
    </row>
    <row r="4671" spans="1:2">
      <c r="A4671" s="7" t="s">
        <v>11821</v>
      </c>
      <c r="B4671" s="7" t="s">
        <v>11822</v>
      </c>
    </row>
    <row r="4672" spans="1:2">
      <c r="A4672" s="7" t="s">
        <v>11823</v>
      </c>
      <c r="B4672" s="7" t="s">
        <v>11824</v>
      </c>
    </row>
    <row r="4673" spans="1:2">
      <c r="A4673" s="7" t="s">
        <v>11825</v>
      </c>
      <c r="B4673" s="7" t="s">
        <v>11038</v>
      </c>
    </row>
    <row r="4674" spans="1:2">
      <c r="A4674" s="7" t="s">
        <v>11826</v>
      </c>
      <c r="B4674" s="7" t="s">
        <v>11827</v>
      </c>
    </row>
    <row r="4675" spans="1:2">
      <c r="A4675" s="7" t="s">
        <v>11828</v>
      </c>
      <c r="B4675" s="7" t="s">
        <v>11829</v>
      </c>
    </row>
    <row r="4676" spans="1:2">
      <c r="A4676" s="7" t="s">
        <v>11830</v>
      </c>
      <c r="B4676" s="7" t="s">
        <v>6915</v>
      </c>
    </row>
    <row r="4677" spans="1:2">
      <c r="A4677" s="7" t="s">
        <v>11831</v>
      </c>
      <c r="B4677" s="7" t="s">
        <v>4261</v>
      </c>
    </row>
    <row r="4678" spans="1:2">
      <c r="A4678" s="7" t="s">
        <v>11832</v>
      </c>
      <c r="B4678" s="7" t="s">
        <v>11833</v>
      </c>
    </row>
    <row r="4679" spans="1:2">
      <c r="A4679" s="7" t="s">
        <v>11834</v>
      </c>
      <c r="B4679" s="7" t="s">
        <v>11835</v>
      </c>
    </row>
    <row r="4680" spans="1:2">
      <c r="A4680" s="7" t="s">
        <v>11836</v>
      </c>
      <c r="B4680" s="7" t="s">
        <v>8740</v>
      </c>
    </row>
    <row r="4681" spans="1:2">
      <c r="A4681" s="7" t="s">
        <v>11837</v>
      </c>
      <c r="B4681" s="7" t="s">
        <v>10130</v>
      </c>
    </row>
    <row r="4682" spans="1:2">
      <c r="A4682" s="7" t="s">
        <v>11838</v>
      </c>
      <c r="B4682" s="7" t="s">
        <v>4986</v>
      </c>
    </row>
    <row r="4683" spans="1:2">
      <c r="A4683" s="7" t="s">
        <v>11839</v>
      </c>
      <c r="B4683" s="7" t="s">
        <v>6170</v>
      </c>
    </row>
    <row r="4684" spans="1:2">
      <c r="A4684" s="7" t="s">
        <v>11840</v>
      </c>
      <c r="B4684" s="7" t="s">
        <v>11841</v>
      </c>
    </row>
    <row r="4685" spans="1:2">
      <c r="A4685" s="7" t="s">
        <v>11842</v>
      </c>
      <c r="B4685" s="7" t="s">
        <v>11843</v>
      </c>
    </row>
    <row r="4686" spans="1:2">
      <c r="A4686" s="7" t="s">
        <v>11844</v>
      </c>
      <c r="B4686" s="7" t="s">
        <v>9337</v>
      </c>
    </row>
    <row r="4687" spans="1:2">
      <c r="A4687" s="7" t="s">
        <v>11845</v>
      </c>
      <c r="B4687" s="7" t="s">
        <v>11846</v>
      </c>
    </row>
    <row r="4688" spans="1:2">
      <c r="A4688" s="7" t="s">
        <v>11847</v>
      </c>
      <c r="B4688" s="7" t="s">
        <v>11848</v>
      </c>
    </row>
    <row r="4689" spans="1:2">
      <c r="A4689" s="7" t="s">
        <v>11849</v>
      </c>
      <c r="B4689" s="7" t="s">
        <v>11155</v>
      </c>
    </row>
    <row r="4690" spans="1:2">
      <c r="A4690" s="7" t="s">
        <v>11850</v>
      </c>
      <c r="B4690" s="7" t="s">
        <v>11851</v>
      </c>
    </row>
    <row r="4691" spans="1:2">
      <c r="A4691" s="7" t="s">
        <v>11852</v>
      </c>
      <c r="B4691" s="7" t="s">
        <v>5000</v>
      </c>
    </row>
    <row r="4692" spans="1:2">
      <c r="A4692" s="7" t="s">
        <v>11853</v>
      </c>
      <c r="B4692" s="7" t="s">
        <v>11854</v>
      </c>
    </row>
    <row r="4693" spans="1:2">
      <c r="A4693" s="7" t="s">
        <v>11855</v>
      </c>
      <c r="B4693" s="7" t="s">
        <v>3903</v>
      </c>
    </row>
    <row r="4694" spans="1:2">
      <c r="A4694" s="7" t="s">
        <v>11856</v>
      </c>
      <c r="B4694" s="7" t="s">
        <v>11857</v>
      </c>
    </row>
    <row r="4695" spans="1:2">
      <c r="A4695" s="7" t="s">
        <v>11858</v>
      </c>
      <c r="B4695" s="7" t="s">
        <v>11859</v>
      </c>
    </row>
    <row r="4696" spans="1:2">
      <c r="A4696" s="7" t="s">
        <v>11860</v>
      </c>
      <c r="B4696" s="7" t="s">
        <v>11861</v>
      </c>
    </row>
    <row r="4697" spans="1:2">
      <c r="A4697" s="7" t="s">
        <v>11862</v>
      </c>
      <c r="B4697" s="7" t="s">
        <v>11863</v>
      </c>
    </row>
    <row r="4698" spans="1:2">
      <c r="A4698" s="7" t="s">
        <v>11864</v>
      </c>
      <c r="B4698" s="7" t="s">
        <v>11865</v>
      </c>
    </row>
    <row r="4699" spans="1:2">
      <c r="A4699" s="7" t="s">
        <v>11866</v>
      </c>
      <c r="B4699" s="7" t="s">
        <v>3431</v>
      </c>
    </row>
    <row r="4700" spans="1:2">
      <c r="A4700" s="7" t="s">
        <v>11867</v>
      </c>
      <c r="B4700" s="7" t="s">
        <v>11868</v>
      </c>
    </row>
    <row r="4701" spans="1:2">
      <c r="A4701" s="7" t="s">
        <v>11869</v>
      </c>
      <c r="B4701" s="7" t="s">
        <v>11870</v>
      </c>
    </row>
    <row r="4702" spans="1:2">
      <c r="A4702" s="7" t="s">
        <v>11871</v>
      </c>
      <c r="B4702" s="7" t="s">
        <v>11872</v>
      </c>
    </row>
    <row r="4703" spans="1:2">
      <c r="A4703" s="7" t="s">
        <v>11873</v>
      </c>
      <c r="B4703" s="7" t="s">
        <v>11874</v>
      </c>
    </row>
    <row r="4704" spans="1:2">
      <c r="A4704" s="7" t="s">
        <v>11875</v>
      </c>
      <c r="B4704" s="7" t="s">
        <v>11876</v>
      </c>
    </row>
    <row r="4705" spans="1:2">
      <c r="A4705" s="7" t="s">
        <v>11877</v>
      </c>
      <c r="B4705" s="7" t="s">
        <v>11878</v>
      </c>
    </row>
    <row r="4706" spans="1:2">
      <c r="A4706" s="7" t="s">
        <v>11879</v>
      </c>
      <c r="B4706" s="7" t="s">
        <v>11880</v>
      </c>
    </row>
    <row r="4707" spans="1:2">
      <c r="A4707" s="7" t="s">
        <v>11881</v>
      </c>
      <c r="B4707" s="7" t="s">
        <v>11882</v>
      </c>
    </row>
    <row r="4708" spans="1:2">
      <c r="A4708" s="7" t="s">
        <v>11883</v>
      </c>
      <c r="B4708" s="7" t="s">
        <v>11884</v>
      </c>
    </row>
    <row r="4709" spans="1:2">
      <c r="A4709" s="7" t="s">
        <v>11885</v>
      </c>
      <c r="B4709" s="7" t="s">
        <v>3583</v>
      </c>
    </row>
    <row r="4710" spans="1:2">
      <c r="A4710" s="7" t="s">
        <v>11886</v>
      </c>
      <c r="B4710" s="7" t="s">
        <v>11887</v>
      </c>
    </row>
    <row r="4711" spans="1:2">
      <c r="A4711" s="7" t="s">
        <v>11888</v>
      </c>
      <c r="B4711" s="7" t="s">
        <v>8701</v>
      </c>
    </row>
    <row r="4712" spans="1:2">
      <c r="A4712" s="7" t="s">
        <v>11889</v>
      </c>
      <c r="B4712" s="7" t="s">
        <v>11890</v>
      </c>
    </row>
    <row r="4713" spans="1:2">
      <c r="A4713" s="7" t="s">
        <v>11891</v>
      </c>
      <c r="B4713" s="7" t="s">
        <v>11892</v>
      </c>
    </row>
    <row r="4714" spans="1:2">
      <c r="A4714" s="7" t="s">
        <v>11893</v>
      </c>
      <c r="B4714" s="7" t="s">
        <v>11894</v>
      </c>
    </row>
    <row r="4715" spans="1:2">
      <c r="A4715" s="7" t="s">
        <v>11895</v>
      </c>
      <c r="B4715" s="7" t="s">
        <v>11896</v>
      </c>
    </row>
    <row r="4716" spans="1:2">
      <c r="A4716" s="7" t="s">
        <v>11897</v>
      </c>
      <c r="B4716" s="7" t="s">
        <v>11898</v>
      </c>
    </row>
    <row r="4717" spans="1:2">
      <c r="A4717" s="7" t="s">
        <v>11899</v>
      </c>
      <c r="B4717" s="7" t="s">
        <v>11900</v>
      </c>
    </row>
    <row r="4718" spans="1:2">
      <c r="A4718" s="7" t="s">
        <v>11901</v>
      </c>
      <c r="B4718" s="7" t="s">
        <v>11902</v>
      </c>
    </row>
    <row r="4719" spans="1:2">
      <c r="A4719" s="7" t="s">
        <v>11903</v>
      </c>
      <c r="B4719" s="7" t="s">
        <v>11904</v>
      </c>
    </row>
    <row r="4720" spans="1:2">
      <c r="A4720" s="7" t="s">
        <v>11905</v>
      </c>
      <c r="B4720" s="7" t="s">
        <v>11906</v>
      </c>
    </row>
    <row r="4721" spans="1:2">
      <c r="A4721" s="7" t="s">
        <v>11907</v>
      </c>
      <c r="B4721" s="7" t="s">
        <v>8686</v>
      </c>
    </row>
    <row r="4722" spans="1:2">
      <c r="A4722" s="7" t="s">
        <v>11908</v>
      </c>
      <c r="B4722" s="7" t="s">
        <v>11909</v>
      </c>
    </row>
    <row r="4723" spans="1:2">
      <c r="A4723" s="7" t="s">
        <v>11910</v>
      </c>
      <c r="B4723" s="7" t="s">
        <v>11911</v>
      </c>
    </row>
    <row r="4724" spans="1:2">
      <c r="A4724" s="7" t="s">
        <v>11912</v>
      </c>
      <c r="B4724" s="7" t="s">
        <v>5123</v>
      </c>
    </row>
    <row r="4725" spans="1:2">
      <c r="A4725" s="7" t="s">
        <v>11913</v>
      </c>
      <c r="B4725" s="7" t="s">
        <v>11914</v>
      </c>
    </row>
    <row r="4726" spans="1:2">
      <c r="A4726" s="7" t="s">
        <v>11915</v>
      </c>
      <c r="B4726" s="7" t="s">
        <v>11916</v>
      </c>
    </row>
    <row r="4727" spans="1:2">
      <c r="A4727" s="7" t="s">
        <v>11917</v>
      </c>
      <c r="B4727" s="7" t="s">
        <v>11918</v>
      </c>
    </row>
    <row r="4728" spans="1:2">
      <c r="A4728" s="7" t="s">
        <v>11919</v>
      </c>
      <c r="B4728" s="7" t="s">
        <v>11920</v>
      </c>
    </row>
    <row r="4729" spans="1:2">
      <c r="A4729" s="7" t="s">
        <v>11921</v>
      </c>
      <c r="B4729" s="7" t="s">
        <v>11922</v>
      </c>
    </row>
    <row r="4730" spans="1:2">
      <c r="A4730" s="7" t="s">
        <v>11923</v>
      </c>
      <c r="B4730" s="7" t="s">
        <v>6053</v>
      </c>
    </row>
    <row r="4731" spans="1:2">
      <c r="A4731" s="7" t="s">
        <v>11924</v>
      </c>
      <c r="B4731" s="7" t="s">
        <v>11925</v>
      </c>
    </row>
    <row r="4732" spans="1:2">
      <c r="A4732" s="7" t="s">
        <v>11926</v>
      </c>
      <c r="B4732" s="7" t="s">
        <v>11927</v>
      </c>
    </row>
    <row r="4733" spans="1:2">
      <c r="A4733" s="7" t="s">
        <v>11928</v>
      </c>
      <c r="B4733" s="7" t="s">
        <v>11929</v>
      </c>
    </row>
    <row r="4734" spans="1:2">
      <c r="A4734" s="7" t="s">
        <v>11930</v>
      </c>
      <c r="B4734" s="7" t="s">
        <v>11931</v>
      </c>
    </row>
    <row r="4735" spans="1:2">
      <c r="A4735" s="7" t="s">
        <v>11932</v>
      </c>
      <c r="B4735" s="7" t="s">
        <v>11933</v>
      </c>
    </row>
    <row r="4736" spans="1:2">
      <c r="A4736" s="7" t="s">
        <v>11934</v>
      </c>
      <c r="B4736" s="7" t="s">
        <v>7051</v>
      </c>
    </row>
    <row r="4737" spans="1:2">
      <c r="A4737" s="7" t="s">
        <v>11935</v>
      </c>
      <c r="B4737" s="7" t="s">
        <v>11936</v>
      </c>
    </row>
    <row r="4738" spans="1:2">
      <c r="A4738" s="7" t="s">
        <v>11937</v>
      </c>
      <c r="B4738" s="7" t="s">
        <v>11938</v>
      </c>
    </row>
    <row r="4739" spans="1:2">
      <c r="A4739" s="7" t="s">
        <v>11939</v>
      </c>
      <c r="B4739" s="7" t="s">
        <v>11940</v>
      </c>
    </row>
    <row r="4740" spans="1:2">
      <c r="A4740" s="7" t="s">
        <v>11941</v>
      </c>
      <c r="B4740" s="7" t="s">
        <v>11942</v>
      </c>
    </row>
    <row r="4741" spans="1:2">
      <c r="A4741" s="7" t="s">
        <v>11943</v>
      </c>
      <c r="B4741" s="7" t="s">
        <v>11944</v>
      </c>
    </row>
    <row r="4742" spans="1:2">
      <c r="A4742" s="7" t="s">
        <v>11945</v>
      </c>
      <c r="B4742" s="7" t="s">
        <v>11946</v>
      </c>
    </row>
    <row r="4743" spans="1:2">
      <c r="A4743" s="7" t="s">
        <v>11947</v>
      </c>
      <c r="B4743" s="7" t="s">
        <v>11365</v>
      </c>
    </row>
    <row r="4744" spans="1:2">
      <c r="A4744" s="7" t="s">
        <v>11948</v>
      </c>
      <c r="B4744" s="7" t="s">
        <v>11949</v>
      </c>
    </row>
    <row r="4745" spans="1:2">
      <c r="A4745" s="7" t="s">
        <v>11950</v>
      </c>
      <c r="B4745" s="7" t="s">
        <v>11951</v>
      </c>
    </row>
    <row r="4746" spans="1:2">
      <c r="A4746" s="7" t="s">
        <v>11952</v>
      </c>
      <c r="B4746" s="7" t="s">
        <v>9169</v>
      </c>
    </row>
    <row r="4747" spans="1:2">
      <c r="A4747" s="7" t="s">
        <v>11953</v>
      </c>
      <c r="B4747" s="7" t="s">
        <v>11954</v>
      </c>
    </row>
    <row r="4748" spans="1:2">
      <c r="A4748" s="7" t="s">
        <v>11955</v>
      </c>
      <c r="B4748" s="7" t="s">
        <v>11956</v>
      </c>
    </row>
    <row r="4749" spans="1:2">
      <c r="A4749" s="7" t="s">
        <v>11957</v>
      </c>
      <c r="B4749" s="7" t="s">
        <v>7005</v>
      </c>
    </row>
    <row r="4750" spans="1:2">
      <c r="A4750" s="7" t="s">
        <v>11958</v>
      </c>
      <c r="B4750" s="7" t="s">
        <v>11959</v>
      </c>
    </row>
    <row r="4751" spans="1:2">
      <c r="A4751" s="7" t="s">
        <v>11960</v>
      </c>
      <c r="B4751" s="7" t="s">
        <v>11961</v>
      </c>
    </row>
    <row r="4752" spans="1:2">
      <c r="A4752" s="7" t="s">
        <v>11962</v>
      </c>
      <c r="B4752" s="7" t="s">
        <v>11963</v>
      </c>
    </row>
    <row r="4753" spans="1:2">
      <c r="A4753" s="7" t="s">
        <v>11964</v>
      </c>
      <c r="B4753" s="7" t="s">
        <v>11965</v>
      </c>
    </row>
    <row r="4754" spans="1:2">
      <c r="A4754" s="7" t="s">
        <v>11966</v>
      </c>
      <c r="B4754" s="7" t="s">
        <v>11967</v>
      </c>
    </row>
    <row r="4755" spans="1:2">
      <c r="A4755" s="7" t="s">
        <v>11968</v>
      </c>
      <c r="B4755" s="7" t="s">
        <v>11969</v>
      </c>
    </row>
    <row r="4756" spans="1:2">
      <c r="A4756" s="7" t="s">
        <v>11970</v>
      </c>
      <c r="B4756" s="7" t="s">
        <v>11971</v>
      </c>
    </row>
    <row r="4757" spans="1:2">
      <c r="A4757" s="7" t="s">
        <v>11972</v>
      </c>
      <c r="B4757" s="7" t="s">
        <v>3581</v>
      </c>
    </row>
    <row r="4758" spans="1:2">
      <c r="A4758" s="7" t="s">
        <v>11973</v>
      </c>
      <c r="B4758" s="7" t="s">
        <v>11127</v>
      </c>
    </row>
    <row r="4759" spans="1:2">
      <c r="A4759" s="7" t="s">
        <v>11974</v>
      </c>
      <c r="B4759" s="7" t="s">
        <v>6938</v>
      </c>
    </row>
    <row r="4760" spans="1:2">
      <c r="A4760" s="7" t="s">
        <v>11975</v>
      </c>
      <c r="B4760" s="7" t="s">
        <v>6762</v>
      </c>
    </row>
    <row r="4761" spans="1:2">
      <c r="A4761" s="7" t="s">
        <v>11976</v>
      </c>
      <c r="B4761" s="7" t="s">
        <v>11977</v>
      </c>
    </row>
    <row r="4762" spans="1:2">
      <c r="A4762" s="7" t="s">
        <v>11978</v>
      </c>
      <c r="B4762" s="7" t="s">
        <v>11979</v>
      </c>
    </row>
    <row r="4763" spans="1:2">
      <c r="A4763" s="7" t="s">
        <v>11980</v>
      </c>
      <c r="B4763" s="7" t="s">
        <v>11981</v>
      </c>
    </row>
    <row r="4764" spans="1:2">
      <c r="A4764" s="7" t="s">
        <v>11982</v>
      </c>
      <c r="B4764" s="7" t="s">
        <v>11983</v>
      </c>
    </row>
    <row r="4765" spans="1:2">
      <c r="A4765" s="7" t="s">
        <v>11984</v>
      </c>
      <c r="B4765" s="7" t="s">
        <v>11985</v>
      </c>
    </row>
    <row r="4766" spans="1:2">
      <c r="A4766" s="7" t="s">
        <v>11986</v>
      </c>
      <c r="B4766" s="7" t="s">
        <v>11987</v>
      </c>
    </row>
    <row r="4767" spans="1:2">
      <c r="A4767" s="7" t="s">
        <v>11988</v>
      </c>
      <c r="B4767" s="7" t="s">
        <v>11989</v>
      </c>
    </row>
    <row r="4768" spans="1:2">
      <c r="A4768" s="7" t="s">
        <v>11990</v>
      </c>
      <c r="B4768" s="7" t="s">
        <v>11991</v>
      </c>
    </row>
    <row r="4769" spans="1:2">
      <c r="A4769" s="7" t="s">
        <v>11992</v>
      </c>
      <c r="B4769" s="7" t="s">
        <v>11993</v>
      </c>
    </row>
    <row r="4770" spans="1:2">
      <c r="A4770" s="7" t="s">
        <v>11994</v>
      </c>
      <c r="B4770" s="7" t="s">
        <v>11995</v>
      </c>
    </row>
    <row r="4771" spans="1:2">
      <c r="A4771" s="7" t="s">
        <v>11996</v>
      </c>
      <c r="B4771" s="7" t="s">
        <v>11997</v>
      </c>
    </row>
    <row r="4772" spans="1:2">
      <c r="A4772" s="7" t="s">
        <v>11998</v>
      </c>
      <c r="B4772" s="7" t="s">
        <v>11999</v>
      </c>
    </row>
    <row r="4773" spans="1:2">
      <c r="A4773" s="7" t="s">
        <v>12000</v>
      </c>
      <c r="B4773" s="7" t="s">
        <v>12001</v>
      </c>
    </row>
    <row r="4774" spans="1:2">
      <c r="A4774" s="7" t="s">
        <v>12002</v>
      </c>
      <c r="B4774" s="7" t="s">
        <v>12003</v>
      </c>
    </row>
    <row r="4775" spans="1:2">
      <c r="A4775" s="7" t="s">
        <v>12004</v>
      </c>
      <c r="B4775" s="7" t="s">
        <v>4702</v>
      </c>
    </row>
    <row r="4776" spans="1:2">
      <c r="A4776" s="7" t="s">
        <v>12005</v>
      </c>
      <c r="B4776" s="7" t="s">
        <v>9141</v>
      </c>
    </row>
    <row r="4777" spans="1:2">
      <c r="A4777" s="7" t="s">
        <v>12006</v>
      </c>
      <c r="B4777" s="7" t="s">
        <v>3901</v>
      </c>
    </row>
    <row r="4778" spans="1:2">
      <c r="A4778" s="7" t="s">
        <v>12007</v>
      </c>
      <c r="B4778" s="7" t="s">
        <v>12008</v>
      </c>
    </row>
    <row r="4779" spans="1:2">
      <c r="A4779" s="7" t="s">
        <v>12009</v>
      </c>
      <c r="B4779" s="7" t="s">
        <v>12010</v>
      </c>
    </row>
    <row r="4780" spans="1:2">
      <c r="A4780" s="7" t="s">
        <v>12011</v>
      </c>
      <c r="B4780" s="7" t="s">
        <v>8830</v>
      </c>
    </row>
    <row r="4781" spans="1:2">
      <c r="A4781" s="7" t="s">
        <v>12012</v>
      </c>
      <c r="B4781" s="7" t="s">
        <v>12013</v>
      </c>
    </row>
    <row r="4782" spans="1:2">
      <c r="A4782" s="7" t="s">
        <v>12014</v>
      </c>
      <c r="B4782" s="7" t="s">
        <v>12015</v>
      </c>
    </row>
    <row r="4783" spans="1:2">
      <c r="A4783" s="7" t="s">
        <v>12016</v>
      </c>
      <c r="B4783" s="7" t="s">
        <v>9130</v>
      </c>
    </row>
    <row r="4784" spans="1:2">
      <c r="A4784" s="7" t="s">
        <v>12017</v>
      </c>
      <c r="B4784" s="7" t="s">
        <v>12018</v>
      </c>
    </row>
    <row r="4785" spans="1:2">
      <c r="A4785" s="7" t="s">
        <v>12019</v>
      </c>
      <c r="B4785" s="7" t="s">
        <v>12020</v>
      </c>
    </row>
    <row r="4786" spans="1:2">
      <c r="A4786" s="7" t="s">
        <v>12021</v>
      </c>
      <c r="B4786" s="7" t="s">
        <v>12022</v>
      </c>
    </row>
    <row r="4787" spans="1:2">
      <c r="A4787" s="7" t="s">
        <v>12023</v>
      </c>
      <c r="B4787" s="7" t="s">
        <v>12024</v>
      </c>
    </row>
    <row r="4788" spans="1:2">
      <c r="A4788" s="7" t="s">
        <v>12025</v>
      </c>
      <c r="B4788" s="7" t="s">
        <v>8733</v>
      </c>
    </row>
    <row r="4789" spans="1:2">
      <c r="A4789" s="7" t="s">
        <v>12026</v>
      </c>
      <c r="B4789" s="7" t="s">
        <v>9940</v>
      </c>
    </row>
    <row r="4790" spans="1:2">
      <c r="A4790" s="7" t="s">
        <v>12027</v>
      </c>
      <c r="B4790" s="7" t="s">
        <v>12028</v>
      </c>
    </row>
    <row r="4791" spans="1:2">
      <c r="A4791" s="7" t="s">
        <v>12029</v>
      </c>
      <c r="B4791" s="7" t="s">
        <v>12030</v>
      </c>
    </row>
    <row r="4792" spans="1:2">
      <c r="A4792" s="7" t="s">
        <v>12031</v>
      </c>
      <c r="B4792" s="7" t="s">
        <v>9843</v>
      </c>
    </row>
    <row r="4793" spans="1:2">
      <c r="A4793" s="7" t="s">
        <v>12032</v>
      </c>
      <c r="B4793" s="7" t="s">
        <v>12033</v>
      </c>
    </row>
    <row r="4794" spans="1:2">
      <c r="A4794" s="7" t="s">
        <v>12034</v>
      </c>
      <c r="B4794" s="7" t="s">
        <v>12035</v>
      </c>
    </row>
    <row r="4795" spans="1:2">
      <c r="A4795" s="7" t="s">
        <v>12036</v>
      </c>
      <c r="B4795" s="7" t="s">
        <v>12037</v>
      </c>
    </row>
    <row r="4796" spans="1:2">
      <c r="A4796" s="7" t="s">
        <v>12038</v>
      </c>
      <c r="B4796" s="7" t="s">
        <v>12039</v>
      </c>
    </row>
    <row r="4797" spans="1:2">
      <c r="A4797" s="7" t="s">
        <v>12040</v>
      </c>
      <c r="B4797" s="7" t="s">
        <v>12041</v>
      </c>
    </row>
    <row r="4798" spans="1:2">
      <c r="A4798" s="7" t="s">
        <v>12042</v>
      </c>
      <c r="B4798" s="7" t="s">
        <v>12043</v>
      </c>
    </row>
    <row r="4799" spans="1:2">
      <c r="A4799" s="7" t="s">
        <v>12044</v>
      </c>
      <c r="B4799" s="7" t="s">
        <v>3429</v>
      </c>
    </row>
    <row r="4800" spans="1:2">
      <c r="A4800" s="7" t="s">
        <v>12045</v>
      </c>
      <c r="B4800" s="7" t="s">
        <v>12046</v>
      </c>
    </row>
    <row r="4801" spans="1:2">
      <c r="A4801" s="7" t="s">
        <v>12047</v>
      </c>
      <c r="B4801" s="7" t="s">
        <v>12048</v>
      </c>
    </row>
    <row r="4802" spans="1:2">
      <c r="A4802" s="7" t="s">
        <v>12049</v>
      </c>
      <c r="B4802" s="7" t="s">
        <v>12050</v>
      </c>
    </row>
    <row r="4803" spans="1:2">
      <c r="A4803" s="7" t="s">
        <v>12051</v>
      </c>
      <c r="B4803" s="7" t="s">
        <v>12052</v>
      </c>
    </row>
    <row r="4804" spans="1:2">
      <c r="A4804" s="7" t="s">
        <v>12053</v>
      </c>
      <c r="B4804" s="7" t="s">
        <v>12054</v>
      </c>
    </row>
    <row r="4805" spans="1:2">
      <c r="A4805" s="7" t="s">
        <v>12055</v>
      </c>
      <c r="B4805" s="7" t="s">
        <v>12056</v>
      </c>
    </row>
    <row r="4806" spans="1:2">
      <c r="A4806" s="7" t="s">
        <v>12057</v>
      </c>
      <c r="B4806" s="7" t="s">
        <v>12058</v>
      </c>
    </row>
    <row r="4807" spans="1:2">
      <c r="A4807" s="7" t="s">
        <v>12059</v>
      </c>
      <c r="B4807" s="7" t="s">
        <v>12060</v>
      </c>
    </row>
    <row r="4808" spans="1:2">
      <c r="A4808" s="7" t="s">
        <v>12061</v>
      </c>
      <c r="B4808" s="7" t="s">
        <v>12062</v>
      </c>
    </row>
    <row r="4809" spans="1:2">
      <c r="A4809" s="7" t="s">
        <v>12063</v>
      </c>
      <c r="B4809" s="7" t="s">
        <v>12064</v>
      </c>
    </row>
    <row r="4810" spans="1:2">
      <c r="A4810" s="7" t="s">
        <v>12065</v>
      </c>
      <c r="B4810" s="7" t="s">
        <v>12066</v>
      </c>
    </row>
    <row r="4811" spans="1:2">
      <c r="A4811" s="7" t="s">
        <v>12067</v>
      </c>
      <c r="B4811" s="7" t="s">
        <v>9824</v>
      </c>
    </row>
    <row r="4812" spans="1:2">
      <c r="A4812" s="7" t="s">
        <v>12068</v>
      </c>
      <c r="B4812" s="7" t="s">
        <v>12069</v>
      </c>
    </row>
    <row r="4813" spans="1:2">
      <c r="A4813" s="7" t="s">
        <v>12070</v>
      </c>
      <c r="B4813" s="7" t="s">
        <v>12071</v>
      </c>
    </row>
    <row r="4814" spans="1:2">
      <c r="A4814" s="7" t="s">
        <v>12072</v>
      </c>
      <c r="B4814" s="7" t="s">
        <v>12073</v>
      </c>
    </row>
    <row r="4815" spans="1:2">
      <c r="A4815" s="7" t="s">
        <v>12074</v>
      </c>
      <c r="B4815" s="7" t="s">
        <v>12075</v>
      </c>
    </row>
    <row r="4816" spans="1:2">
      <c r="A4816" s="7" t="s">
        <v>12076</v>
      </c>
      <c r="B4816" s="7" t="s">
        <v>5742</v>
      </c>
    </row>
    <row r="4817" spans="1:2">
      <c r="A4817" s="7" t="s">
        <v>12077</v>
      </c>
      <c r="B4817" s="7" t="s">
        <v>3683</v>
      </c>
    </row>
    <row r="4818" spans="1:2">
      <c r="A4818" s="7" t="s">
        <v>12078</v>
      </c>
      <c r="B4818" s="7" t="s">
        <v>12079</v>
      </c>
    </row>
    <row r="4819" spans="1:2">
      <c r="A4819" s="7" t="s">
        <v>12080</v>
      </c>
      <c r="B4819" s="7" t="s">
        <v>4138</v>
      </c>
    </row>
    <row r="4820" spans="1:2">
      <c r="A4820" s="7" t="s">
        <v>12081</v>
      </c>
      <c r="B4820" s="7" t="s">
        <v>12082</v>
      </c>
    </row>
    <row r="4821" spans="1:2">
      <c r="A4821" s="7" t="s">
        <v>12083</v>
      </c>
      <c r="B4821" s="7" t="s">
        <v>12084</v>
      </c>
    </row>
    <row r="4822" spans="1:2">
      <c r="A4822" s="7" t="s">
        <v>12085</v>
      </c>
      <c r="B4822" s="7" t="s">
        <v>3331</v>
      </c>
    </row>
    <row r="4823" spans="1:2">
      <c r="A4823" s="7" t="s">
        <v>12086</v>
      </c>
      <c r="B4823" s="7" t="s">
        <v>12087</v>
      </c>
    </row>
    <row r="4824" spans="1:2">
      <c r="A4824" s="7" t="s">
        <v>12088</v>
      </c>
      <c r="B4824" s="7" t="s">
        <v>12089</v>
      </c>
    </row>
    <row r="4825" spans="1:2">
      <c r="A4825" s="7" t="s">
        <v>12090</v>
      </c>
      <c r="B4825" s="7" t="s">
        <v>12091</v>
      </c>
    </row>
    <row r="4826" spans="1:2">
      <c r="A4826" s="7" t="s">
        <v>12092</v>
      </c>
      <c r="B4826" s="7" t="s">
        <v>12093</v>
      </c>
    </row>
    <row r="4827" spans="1:2">
      <c r="A4827" s="7" t="s">
        <v>12094</v>
      </c>
      <c r="B4827" s="7" t="s">
        <v>12095</v>
      </c>
    </row>
    <row r="4828" spans="1:2">
      <c r="A4828" s="7" t="s">
        <v>12096</v>
      </c>
      <c r="B4828" s="7" t="s">
        <v>5038</v>
      </c>
    </row>
    <row r="4829" spans="1:2">
      <c r="A4829" s="7" t="s">
        <v>12097</v>
      </c>
      <c r="B4829" s="7" t="s">
        <v>12098</v>
      </c>
    </row>
    <row r="4830" spans="1:2">
      <c r="A4830" s="7" t="s">
        <v>12099</v>
      </c>
      <c r="B4830" s="7" t="s">
        <v>12100</v>
      </c>
    </row>
    <row r="4831" spans="1:2">
      <c r="A4831" s="7" t="s">
        <v>12101</v>
      </c>
      <c r="B4831" s="7" t="s">
        <v>12102</v>
      </c>
    </row>
    <row r="4832" spans="1:2">
      <c r="A4832" s="7" t="s">
        <v>12103</v>
      </c>
      <c r="B4832" s="7" t="s">
        <v>12104</v>
      </c>
    </row>
    <row r="4833" spans="1:2">
      <c r="A4833" s="7" t="s">
        <v>12105</v>
      </c>
      <c r="B4833" s="7" t="s">
        <v>12106</v>
      </c>
    </row>
    <row r="4834" spans="1:2">
      <c r="A4834" s="7" t="s">
        <v>12107</v>
      </c>
      <c r="B4834" s="7" t="s">
        <v>9077</v>
      </c>
    </row>
    <row r="4835" spans="1:2">
      <c r="A4835" s="7" t="s">
        <v>12108</v>
      </c>
      <c r="B4835" s="7" t="s">
        <v>12109</v>
      </c>
    </row>
    <row r="4836" spans="1:2">
      <c r="A4836" s="7" t="s">
        <v>12110</v>
      </c>
      <c r="B4836" s="7" t="s">
        <v>4251</v>
      </c>
    </row>
    <row r="4837" spans="1:2">
      <c r="A4837" s="7" t="s">
        <v>12111</v>
      </c>
      <c r="B4837" s="7" t="s">
        <v>12112</v>
      </c>
    </row>
    <row r="4838" spans="1:2">
      <c r="A4838" s="7" t="s">
        <v>12113</v>
      </c>
      <c r="B4838" s="7" t="s">
        <v>3549</v>
      </c>
    </row>
    <row r="4839" spans="1:2">
      <c r="A4839" s="7" t="s">
        <v>12114</v>
      </c>
      <c r="B4839" s="7" t="s">
        <v>4504</v>
      </c>
    </row>
    <row r="4840" spans="1:2">
      <c r="A4840" s="7" t="s">
        <v>12115</v>
      </c>
      <c r="B4840" s="7" t="s">
        <v>12116</v>
      </c>
    </row>
    <row r="4841" spans="1:2">
      <c r="A4841" s="7" t="s">
        <v>12117</v>
      </c>
      <c r="B4841" s="7" t="s">
        <v>6964</v>
      </c>
    </row>
    <row r="4842" spans="1:2">
      <c r="A4842" s="7" t="s">
        <v>12118</v>
      </c>
      <c r="B4842" s="7" t="s">
        <v>12119</v>
      </c>
    </row>
  </sheetData>
  <sheetProtection formatColumns="0" formatRows="0"/>
  <pageMargins left="0.75" right="0.75" top="1" bottom="1" header="0.5" footer="0.5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NCSN_IP">
    <tabColor indexed="47"/>
  </sheetPr>
  <dimension ref="A1:G112"/>
  <sheetViews>
    <sheetView showGridLines="0" zoomScaleNormal="100" workbookViewId="0"/>
  </sheetViews>
  <sheetFormatPr defaultColWidth="9.125" defaultRowHeight="11.4"/>
  <cols>
    <col min="1" max="16384" width="9.125" style="7"/>
  </cols>
  <sheetData>
    <row r="1" spans="1:7">
      <c r="A1" s="7" t="s">
        <v>1203</v>
      </c>
      <c r="B1" s="7" t="s">
        <v>2380</v>
      </c>
      <c r="C1" s="7" t="s">
        <v>2381</v>
      </c>
      <c r="D1" s="7" t="s">
        <v>2382</v>
      </c>
      <c r="E1" s="7" t="s">
        <v>2383</v>
      </c>
      <c r="F1" s="7" t="s">
        <v>2384</v>
      </c>
      <c r="G1" s="7" t="s">
        <v>2385</v>
      </c>
    </row>
    <row r="2" spans="1:7">
      <c r="A2" s="7" t="s">
        <v>13324</v>
      </c>
      <c r="B2" s="7" t="s">
        <v>2374</v>
      </c>
      <c r="C2" s="755"/>
    </row>
    <row r="3" spans="1:7">
      <c r="A3" s="7" t="s">
        <v>13324</v>
      </c>
      <c r="B3" s="7" t="s">
        <v>2374</v>
      </c>
      <c r="C3" s="755" t="s">
        <v>13325</v>
      </c>
      <c r="D3" s="7" t="s">
        <v>129</v>
      </c>
      <c r="E3" s="7" t="s">
        <v>13326</v>
      </c>
      <c r="F3" s="7" t="s">
        <v>13327</v>
      </c>
      <c r="G3" s="7" t="s">
        <v>13328</v>
      </c>
    </row>
    <row r="4" spans="1:7">
      <c r="A4" s="7" t="s">
        <v>13324</v>
      </c>
      <c r="B4" s="7" t="s">
        <v>2374</v>
      </c>
      <c r="C4" s="755" t="s">
        <v>13329</v>
      </c>
      <c r="D4" s="7" t="s">
        <v>131</v>
      </c>
      <c r="E4" s="7" t="s">
        <v>13330</v>
      </c>
      <c r="F4" s="7" t="s">
        <v>13331</v>
      </c>
      <c r="G4" s="7" t="s">
        <v>13332</v>
      </c>
    </row>
    <row r="5" spans="1:7">
      <c r="A5" s="7" t="s">
        <v>13324</v>
      </c>
      <c r="B5" s="7" t="s">
        <v>2374</v>
      </c>
      <c r="C5" s="755" t="s">
        <v>13329</v>
      </c>
      <c r="D5" s="7" t="s">
        <v>129</v>
      </c>
      <c r="E5" s="7" t="s">
        <v>13326</v>
      </c>
      <c r="F5" s="7" t="s">
        <v>13331</v>
      </c>
      <c r="G5" s="7" t="s">
        <v>13332</v>
      </c>
    </row>
    <row r="6" spans="1:7">
      <c r="A6" s="7" t="s">
        <v>13324</v>
      </c>
      <c r="B6" s="7" t="s">
        <v>2374</v>
      </c>
      <c r="C6" s="755" t="s">
        <v>13333</v>
      </c>
      <c r="D6" s="7" t="s">
        <v>129</v>
      </c>
      <c r="E6" s="7" t="s">
        <v>13326</v>
      </c>
      <c r="F6" s="7" t="s">
        <v>13334</v>
      </c>
      <c r="G6" s="7" t="s">
        <v>13335</v>
      </c>
    </row>
    <row r="7" spans="1:7">
      <c r="A7" s="7" t="s">
        <v>13324</v>
      </c>
      <c r="B7" s="7" t="s">
        <v>2374</v>
      </c>
      <c r="C7" s="755" t="s">
        <v>13336</v>
      </c>
      <c r="D7" s="7" t="s">
        <v>129</v>
      </c>
      <c r="E7" s="7" t="s">
        <v>13326</v>
      </c>
      <c r="F7" s="7" t="s">
        <v>13337</v>
      </c>
      <c r="G7" s="7" t="s">
        <v>13338</v>
      </c>
    </row>
    <row r="8" spans="1:7">
      <c r="A8" s="7" t="s">
        <v>13324</v>
      </c>
      <c r="B8" s="7" t="s">
        <v>2374</v>
      </c>
      <c r="C8" s="755" t="s">
        <v>13339</v>
      </c>
      <c r="D8" s="7" t="s">
        <v>129</v>
      </c>
      <c r="E8" s="7" t="s">
        <v>13326</v>
      </c>
      <c r="F8" s="7" t="s">
        <v>13337</v>
      </c>
      <c r="G8" s="7" t="s">
        <v>13340</v>
      </c>
    </row>
    <row r="9" spans="1:7">
      <c r="A9" s="7" t="s">
        <v>13324</v>
      </c>
      <c r="B9" s="7" t="s">
        <v>2374</v>
      </c>
      <c r="C9" s="755" t="s">
        <v>13341</v>
      </c>
      <c r="D9" s="7" t="s">
        <v>129</v>
      </c>
      <c r="E9" s="7" t="s">
        <v>13326</v>
      </c>
      <c r="F9" s="7" t="s">
        <v>13342</v>
      </c>
      <c r="G9" s="7" t="s">
        <v>13343</v>
      </c>
    </row>
    <row r="10" spans="1:7">
      <c r="A10" s="7" t="s">
        <v>13324</v>
      </c>
      <c r="B10" s="7" t="s">
        <v>2374</v>
      </c>
      <c r="C10" s="755" t="s">
        <v>13344</v>
      </c>
      <c r="D10" s="7" t="s">
        <v>129</v>
      </c>
      <c r="E10" s="7" t="s">
        <v>13326</v>
      </c>
      <c r="F10" s="7" t="s">
        <v>13345</v>
      </c>
      <c r="G10" s="7" t="s">
        <v>13346</v>
      </c>
    </row>
    <row r="11" spans="1:7">
      <c r="A11" s="7" t="s">
        <v>13324</v>
      </c>
      <c r="B11" s="7" t="s">
        <v>2374</v>
      </c>
      <c r="C11" s="755" t="s">
        <v>13347</v>
      </c>
      <c r="D11" s="7" t="s">
        <v>129</v>
      </c>
      <c r="E11" s="7" t="s">
        <v>13326</v>
      </c>
      <c r="F11" s="7" t="s">
        <v>13345</v>
      </c>
      <c r="G11" s="7" t="s">
        <v>13346</v>
      </c>
    </row>
    <row r="12" spans="1:7">
      <c r="A12" s="7" t="s">
        <v>13324</v>
      </c>
      <c r="B12" s="7" t="s">
        <v>2374</v>
      </c>
      <c r="C12" s="755" t="s">
        <v>13348</v>
      </c>
      <c r="D12" s="7" t="s">
        <v>129</v>
      </c>
      <c r="E12" s="7" t="s">
        <v>13326</v>
      </c>
      <c r="F12" s="7" t="s">
        <v>13349</v>
      </c>
      <c r="G12" s="7" t="s">
        <v>13350</v>
      </c>
    </row>
    <row r="13" spans="1:7">
      <c r="A13" s="7" t="s">
        <v>13324</v>
      </c>
      <c r="B13" s="7" t="s">
        <v>2374</v>
      </c>
      <c r="C13" s="755" t="s">
        <v>13351</v>
      </c>
      <c r="D13" s="7" t="s">
        <v>129</v>
      </c>
      <c r="E13" s="7" t="s">
        <v>13326</v>
      </c>
      <c r="F13" s="7" t="s">
        <v>13352</v>
      </c>
      <c r="G13" s="7" t="s">
        <v>13353</v>
      </c>
    </row>
    <row r="14" spans="1:7">
      <c r="A14" s="7" t="s">
        <v>13324</v>
      </c>
      <c r="B14" s="7" t="s">
        <v>2374</v>
      </c>
      <c r="C14" s="755" t="s">
        <v>13354</v>
      </c>
      <c r="D14" s="7" t="s">
        <v>129</v>
      </c>
      <c r="E14" s="7" t="s">
        <v>13326</v>
      </c>
      <c r="F14" s="7" t="s">
        <v>13355</v>
      </c>
      <c r="G14" s="7" t="s">
        <v>13356</v>
      </c>
    </row>
    <row r="15" spans="1:7">
      <c r="A15" s="7" t="s">
        <v>13324</v>
      </c>
      <c r="B15" s="7" t="s">
        <v>2374</v>
      </c>
      <c r="C15" s="755" t="s">
        <v>13357</v>
      </c>
      <c r="D15" s="7" t="s">
        <v>129</v>
      </c>
      <c r="E15" s="7" t="s">
        <v>13326</v>
      </c>
      <c r="F15" s="7" t="s">
        <v>13358</v>
      </c>
      <c r="G15" s="7" t="s">
        <v>13359</v>
      </c>
    </row>
    <row r="16" spans="1:7">
      <c r="A16" s="7" t="s">
        <v>13324</v>
      </c>
      <c r="B16" s="7" t="s">
        <v>2374</v>
      </c>
      <c r="C16" s="755" t="s">
        <v>13357</v>
      </c>
      <c r="D16" s="7" t="s">
        <v>131</v>
      </c>
      <c r="E16" s="7" t="s">
        <v>13330</v>
      </c>
      <c r="F16" s="7" t="s">
        <v>13358</v>
      </c>
      <c r="G16" s="7" t="s">
        <v>13359</v>
      </c>
    </row>
    <row r="17" spans="1:7">
      <c r="A17" s="7" t="s">
        <v>13324</v>
      </c>
      <c r="B17" s="7" t="s">
        <v>2374</v>
      </c>
      <c r="C17" s="755" t="s">
        <v>13360</v>
      </c>
      <c r="D17" s="7" t="s">
        <v>129</v>
      </c>
      <c r="E17" s="7" t="s">
        <v>13326</v>
      </c>
      <c r="F17" s="7" t="s">
        <v>13361</v>
      </c>
      <c r="G17" s="7" t="s">
        <v>13362</v>
      </c>
    </row>
    <row r="18" spans="1:7">
      <c r="A18" s="7" t="s">
        <v>13324</v>
      </c>
      <c r="B18" s="7" t="s">
        <v>2374</v>
      </c>
      <c r="C18" s="755" t="s">
        <v>13363</v>
      </c>
      <c r="D18" s="7" t="s">
        <v>129</v>
      </c>
      <c r="E18" s="7" t="s">
        <v>13326</v>
      </c>
      <c r="F18" s="7" t="s">
        <v>13364</v>
      </c>
      <c r="G18" s="7" t="s">
        <v>13365</v>
      </c>
    </row>
    <row r="19" spans="1:7">
      <c r="A19" s="7" t="s">
        <v>13324</v>
      </c>
      <c r="B19" s="7" t="s">
        <v>2374</v>
      </c>
      <c r="C19" s="755" t="s">
        <v>13366</v>
      </c>
      <c r="D19" s="7" t="s">
        <v>129</v>
      </c>
      <c r="E19" s="7" t="s">
        <v>13326</v>
      </c>
      <c r="F19" s="7" t="s">
        <v>13367</v>
      </c>
      <c r="G19" s="7" t="s">
        <v>13365</v>
      </c>
    </row>
    <row r="20" spans="1:7">
      <c r="A20" s="7" t="s">
        <v>13324</v>
      </c>
      <c r="B20" s="7" t="s">
        <v>2374</v>
      </c>
      <c r="C20" s="755" t="s">
        <v>13368</v>
      </c>
      <c r="D20" s="7" t="s">
        <v>129</v>
      </c>
      <c r="E20" s="7" t="s">
        <v>13326</v>
      </c>
      <c r="F20" s="7" t="s">
        <v>13369</v>
      </c>
      <c r="G20" s="7" t="s">
        <v>13365</v>
      </c>
    </row>
    <row r="21" spans="1:7">
      <c r="A21" s="7" t="s">
        <v>13324</v>
      </c>
      <c r="B21" s="7" t="s">
        <v>2374</v>
      </c>
      <c r="C21" s="755" t="s">
        <v>13370</v>
      </c>
      <c r="D21" s="7" t="s">
        <v>129</v>
      </c>
      <c r="E21" s="7" t="s">
        <v>13326</v>
      </c>
      <c r="F21" s="7" t="s">
        <v>13371</v>
      </c>
      <c r="G21" s="7" t="s">
        <v>13338</v>
      </c>
    </row>
    <row r="22" spans="1:7">
      <c r="A22" s="7" t="s">
        <v>13324</v>
      </c>
      <c r="B22" s="7" t="s">
        <v>2374</v>
      </c>
      <c r="C22" s="755" t="s">
        <v>13372</v>
      </c>
      <c r="D22" s="7" t="s">
        <v>129</v>
      </c>
      <c r="E22" s="7" t="s">
        <v>13326</v>
      </c>
      <c r="F22" s="7" t="s">
        <v>13373</v>
      </c>
      <c r="G22" s="7" t="s">
        <v>13365</v>
      </c>
    </row>
    <row r="23" spans="1:7">
      <c r="A23" s="7" t="s">
        <v>13324</v>
      </c>
      <c r="B23" s="7" t="s">
        <v>2374</v>
      </c>
      <c r="C23" s="755" t="s">
        <v>13374</v>
      </c>
      <c r="D23" s="7" t="s">
        <v>129</v>
      </c>
      <c r="E23" s="7" t="s">
        <v>13326</v>
      </c>
      <c r="F23" s="7" t="s">
        <v>13375</v>
      </c>
      <c r="G23" s="7" t="s">
        <v>13376</v>
      </c>
    </row>
    <row r="24" spans="1:7">
      <c r="A24" s="7" t="s">
        <v>13324</v>
      </c>
      <c r="B24" s="7" t="s">
        <v>2374</v>
      </c>
      <c r="C24" s="755" t="s">
        <v>13377</v>
      </c>
      <c r="D24" s="7" t="s">
        <v>129</v>
      </c>
      <c r="E24" s="7" t="s">
        <v>13326</v>
      </c>
      <c r="F24" s="7" t="s">
        <v>13378</v>
      </c>
      <c r="G24" s="7" t="s">
        <v>13338</v>
      </c>
    </row>
    <row r="25" spans="1:7">
      <c r="A25" s="7" t="s">
        <v>13324</v>
      </c>
      <c r="B25" s="7" t="s">
        <v>2374</v>
      </c>
      <c r="C25" s="755" t="s">
        <v>13379</v>
      </c>
      <c r="D25" s="7" t="s">
        <v>129</v>
      </c>
      <c r="E25" s="7" t="s">
        <v>13326</v>
      </c>
      <c r="F25" s="7" t="s">
        <v>13380</v>
      </c>
      <c r="G25" s="7" t="s">
        <v>13381</v>
      </c>
    </row>
    <row r="26" spans="1:7">
      <c r="A26" s="7" t="s">
        <v>13324</v>
      </c>
      <c r="B26" s="7" t="s">
        <v>2374</v>
      </c>
      <c r="C26" s="755" t="s">
        <v>13379</v>
      </c>
      <c r="D26" s="7" t="s">
        <v>131</v>
      </c>
      <c r="E26" s="7" t="s">
        <v>13330</v>
      </c>
      <c r="F26" s="7" t="s">
        <v>13380</v>
      </c>
      <c r="G26" s="7" t="s">
        <v>13381</v>
      </c>
    </row>
    <row r="27" spans="1:7">
      <c r="A27" s="7" t="s">
        <v>13324</v>
      </c>
      <c r="B27" s="7" t="s">
        <v>2374</v>
      </c>
      <c r="C27" s="755" t="s">
        <v>13382</v>
      </c>
      <c r="D27" s="7" t="s">
        <v>129</v>
      </c>
      <c r="E27" s="7" t="s">
        <v>13326</v>
      </c>
      <c r="F27" s="7" t="s">
        <v>13383</v>
      </c>
      <c r="G27" s="7" t="s">
        <v>13384</v>
      </c>
    </row>
    <row r="28" spans="1:7">
      <c r="A28" s="7" t="s">
        <v>13324</v>
      </c>
      <c r="B28" s="7" t="s">
        <v>2374</v>
      </c>
      <c r="C28" s="755" t="s">
        <v>13385</v>
      </c>
      <c r="D28" s="7" t="s">
        <v>129</v>
      </c>
      <c r="E28" s="7" t="s">
        <v>13326</v>
      </c>
      <c r="F28" s="7" t="s">
        <v>13386</v>
      </c>
      <c r="G28" s="7" t="s">
        <v>13387</v>
      </c>
    </row>
    <row r="29" spans="1:7">
      <c r="A29" s="7" t="s">
        <v>13324</v>
      </c>
      <c r="B29" s="7" t="s">
        <v>2374</v>
      </c>
      <c r="C29" s="755" t="s">
        <v>13388</v>
      </c>
      <c r="D29" s="7" t="s">
        <v>129</v>
      </c>
      <c r="E29" s="7" t="s">
        <v>13326</v>
      </c>
      <c r="F29" s="7" t="s">
        <v>13389</v>
      </c>
      <c r="G29" s="7" t="s">
        <v>13390</v>
      </c>
    </row>
    <row r="30" spans="1:7">
      <c r="A30" s="7" t="s">
        <v>13324</v>
      </c>
      <c r="B30" s="7" t="s">
        <v>2374</v>
      </c>
      <c r="C30" s="755" t="s">
        <v>13391</v>
      </c>
      <c r="D30" s="7" t="s">
        <v>129</v>
      </c>
      <c r="E30" s="7" t="s">
        <v>13326</v>
      </c>
      <c r="F30" s="7" t="s">
        <v>13392</v>
      </c>
      <c r="G30" s="7" t="s">
        <v>13393</v>
      </c>
    </row>
    <row r="31" spans="1:7">
      <c r="A31" s="7" t="s">
        <v>13324</v>
      </c>
      <c r="B31" s="7" t="s">
        <v>2374</v>
      </c>
      <c r="C31" s="755" t="s">
        <v>13394</v>
      </c>
      <c r="D31" s="7" t="s">
        <v>129</v>
      </c>
      <c r="E31" s="7" t="s">
        <v>13326</v>
      </c>
      <c r="F31" s="7" t="s">
        <v>13395</v>
      </c>
      <c r="G31" s="7" t="s">
        <v>13396</v>
      </c>
    </row>
    <row r="32" spans="1:7">
      <c r="A32" s="7" t="s">
        <v>13324</v>
      </c>
      <c r="B32" s="7" t="s">
        <v>2374</v>
      </c>
      <c r="C32" s="755" t="s">
        <v>13397</v>
      </c>
      <c r="D32" s="7" t="s">
        <v>129</v>
      </c>
      <c r="E32" s="7" t="s">
        <v>13326</v>
      </c>
      <c r="F32" s="7" t="s">
        <v>13398</v>
      </c>
      <c r="G32" s="7" t="s">
        <v>13396</v>
      </c>
    </row>
    <row r="33" spans="1:7">
      <c r="A33" s="7" t="s">
        <v>13324</v>
      </c>
      <c r="B33" s="7" t="s">
        <v>2374</v>
      </c>
      <c r="C33" s="755" t="s">
        <v>13399</v>
      </c>
      <c r="D33" s="7" t="s">
        <v>129</v>
      </c>
      <c r="E33" s="7" t="s">
        <v>13326</v>
      </c>
      <c r="F33" s="7" t="s">
        <v>13380</v>
      </c>
      <c r="G33" s="7" t="s">
        <v>13393</v>
      </c>
    </row>
    <row r="34" spans="1:7">
      <c r="A34" s="7" t="s">
        <v>13324</v>
      </c>
      <c r="B34" s="7" t="s">
        <v>2374</v>
      </c>
      <c r="C34" s="755" t="s">
        <v>13400</v>
      </c>
      <c r="D34" s="7" t="s">
        <v>129</v>
      </c>
      <c r="E34" s="7" t="s">
        <v>13326</v>
      </c>
      <c r="F34" s="7" t="s">
        <v>13401</v>
      </c>
      <c r="G34" s="7" t="s">
        <v>13387</v>
      </c>
    </row>
    <row r="35" spans="1:7">
      <c r="A35" s="7" t="s">
        <v>13324</v>
      </c>
      <c r="B35" s="7" t="s">
        <v>2374</v>
      </c>
      <c r="C35" s="755" t="s">
        <v>13402</v>
      </c>
      <c r="D35" s="7" t="s">
        <v>129</v>
      </c>
      <c r="E35" s="7" t="s">
        <v>13326</v>
      </c>
      <c r="F35" s="7" t="s">
        <v>13355</v>
      </c>
      <c r="G35" s="7" t="s">
        <v>13393</v>
      </c>
    </row>
    <row r="36" spans="1:7">
      <c r="A36" s="7" t="s">
        <v>13324</v>
      </c>
      <c r="B36" s="7" t="s">
        <v>2374</v>
      </c>
      <c r="C36" s="755" t="s">
        <v>13403</v>
      </c>
      <c r="D36" s="7" t="s">
        <v>129</v>
      </c>
      <c r="E36" s="7" t="s">
        <v>13326</v>
      </c>
      <c r="F36" s="7" t="s">
        <v>13378</v>
      </c>
      <c r="G36" s="7" t="s">
        <v>13338</v>
      </c>
    </row>
    <row r="37" spans="1:7">
      <c r="A37" s="7" t="s">
        <v>13324</v>
      </c>
      <c r="B37" s="7" t="s">
        <v>2374</v>
      </c>
      <c r="C37" s="755" t="s">
        <v>13404</v>
      </c>
      <c r="D37" s="7" t="s">
        <v>129</v>
      </c>
      <c r="E37" s="7" t="s">
        <v>13326</v>
      </c>
      <c r="F37" s="7" t="s">
        <v>13405</v>
      </c>
      <c r="G37" s="7" t="s">
        <v>13406</v>
      </c>
    </row>
    <row r="38" spans="1:7">
      <c r="A38" s="7" t="s">
        <v>13324</v>
      </c>
      <c r="B38" s="7" t="s">
        <v>2374</v>
      </c>
      <c r="C38" s="755" t="s">
        <v>13407</v>
      </c>
      <c r="D38" s="7" t="s">
        <v>129</v>
      </c>
      <c r="E38" s="7" t="s">
        <v>13326</v>
      </c>
      <c r="F38" s="7" t="s">
        <v>13405</v>
      </c>
      <c r="G38" s="7" t="s">
        <v>13353</v>
      </c>
    </row>
    <row r="39" spans="1:7">
      <c r="A39" s="7" t="s">
        <v>13324</v>
      </c>
      <c r="B39" s="7" t="s">
        <v>2374</v>
      </c>
      <c r="C39" s="755" t="s">
        <v>13408</v>
      </c>
      <c r="D39" s="7" t="s">
        <v>129</v>
      </c>
      <c r="E39" s="7" t="s">
        <v>13326</v>
      </c>
      <c r="F39" s="7" t="s">
        <v>13405</v>
      </c>
      <c r="G39" s="7" t="s">
        <v>13353</v>
      </c>
    </row>
    <row r="40" spans="1:7">
      <c r="A40" s="7" t="s">
        <v>13324</v>
      </c>
      <c r="B40" s="7" t="s">
        <v>2374</v>
      </c>
      <c r="C40" s="755" t="s">
        <v>13409</v>
      </c>
      <c r="D40" s="7" t="s">
        <v>129</v>
      </c>
      <c r="E40" s="7" t="s">
        <v>13326</v>
      </c>
      <c r="F40" s="7" t="s">
        <v>13405</v>
      </c>
      <c r="G40" s="7" t="s">
        <v>13353</v>
      </c>
    </row>
    <row r="41" spans="1:7">
      <c r="A41" s="7" t="s">
        <v>13324</v>
      </c>
      <c r="B41" s="7" t="s">
        <v>2374</v>
      </c>
      <c r="C41" s="755" t="s">
        <v>13410</v>
      </c>
      <c r="D41" s="7" t="s">
        <v>129</v>
      </c>
      <c r="E41" s="7" t="s">
        <v>13326</v>
      </c>
      <c r="F41" s="7" t="s">
        <v>13405</v>
      </c>
      <c r="G41" s="7" t="s">
        <v>13353</v>
      </c>
    </row>
    <row r="42" spans="1:7">
      <c r="A42" s="7" t="s">
        <v>13324</v>
      </c>
      <c r="B42" s="7" t="s">
        <v>2374</v>
      </c>
      <c r="C42" s="755" t="s">
        <v>13411</v>
      </c>
      <c r="D42" s="7" t="s">
        <v>129</v>
      </c>
      <c r="E42" s="7" t="s">
        <v>13326</v>
      </c>
      <c r="F42" s="7" t="s">
        <v>13405</v>
      </c>
      <c r="G42" s="7" t="s">
        <v>13353</v>
      </c>
    </row>
    <row r="43" spans="1:7">
      <c r="A43" s="7" t="s">
        <v>13324</v>
      </c>
      <c r="B43" s="7" t="s">
        <v>2374</v>
      </c>
      <c r="C43" s="755" t="s">
        <v>13412</v>
      </c>
      <c r="D43" s="7" t="s">
        <v>129</v>
      </c>
      <c r="E43" s="7" t="s">
        <v>13326</v>
      </c>
      <c r="F43" s="7" t="s">
        <v>13413</v>
      </c>
      <c r="G43" s="7" t="s">
        <v>13387</v>
      </c>
    </row>
    <row r="44" spans="1:7">
      <c r="A44" s="7" t="s">
        <v>13324</v>
      </c>
      <c r="B44" s="7" t="s">
        <v>2374</v>
      </c>
      <c r="C44" s="755" t="s">
        <v>13414</v>
      </c>
      <c r="D44" s="7" t="s">
        <v>129</v>
      </c>
      <c r="E44" s="7" t="s">
        <v>13326</v>
      </c>
      <c r="F44" s="7" t="s">
        <v>13415</v>
      </c>
      <c r="G44" s="7" t="s">
        <v>13365</v>
      </c>
    </row>
    <row r="45" spans="1:7">
      <c r="A45" s="7" t="s">
        <v>13324</v>
      </c>
      <c r="B45" s="7" t="s">
        <v>2374</v>
      </c>
      <c r="C45" s="755" t="s">
        <v>13416</v>
      </c>
      <c r="D45" s="7" t="s">
        <v>129</v>
      </c>
      <c r="E45" s="7" t="s">
        <v>13326</v>
      </c>
      <c r="F45" s="7" t="s">
        <v>13378</v>
      </c>
      <c r="G45" s="7" t="s">
        <v>13353</v>
      </c>
    </row>
    <row r="46" spans="1:7">
      <c r="A46" s="7" t="s">
        <v>13324</v>
      </c>
      <c r="B46" s="7" t="s">
        <v>2374</v>
      </c>
      <c r="C46" s="755" t="s">
        <v>13417</v>
      </c>
      <c r="D46" s="7" t="s">
        <v>129</v>
      </c>
      <c r="E46" s="7" t="s">
        <v>13326</v>
      </c>
      <c r="F46" s="7" t="s">
        <v>13378</v>
      </c>
      <c r="G46" s="7" t="s">
        <v>13356</v>
      </c>
    </row>
    <row r="47" spans="1:7">
      <c r="A47" s="7" t="s">
        <v>13324</v>
      </c>
      <c r="B47" s="7" t="s">
        <v>2374</v>
      </c>
      <c r="C47" s="755" t="s">
        <v>13418</v>
      </c>
      <c r="D47" s="7" t="s">
        <v>129</v>
      </c>
      <c r="E47" s="7" t="s">
        <v>13326</v>
      </c>
      <c r="F47" s="7" t="s">
        <v>13378</v>
      </c>
      <c r="G47" s="7" t="s">
        <v>13419</v>
      </c>
    </row>
    <row r="48" spans="1:7">
      <c r="A48" s="7" t="s">
        <v>13420</v>
      </c>
      <c r="B48" s="7" t="s">
        <v>13421</v>
      </c>
      <c r="C48" s="755"/>
    </row>
    <row r="49" spans="1:7">
      <c r="A49" s="7" t="s">
        <v>13420</v>
      </c>
      <c r="B49" s="7" t="s">
        <v>13421</v>
      </c>
      <c r="C49" s="755" t="s">
        <v>13422</v>
      </c>
      <c r="D49" s="7" t="s">
        <v>129</v>
      </c>
      <c r="E49" s="7" t="s">
        <v>13326</v>
      </c>
      <c r="F49" s="7" t="s">
        <v>13423</v>
      </c>
      <c r="G49" s="7" t="s">
        <v>13424</v>
      </c>
    </row>
    <row r="50" spans="1:7">
      <c r="A50" s="7" t="s">
        <v>13420</v>
      </c>
      <c r="B50" s="7" t="s">
        <v>13421</v>
      </c>
      <c r="C50" s="755" t="s">
        <v>13425</v>
      </c>
      <c r="D50" s="7" t="s">
        <v>129</v>
      </c>
      <c r="E50" s="7" t="s">
        <v>13326</v>
      </c>
      <c r="F50" s="7" t="s">
        <v>13426</v>
      </c>
      <c r="G50" s="7" t="s">
        <v>13424</v>
      </c>
    </row>
    <row r="51" spans="1:7">
      <c r="A51" s="7" t="s">
        <v>13420</v>
      </c>
      <c r="B51" s="7" t="s">
        <v>13421</v>
      </c>
      <c r="C51" s="755" t="s">
        <v>13427</v>
      </c>
      <c r="D51" s="7" t="s">
        <v>129</v>
      </c>
      <c r="E51" s="7" t="s">
        <v>13326</v>
      </c>
      <c r="F51" s="7" t="s">
        <v>13389</v>
      </c>
      <c r="G51" s="7" t="s">
        <v>13428</v>
      </c>
    </row>
    <row r="52" spans="1:7">
      <c r="A52" s="7" t="s">
        <v>13420</v>
      </c>
      <c r="B52" s="7" t="s">
        <v>13421</v>
      </c>
      <c r="C52" s="755" t="s">
        <v>13429</v>
      </c>
      <c r="D52" s="7" t="s">
        <v>129</v>
      </c>
      <c r="E52" s="7" t="s">
        <v>13326</v>
      </c>
      <c r="F52" s="7" t="s">
        <v>13430</v>
      </c>
      <c r="G52" s="7" t="s">
        <v>13431</v>
      </c>
    </row>
    <row r="53" spans="1:7">
      <c r="A53" s="7" t="s">
        <v>13420</v>
      </c>
      <c r="B53" s="7" t="s">
        <v>13421</v>
      </c>
      <c r="C53" s="755" t="s">
        <v>13432</v>
      </c>
      <c r="D53" s="7" t="s">
        <v>129</v>
      </c>
      <c r="E53" s="7" t="s">
        <v>13326</v>
      </c>
      <c r="F53" s="7" t="s">
        <v>13430</v>
      </c>
      <c r="G53" s="7" t="s">
        <v>13424</v>
      </c>
    </row>
    <row r="54" spans="1:7">
      <c r="A54" s="7" t="s">
        <v>13420</v>
      </c>
      <c r="B54" s="7" t="s">
        <v>13421</v>
      </c>
      <c r="C54" s="755" t="s">
        <v>13433</v>
      </c>
      <c r="D54" s="7" t="s">
        <v>129</v>
      </c>
      <c r="E54" s="7" t="s">
        <v>13326</v>
      </c>
      <c r="F54" s="7" t="s">
        <v>13434</v>
      </c>
      <c r="G54" s="7" t="s">
        <v>13346</v>
      </c>
    </row>
    <row r="55" spans="1:7">
      <c r="A55" s="7" t="s">
        <v>13420</v>
      </c>
      <c r="B55" s="7" t="s">
        <v>13421</v>
      </c>
      <c r="C55" s="755" t="s">
        <v>13435</v>
      </c>
      <c r="D55" s="7" t="s">
        <v>129</v>
      </c>
      <c r="E55" s="7" t="s">
        <v>13326</v>
      </c>
      <c r="F55" s="7" t="s">
        <v>13434</v>
      </c>
      <c r="G55" s="7" t="s">
        <v>13346</v>
      </c>
    </row>
    <row r="56" spans="1:7">
      <c r="A56" s="7" t="s">
        <v>13420</v>
      </c>
      <c r="B56" s="7" t="s">
        <v>13421</v>
      </c>
      <c r="C56" s="755" t="s">
        <v>13436</v>
      </c>
      <c r="D56" s="7" t="s">
        <v>129</v>
      </c>
      <c r="E56" s="7" t="s">
        <v>13326</v>
      </c>
      <c r="F56" s="7" t="s">
        <v>13434</v>
      </c>
      <c r="G56" s="7" t="s">
        <v>13365</v>
      </c>
    </row>
    <row r="57" spans="1:7">
      <c r="A57" s="7" t="s">
        <v>13420</v>
      </c>
      <c r="B57" s="7" t="s">
        <v>13421</v>
      </c>
      <c r="C57" s="755" t="s">
        <v>13437</v>
      </c>
      <c r="D57" s="7" t="s">
        <v>129</v>
      </c>
      <c r="E57" s="7" t="s">
        <v>13326</v>
      </c>
      <c r="F57" s="7" t="s">
        <v>13438</v>
      </c>
      <c r="G57" s="7" t="s">
        <v>13439</v>
      </c>
    </row>
    <row r="58" spans="1:7">
      <c r="A58" s="7" t="s">
        <v>13420</v>
      </c>
      <c r="B58" s="7" t="s">
        <v>13421</v>
      </c>
      <c r="C58" s="755" t="s">
        <v>13440</v>
      </c>
      <c r="D58" s="7" t="s">
        <v>129</v>
      </c>
      <c r="E58" s="7" t="s">
        <v>13326</v>
      </c>
      <c r="F58" s="7" t="s">
        <v>13438</v>
      </c>
      <c r="G58" s="7" t="s">
        <v>13439</v>
      </c>
    </row>
    <row r="59" spans="1:7">
      <c r="A59" s="7" t="s">
        <v>13420</v>
      </c>
      <c r="B59" s="7" t="s">
        <v>13421</v>
      </c>
      <c r="C59" s="755" t="s">
        <v>13441</v>
      </c>
      <c r="D59" s="7" t="s">
        <v>129</v>
      </c>
      <c r="E59" s="7" t="s">
        <v>13326</v>
      </c>
      <c r="F59" s="7" t="s">
        <v>13389</v>
      </c>
      <c r="G59" s="7" t="s">
        <v>13428</v>
      </c>
    </row>
    <row r="60" spans="1:7">
      <c r="A60" s="7" t="s">
        <v>13420</v>
      </c>
      <c r="B60" s="7" t="s">
        <v>13421</v>
      </c>
      <c r="C60" s="755" t="s">
        <v>13442</v>
      </c>
      <c r="D60" s="7" t="s">
        <v>129</v>
      </c>
      <c r="E60" s="7" t="s">
        <v>13326</v>
      </c>
      <c r="F60" s="7" t="s">
        <v>13367</v>
      </c>
      <c r="G60" s="7" t="s">
        <v>13439</v>
      </c>
    </row>
    <row r="61" spans="1:7">
      <c r="A61" s="7" t="s">
        <v>13420</v>
      </c>
      <c r="B61" s="7" t="s">
        <v>13421</v>
      </c>
      <c r="C61" s="755" t="s">
        <v>13443</v>
      </c>
      <c r="D61" s="7" t="s">
        <v>129</v>
      </c>
      <c r="E61" s="7" t="s">
        <v>13326</v>
      </c>
      <c r="F61" s="7" t="s">
        <v>13367</v>
      </c>
      <c r="G61" s="7" t="s">
        <v>13439</v>
      </c>
    </row>
    <row r="62" spans="1:7">
      <c r="A62" s="7" t="s">
        <v>13420</v>
      </c>
      <c r="B62" s="7" t="s">
        <v>13421</v>
      </c>
      <c r="C62" s="755" t="s">
        <v>13444</v>
      </c>
      <c r="D62" s="7" t="s">
        <v>129</v>
      </c>
      <c r="E62" s="7" t="s">
        <v>13326</v>
      </c>
      <c r="F62" s="7" t="s">
        <v>13355</v>
      </c>
      <c r="G62" s="7" t="s">
        <v>13387</v>
      </c>
    </row>
    <row r="63" spans="1:7">
      <c r="A63" s="7" t="s">
        <v>13420</v>
      </c>
      <c r="B63" s="7" t="s">
        <v>13421</v>
      </c>
      <c r="C63" s="755" t="s">
        <v>13445</v>
      </c>
      <c r="D63" s="7" t="s">
        <v>129</v>
      </c>
      <c r="E63" s="7" t="s">
        <v>13326</v>
      </c>
      <c r="F63" s="7" t="s">
        <v>13355</v>
      </c>
      <c r="G63" s="7" t="s">
        <v>13387</v>
      </c>
    </row>
    <row r="64" spans="1:7">
      <c r="A64" s="7" t="s">
        <v>13420</v>
      </c>
      <c r="B64" s="7" t="s">
        <v>13421</v>
      </c>
      <c r="C64" s="755" t="s">
        <v>13446</v>
      </c>
      <c r="D64" s="7" t="s">
        <v>129</v>
      </c>
      <c r="E64" s="7" t="s">
        <v>13326</v>
      </c>
      <c r="F64" s="7" t="s">
        <v>13355</v>
      </c>
      <c r="G64" s="7" t="s">
        <v>13387</v>
      </c>
    </row>
    <row r="65" spans="1:7">
      <c r="A65" s="7" t="s">
        <v>13420</v>
      </c>
      <c r="B65" s="7" t="s">
        <v>13421</v>
      </c>
      <c r="C65" s="755" t="s">
        <v>13447</v>
      </c>
      <c r="D65" s="7" t="s">
        <v>129</v>
      </c>
      <c r="E65" s="7" t="s">
        <v>13326</v>
      </c>
      <c r="F65" s="7" t="s">
        <v>13367</v>
      </c>
      <c r="G65" s="7" t="s">
        <v>13346</v>
      </c>
    </row>
    <row r="66" spans="1:7">
      <c r="A66" s="7" t="s">
        <v>13420</v>
      </c>
      <c r="B66" s="7" t="s">
        <v>13421</v>
      </c>
      <c r="C66" s="755" t="s">
        <v>13448</v>
      </c>
      <c r="D66" s="7" t="s">
        <v>129</v>
      </c>
      <c r="E66" s="7" t="s">
        <v>13326</v>
      </c>
      <c r="F66" s="7" t="s">
        <v>13367</v>
      </c>
      <c r="G66" s="7" t="s">
        <v>13346</v>
      </c>
    </row>
    <row r="67" spans="1:7">
      <c r="A67" s="7" t="s">
        <v>13420</v>
      </c>
      <c r="B67" s="7" t="s">
        <v>13421</v>
      </c>
      <c r="C67" s="755" t="s">
        <v>13449</v>
      </c>
      <c r="D67" s="7" t="s">
        <v>129</v>
      </c>
      <c r="E67" s="7" t="s">
        <v>13326</v>
      </c>
      <c r="F67" s="7" t="s">
        <v>13355</v>
      </c>
      <c r="G67" s="7" t="s">
        <v>13450</v>
      </c>
    </row>
    <row r="68" spans="1:7">
      <c r="A68" s="7" t="s">
        <v>13420</v>
      </c>
      <c r="B68" s="7" t="s">
        <v>13421</v>
      </c>
      <c r="C68" s="755" t="s">
        <v>13451</v>
      </c>
      <c r="D68" s="7" t="s">
        <v>129</v>
      </c>
      <c r="E68" s="7" t="s">
        <v>13326</v>
      </c>
      <c r="F68" s="7" t="s">
        <v>13355</v>
      </c>
      <c r="G68" s="7" t="s">
        <v>13387</v>
      </c>
    </row>
    <row r="69" spans="1:7">
      <c r="A69" s="7" t="s">
        <v>13420</v>
      </c>
      <c r="B69" s="7" t="s">
        <v>13421</v>
      </c>
      <c r="C69" s="755" t="s">
        <v>13452</v>
      </c>
      <c r="D69" s="7" t="s">
        <v>129</v>
      </c>
      <c r="E69" s="7" t="s">
        <v>13326</v>
      </c>
      <c r="F69" s="7" t="s">
        <v>13355</v>
      </c>
      <c r="G69" s="7" t="s">
        <v>13450</v>
      </c>
    </row>
    <row r="70" spans="1:7">
      <c r="A70" s="7" t="s">
        <v>13420</v>
      </c>
      <c r="B70" s="7" t="s">
        <v>13421</v>
      </c>
      <c r="C70" s="755" t="s">
        <v>13453</v>
      </c>
      <c r="D70" s="7" t="s">
        <v>129</v>
      </c>
      <c r="E70" s="7" t="s">
        <v>13326</v>
      </c>
      <c r="F70" s="7" t="s">
        <v>13355</v>
      </c>
      <c r="G70" s="7" t="s">
        <v>13387</v>
      </c>
    </row>
    <row r="71" spans="1:7">
      <c r="A71" s="7" t="s">
        <v>13420</v>
      </c>
      <c r="B71" s="7" t="s">
        <v>13421</v>
      </c>
      <c r="C71" s="755" t="s">
        <v>13454</v>
      </c>
      <c r="D71" s="7" t="s">
        <v>129</v>
      </c>
      <c r="E71" s="7" t="s">
        <v>13326</v>
      </c>
      <c r="F71" s="7" t="s">
        <v>13355</v>
      </c>
      <c r="G71" s="7" t="s">
        <v>13455</v>
      </c>
    </row>
    <row r="72" spans="1:7">
      <c r="A72" s="7" t="s">
        <v>13420</v>
      </c>
      <c r="B72" s="7" t="s">
        <v>13421</v>
      </c>
      <c r="C72" s="755" t="s">
        <v>13456</v>
      </c>
      <c r="D72" s="7" t="s">
        <v>129</v>
      </c>
      <c r="E72" s="7" t="s">
        <v>13326</v>
      </c>
      <c r="F72" s="7" t="s">
        <v>13355</v>
      </c>
      <c r="G72" s="7" t="s">
        <v>13428</v>
      </c>
    </row>
    <row r="73" spans="1:7">
      <c r="A73" s="7" t="s">
        <v>13420</v>
      </c>
      <c r="B73" s="7" t="s">
        <v>13421</v>
      </c>
      <c r="C73" s="755" t="s">
        <v>13457</v>
      </c>
      <c r="D73" s="7" t="s">
        <v>129</v>
      </c>
      <c r="E73" s="7" t="s">
        <v>13326</v>
      </c>
      <c r="F73" s="7" t="s">
        <v>13367</v>
      </c>
      <c r="G73" s="7" t="s">
        <v>13356</v>
      </c>
    </row>
    <row r="74" spans="1:7">
      <c r="A74" s="7" t="s">
        <v>13420</v>
      </c>
      <c r="B74" s="7" t="s">
        <v>13421</v>
      </c>
      <c r="C74" s="755" t="s">
        <v>13458</v>
      </c>
      <c r="D74" s="7" t="s">
        <v>129</v>
      </c>
      <c r="E74" s="7" t="s">
        <v>13326</v>
      </c>
      <c r="F74" s="7" t="s">
        <v>13367</v>
      </c>
      <c r="G74" s="7" t="s">
        <v>13459</v>
      </c>
    </row>
    <row r="75" spans="1:7">
      <c r="A75" s="7" t="s">
        <v>13420</v>
      </c>
      <c r="B75" s="7" t="s">
        <v>13421</v>
      </c>
      <c r="C75" s="755" t="s">
        <v>13460</v>
      </c>
      <c r="D75" s="7" t="s">
        <v>129</v>
      </c>
      <c r="E75" s="7" t="s">
        <v>13326</v>
      </c>
      <c r="F75" s="7" t="s">
        <v>13367</v>
      </c>
      <c r="G75" s="7" t="s">
        <v>13356</v>
      </c>
    </row>
    <row r="76" spans="1:7">
      <c r="A76" s="7" t="s">
        <v>13420</v>
      </c>
      <c r="B76" s="7" t="s">
        <v>13421</v>
      </c>
      <c r="C76" s="755" t="s">
        <v>13461</v>
      </c>
      <c r="D76" s="7" t="s">
        <v>129</v>
      </c>
      <c r="E76" s="7" t="s">
        <v>13326</v>
      </c>
      <c r="F76" s="7" t="s">
        <v>13355</v>
      </c>
      <c r="G76" s="7" t="s">
        <v>13346</v>
      </c>
    </row>
    <row r="77" spans="1:7">
      <c r="A77" s="7" t="s">
        <v>13420</v>
      </c>
      <c r="B77" s="7" t="s">
        <v>13421</v>
      </c>
      <c r="C77" s="755" t="s">
        <v>13462</v>
      </c>
      <c r="D77" s="7" t="s">
        <v>129</v>
      </c>
      <c r="E77" s="7" t="s">
        <v>13326</v>
      </c>
      <c r="F77" s="7" t="s">
        <v>13355</v>
      </c>
      <c r="G77" s="7" t="s">
        <v>13346</v>
      </c>
    </row>
    <row r="78" spans="1:7">
      <c r="A78" s="7" t="s">
        <v>13420</v>
      </c>
      <c r="B78" s="7" t="s">
        <v>13421</v>
      </c>
      <c r="C78" s="755" t="s">
        <v>13463</v>
      </c>
      <c r="D78" s="7" t="s">
        <v>129</v>
      </c>
      <c r="E78" s="7" t="s">
        <v>13326</v>
      </c>
      <c r="F78" s="7" t="s">
        <v>13367</v>
      </c>
      <c r="G78" s="7" t="s">
        <v>13464</v>
      </c>
    </row>
    <row r="79" spans="1:7">
      <c r="A79" s="7" t="s">
        <v>13420</v>
      </c>
      <c r="B79" s="7" t="s">
        <v>13421</v>
      </c>
      <c r="C79" s="755" t="s">
        <v>13465</v>
      </c>
      <c r="D79" s="7" t="s">
        <v>129</v>
      </c>
      <c r="E79" s="7" t="s">
        <v>13326</v>
      </c>
      <c r="F79" s="7" t="s">
        <v>13355</v>
      </c>
      <c r="G79" s="7" t="s">
        <v>13346</v>
      </c>
    </row>
    <row r="80" spans="1:7">
      <c r="A80" s="7" t="s">
        <v>13420</v>
      </c>
      <c r="B80" s="7" t="s">
        <v>13421</v>
      </c>
      <c r="C80" s="755" t="s">
        <v>13466</v>
      </c>
      <c r="D80" s="7" t="s">
        <v>129</v>
      </c>
      <c r="E80" s="7" t="s">
        <v>13326</v>
      </c>
      <c r="F80" s="7" t="s">
        <v>13467</v>
      </c>
      <c r="G80" s="7" t="s">
        <v>13450</v>
      </c>
    </row>
    <row r="81" spans="1:7">
      <c r="A81" s="7" t="s">
        <v>13420</v>
      </c>
      <c r="B81" s="7" t="s">
        <v>13421</v>
      </c>
      <c r="C81" s="755" t="s">
        <v>13468</v>
      </c>
      <c r="D81" s="7" t="s">
        <v>129</v>
      </c>
      <c r="E81" s="7" t="s">
        <v>13326</v>
      </c>
      <c r="F81" s="7" t="s">
        <v>13405</v>
      </c>
      <c r="G81" s="7" t="s">
        <v>13353</v>
      </c>
    </row>
    <row r="82" spans="1:7">
      <c r="A82" s="7" t="s">
        <v>13420</v>
      </c>
      <c r="B82" s="7" t="s">
        <v>13421</v>
      </c>
      <c r="C82" s="755" t="s">
        <v>13469</v>
      </c>
      <c r="D82" s="7" t="s">
        <v>129</v>
      </c>
      <c r="E82" s="7" t="s">
        <v>13326</v>
      </c>
      <c r="F82" s="7" t="s">
        <v>13405</v>
      </c>
      <c r="G82" s="7" t="s">
        <v>13353</v>
      </c>
    </row>
    <row r="83" spans="1:7">
      <c r="A83" s="7" t="s">
        <v>13420</v>
      </c>
      <c r="B83" s="7" t="s">
        <v>13421</v>
      </c>
      <c r="C83" s="755" t="s">
        <v>13470</v>
      </c>
      <c r="D83" s="7" t="s">
        <v>129</v>
      </c>
      <c r="E83" s="7" t="s">
        <v>13326</v>
      </c>
      <c r="F83" s="7" t="s">
        <v>13405</v>
      </c>
      <c r="G83" s="7" t="s">
        <v>13353</v>
      </c>
    </row>
    <row r="84" spans="1:7">
      <c r="A84" s="7" t="s">
        <v>13420</v>
      </c>
      <c r="B84" s="7" t="s">
        <v>13421</v>
      </c>
      <c r="C84" s="755" t="s">
        <v>13471</v>
      </c>
      <c r="D84" s="7" t="s">
        <v>129</v>
      </c>
      <c r="E84" s="7" t="s">
        <v>13326</v>
      </c>
      <c r="F84" s="7" t="s">
        <v>13472</v>
      </c>
      <c r="G84" s="7" t="s">
        <v>13346</v>
      </c>
    </row>
    <row r="85" spans="1:7">
      <c r="A85" s="7" t="s">
        <v>13420</v>
      </c>
      <c r="B85" s="7" t="s">
        <v>13421</v>
      </c>
      <c r="C85" s="755" t="s">
        <v>13473</v>
      </c>
      <c r="D85" s="7" t="s">
        <v>129</v>
      </c>
      <c r="E85" s="7" t="s">
        <v>13326</v>
      </c>
      <c r="F85" s="7" t="s">
        <v>13378</v>
      </c>
      <c r="G85" s="7" t="s">
        <v>13474</v>
      </c>
    </row>
    <row r="86" spans="1:7">
      <c r="A86" s="7" t="s">
        <v>13420</v>
      </c>
      <c r="B86" s="7" t="s">
        <v>13421</v>
      </c>
      <c r="C86" s="755" t="s">
        <v>13475</v>
      </c>
      <c r="D86" s="7" t="s">
        <v>129</v>
      </c>
      <c r="E86" s="7" t="s">
        <v>13326</v>
      </c>
      <c r="F86" s="7" t="s">
        <v>13378</v>
      </c>
      <c r="G86" s="7" t="s">
        <v>13439</v>
      </c>
    </row>
    <row r="87" spans="1:7">
      <c r="A87" s="7" t="s">
        <v>13420</v>
      </c>
      <c r="B87" s="7" t="s">
        <v>13421</v>
      </c>
      <c r="C87" s="755" t="s">
        <v>13476</v>
      </c>
      <c r="D87" s="7" t="s">
        <v>129</v>
      </c>
      <c r="E87" s="7" t="s">
        <v>13326</v>
      </c>
      <c r="F87" s="7" t="s">
        <v>13477</v>
      </c>
      <c r="G87" s="7" t="s">
        <v>13478</v>
      </c>
    </row>
    <row r="88" spans="1:7">
      <c r="A88" s="7" t="s">
        <v>13420</v>
      </c>
      <c r="B88" s="7" t="s">
        <v>13421</v>
      </c>
      <c r="C88" s="755" t="s">
        <v>13479</v>
      </c>
      <c r="D88" s="7" t="s">
        <v>129</v>
      </c>
      <c r="E88" s="7" t="s">
        <v>13326</v>
      </c>
      <c r="F88" s="7" t="s">
        <v>13472</v>
      </c>
      <c r="G88" s="7" t="s">
        <v>13464</v>
      </c>
    </row>
    <row r="89" spans="1:7">
      <c r="A89" s="7" t="s">
        <v>13420</v>
      </c>
      <c r="B89" s="7" t="s">
        <v>13421</v>
      </c>
      <c r="C89" s="755" t="s">
        <v>13480</v>
      </c>
      <c r="D89" s="7" t="s">
        <v>129</v>
      </c>
      <c r="E89" s="7" t="s">
        <v>13326</v>
      </c>
      <c r="F89" s="7" t="s">
        <v>13472</v>
      </c>
      <c r="G89" s="7" t="s">
        <v>13346</v>
      </c>
    </row>
    <row r="90" spans="1:7">
      <c r="A90" s="7" t="s">
        <v>13420</v>
      </c>
      <c r="B90" s="7" t="s">
        <v>13421</v>
      </c>
      <c r="C90" s="755" t="s">
        <v>13481</v>
      </c>
      <c r="D90" s="7" t="s">
        <v>129</v>
      </c>
      <c r="E90" s="7" t="s">
        <v>13326</v>
      </c>
      <c r="F90" s="7" t="s">
        <v>13472</v>
      </c>
      <c r="G90" s="7" t="s">
        <v>13464</v>
      </c>
    </row>
    <row r="91" spans="1:7">
      <c r="A91" s="7" t="s">
        <v>13420</v>
      </c>
      <c r="B91" s="7" t="s">
        <v>13421</v>
      </c>
      <c r="C91" s="755" t="s">
        <v>13482</v>
      </c>
      <c r="D91" s="7" t="s">
        <v>129</v>
      </c>
      <c r="E91" s="7" t="s">
        <v>13326</v>
      </c>
      <c r="F91" s="7" t="s">
        <v>13483</v>
      </c>
      <c r="G91" s="7" t="s">
        <v>13396</v>
      </c>
    </row>
    <row r="92" spans="1:7">
      <c r="A92" s="7" t="s">
        <v>13420</v>
      </c>
      <c r="B92" s="7" t="s">
        <v>13421</v>
      </c>
      <c r="C92" s="755" t="s">
        <v>13484</v>
      </c>
      <c r="D92" s="7" t="s">
        <v>129</v>
      </c>
      <c r="E92" s="7" t="s">
        <v>13326</v>
      </c>
      <c r="F92" s="7" t="s">
        <v>13483</v>
      </c>
      <c r="G92" s="7" t="s">
        <v>13396</v>
      </c>
    </row>
    <row r="93" spans="1:7">
      <c r="A93" s="7" t="s">
        <v>13420</v>
      </c>
      <c r="B93" s="7" t="s">
        <v>13421</v>
      </c>
      <c r="C93" s="755" t="s">
        <v>13485</v>
      </c>
      <c r="D93" s="7" t="s">
        <v>129</v>
      </c>
      <c r="E93" s="7" t="s">
        <v>13326</v>
      </c>
      <c r="F93" s="7" t="s">
        <v>13472</v>
      </c>
      <c r="G93" s="7" t="s">
        <v>13338</v>
      </c>
    </row>
    <row r="94" spans="1:7">
      <c r="A94" s="7" t="s">
        <v>13420</v>
      </c>
      <c r="B94" s="7" t="s">
        <v>13421</v>
      </c>
      <c r="C94" s="755" t="s">
        <v>13486</v>
      </c>
      <c r="D94" s="7" t="s">
        <v>129</v>
      </c>
      <c r="E94" s="7" t="s">
        <v>13326</v>
      </c>
      <c r="F94" s="7" t="s">
        <v>13472</v>
      </c>
      <c r="G94" s="7" t="s">
        <v>13338</v>
      </c>
    </row>
    <row r="95" spans="1:7">
      <c r="A95" s="7" t="s">
        <v>13420</v>
      </c>
      <c r="B95" s="7" t="s">
        <v>13421</v>
      </c>
      <c r="C95" s="755" t="s">
        <v>13487</v>
      </c>
      <c r="D95" s="7" t="s">
        <v>129</v>
      </c>
      <c r="E95" s="7" t="s">
        <v>13326</v>
      </c>
      <c r="F95" s="7" t="s">
        <v>13488</v>
      </c>
      <c r="G95" s="7" t="s">
        <v>13450</v>
      </c>
    </row>
    <row r="96" spans="1:7">
      <c r="A96" s="7" t="s">
        <v>13420</v>
      </c>
      <c r="B96" s="7" t="s">
        <v>13421</v>
      </c>
      <c r="C96" s="755" t="s">
        <v>13489</v>
      </c>
      <c r="D96" s="7" t="s">
        <v>129</v>
      </c>
      <c r="E96" s="7" t="s">
        <v>13326</v>
      </c>
      <c r="F96" s="7" t="s">
        <v>13490</v>
      </c>
      <c r="G96" s="7" t="s">
        <v>13365</v>
      </c>
    </row>
    <row r="97" spans="1:7">
      <c r="A97" s="7" t="s">
        <v>13420</v>
      </c>
      <c r="B97" s="7" t="s">
        <v>13421</v>
      </c>
      <c r="C97" s="755" t="s">
        <v>13491</v>
      </c>
      <c r="D97" s="7" t="s">
        <v>129</v>
      </c>
      <c r="E97" s="7" t="s">
        <v>13326</v>
      </c>
      <c r="F97" s="7" t="s">
        <v>13355</v>
      </c>
      <c r="G97" s="7" t="s">
        <v>13492</v>
      </c>
    </row>
    <row r="98" spans="1:7">
      <c r="A98" s="7" t="s">
        <v>13420</v>
      </c>
      <c r="B98" s="7" t="s">
        <v>13421</v>
      </c>
      <c r="C98" s="755" t="s">
        <v>13493</v>
      </c>
      <c r="D98" s="7" t="s">
        <v>129</v>
      </c>
      <c r="E98" s="7" t="s">
        <v>13326</v>
      </c>
      <c r="F98" s="7" t="s">
        <v>13494</v>
      </c>
      <c r="G98" s="7" t="s">
        <v>13387</v>
      </c>
    </row>
    <row r="99" spans="1:7">
      <c r="A99" s="7" t="s">
        <v>13420</v>
      </c>
      <c r="B99" s="7" t="s">
        <v>13421</v>
      </c>
      <c r="C99" s="755" t="s">
        <v>13495</v>
      </c>
      <c r="D99" s="7" t="s">
        <v>129</v>
      </c>
      <c r="E99" s="7" t="s">
        <v>13326</v>
      </c>
      <c r="F99" s="7" t="s">
        <v>13496</v>
      </c>
      <c r="G99" s="7" t="s">
        <v>13356</v>
      </c>
    </row>
    <row r="100" spans="1:7">
      <c r="A100" s="7" t="s">
        <v>13420</v>
      </c>
      <c r="B100" s="7" t="s">
        <v>13421</v>
      </c>
      <c r="C100" s="755" t="s">
        <v>13497</v>
      </c>
      <c r="D100" s="7" t="s">
        <v>129</v>
      </c>
      <c r="E100" s="7" t="s">
        <v>13326</v>
      </c>
      <c r="F100" s="7" t="s">
        <v>13355</v>
      </c>
      <c r="G100" s="7" t="s">
        <v>13428</v>
      </c>
    </row>
    <row r="101" spans="1:7">
      <c r="A101" s="7" t="s">
        <v>13420</v>
      </c>
      <c r="B101" s="7" t="s">
        <v>13421</v>
      </c>
      <c r="C101" s="755" t="s">
        <v>13498</v>
      </c>
      <c r="D101" s="7" t="s">
        <v>129</v>
      </c>
      <c r="E101" s="7" t="s">
        <v>13326</v>
      </c>
      <c r="F101" s="7" t="s">
        <v>13355</v>
      </c>
      <c r="G101" s="7" t="s">
        <v>13450</v>
      </c>
    </row>
    <row r="102" spans="1:7">
      <c r="A102" s="7" t="s">
        <v>13420</v>
      </c>
      <c r="B102" s="7" t="s">
        <v>13421</v>
      </c>
      <c r="C102" s="755" t="s">
        <v>13499</v>
      </c>
      <c r="D102" s="7" t="s">
        <v>129</v>
      </c>
      <c r="E102" s="7" t="s">
        <v>13326</v>
      </c>
      <c r="F102" s="7" t="s">
        <v>13500</v>
      </c>
      <c r="G102" s="7" t="s">
        <v>13501</v>
      </c>
    </row>
    <row r="103" spans="1:7">
      <c r="A103" s="7" t="s">
        <v>13420</v>
      </c>
      <c r="B103" s="7" t="s">
        <v>13421</v>
      </c>
      <c r="C103" s="755" t="s">
        <v>13502</v>
      </c>
      <c r="D103" s="7" t="s">
        <v>129</v>
      </c>
      <c r="E103" s="7" t="s">
        <v>13326</v>
      </c>
      <c r="F103" s="7" t="s">
        <v>13477</v>
      </c>
      <c r="G103" s="7" t="s">
        <v>13459</v>
      </c>
    </row>
    <row r="104" spans="1:7">
      <c r="A104" s="7" t="s">
        <v>13420</v>
      </c>
      <c r="B104" s="7" t="s">
        <v>13421</v>
      </c>
      <c r="C104" s="755" t="s">
        <v>13503</v>
      </c>
      <c r="D104" s="7" t="s">
        <v>129</v>
      </c>
      <c r="E104" s="7" t="s">
        <v>13326</v>
      </c>
      <c r="F104" s="7" t="s">
        <v>13477</v>
      </c>
      <c r="G104" s="7" t="s">
        <v>13478</v>
      </c>
    </row>
    <row r="105" spans="1:7">
      <c r="A105" s="7" t="s">
        <v>13420</v>
      </c>
      <c r="B105" s="7" t="s">
        <v>13421</v>
      </c>
      <c r="C105" s="755" t="s">
        <v>13504</v>
      </c>
      <c r="D105" s="7" t="s">
        <v>129</v>
      </c>
      <c r="E105" s="7" t="s">
        <v>13326</v>
      </c>
      <c r="F105" s="7" t="s">
        <v>13477</v>
      </c>
      <c r="G105" s="7" t="s">
        <v>13424</v>
      </c>
    </row>
    <row r="106" spans="1:7">
      <c r="A106" s="7" t="s">
        <v>13420</v>
      </c>
      <c r="B106" s="7" t="s">
        <v>13421</v>
      </c>
      <c r="C106" s="755" t="s">
        <v>13505</v>
      </c>
      <c r="D106" s="7" t="s">
        <v>129</v>
      </c>
      <c r="E106" s="7" t="s">
        <v>13326</v>
      </c>
      <c r="F106" s="7" t="s">
        <v>13378</v>
      </c>
      <c r="G106" s="7" t="s">
        <v>13428</v>
      </c>
    </row>
    <row r="107" spans="1:7">
      <c r="A107" s="7" t="s">
        <v>13420</v>
      </c>
      <c r="B107" s="7" t="s">
        <v>13421</v>
      </c>
      <c r="C107" s="755" t="s">
        <v>13506</v>
      </c>
      <c r="D107" s="7" t="s">
        <v>129</v>
      </c>
      <c r="E107" s="7" t="s">
        <v>13326</v>
      </c>
      <c r="F107" s="7" t="s">
        <v>13496</v>
      </c>
      <c r="G107" s="7" t="s">
        <v>13365</v>
      </c>
    </row>
    <row r="108" spans="1:7">
      <c r="A108" s="7" t="s">
        <v>13420</v>
      </c>
      <c r="B108" s="7" t="s">
        <v>13421</v>
      </c>
      <c r="C108" s="755" t="s">
        <v>13507</v>
      </c>
      <c r="D108" s="7" t="s">
        <v>129</v>
      </c>
      <c r="E108" s="7" t="s">
        <v>13326</v>
      </c>
      <c r="F108" s="7" t="s">
        <v>13355</v>
      </c>
      <c r="G108" s="7" t="s">
        <v>13393</v>
      </c>
    </row>
    <row r="109" spans="1:7">
      <c r="A109" s="7" t="s">
        <v>13420</v>
      </c>
      <c r="B109" s="7" t="s">
        <v>13421</v>
      </c>
      <c r="C109" s="755" t="s">
        <v>13508</v>
      </c>
      <c r="D109" s="7" t="s">
        <v>129</v>
      </c>
      <c r="E109" s="7" t="s">
        <v>13326</v>
      </c>
      <c r="F109" s="7" t="s">
        <v>13355</v>
      </c>
      <c r="G109" s="7" t="s">
        <v>13393</v>
      </c>
    </row>
    <row r="110" spans="1:7">
      <c r="A110" s="7" t="s">
        <v>13420</v>
      </c>
      <c r="B110" s="7" t="s">
        <v>13421</v>
      </c>
      <c r="C110" s="755" t="s">
        <v>13509</v>
      </c>
      <c r="D110" s="7" t="s">
        <v>129</v>
      </c>
      <c r="E110" s="7" t="s">
        <v>13326</v>
      </c>
      <c r="F110" s="7" t="s">
        <v>13496</v>
      </c>
      <c r="G110" s="7" t="s">
        <v>13365</v>
      </c>
    </row>
    <row r="111" spans="1:7">
      <c r="A111" s="7" t="s">
        <v>13420</v>
      </c>
      <c r="B111" s="7" t="s">
        <v>13421</v>
      </c>
      <c r="C111" s="755" t="s">
        <v>13510</v>
      </c>
      <c r="D111" s="7" t="s">
        <v>129</v>
      </c>
      <c r="E111" s="7" t="s">
        <v>13326</v>
      </c>
      <c r="F111" s="7" t="s">
        <v>13496</v>
      </c>
      <c r="G111" s="7" t="s">
        <v>13365</v>
      </c>
    </row>
    <row r="112" spans="1:7">
      <c r="C112" s="755"/>
    </row>
  </sheetData>
  <sheetProtection formatColumns="0" formatRows="0"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AUTHORISATION">
    <tabColor indexed="47"/>
  </sheetPr>
  <dimension ref="A1:B2"/>
  <sheetViews>
    <sheetView zoomScaleNormal="100" workbookViewId="0"/>
  </sheetViews>
  <sheetFormatPr defaultColWidth="9.125" defaultRowHeight="11.4"/>
  <cols>
    <col min="1" max="16384" width="9.125" style="7"/>
  </cols>
  <sheetData>
    <row r="1" spans="1:2">
      <c r="A1" s="7" t="s">
        <v>627</v>
      </c>
      <c r="B1" s="7" t="s">
        <v>2302</v>
      </c>
    </row>
    <row r="2" spans="1:2">
      <c r="A2" s="7" t="s">
        <v>3033</v>
      </c>
    </row>
  </sheetData>
  <sheetProtection formatColumns="0" formatRows="0"/>
  <phoneticPr fontId="3" type="noConversion"/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ICTIONARIES">
    <tabColor indexed="47"/>
  </sheetPr>
  <dimension ref="A1:B320"/>
  <sheetViews>
    <sheetView zoomScaleNormal="100" workbookViewId="0"/>
  </sheetViews>
  <sheetFormatPr defaultColWidth="9.125" defaultRowHeight="11.4"/>
  <cols>
    <col min="1" max="1" width="47.25" style="30" bestFit="1" customWidth="1"/>
    <col min="2" max="2" width="95" style="30" bestFit="1" customWidth="1"/>
    <col min="3" max="16384" width="9.125" style="30"/>
  </cols>
  <sheetData>
    <row r="1" spans="1:2">
      <c r="A1" s="30" t="s">
        <v>1203</v>
      </c>
      <c r="B1" s="30" t="s">
        <v>1204</v>
      </c>
    </row>
    <row r="2" spans="1:2">
      <c r="A2" s="30" t="s">
        <v>13068</v>
      </c>
      <c r="B2" s="30" t="s">
        <v>13069</v>
      </c>
    </row>
    <row r="3" spans="1:2">
      <c r="A3" s="30" t="s">
        <v>13070</v>
      </c>
      <c r="B3" s="30" t="s">
        <v>13071</v>
      </c>
    </row>
    <row r="4" spans="1:2">
      <c r="A4" s="30" t="s">
        <v>13072</v>
      </c>
      <c r="B4" s="30" t="s">
        <v>13073</v>
      </c>
    </row>
    <row r="5" spans="1:2">
      <c r="A5" s="30" t="s">
        <v>2244</v>
      </c>
      <c r="B5" s="30" t="s">
        <v>2245</v>
      </c>
    </row>
    <row r="6" spans="1:2">
      <c r="A6" s="30" t="s">
        <v>2244</v>
      </c>
      <c r="B6" s="30" t="s">
        <v>1284</v>
      </c>
    </row>
    <row r="7" spans="1:2">
      <c r="A7" s="30" t="s">
        <v>2244</v>
      </c>
      <c r="B7" s="30" t="s">
        <v>1285</v>
      </c>
    </row>
    <row r="8" spans="1:2">
      <c r="A8" s="30" t="s">
        <v>2244</v>
      </c>
      <c r="B8" s="30" t="s">
        <v>1286</v>
      </c>
    </row>
    <row r="9" spans="1:2">
      <c r="A9" s="30" t="s">
        <v>2244</v>
      </c>
      <c r="B9" s="30" t="s">
        <v>2246</v>
      </c>
    </row>
    <row r="10" spans="1:2">
      <c r="A10" s="30" t="s">
        <v>2244</v>
      </c>
      <c r="B10" s="30" t="s">
        <v>1287</v>
      </c>
    </row>
    <row r="11" spans="1:2">
      <c r="A11" s="30" t="s">
        <v>2244</v>
      </c>
      <c r="B11" s="30" t="s">
        <v>1288</v>
      </c>
    </row>
    <row r="12" spans="1:2">
      <c r="A12" s="30" t="s">
        <v>2244</v>
      </c>
      <c r="B12" s="30" t="s">
        <v>1289</v>
      </c>
    </row>
    <row r="13" spans="1:2">
      <c r="A13" s="30" t="s">
        <v>2244</v>
      </c>
      <c r="B13" s="30" t="s">
        <v>2247</v>
      </c>
    </row>
    <row r="14" spans="1:2">
      <c r="A14" s="30" t="s">
        <v>2244</v>
      </c>
      <c r="B14" s="30" t="s">
        <v>1208</v>
      </c>
    </row>
    <row r="15" spans="1:2">
      <c r="A15" s="30" t="s">
        <v>2244</v>
      </c>
      <c r="B15" s="30" t="s">
        <v>1209</v>
      </c>
    </row>
    <row r="16" spans="1:2">
      <c r="A16" s="30" t="s">
        <v>2244</v>
      </c>
      <c r="B16" s="30" t="s">
        <v>1210</v>
      </c>
    </row>
    <row r="17" spans="1:2">
      <c r="A17" s="30" t="s">
        <v>2244</v>
      </c>
      <c r="B17" s="30" t="s">
        <v>2248</v>
      </c>
    </row>
    <row r="18" spans="1:2">
      <c r="A18" s="30" t="s">
        <v>2244</v>
      </c>
      <c r="B18" s="30" t="s">
        <v>1211</v>
      </c>
    </row>
    <row r="19" spans="1:2">
      <c r="A19" s="30" t="s">
        <v>2244</v>
      </c>
      <c r="B19" s="30" t="s">
        <v>1212</v>
      </c>
    </row>
    <row r="20" spans="1:2">
      <c r="A20" s="30" t="s">
        <v>2244</v>
      </c>
      <c r="B20" s="30" t="s">
        <v>1213</v>
      </c>
    </row>
    <row r="21" spans="1:2">
      <c r="A21" s="30" t="s">
        <v>2244</v>
      </c>
      <c r="B21" s="30" t="s">
        <v>1214</v>
      </c>
    </row>
    <row r="22" spans="1:2">
      <c r="A22" s="30" t="s">
        <v>2244</v>
      </c>
      <c r="B22" s="30" t="s">
        <v>2249</v>
      </c>
    </row>
    <row r="23" spans="1:2">
      <c r="A23" s="30" t="s">
        <v>2244</v>
      </c>
      <c r="B23" s="30" t="s">
        <v>1215</v>
      </c>
    </row>
    <row r="24" spans="1:2">
      <c r="A24" s="30" t="s">
        <v>2244</v>
      </c>
      <c r="B24" s="30" t="s">
        <v>1216</v>
      </c>
    </row>
    <row r="25" spans="1:2">
      <c r="A25" s="30" t="s">
        <v>2244</v>
      </c>
      <c r="B25" s="30" t="s">
        <v>1217</v>
      </c>
    </row>
    <row r="26" spans="1:2">
      <c r="A26" s="30" t="s">
        <v>13074</v>
      </c>
      <c r="B26" s="30" t="s">
        <v>13075</v>
      </c>
    </row>
    <row r="27" spans="1:2">
      <c r="A27" s="30" t="s">
        <v>13076</v>
      </c>
      <c r="B27" s="30" t="s">
        <v>13077</v>
      </c>
    </row>
    <row r="28" spans="1:2">
      <c r="A28" s="30" t="s">
        <v>13078</v>
      </c>
      <c r="B28" s="30" t="s">
        <v>13079</v>
      </c>
    </row>
    <row r="29" spans="1:2">
      <c r="A29" s="30" t="s">
        <v>13080</v>
      </c>
      <c r="B29" s="30" t="s">
        <v>13077</v>
      </c>
    </row>
    <row r="30" spans="1:2">
      <c r="A30" s="30" t="s">
        <v>13081</v>
      </c>
      <c r="B30" s="30" t="s">
        <v>640</v>
      </c>
    </row>
    <row r="31" spans="1:2">
      <c r="A31" s="30" t="s">
        <v>13082</v>
      </c>
      <c r="B31" s="30" t="s">
        <v>13079</v>
      </c>
    </row>
    <row r="32" spans="1:2">
      <c r="A32" s="30" t="s">
        <v>13083</v>
      </c>
      <c r="B32" s="30" t="s">
        <v>13084</v>
      </c>
    </row>
    <row r="33" spans="1:2">
      <c r="A33" s="30" t="s">
        <v>13085</v>
      </c>
      <c r="B33" s="30" t="s">
        <v>13086</v>
      </c>
    </row>
    <row r="34" spans="1:2">
      <c r="A34" s="30" t="s">
        <v>13087</v>
      </c>
      <c r="B34" s="30" t="s">
        <v>13088</v>
      </c>
    </row>
    <row r="35" spans="1:2">
      <c r="A35" s="30" t="s">
        <v>13089</v>
      </c>
      <c r="B35" s="30" t="s">
        <v>13090</v>
      </c>
    </row>
    <row r="36" spans="1:2">
      <c r="A36" s="30" t="s">
        <v>13091</v>
      </c>
      <c r="B36" s="30" t="s">
        <v>13092</v>
      </c>
    </row>
    <row r="37" spans="1:2">
      <c r="A37" s="30" t="s">
        <v>13093</v>
      </c>
      <c r="B37" s="30" t="s">
        <v>13090</v>
      </c>
    </row>
    <row r="38" spans="1:2">
      <c r="A38" s="30" t="s">
        <v>13094</v>
      </c>
      <c r="B38" s="30" t="s">
        <v>13090</v>
      </c>
    </row>
    <row r="39" spans="1:2">
      <c r="A39" s="30" t="s">
        <v>13095</v>
      </c>
      <c r="B39" s="30" t="s">
        <v>13090</v>
      </c>
    </row>
    <row r="40" spans="1:2">
      <c r="A40" s="30" t="s">
        <v>13096</v>
      </c>
      <c r="B40" s="30" t="s">
        <v>13090</v>
      </c>
    </row>
    <row r="41" spans="1:2">
      <c r="A41" s="30" t="s">
        <v>13097</v>
      </c>
      <c r="B41" s="30" t="s">
        <v>13090</v>
      </c>
    </row>
    <row r="42" spans="1:2">
      <c r="A42" s="30" t="s">
        <v>13098</v>
      </c>
      <c r="B42" s="30" t="s">
        <v>13099</v>
      </c>
    </row>
    <row r="43" spans="1:2">
      <c r="A43" s="30" t="s">
        <v>13100</v>
      </c>
      <c r="B43" s="30" t="s">
        <v>13101</v>
      </c>
    </row>
    <row r="44" spans="1:2">
      <c r="A44" s="30" t="s">
        <v>13102</v>
      </c>
      <c r="B44" s="30" t="s">
        <v>13090</v>
      </c>
    </row>
    <row r="45" spans="1:2">
      <c r="A45" s="30" t="s">
        <v>13103</v>
      </c>
      <c r="B45" s="30" t="s">
        <v>13090</v>
      </c>
    </row>
    <row r="46" spans="1:2">
      <c r="A46" s="30" t="s">
        <v>13104</v>
      </c>
      <c r="B46" s="30" t="s">
        <v>13101</v>
      </c>
    </row>
    <row r="47" spans="1:2">
      <c r="A47" s="30" t="s">
        <v>13105</v>
      </c>
      <c r="B47" s="30" t="s">
        <v>13101</v>
      </c>
    </row>
    <row r="48" spans="1:2">
      <c r="A48" s="30" t="s">
        <v>13106</v>
      </c>
      <c r="B48" s="30" t="s">
        <v>13090</v>
      </c>
    </row>
    <row r="49" spans="1:2">
      <c r="A49" s="30" t="s">
        <v>13107</v>
      </c>
      <c r="B49" s="30" t="s">
        <v>13090</v>
      </c>
    </row>
    <row r="50" spans="1:2">
      <c r="A50" s="30" t="s">
        <v>13108</v>
      </c>
      <c r="B50" s="30" t="s">
        <v>13109</v>
      </c>
    </row>
    <row r="51" spans="1:2">
      <c r="A51" s="30" t="s">
        <v>13110</v>
      </c>
      <c r="B51" s="30" t="s">
        <v>13090</v>
      </c>
    </row>
    <row r="52" spans="1:2">
      <c r="A52" s="30" t="s">
        <v>13111</v>
      </c>
      <c r="B52" s="30" t="s">
        <v>13112</v>
      </c>
    </row>
    <row r="53" spans="1:2">
      <c r="A53" s="30" t="s">
        <v>13113</v>
      </c>
      <c r="B53" s="30" t="s">
        <v>13114</v>
      </c>
    </row>
    <row r="54" spans="1:2">
      <c r="A54" s="30" t="s">
        <v>13115</v>
      </c>
      <c r="B54" s="30" t="s">
        <v>13116</v>
      </c>
    </row>
    <row r="55" spans="1:2">
      <c r="A55" s="30" t="s">
        <v>13117</v>
      </c>
      <c r="B55" s="30" t="s">
        <v>13118</v>
      </c>
    </row>
    <row r="56" spans="1:2">
      <c r="A56" s="30" t="s">
        <v>13119</v>
      </c>
      <c r="B56" s="30" t="s">
        <v>13118</v>
      </c>
    </row>
    <row r="57" spans="1:2">
      <c r="A57" s="30" t="s">
        <v>13120</v>
      </c>
      <c r="B57" s="30" t="s">
        <v>13116</v>
      </c>
    </row>
    <row r="58" spans="1:2">
      <c r="A58" s="30" t="s">
        <v>13121</v>
      </c>
      <c r="B58" s="30" t="s">
        <v>546</v>
      </c>
    </row>
    <row r="59" spans="1:2">
      <c r="A59" s="30" t="s">
        <v>13122</v>
      </c>
      <c r="B59" s="30" t="s">
        <v>13123</v>
      </c>
    </row>
    <row r="60" spans="1:2">
      <c r="A60" s="30" t="s">
        <v>13124</v>
      </c>
      <c r="B60" s="30" t="s">
        <v>13125</v>
      </c>
    </row>
    <row r="61" spans="1:2">
      <c r="A61" s="30" t="s">
        <v>13126</v>
      </c>
      <c r="B61" s="30" t="s">
        <v>13127</v>
      </c>
    </row>
    <row r="62" spans="1:2">
      <c r="A62" s="30" t="s">
        <v>13128</v>
      </c>
      <c r="B62" s="30" t="s">
        <v>13114</v>
      </c>
    </row>
    <row r="63" spans="1:2">
      <c r="A63" s="30" t="s">
        <v>13129</v>
      </c>
      <c r="B63" s="30" t="s">
        <v>13130</v>
      </c>
    </row>
    <row r="64" spans="1:2">
      <c r="A64" s="30" t="s">
        <v>13131</v>
      </c>
      <c r="B64" s="30" t="s">
        <v>13132</v>
      </c>
    </row>
    <row r="65" spans="1:2">
      <c r="A65" s="30" t="s">
        <v>13133</v>
      </c>
      <c r="B65" s="30" t="s">
        <v>13134</v>
      </c>
    </row>
    <row r="66" spans="1:2">
      <c r="A66" s="30" t="s">
        <v>13135</v>
      </c>
      <c r="B66" s="30" t="s">
        <v>13136</v>
      </c>
    </row>
    <row r="67" spans="1:2">
      <c r="A67" s="30" t="s">
        <v>13137</v>
      </c>
      <c r="B67" s="30" t="s">
        <v>13138</v>
      </c>
    </row>
    <row r="68" spans="1:2">
      <c r="A68" s="30" t="s">
        <v>13139</v>
      </c>
      <c r="B68" s="30" t="s">
        <v>13132</v>
      </c>
    </row>
    <row r="69" spans="1:2">
      <c r="A69" s="30" t="s">
        <v>13140</v>
      </c>
      <c r="B69" s="30" t="s">
        <v>13109</v>
      </c>
    </row>
    <row r="70" spans="1:2">
      <c r="A70" s="30" t="s">
        <v>13141</v>
      </c>
      <c r="B70" s="30" t="s">
        <v>13101</v>
      </c>
    </row>
    <row r="71" spans="1:2">
      <c r="A71" s="30" t="s">
        <v>13142</v>
      </c>
      <c r="B71" s="30" t="s">
        <v>13143</v>
      </c>
    </row>
    <row r="72" spans="1:2">
      <c r="A72" s="30" t="s">
        <v>13144</v>
      </c>
      <c r="B72" s="30" t="s">
        <v>13145</v>
      </c>
    </row>
    <row r="73" spans="1:2">
      <c r="A73" s="30" t="s">
        <v>13146</v>
      </c>
      <c r="B73" s="30" t="s">
        <v>13147</v>
      </c>
    </row>
    <row r="74" spans="1:2">
      <c r="A74" s="30" t="s">
        <v>13148</v>
      </c>
      <c r="B74" s="30" t="s">
        <v>13149</v>
      </c>
    </row>
    <row r="75" spans="1:2">
      <c r="A75" s="30" t="s">
        <v>13150</v>
      </c>
      <c r="B75" s="30" t="s">
        <v>13151</v>
      </c>
    </row>
    <row r="76" spans="1:2">
      <c r="A76" s="30" t="s">
        <v>13152</v>
      </c>
      <c r="B76" s="30" t="s">
        <v>13153</v>
      </c>
    </row>
    <row r="77" spans="1:2">
      <c r="A77" s="30" t="s">
        <v>13154</v>
      </c>
      <c r="B77" s="30" t="s">
        <v>13155</v>
      </c>
    </row>
    <row r="78" spans="1:2">
      <c r="A78" s="30" t="s">
        <v>13156</v>
      </c>
      <c r="B78" s="30" t="s">
        <v>13092</v>
      </c>
    </row>
    <row r="79" spans="1:2">
      <c r="A79" s="30" t="s">
        <v>13157</v>
      </c>
      <c r="B79" s="30" t="s">
        <v>13138</v>
      </c>
    </row>
    <row r="80" spans="1:2">
      <c r="A80" s="30" t="s">
        <v>13158</v>
      </c>
      <c r="B80" s="30" t="s">
        <v>13143</v>
      </c>
    </row>
    <row r="81" spans="1:2">
      <c r="A81" s="30" t="s">
        <v>13159</v>
      </c>
      <c r="B81" s="30" t="s">
        <v>13151</v>
      </c>
    </row>
    <row r="82" spans="1:2">
      <c r="A82" s="30" t="s">
        <v>13160</v>
      </c>
      <c r="B82" s="30" t="s">
        <v>13099</v>
      </c>
    </row>
    <row r="83" spans="1:2">
      <c r="A83" s="30" t="s">
        <v>13161</v>
      </c>
      <c r="B83" s="30" t="s">
        <v>13151</v>
      </c>
    </row>
    <row r="84" spans="1:2">
      <c r="A84" s="30" t="s">
        <v>13162</v>
      </c>
      <c r="B84" s="30" t="s">
        <v>13151</v>
      </c>
    </row>
    <row r="85" spans="1:2">
      <c r="A85" s="30" t="s">
        <v>13163</v>
      </c>
      <c r="B85" s="30" t="s">
        <v>13151</v>
      </c>
    </row>
    <row r="86" spans="1:2">
      <c r="A86" s="30" t="s">
        <v>13164</v>
      </c>
      <c r="B86" s="30" t="s">
        <v>13151</v>
      </c>
    </row>
    <row r="87" spans="1:2">
      <c r="A87" s="30" t="s">
        <v>13165</v>
      </c>
      <c r="B87" s="30" t="s">
        <v>13151</v>
      </c>
    </row>
    <row r="88" spans="1:2">
      <c r="A88" s="30" t="s">
        <v>13166</v>
      </c>
      <c r="B88" s="30" t="s">
        <v>13101</v>
      </c>
    </row>
    <row r="89" spans="1:2">
      <c r="A89" s="30" t="s">
        <v>13167</v>
      </c>
      <c r="B89" s="30" t="s">
        <v>13109</v>
      </c>
    </row>
    <row r="90" spans="1:2">
      <c r="A90" s="30" t="s">
        <v>13168</v>
      </c>
      <c r="B90" s="30" t="s">
        <v>13151</v>
      </c>
    </row>
    <row r="91" spans="1:2">
      <c r="A91" s="30" t="s">
        <v>13169</v>
      </c>
      <c r="B91" s="30" t="s">
        <v>13151</v>
      </c>
    </row>
    <row r="92" spans="1:2">
      <c r="A92" s="30" t="s">
        <v>13170</v>
      </c>
      <c r="B92" s="30" t="s">
        <v>13171</v>
      </c>
    </row>
    <row r="93" spans="1:2">
      <c r="A93" s="30" t="s">
        <v>13172</v>
      </c>
      <c r="B93" s="30" t="s">
        <v>13132</v>
      </c>
    </row>
    <row r="94" spans="1:2">
      <c r="A94" s="30" t="s">
        <v>13173</v>
      </c>
      <c r="B94" s="30" t="s">
        <v>13151</v>
      </c>
    </row>
    <row r="95" spans="1:2">
      <c r="A95" s="30" t="s">
        <v>13174</v>
      </c>
      <c r="B95" s="30" t="s">
        <v>13151</v>
      </c>
    </row>
    <row r="96" spans="1:2">
      <c r="A96" s="30" t="s">
        <v>13175</v>
      </c>
      <c r="B96" s="30" t="s">
        <v>13132</v>
      </c>
    </row>
    <row r="97" spans="1:2">
      <c r="A97" s="30" t="s">
        <v>13176</v>
      </c>
      <c r="B97" s="30" t="s">
        <v>13151</v>
      </c>
    </row>
    <row r="98" spans="1:2">
      <c r="A98" s="30" t="s">
        <v>13177</v>
      </c>
      <c r="B98" s="30" t="s">
        <v>13143</v>
      </c>
    </row>
    <row r="99" spans="1:2">
      <c r="A99" s="30" t="s">
        <v>13178</v>
      </c>
      <c r="B99" s="30" t="s">
        <v>13114</v>
      </c>
    </row>
    <row r="100" spans="1:2">
      <c r="A100" s="30" t="s">
        <v>13179</v>
      </c>
      <c r="B100" s="30" t="s">
        <v>13180</v>
      </c>
    </row>
    <row r="101" spans="1:2">
      <c r="A101" s="30" t="s">
        <v>13181</v>
      </c>
      <c r="B101" s="30" t="s">
        <v>13116</v>
      </c>
    </row>
    <row r="102" spans="1:2">
      <c r="A102" s="30" t="s">
        <v>13182</v>
      </c>
      <c r="B102" s="30" t="s">
        <v>13116</v>
      </c>
    </row>
    <row r="103" spans="1:2">
      <c r="A103" s="30" t="s">
        <v>13183</v>
      </c>
      <c r="B103" s="30" t="s">
        <v>13180</v>
      </c>
    </row>
    <row r="104" spans="1:2">
      <c r="A104" s="30" t="s">
        <v>13184</v>
      </c>
      <c r="B104" s="30" t="s">
        <v>546</v>
      </c>
    </row>
    <row r="105" spans="1:2">
      <c r="A105" s="30" t="s">
        <v>13185</v>
      </c>
      <c r="B105" s="30" t="s">
        <v>13123</v>
      </c>
    </row>
    <row r="106" spans="1:2">
      <c r="A106" s="30" t="s">
        <v>13186</v>
      </c>
      <c r="B106" s="30" t="s">
        <v>13125</v>
      </c>
    </row>
    <row r="107" spans="1:2">
      <c r="A107" s="30" t="s">
        <v>13187</v>
      </c>
      <c r="B107" s="30" t="s">
        <v>13134</v>
      </c>
    </row>
    <row r="108" spans="1:2">
      <c r="A108" s="30" t="s">
        <v>13188</v>
      </c>
      <c r="B108" s="30" t="s">
        <v>13114</v>
      </c>
    </row>
    <row r="109" spans="1:2">
      <c r="A109" s="30" t="s">
        <v>13189</v>
      </c>
      <c r="B109" s="30" t="s">
        <v>13118</v>
      </c>
    </row>
    <row r="110" spans="1:2">
      <c r="A110" s="30" t="s">
        <v>13190</v>
      </c>
      <c r="B110" s="30" t="s">
        <v>13132</v>
      </c>
    </row>
    <row r="111" spans="1:2">
      <c r="A111" s="30" t="s">
        <v>13191</v>
      </c>
      <c r="B111" s="30" t="s">
        <v>13147</v>
      </c>
    </row>
    <row r="112" spans="1:2">
      <c r="A112" s="30" t="s">
        <v>13192</v>
      </c>
      <c r="B112" s="30" t="s">
        <v>13171</v>
      </c>
    </row>
    <row r="113" spans="1:2">
      <c r="A113" s="30" t="s">
        <v>13193</v>
      </c>
      <c r="B113" s="30" t="s">
        <v>13136</v>
      </c>
    </row>
    <row r="114" spans="1:2">
      <c r="A114" s="30" t="s">
        <v>13194</v>
      </c>
      <c r="B114" s="30" t="s">
        <v>13138</v>
      </c>
    </row>
    <row r="115" spans="1:2">
      <c r="A115" s="30" t="s">
        <v>13195</v>
      </c>
      <c r="B115" s="30" t="s">
        <v>13132</v>
      </c>
    </row>
    <row r="116" spans="1:2">
      <c r="A116" s="30" t="s">
        <v>13196</v>
      </c>
      <c r="B116" s="30" t="s">
        <v>13101</v>
      </c>
    </row>
    <row r="117" spans="1:2">
      <c r="A117" s="30" t="s">
        <v>13197</v>
      </c>
      <c r="B117" s="30" t="s">
        <v>13090</v>
      </c>
    </row>
    <row r="118" spans="1:2">
      <c r="A118" s="30" t="s">
        <v>13198</v>
      </c>
      <c r="B118" s="30" t="s">
        <v>13090</v>
      </c>
    </row>
    <row r="119" spans="1:2">
      <c r="A119" s="30" t="s">
        <v>13199</v>
      </c>
      <c r="B119" s="30" t="s">
        <v>13200</v>
      </c>
    </row>
    <row r="120" spans="1:2">
      <c r="A120" s="30" t="s">
        <v>13201</v>
      </c>
      <c r="B120" s="30" t="s">
        <v>13090</v>
      </c>
    </row>
    <row r="121" spans="1:2">
      <c r="A121" s="30" t="s">
        <v>13202</v>
      </c>
      <c r="B121" s="30" t="s">
        <v>13151</v>
      </c>
    </row>
    <row r="122" spans="1:2">
      <c r="A122" s="30" t="s">
        <v>13203</v>
      </c>
      <c r="B122" s="30" t="s">
        <v>13153</v>
      </c>
    </row>
    <row r="123" spans="1:2">
      <c r="A123" s="30" t="s">
        <v>13204</v>
      </c>
      <c r="B123" s="30" t="s">
        <v>13155</v>
      </c>
    </row>
    <row r="124" spans="1:2">
      <c r="A124" s="30" t="s">
        <v>13205</v>
      </c>
      <c r="B124" s="30" t="s">
        <v>13092</v>
      </c>
    </row>
    <row r="125" spans="1:2">
      <c r="A125" s="30" t="s">
        <v>13206</v>
      </c>
      <c r="B125" s="30" t="s">
        <v>13138</v>
      </c>
    </row>
    <row r="126" spans="1:2">
      <c r="A126" s="30" t="s">
        <v>13207</v>
      </c>
      <c r="B126" s="30" t="s">
        <v>13143</v>
      </c>
    </row>
    <row r="127" spans="1:2">
      <c r="A127" s="30" t="s">
        <v>13208</v>
      </c>
      <c r="B127" s="30" t="s">
        <v>1027</v>
      </c>
    </row>
    <row r="128" spans="1:2">
      <c r="A128" s="30" t="s">
        <v>13209</v>
      </c>
      <c r="B128" s="30" t="s">
        <v>831</v>
      </c>
    </row>
    <row r="129" spans="1:2">
      <c r="A129" s="30" t="s">
        <v>13210</v>
      </c>
      <c r="B129" s="30" t="s">
        <v>13211</v>
      </c>
    </row>
    <row r="130" spans="1:2">
      <c r="A130" s="30" t="s">
        <v>13212</v>
      </c>
      <c r="B130" s="30" t="s">
        <v>13213</v>
      </c>
    </row>
    <row r="131" spans="1:2">
      <c r="A131" s="30" t="s">
        <v>13214</v>
      </c>
      <c r="B131" s="30" t="s">
        <v>13211</v>
      </c>
    </row>
    <row r="132" spans="1:2">
      <c r="A132" s="30" t="s">
        <v>13215</v>
      </c>
      <c r="B132" s="30" t="s">
        <v>13211</v>
      </c>
    </row>
    <row r="133" spans="1:2">
      <c r="A133" s="30" t="s">
        <v>13216</v>
      </c>
      <c r="B133" s="30" t="s">
        <v>13211</v>
      </c>
    </row>
    <row r="134" spans="1:2">
      <c r="A134" s="30" t="s">
        <v>13217</v>
      </c>
      <c r="B134" s="30" t="s">
        <v>13211</v>
      </c>
    </row>
    <row r="135" spans="1:2">
      <c r="A135" s="30" t="s">
        <v>13218</v>
      </c>
      <c r="B135" s="30" t="s">
        <v>13211</v>
      </c>
    </row>
    <row r="136" spans="1:2">
      <c r="A136" s="30" t="s">
        <v>13219</v>
      </c>
      <c r="B136" s="30" t="s">
        <v>13211</v>
      </c>
    </row>
    <row r="137" spans="1:2">
      <c r="A137" s="30" t="s">
        <v>13220</v>
      </c>
      <c r="B137" s="30" t="s">
        <v>13211</v>
      </c>
    </row>
    <row r="138" spans="1:2">
      <c r="A138" s="30" t="s">
        <v>13221</v>
      </c>
      <c r="B138" s="30" t="s">
        <v>13211</v>
      </c>
    </row>
    <row r="139" spans="1:2">
      <c r="A139" s="30" t="s">
        <v>13222</v>
      </c>
      <c r="B139" s="30" t="s">
        <v>13211</v>
      </c>
    </row>
    <row r="140" spans="1:2">
      <c r="A140" s="30" t="s">
        <v>13223</v>
      </c>
      <c r="B140" s="30" t="s">
        <v>13224</v>
      </c>
    </row>
    <row r="141" spans="1:2">
      <c r="A141" s="30" t="s">
        <v>13225</v>
      </c>
      <c r="B141" s="30" t="s">
        <v>13211</v>
      </c>
    </row>
    <row r="142" spans="1:2">
      <c r="A142" s="30" t="s">
        <v>13226</v>
      </c>
      <c r="B142" s="30" t="s">
        <v>13211</v>
      </c>
    </row>
    <row r="143" spans="1:2">
      <c r="A143" s="30" t="s">
        <v>13227</v>
      </c>
      <c r="B143" s="30" t="s">
        <v>13211</v>
      </c>
    </row>
    <row r="144" spans="1:2">
      <c r="A144" s="30" t="s">
        <v>13228</v>
      </c>
      <c r="B144" s="30" t="s">
        <v>13229</v>
      </c>
    </row>
    <row r="145" spans="1:2">
      <c r="A145" s="30" t="s">
        <v>13230</v>
      </c>
      <c r="B145" s="30" t="s">
        <v>13211</v>
      </c>
    </row>
    <row r="146" spans="1:2">
      <c r="A146" s="30" t="s">
        <v>13231</v>
      </c>
      <c r="B146" s="30" t="s">
        <v>13211</v>
      </c>
    </row>
    <row r="147" spans="1:2">
      <c r="A147" s="30" t="s">
        <v>13232</v>
      </c>
      <c r="B147" s="30" t="s">
        <v>13088</v>
      </c>
    </row>
    <row r="148" spans="1:2">
      <c r="A148" s="30" t="s">
        <v>13233</v>
      </c>
      <c r="B148" s="30" t="s">
        <v>13234</v>
      </c>
    </row>
    <row r="149" spans="1:2">
      <c r="A149" s="30" t="s">
        <v>13235</v>
      </c>
      <c r="B149" s="30" t="s">
        <v>13234</v>
      </c>
    </row>
    <row r="150" spans="1:2">
      <c r="A150" s="30" t="s">
        <v>13236</v>
      </c>
      <c r="B150" s="30" t="s">
        <v>13234</v>
      </c>
    </row>
    <row r="151" spans="1:2">
      <c r="A151" s="30" t="s">
        <v>13237</v>
      </c>
      <c r="B151" s="30" t="s">
        <v>13234</v>
      </c>
    </row>
    <row r="152" spans="1:2">
      <c r="A152" s="30" t="s">
        <v>13238</v>
      </c>
      <c r="B152" s="30" t="s">
        <v>13239</v>
      </c>
    </row>
    <row r="153" spans="1:2">
      <c r="A153" s="30" t="s">
        <v>13240</v>
      </c>
      <c r="B153" s="30" t="s">
        <v>13241</v>
      </c>
    </row>
    <row r="154" spans="1:2">
      <c r="A154" s="30" t="s">
        <v>13242</v>
      </c>
      <c r="B154" s="30" t="s">
        <v>13243</v>
      </c>
    </row>
    <row r="155" spans="1:2">
      <c r="A155" s="30" t="s">
        <v>13244</v>
      </c>
      <c r="B155" s="30" t="s">
        <v>13143</v>
      </c>
    </row>
    <row r="156" spans="1:2">
      <c r="A156" s="30" t="s">
        <v>13245</v>
      </c>
      <c r="B156" s="30" t="s">
        <v>13246</v>
      </c>
    </row>
    <row r="157" spans="1:2">
      <c r="A157" s="30" t="s">
        <v>13247</v>
      </c>
      <c r="B157" s="30" t="s">
        <v>13248</v>
      </c>
    </row>
    <row r="158" spans="1:2">
      <c r="A158" s="30" t="s">
        <v>13249</v>
      </c>
      <c r="B158" s="30" t="s">
        <v>13143</v>
      </c>
    </row>
    <row r="159" spans="1:2">
      <c r="A159" s="30" t="s">
        <v>13250</v>
      </c>
      <c r="B159" s="30" t="s">
        <v>13143</v>
      </c>
    </row>
    <row r="160" spans="1:2">
      <c r="A160" s="30" t="s">
        <v>13251</v>
      </c>
      <c r="B160" s="30" t="s">
        <v>13213</v>
      </c>
    </row>
    <row r="161" spans="1:2">
      <c r="A161" s="30" t="s">
        <v>13252</v>
      </c>
      <c r="B161" s="30" t="s">
        <v>13114</v>
      </c>
    </row>
    <row r="162" spans="1:2">
      <c r="A162" s="30" t="s">
        <v>13253</v>
      </c>
      <c r="B162" s="30" t="s">
        <v>13254</v>
      </c>
    </row>
    <row r="163" spans="1:2">
      <c r="A163" s="30" t="s">
        <v>13255</v>
      </c>
      <c r="B163" s="30" t="s">
        <v>13254</v>
      </c>
    </row>
    <row r="164" spans="1:2">
      <c r="A164" s="30" t="s">
        <v>13256</v>
      </c>
      <c r="B164" s="30" t="s">
        <v>13213</v>
      </c>
    </row>
    <row r="165" spans="1:2">
      <c r="A165" s="30" t="s">
        <v>13257</v>
      </c>
      <c r="B165" s="30" t="s">
        <v>13243</v>
      </c>
    </row>
    <row r="166" spans="1:2">
      <c r="A166" s="30" t="s">
        <v>13258</v>
      </c>
      <c r="B166" s="30" t="s">
        <v>13213</v>
      </c>
    </row>
    <row r="167" spans="1:2">
      <c r="A167" s="30" t="s">
        <v>13259</v>
      </c>
      <c r="B167" s="30" t="s">
        <v>13211</v>
      </c>
    </row>
    <row r="168" spans="1:2">
      <c r="A168" s="30" t="s">
        <v>13260</v>
      </c>
      <c r="B168" s="30" t="s">
        <v>13261</v>
      </c>
    </row>
    <row r="169" spans="1:2">
      <c r="A169" s="30" t="s">
        <v>13262</v>
      </c>
      <c r="B169" s="30" t="s">
        <v>13246</v>
      </c>
    </row>
    <row r="170" spans="1:2">
      <c r="A170" s="30" t="s">
        <v>13263</v>
      </c>
      <c r="B170" s="30" t="s">
        <v>13246</v>
      </c>
    </row>
    <row r="171" spans="1:2">
      <c r="A171" s="30" t="s">
        <v>13264</v>
      </c>
      <c r="B171" s="30" t="s">
        <v>105</v>
      </c>
    </row>
    <row r="172" spans="1:2">
      <c r="A172" s="30" t="s">
        <v>13265</v>
      </c>
      <c r="B172" s="30" t="s">
        <v>542</v>
      </c>
    </row>
    <row r="173" spans="1:2">
      <c r="A173" s="30" t="s">
        <v>13266</v>
      </c>
      <c r="B173" s="30" t="s">
        <v>13088</v>
      </c>
    </row>
    <row r="174" spans="1:2">
      <c r="A174" s="30" t="s">
        <v>13267</v>
      </c>
      <c r="B174" s="30" t="s">
        <v>542</v>
      </c>
    </row>
    <row r="175" spans="1:2">
      <c r="A175" s="30" t="s">
        <v>13268</v>
      </c>
      <c r="B175" s="30" t="s">
        <v>13229</v>
      </c>
    </row>
    <row r="176" spans="1:2">
      <c r="A176" s="30" t="s">
        <v>13269</v>
      </c>
      <c r="B176" s="30" t="s">
        <v>13213</v>
      </c>
    </row>
    <row r="177" spans="1:2">
      <c r="A177" s="30" t="s">
        <v>13270</v>
      </c>
      <c r="B177" s="30" t="s">
        <v>13229</v>
      </c>
    </row>
    <row r="178" spans="1:2">
      <c r="A178" s="30" t="s">
        <v>13271</v>
      </c>
      <c r="B178" s="30" t="s">
        <v>13246</v>
      </c>
    </row>
    <row r="179" spans="1:2">
      <c r="A179" s="30" t="s">
        <v>13272</v>
      </c>
      <c r="B179" s="30" t="s">
        <v>13229</v>
      </c>
    </row>
    <row r="180" spans="1:2">
      <c r="A180" s="30" t="s">
        <v>13273</v>
      </c>
      <c r="B180" s="30" t="s">
        <v>13211</v>
      </c>
    </row>
    <row r="181" spans="1:2">
      <c r="A181" s="30" t="s">
        <v>13274</v>
      </c>
      <c r="B181" s="30" t="s">
        <v>13211</v>
      </c>
    </row>
    <row r="182" spans="1:2">
      <c r="A182" s="30" t="s">
        <v>13275</v>
      </c>
      <c r="B182" s="30" t="s">
        <v>13211</v>
      </c>
    </row>
    <row r="183" spans="1:2">
      <c r="A183" s="30" t="s">
        <v>13276</v>
      </c>
      <c r="B183" s="30" t="s">
        <v>13211</v>
      </c>
    </row>
    <row r="184" spans="1:2">
      <c r="A184" s="30" t="s">
        <v>13277</v>
      </c>
      <c r="B184" s="30" t="s">
        <v>13229</v>
      </c>
    </row>
    <row r="185" spans="1:2">
      <c r="A185" s="30" t="s">
        <v>13278</v>
      </c>
      <c r="B185" s="30" t="s">
        <v>13211</v>
      </c>
    </row>
    <row r="186" spans="1:2">
      <c r="A186" s="30" t="s">
        <v>13279</v>
      </c>
      <c r="B186" s="30" t="s">
        <v>13224</v>
      </c>
    </row>
    <row r="187" spans="1:2">
      <c r="A187" s="30" t="s">
        <v>13280</v>
      </c>
      <c r="B187" s="30" t="s">
        <v>13211</v>
      </c>
    </row>
    <row r="188" spans="1:2">
      <c r="A188" s="30" t="s">
        <v>13281</v>
      </c>
      <c r="B188" s="30" t="s">
        <v>13211</v>
      </c>
    </row>
    <row r="189" spans="1:2">
      <c r="A189" s="30" t="s">
        <v>13282</v>
      </c>
      <c r="B189" s="30" t="s">
        <v>13229</v>
      </c>
    </row>
    <row r="190" spans="1:2">
      <c r="A190" s="30" t="s">
        <v>13283</v>
      </c>
      <c r="B190" s="30" t="s">
        <v>13229</v>
      </c>
    </row>
    <row r="191" spans="1:2">
      <c r="A191" s="30" t="s">
        <v>13284</v>
      </c>
      <c r="B191" s="30" t="s">
        <v>13224</v>
      </c>
    </row>
    <row r="192" spans="1:2">
      <c r="A192" s="30" t="s">
        <v>13285</v>
      </c>
      <c r="B192" s="30" t="s">
        <v>13211</v>
      </c>
    </row>
    <row r="193" spans="1:2">
      <c r="A193" s="30" t="s">
        <v>13286</v>
      </c>
      <c r="B193" s="30" t="s">
        <v>13088</v>
      </c>
    </row>
    <row r="194" spans="1:2">
      <c r="A194" s="30" t="s">
        <v>13287</v>
      </c>
      <c r="B194" s="30" t="s">
        <v>13234</v>
      </c>
    </row>
    <row r="195" spans="1:2">
      <c r="A195" s="30" t="s">
        <v>13288</v>
      </c>
      <c r="B195" s="30" t="s">
        <v>13234</v>
      </c>
    </row>
    <row r="196" spans="1:2">
      <c r="A196" s="30" t="s">
        <v>13289</v>
      </c>
      <c r="B196" s="30" t="s">
        <v>13234</v>
      </c>
    </row>
    <row r="197" spans="1:2">
      <c r="A197" s="30" t="s">
        <v>13290</v>
      </c>
      <c r="B197" s="30" t="s">
        <v>13234</v>
      </c>
    </row>
    <row r="198" spans="1:2">
      <c r="A198" s="30" t="s">
        <v>13291</v>
      </c>
      <c r="B198" s="30" t="s">
        <v>13239</v>
      </c>
    </row>
    <row r="199" spans="1:2">
      <c r="A199" s="30" t="s">
        <v>13292</v>
      </c>
      <c r="B199" s="30" t="s">
        <v>13241</v>
      </c>
    </row>
    <row r="200" spans="1:2">
      <c r="A200" s="30" t="s">
        <v>13293</v>
      </c>
      <c r="B200" s="30" t="s">
        <v>13243</v>
      </c>
    </row>
    <row r="201" spans="1:2">
      <c r="A201" s="30" t="s">
        <v>13294</v>
      </c>
      <c r="B201" s="30" t="s">
        <v>13143</v>
      </c>
    </row>
    <row r="202" spans="1:2">
      <c r="A202" s="30" t="s">
        <v>13295</v>
      </c>
      <c r="B202" s="30" t="s">
        <v>13246</v>
      </c>
    </row>
    <row r="203" spans="1:2">
      <c r="A203" s="30" t="s">
        <v>13296</v>
      </c>
      <c r="B203" s="30" t="s">
        <v>13248</v>
      </c>
    </row>
    <row r="204" spans="1:2">
      <c r="A204" s="30" t="s">
        <v>13297</v>
      </c>
      <c r="B204" s="30" t="s">
        <v>13143</v>
      </c>
    </row>
    <row r="205" spans="1:2">
      <c r="A205" s="30" t="s">
        <v>13298</v>
      </c>
      <c r="B205" s="30" t="s">
        <v>13143</v>
      </c>
    </row>
    <row r="206" spans="1:2">
      <c r="A206" s="30" t="s">
        <v>13299</v>
      </c>
      <c r="B206" s="30" t="s">
        <v>13213</v>
      </c>
    </row>
    <row r="207" spans="1:2">
      <c r="A207" s="30" t="s">
        <v>13300</v>
      </c>
      <c r="B207" s="30" t="s">
        <v>13114</v>
      </c>
    </row>
    <row r="208" spans="1:2">
      <c r="A208" s="30" t="s">
        <v>13301</v>
      </c>
      <c r="B208" s="30" t="s">
        <v>13254</v>
      </c>
    </row>
    <row r="209" spans="1:2">
      <c r="A209" s="30" t="s">
        <v>13302</v>
      </c>
      <c r="B209" s="30" t="s">
        <v>13254</v>
      </c>
    </row>
    <row r="210" spans="1:2">
      <c r="A210" s="30" t="s">
        <v>13303</v>
      </c>
      <c r="B210" s="30" t="s">
        <v>13213</v>
      </c>
    </row>
    <row r="211" spans="1:2">
      <c r="A211" s="30" t="s">
        <v>13304</v>
      </c>
      <c r="B211" s="30" t="s">
        <v>13243</v>
      </c>
    </row>
    <row r="212" spans="1:2">
      <c r="A212" s="30" t="s">
        <v>13305</v>
      </c>
      <c r="B212" s="30" t="s">
        <v>13213</v>
      </c>
    </row>
    <row r="213" spans="1:2">
      <c r="A213" s="30" t="s">
        <v>13306</v>
      </c>
      <c r="B213" s="30" t="s">
        <v>13211</v>
      </c>
    </row>
    <row r="214" spans="1:2">
      <c r="A214" s="30" t="s">
        <v>13307</v>
      </c>
      <c r="B214" s="30" t="s">
        <v>13261</v>
      </c>
    </row>
    <row r="215" spans="1:2">
      <c r="A215" s="30" t="s">
        <v>13308</v>
      </c>
      <c r="B215" s="30" t="s">
        <v>13246</v>
      </c>
    </row>
    <row r="216" spans="1:2">
      <c r="A216" s="30" t="s">
        <v>13309</v>
      </c>
      <c r="B216" s="30" t="s">
        <v>13246</v>
      </c>
    </row>
    <row r="217" spans="1:2">
      <c r="A217" s="30" t="s">
        <v>13310</v>
      </c>
      <c r="B217" s="30" t="s">
        <v>105</v>
      </c>
    </row>
    <row r="218" spans="1:2">
      <c r="A218" s="30" t="s">
        <v>13311</v>
      </c>
      <c r="B218" s="30" t="s">
        <v>542</v>
      </c>
    </row>
    <row r="219" spans="1:2">
      <c r="A219" s="30" t="s">
        <v>13312</v>
      </c>
      <c r="B219" s="30" t="s">
        <v>13088</v>
      </c>
    </row>
    <row r="220" spans="1:2">
      <c r="A220" s="30" t="s">
        <v>13313</v>
      </c>
      <c r="B220" s="30" t="s">
        <v>542</v>
      </c>
    </row>
    <row r="221" spans="1:2">
      <c r="A221" s="30" t="s">
        <v>13314</v>
      </c>
      <c r="B221" s="30" t="s">
        <v>13079</v>
      </c>
    </row>
    <row r="222" spans="1:2">
      <c r="A222" s="30" t="s">
        <v>13315</v>
      </c>
      <c r="B222" s="30" t="s">
        <v>13261</v>
      </c>
    </row>
    <row r="223" spans="1:2">
      <c r="A223" s="30" t="s">
        <v>13316</v>
      </c>
      <c r="B223" s="30" t="s">
        <v>13317</v>
      </c>
    </row>
    <row r="224" spans="1:2">
      <c r="A224" s="30" t="s">
        <v>1207</v>
      </c>
      <c r="B224" s="30" t="s">
        <v>1220</v>
      </c>
    </row>
    <row r="225" spans="1:2">
      <c r="A225" s="30" t="s">
        <v>1207</v>
      </c>
      <c r="B225" s="30" t="s">
        <v>1221</v>
      </c>
    </row>
    <row r="226" spans="1:2">
      <c r="A226" s="30" t="s">
        <v>1207</v>
      </c>
      <c r="B226" s="30" t="s">
        <v>1222</v>
      </c>
    </row>
    <row r="227" spans="1:2">
      <c r="A227" s="30" t="s">
        <v>1207</v>
      </c>
      <c r="B227" s="30" t="s">
        <v>1223</v>
      </c>
    </row>
    <row r="228" spans="1:2">
      <c r="A228" s="30" t="s">
        <v>1207</v>
      </c>
      <c r="B228" s="30" t="s">
        <v>1224</v>
      </c>
    </row>
    <row r="229" spans="1:2">
      <c r="A229" s="30" t="s">
        <v>1207</v>
      </c>
      <c r="B229" s="30" t="s">
        <v>1225</v>
      </c>
    </row>
    <row r="230" spans="1:2">
      <c r="A230" s="30" t="s">
        <v>1207</v>
      </c>
      <c r="B230" s="30" t="s">
        <v>13318</v>
      </c>
    </row>
    <row r="231" spans="1:2">
      <c r="A231" s="30" t="s">
        <v>1207</v>
      </c>
      <c r="B231" s="30" t="s">
        <v>1226</v>
      </c>
    </row>
    <row r="232" spans="1:2">
      <c r="A232" s="30" t="s">
        <v>1207</v>
      </c>
      <c r="B232" s="30" t="s">
        <v>1227</v>
      </c>
    </row>
    <row r="233" spans="1:2">
      <c r="A233" s="30" t="s">
        <v>1207</v>
      </c>
      <c r="B233" s="30" t="s">
        <v>1228</v>
      </c>
    </row>
    <row r="234" spans="1:2">
      <c r="A234" s="30" t="s">
        <v>1207</v>
      </c>
      <c r="B234" s="30" t="s">
        <v>1229</v>
      </c>
    </row>
    <row r="235" spans="1:2">
      <c r="A235" s="30" t="s">
        <v>1207</v>
      </c>
      <c r="B235" s="30" t="s">
        <v>1230</v>
      </c>
    </row>
    <row r="236" spans="1:2">
      <c r="A236" s="30" t="s">
        <v>1207</v>
      </c>
      <c r="B236" s="30" t="s">
        <v>1231</v>
      </c>
    </row>
    <row r="237" spans="1:2">
      <c r="A237" s="30" t="s">
        <v>1207</v>
      </c>
      <c r="B237" s="30" t="s">
        <v>1232</v>
      </c>
    </row>
    <row r="238" spans="1:2">
      <c r="A238" s="30" t="s">
        <v>1207</v>
      </c>
      <c r="B238" s="30" t="s">
        <v>1233</v>
      </c>
    </row>
    <row r="239" spans="1:2">
      <c r="A239" s="30" t="s">
        <v>1207</v>
      </c>
      <c r="B239" s="30" t="s">
        <v>1234</v>
      </c>
    </row>
    <row r="240" spans="1:2">
      <c r="A240" s="30" t="s">
        <v>1207</v>
      </c>
      <c r="B240" s="30" t="s">
        <v>1235</v>
      </c>
    </row>
    <row r="241" spans="1:2">
      <c r="A241" s="30" t="s">
        <v>1207</v>
      </c>
      <c r="B241" s="30" t="s">
        <v>1236</v>
      </c>
    </row>
    <row r="242" spans="1:2">
      <c r="A242" s="30" t="s">
        <v>1207</v>
      </c>
      <c r="B242" s="30" t="s">
        <v>1237</v>
      </c>
    </row>
    <row r="243" spans="1:2">
      <c r="A243" s="30" t="s">
        <v>1207</v>
      </c>
      <c r="B243" s="30" t="s">
        <v>1238</v>
      </c>
    </row>
    <row r="244" spans="1:2">
      <c r="A244" s="30" t="s">
        <v>1207</v>
      </c>
      <c r="B244" s="30" t="s">
        <v>1239</v>
      </c>
    </row>
    <row r="245" spans="1:2">
      <c r="A245" s="30" t="s">
        <v>1207</v>
      </c>
      <c r="B245" s="30" t="s">
        <v>1240</v>
      </c>
    </row>
    <row r="246" spans="1:2">
      <c r="A246" s="30" t="s">
        <v>1207</v>
      </c>
      <c r="B246" s="30" t="s">
        <v>1241</v>
      </c>
    </row>
    <row r="247" spans="1:2">
      <c r="A247" s="30" t="s">
        <v>1207</v>
      </c>
      <c r="B247" s="30" t="s">
        <v>1242</v>
      </c>
    </row>
    <row r="248" spans="1:2">
      <c r="A248" s="30" t="s">
        <v>1207</v>
      </c>
      <c r="B248" s="30" t="s">
        <v>1243</v>
      </c>
    </row>
    <row r="249" spans="1:2">
      <c r="A249" s="30" t="s">
        <v>1207</v>
      </c>
      <c r="B249" s="30" t="s">
        <v>1244</v>
      </c>
    </row>
    <row r="250" spans="1:2">
      <c r="A250" s="30" t="s">
        <v>1207</v>
      </c>
      <c r="B250" s="30" t="s">
        <v>13319</v>
      </c>
    </row>
    <row r="251" spans="1:2">
      <c r="A251" s="30" t="s">
        <v>1207</v>
      </c>
      <c r="B251" s="30" t="s">
        <v>1245</v>
      </c>
    </row>
    <row r="252" spans="1:2">
      <c r="A252" s="30" t="s">
        <v>1207</v>
      </c>
      <c r="B252" s="30" t="s">
        <v>1246</v>
      </c>
    </row>
    <row r="253" spans="1:2">
      <c r="A253" s="30" t="s">
        <v>1207</v>
      </c>
      <c r="B253" s="30" t="s">
        <v>1247</v>
      </c>
    </row>
    <row r="254" spans="1:2">
      <c r="A254" s="30" t="s">
        <v>1207</v>
      </c>
      <c r="B254" s="30" t="s">
        <v>1248</v>
      </c>
    </row>
    <row r="255" spans="1:2">
      <c r="A255" s="30" t="s">
        <v>1207</v>
      </c>
      <c r="B255" s="30" t="s">
        <v>1249</v>
      </c>
    </row>
    <row r="256" spans="1:2">
      <c r="A256" s="30" t="s">
        <v>1207</v>
      </c>
      <c r="B256" s="30" t="s">
        <v>1250</v>
      </c>
    </row>
    <row r="257" spans="1:2">
      <c r="A257" s="30" t="s">
        <v>1207</v>
      </c>
      <c r="B257" s="30" t="s">
        <v>1251</v>
      </c>
    </row>
    <row r="258" spans="1:2">
      <c r="A258" s="30" t="s">
        <v>1207</v>
      </c>
      <c r="B258" s="30" t="s">
        <v>1252</v>
      </c>
    </row>
    <row r="259" spans="1:2">
      <c r="A259" s="30" t="s">
        <v>1207</v>
      </c>
      <c r="B259" s="30" t="s">
        <v>1253</v>
      </c>
    </row>
    <row r="260" spans="1:2">
      <c r="A260" s="30" t="s">
        <v>1207</v>
      </c>
      <c r="B260" s="30" t="s">
        <v>1254</v>
      </c>
    </row>
    <row r="261" spans="1:2">
      <c r="A261" s="30" t="s">
        <v>1207</v>
      </c>
      <c r="B261" s="30" t="s">
        <v>1255</v>
      </c>
    </row>
    <row r="262" spans="1:2">
      <c r="A262" s="30" t="s">
        <v>1207</v>
      </c>
      <c r="B262" s="30" t="s">
        <v>1256</v>
      </c>
    </row>
    <row r="263" spans="1:2">
      <c r="A263" s="30" t="s">
        <v>1207</v>
      </c>
      <c r="B263" s="30" t="s">
        <v>1257</v>
      </c>
    </row>
    <row r="264" spans="1:2">
      <c r="A264" s="30" t="s">
        <v>1207</v>
      </c>
      <c r="B264" s="30" t="s">
        <v>1258</v>
      </c>
    </row>
    <row r="265" spans="1:2">
      <c r="A265" s="30" t="s">
        <v>1207</v>
      </c>
      <c r="B265" s="30" t="s">
        <v>1259</v>
      </c>
    </row>
    <row r="266" spans="1:2">
      <c r="A266" s="30" t="s">
        <v>1207</v>
      </c>
      <c r="B266" s="30" t="s">
        <v>1260</v>
      </c>
    </row>
    <row r="267" spans="1:2">
      <c r="A267" s="30" t="s">
        <v>1207</v>
      </c>
      <c r="B267" s="30" t="s">
        <v>1261</v>
      </c>
    </row>
    <row r="268" spans="1:2">
      <c r="A268" s="30" t="s">
        <v>1207</v>
      </c>
      <c r="B268" s="30" t="s">
        <v>1262</v>
      </c>
    </row>
    <row r="269" spans="1:2">
      <c r="A269" s="30" t="s">
        <v>1207</v>
      </c>
      <c r="B269" s="30" t="s">
        <v>1263</v>
      </c>
    </row>
    <row r="270" spans="1:2">
      <c r="A270" s="30" t="s">
        <v>1207</v>
      </c>
      <c r="B270" s="30" t="s">
        <v>1264</v>
      </c>
    </row>
    <row r="271" spans="1:2">
      <c r="A271" s="30" t="s">
        <v>1207</v>
      </c>
      <c r="B271" s="30" t="s">
        <v>1265</v>
      </c>
    </row>
    <row r="272" spans="1:2">
      <c r="A272" s="30" t="s">
        <v>1207</v>
      </c>
      <c r="B272" s="30" t="s">
        <v>1266</v>
      </c>
    </row>
    <row r="273" spans="1:2">
      <c r="A273" s="30" t="s">
        <v>1207</v>
      </c>
      <c r="B273" s="30" t="s">
        <v>1267</v>
      </c>
    </row>
    <row r="274" spans="1:2">
      <c r="A274" s="30" t="s">
        <v>1207</v>
      </c>
      <c r="B274" s="30" t="s">
        <v>13320</v>
      </c>
    </row>
    <row r="275" spans="1:2">
      <c r="A275" s="30" t="s">
        <v>1207</v>
      </c>
      <c r="B275" s="30" t="s">
        <v>13321</v>
      </c>
    </row>
    <row r="276" spans="1:2">
      <c r="A276" s="30" t="s">
        <v>1207</v>
      </c>
      <c r="B276" s="30" t="s">
        <v>1268</v>
      </c>
    </row>
    <row r="277" spans="1:2">
      <c r="A277" s="30" t="s">
        <v>1207</v>
      </c>
      <c r="B277" s="30" t="s">
        <v>1269</v>
      </c>
    </row>
    <row r="278" spans="1:2">
      <c r="A278" s="30" t="s">
        <v>1207</v>
      </c>
      <c r="B278" s="30" t="s">
        <v>1270</v>
      </c>
    </row>
    <row r="279" spans="1:2">
      <c r="A279" s="30" t="s">
        <v>1207</v>
      </c>
      <c r="B279" s="30" t="s">
        <v>1271</v>
      </c>
    </row>
    <row r="280" spans="1:2">
      <c r="A280" s="30" t="s">
        <v>1207</v>
      </c>
      <c r="B280" s="30" t="s">
        <v>1272</v>
      </c>
    </row>
    <row r="281" spans="1:2">
      <c r="A281" s="30" t="s">
        <v>1207</v>
      </c>
      <c r="B281" s="30" t="s">
        <v>1273</v>
      </c>
    </row>
    <row r="282" spans="1:2">
      <c r="A282" s="30" t="s">
        <v>1207</v>
      </c>
      <c r="B282" s="30" t="s">
        <v>1274</v>
      </c>
    </row>
    <row r="283" spans="1:2">
      <c r="A283" s="30" t="s">
        <v>1207</v>
      </c>
      <c r="B283" s="30" t="s">
        <v>1275</v>
      </c>
    </row>
    <row r="284" spans="1:2">
      <c r="A284" s="30" t="s">
        <v>1207</v>
      </c>
      <c r="B284" s="30" t="s">
        <v>1276</v>
      </c>
    </row>
    <row r="285" spans="1:2">
      <c r="A285" s="30" t="s">
        <v>1207</v>
      </c>
      <c r="B285" s="30" t="s">
        <v>1277</v>
      </c>
    </row>
    <row r="286" spans="1:2">
      <c r="A286" s="30" t="s">
        <v>1207</v>
      </c>
      <c r="B286" s="30" t="s">
        <v>1278</v>
      </c>
    </row>
    <row r="287" spans="1:2">
      <c r="A287" s="30" t="s">
        <v>1207</v>
      </c>
      <c r="B287" s="30" t="s">
        <v>1279</v>
      </c>
    </row>
    <row r="288" spans="1:2">
      <c r="A288" s="30" t="s">
        <v>1207</v>
      </c>
      <c r="B288" s="30" t="s">
        <v>1280</v>
      </c>
    </row>
    <row r="289" spans="1:2">
      <c r="A289" s="30" t="s">
        <v>1207</v>
      </c>
      <c r="B289" s="30" t="s">
        <v>1281</v>
      </c>
    </row>
    <row r="290" spans="1:2">
      <c r="A290" s="30" t="s">
        <v>1207</v>
      </c>
      <c r="B290" s="30" t="s">
        <v>1282</v>
      </c>
    </row>
    <row r="291" spans="1:2">
      <c r="A291" s="30" t="s">
        <v>1207</v>
      </c>
      <c r="B291" s="30" t="s">
        <v>1283</v>
      </c>
    </row>
    <row r="292" spans="1:2">
      <c r="A292" s="30" t="s">
        <v>1207</v>
      </c>
      <c r="B292" s="30" t="s">
        <v>1284</v>
      </c>
    </row>
    <row r="293" spans="1:2">
      <c r="A293" s="30" t="s">
        <v>1207</v>
      </c>
      <c r="B293" s="30" t="s">
        <v>1285</v>
      </c>
    </row>
    <row r="294" spans="1:2">
      <c r="A294" s="30" t="s">
        <v>1207</v>
      </c>
      <c r="B294" s="30" t="s">
        <v>1286</v>
      </c>
    </row>
    <row r="295" spans="1:2">
      <c r="A295" s="30" t="s">
        <v>1207</v>
      </c>
      <c r="B295" s="30" t="s">
        <v>1287</v>
      </c>
    </row>
    <row r="296" spans="1:2">
      <c r="A296" s="30" t="s">
        <v>1207</v>
      </c>
      <c r="B296" s="30" t="s">
        <v>1288</v>
      </c>
    </row>
    <row r="297" spans="1:2">
      <c r="A297" s="30" t="s">
        <v>1207</v>
      </c>
      <c r="B297" s="30" t="s">
        <v>1289</v>
      </c>
    </row>
    <row r="298" spans="1:2">
      <c r="A298" s="30" t="s">
        <v>1207</v>
      </c>
      <c r="B298" s="30" t="s">
        <v>1290</v>
      </c>
    </row>
    <row r="299" spans="1:2">
      <c r="A299" s="30" t="s">
        <v>1207</v>
      </c>
      <c r="B299" s="30" t="s">
        <v>1291</v>
      </c>
    </row>
    <row r="300" spans="1:2">
      <c r="A300" s="30" t="s">
        <v>1207</v>
      </c>
      <c r="B300" s="30" t="s">
        <v>1292</v>
      </c>
    </row>
    <row r="301" spans="1:2">
      <c r="A301" s="30" t="s">
        <v>1207</v>
      </c>
      <c r="B301" s="30" t="s">
        <v>1293</v>
      </c>
    </row>
    <row r="302" spans="1:2">
      <c r="A302" s="30" t="s">
        <v>1207</v>
      </c>
      <c r="B302" s="30" t="s">
        <v>1294</v>
      </c>
    </row>
    <row r="303" spans="1:2">
      <c r="A303" s="30" t="s">
        <v>1207</v>
      </c>
      <c r="B303" s="30" t="s">
        <v>1295</v>
      </c>
    </row>
    <row r="304" spans="1:2">
      <c r="A304" s="30" t="s">
        <v>1207</v>
      </c>
      <c r="B304" s="30" t="s">
        <v>1296</v>
      </c>
    </row>
    <row r="305" spans="1:2">
      <c r="A305" s="30" t="s">
        <v>1207</v>
      </c>
      <c r="B305" s="30" t="s">
        <v>1297</v>
      </c>
    </row>
    <row r="306" spans="1:2">
      <c r="A306" s="30" t="s">
        <v>1207</v>
      </c>
      <c r="B306" s="30" t="s">
        <v>1298</v>
      </c>
    </row>
    <row r="307" spans="1:2">
      <c r="A307" s="30" t="s">
        <v>1207</v>
      </c>
      <c r="B307" s="30" t="s">
        <v>1208</v>
      </c>
    </row>
    <row r="308" spans="1:2">
      <c r="A308" s="30" t="s">
        <v>1207</v>
      </c>
      <c r="B308" s="30" t="s">
        <v>1209</v>
      </c>
    </row>
    <row r="309" spans="1:2">
      <c r="A309" s="30" t="s">
        <v>1207</v>
      </c>
      <c r="B309" s="30" t="s">
        <v>1210</v>
      </c>
    </row>
    <row r="310" spans="1:2">
      <c r="A310" s="30" t="s">
        <v>1207</v>
      </c>
      <c r="B310" s="30" t="s">
        <v>13322</v>
      </c>
    </row>
    <row r="311" spans="1:2">
      <c r="A311" s="30" t="s">
        <v>1207</v>
      </c>
      <c r="B311" s="30" t="s">
        <v>1211</v>
      </c>
    </row>
    <row r="312" spans="1:2">
      <c r="A312" s="30" t="s">
        <v>1207</v>
      </c>
      <c r="B312" s="30" t="s">
        <v>1212</v>
      </c>
    </row>
    <row r="313" spans="1:2">
      <c r="A313" s="30" t="s">
        <v>1207</v>
      </c>
      <c r="B313" s="30" t="s">
        <v>1213</v>
      </c>
    </row>
    <row r="314" spans="1:2">
      <c r="A314" s="30" t="s">
        <v>1207</v>
      </c>
      <c r="B314" s="30" t="s">
        <v>1214</v>
      </c>
    </row>
    <row r="315" spans="1:2">
      <c r="A315" s="30" t="s">
        <v>1207</v>
      </c>
      <c r="B315" s="30" t="s">
        <v>1215</v>
      </c>
    </row>
    <row r="316" spans="1:2">
      <c r="A316" s="30" t="s">
        <v>1207</v>
      </c>
      <c r="B316" s="30" t="s">
        <v>1216</v>
      </c>
    </row>
    <row r="317" spans="1:2">
      <c r="A317" s="30" t="s">
        <v>1207</v>
      </c>
      <c r="B317" s="30" t="s">
        <v>1217</v>
      </c>
    </row>
    <row r="318" spans="1:2">
      <c r="A318" s="30" t="s">
        <v>1207</v>
      </c>
      <c r="B318" s="30" t="s">
        <v>2156</v>
      </c>
    </row>
    <row r="319" spans="1:2">
      <c r="A319" s="30" t="s">
        <v>1207</v>
      </c>
      <c r="B319" s="30" t="s">
        <v>1218</v>
      </c>
    </row>
    <row r="320" spans="1:2">
      <c r="A320" s="30" t="s">
        <v>1207</v>
      </c>
      <c r="B320" s="30" t="s">
        <v>1219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ILE_STORE_DATA">
    <tabColor indexed="47"/>
  </sheetPr>
  <dimension ref="A1"/>
  <sheetViews>
    <sheetView zoomScaleNormal="100" workbookViewId="0"/>
  </sheetViews>
  <sheetFormatPr defaultColWidth="9.125" defaultRowHeight="11.4"/>
  <cols>
    <col min="1" max="16384" width="9.125" style="30"/>
  </cols>
  <sheetData/>
  <sheetProtection formatColumns="0" formatRows="0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ORG">
    <tabColor indexed="47"/>
  </sheetPr>
  <dimension ref="A1:Y266"/>
  <sheetViews>
    <sheetView zoomScaleNormal="100" workbookViewId="0"/>
  </sheetViews>
  <sheetFormatPr defaultColWidth="9.125" defaultRowHeight="11.4"/>
  <cols>
    <col min="1" max="16384" width="9.125" style="30"/>
  </cols>
  <sheetData>
    <row r="1" spans="1:25">
      <c r="A1" s="30" t="s">
        <v>0</v>
      </c>
      <c r="B1" s="30" t="s">
        <v>2155</v>
      </c>
      <c r="C1" s="30" t="s">
        <v>292</v>
      </c>
      <c r="D1" s="30" t="s">
        <v>623</v>
      </c>
      <c r="E1" s="30" t="s">
        <v>621</v>
      </c>
      <c r="F1" s="30" t="s">
        <v>622</v>
      </c>
      <c r="G1" s="30" t="s">
        <v>624</v>
      </c>
      <c r="H1" s="30" t="s">
        <v>625</v>
      </c>
      <c r="I1" s="30" t="s">
        <v>2229</v>
      </c>
      <c r="J1" s="30" t="s">
        <v>2230</v>
      </c>
      <c r="K1" s="30" t="s">
        <v>2231</v>
      </c>
      <c r="L1" s="30" t="s">
        <v>2232</v>
      </c>
      <c r="M1" s="30" t="s">
        <v>2099</v>
      </c>
      <c r="N1" s="30" t="s">
        <v>2233</v>
      </c>
      <c r="O1" s="30" t="s">
        <v>2234</v>
      </c>
      <c r="P1" s="30" t="s">
        <v>2289</v>
      </c>
      <c r="Q1" s="30" t="s">
        <v>2290</v>
      </c>
      <c r="R1" s="30" t="s">
        <v>2216</v>
      </c>
      <c r="S1" s="30" t="s">
        <v>2291</v>
      </c>
      <c r="T1" s="30" t="s">
        <v>2292</v>
      </c>
      <c r="U1" s="30" t="s">
        <v>2228</v>
      </c>
      <c r="V1" s="30" t="s">
        <v>2227</v>
      </c>
      <c r="W1" s="30" t="s">
        <v>2235</v>
      </c>
      <c r="X1" s="30" t="s">
        <v>2236</v>
      </c>
      <c r="Y1" s="30" t="s">
        <v>2293</v>
      </c>
    </row>
    <row r="2" spans="1:25">
      <c r="A2" s="30" t="s">
        <v>13898</v>
      </c>
      <c r="B2" s="30" t="s">
        <v>105</v>
      </c>
      <c r="C2" s="30" t="s">
        <v>12120</v>
      </c>
      <c r="D2" s="30" t="s">
        <v>12121</v>
      </c>
      <c r="E2" s="30" t="s">
        <v>12122</v>
      </c>
      <c r="F2" s="30" t="s">
        <v>12123</v>
      </c>
      <c r="H2" s="30" t="s">
        <v>2574</v>
      </c>
      <c r="I2" s="30" t="s">
        <v>13899</v>
      </c>
      <c r="J2" s="30" t="s">
        <v>13900</v>
      </c>
      <c r="K2" s="30" t="s">
        <v>13901</v>
      </c>
      <c r="L2" s="30" t="s">
        <v>13902</v>
      </c>
      <c r="M2" s="30" t="s">
        <v>1294</v>
      </c>
      <c r="N2" s="30" t="s">
        <v>129</v>
      </c>
      <c r="P2" s="30" t="s">
        <v>131</v>
      </c>
      <c r="Q2" s="30" t="s">
        <v>129</v>
      </c>
      <c r="R2" s="30" t="s">
        <v>131</v>
      </c>
      <c r="S2" s="30" t="s">
        <v>129</v>
      </c>
      <c r="T2" s="30" t="s">
        <v>129</v>
      </c>
      <c r="U2" s="30" t="s">
        <v>13903</v>
      </c>
      <c r="V2" s="30" t="s">
        <v>13904</v>
      </c>
      <c r="W2" s="30" t="s">
        <v>129</v>
      </c>
      <c r="X2" s="30" t="s">
        <v>2238</v>
      </c>
      <c r="Y2" s="30" t="s">
        <v>2254</v>
      </c>
    </row>
    <row r="3" spans="1:25">
      <c r="A3" s="30" t="s">
        <v>13898</v>
      </c>
      <c r="B3" s="30" t="s">
        <v>164</v>
      </c>
      <c r="C3" s="30" t="s">
        <v>12128</v>
      </c>
      <c r="D3" s="30" t="s">
        <v>12129</v>
      </c>
      <c r="E3" s="30" t="s">
        <v>12130</v>
      </c>
      <c r="F3" s="30" t="s">
        <v>12131</v>
      </c>
      <c r="H3" s="30" t="s">
        <v>2574</v>
      </c>
      <c r="I3" s="30" t="s">
        <v>13905</v>
      </c>
      <c r="J3" s="30" t="s">
        <v>13906</v>
      </c>
      <c r="K3" s="30" t="s">
        <v>13901</v>
      </c>
      <c r="L3" s="30" t="s">
        <v>13902</v>
      </c>
      <c r="M3" s="30" t="s">
        <v>1222</v>
      </c>
      <c r="N3" s="30" t="s">
        <v>129</v>
      </c>
      <c r="P3" s="30" t="s">
        <v>131</v>
      </c>
      <c r="Q3" s="30" t="s">
        <v>131</v>
      </c>
      <c r="R3" s="30" t="s">
        <v>131</v>
      </c>
      <c r="S3" s="30" t="s">
        <v>129</v>
      </c>
      <c r="T3" s="30" t="s">
        <v>129</v>
      </c>
      <c r="U3" s="30" t="s">
        <v>13907</v>
      </c>
      <c r="V3" s="30" t="s">
        <v>13908</v>
      </c>
      <c r="W3" s="30" t="s">
        <v>129</v>
      </c>
      <c r="X3" s="30" t="s">
        <v>2238</v>
      </c>
      <c r="Y3" s="30" t="s">
        <v>2254</v>
      </c>
    </row>
    <row r="4" spans="1:25">
      <c r="A4" s="30" t="s">
        <v>13898</v>
      </c>
      <c r="B4" s="30" t="s">
        <v>165</v>
      </c>
      <c r="C4" s="30" t="s">
        <v>12132</v>
      </c>
      <c r="D4" s="30" t="s">
        <v>12133</v>
      </c>
      <c r="E4" s="30" t="s">
        <v>12134</v>
      </c>
      <c r="F4" s="30" t="s">
        <v>12135</v>
      </c>
      <c r="H4" s="30" t="s">
        <v>2574</v>
      </c>
      <c r="I4" s="30" t="s">
        <v>13909</v>
      </c>
      <c r="J4" s="30" t="s">
        <v>13910</v>
      </c>
      <c r="K4" s="30" t="s">
        <v>13901</v>
      </c>
      <c r="L4" s="30" t="s">
        <v>13902</v>
      </c>
      <c r="M4" s="30" t="s">
        <v>1223</v>
      </c>
      <c r="N4" s="30" t="s">
        <v>131</v>
      </c>
      <c r="O4" s="30" t="s">
        <v>13911</v>
      </c>
      <c r="P4" s="30" t="s">
        <v>129</v>
      </c>
      <c r="Q4" s="30" t="s">
        <v>129</v>
      </c>
      <c r="R4" s="30" t="s">
        <v>131</v>
      </c>
      <c r="S4" s="30" t="s">
        <v>129</v>
      </c>
      <c r="T4" s="30" t="s">
        <v>129</v>
      </c>
      <c r="U4" s="30" t="s">
        <v>13912</v>
      </c>
      <c r="V4" s="30" t="s">
        <v>13913</v>
      </c>
      <c r="W4" s="30" t="s">
        <v>129</v>
      </c>
      <c r="X4" s="30" t="s">
        <v>2238</v>
      </c>
      <c r="Y4" s="30" t="s">
        <v>2254</v>
      </c>
    </row>
    <row r="5" spans="1:25">
      <c r="A5" s="30" t="s">
        <v>13898</v>
      </c>
      <c r="B5" s="30" t="s">
        <v>166</v>
      </c>
      <c r="C5" s="30" t="s">
        <v>12136</v>
      </c>
      <c r="D5" s="30" t="s">
        <v>12137</v>
      </c>
      <c r="E5" s="30" t="s">
        <v>12138</v>
      </c>
      <c r="F5" s="30" t="s">
        <v>12139</v>
      </c>
      <c r="H5" s="30" t="s">
        <v>2574</v>
      </c>
      <c r="I5" s="30" t="s">
        <v>13914</v>
      </c>
      <c r="J5" s="30" t="s">
        <v>13915</v>
      </c>
      <c r="K5" s="30" t="s">
        <v>13901</v>
      </c>
      <c r="L5" s="30" t="s">
        <v>13902</v>
      </c>
      <c r="M5" s="30" t="s">
        <v>1222</v>
      </c>
      <c r="N5" s="30" t="s">
        <v>129</v>
      </c>
      <c r="P5" s="30" t="s">
        <v>131</v>
      </c>
      <c r="Q5" s="30" t="s">
        <v>131</v>
      </c>
      <c r="R5" s="30" t="s">
        <v>131</v>
      </c>
      <c r="S5" s="30" t="s">
        <v>129</v>
      </c>
      <c r="T5" s="30" t="s">
        <v>129</v>
      </c>
      <c r="U5" s="30" t="s">
        <v>13916</v>
      </c>
      <c r="V5" s="30" t="s">
        <v>13917</v>
      </c>
      <c r="W5" s="30" t="s">
        <v>129</v>
      </c>
      <c r="X5" s="30" t="s">
        <v>2238</v>
      </c>
      <c r="Y5" s="30" t="s">
        <v>2254</v>
      </c>
    </row>
    <row r="6" spans="1:25">
      <c r="A6" s="30" t="s">
        <v>13898</v>
      </c>
      <c r="B6" s="30" t="s">
        <v>180</v>
      </c>
      <c r="C6" s="30" t="s">
        <v>12141</v>
      </c>
      <c r="D6" s="30" t="s">
        <v>12142</v>
      </c>
      <c r="E6" s="30" t="s">
        <v>12143</v>
      </c>
      <c r="F6" s="30" t="s">
        <v>12144</v>
      </c>
      <c r="H6" s="30" t="s">
        <v>2574</v>
      </c>
      <c r="I6" s="30" t="s">
        <v>13918</v>
      </c>
      <c r="J6" s="30" t="s">
        <v>13919</v>
      </c>
      <c r="K6" s="30" t="s">
        <v>13901</v>
      </c>
      <c r="L6" s="30" t="s">
        <v>13902</v>
      </c>
      <c r="M6" s="30" t="s">
        <v>1222</v>
      </c>
      <c r="N6" s="30" t="s">
        <v>129</v>
      </c>
      <c r="P6" s="30" t="s">
        <v>131</v>
      </c>
      <c r="Q6" s="30" t="s">
        <v>131</v>
      </c>
      <c r="R6" s="30" t="s">
        <v>131</v>
      </c>
      <c r="S6" s="30" t="s">
        <v>129</v>
      </c>
      <c r="T6" s="30" t="s">
        <v>129</v>
      </c>
      <c r="U6" s="30" t="s">
        <v>13920</v>
      </c>
      <c r="V6" s="30" t="s">
        <v>13921</v>
      </c>
      <c r="W6" s="30" t="s">
        <v>129</v>
      </c>
      <c r="X6" s="30" t="s">
        <v>2238</v>
      </c>
      <c r="Y6" s="30" t="s">
        <v>2254</v>
      </c>
    </row>
    <row r="7" spans="1:25">
      <c r="A7" s="30" t="s">
        <v>13898</v>
      </c>
      <c r="B7" s="30" t="s">
        <v>394</v>
      </c>
      <c r="C7" s="30" t="s">
        <v>12145</v>
      </c>
      <c r="D7" s="30" t="s">
        <v>12146</v>
      </c>
      <c r="E7" s="30" t="s">
        <v>12147</v>
      </c>
      <c r="F7" s="30" t="s">
        <v>12148</v>
      </c>
      <c r="H7" s="30" t="s">
        <v>2572</v>
      </c>
      <c r="I7" s="30" t="s">
        <v>13922</v>
      </c>
      <c r="J7" s="30" t="s">
        <v>13923</v>
      </c>
      <c r="K7" s="30" t="s">
        <v>13901</v>
      </c>
      <c r="L7" s="30" t="s">
        <v>13924</v>
      </c>
      <c r="M7" s="30" t="s">
        <v>1222</v>
      </c>
      <c r="N7" s="30" t="s">
        <v>129</v>
      </c>
      <c r="P7" s="30" t="s">
        <v>131</v>
      </c>
      <c r="Q7" s="30" t="s">
        <v>131</v>
      </c>
      <c r="R7" s="30" t="s">
        <v>131</v>
      </c>
      <c r="S7" s="30" t="s">
        <v>129</v>
      </c>
      <c r="T7" s="30" t="s">
        <v>129</v>
      </c>
      <c r="U7" s="30" t="s">
        <v>13925</v>
      </c>
      <c r="V7" s="30" t="s">
        <v>13926</v>
      </c>
      <c r="W7" s="30" t="s">
        <v>129</v>
      </c>
      <c r="X7" s="30" t="s">
        <v>2238</v>
      </c>
      <c r="Y7" s="30" t="s">
        <v>2254</v>
      </c>
    </row>
    <row r="8" spans="1:25">
      <c r="A8" s="30" t="s">
        <v>13898</v>
      </c>
      <c r="B8" s="30" t="s">
        <v>523</v>
      </c>
      <c r="C8" s="30" t="s">
        <v>12145</v>
      </c>
      <c r="D8" s="30" t="s">
        <v>12146</v>
      </c>
      <c r="E8" s="30" t="s">
        <v>12147</v>
      </c>
      <c r="F8" s="30" t="s">
        <v>12148</v>
      </c>
      <c r="H8" s="30" t="s">
        <v>2581</v>
      </c>
      <c r="I8" s="30" t="s">
        <v>13922</v>
      </c>
      <c r="J8" s="30" t="s">
        <v>13923</v>
      </c>
      <c r="K8" s="30" t="s">
        <v>13901</v>
      </c>
      <c r="L8" s="30" t="s">
        <v>13927</v>
      </c>
      <c r="M8" s="30" t="s">
        <v>1222</v>
      </c>
      <c r="N8" s="30" t="s">
        <v>129</v>
      </c>
      <c r="P8" s="30" t="s">
        <v>131</v>
      </c>
      <c r="Q8" s="30" t="s">
        <v>131</v>
      </c>
      <c r="R8" s="30" t="s">
        <v>131</v>
      </c>
      <c r="S8" s="30" t="s">
        <v>129</v>
      </c>
      <c r="T8" s="30" t="s">
        <v>129</v>
      </c>
      <c r="U8" s="30" t="s">
        <v>13925</v>
      </c>
      <c r="V8" s="30" t="s">
        <v>13926</v>
      </c>
      <c r="W8" s="30" t="s">
        <v>129</v>
      </c>
      <c r="X8" s="30" t="s">
        <v>2238</v>
      </c>
      <c r="Y8" s="30" t="s">
        <v>2254</v>
      </c>
    </row>
    <row r="9" spans="1:25">
      <c r="A9" s="30" t="s">
        <v>13898</v>
      </c>
      <c r="B9" s="30" t="s">
        <v>536</v>
      </c>
      <c r="C9" s="30" t="s">
        <v>12155</v>
      </c>
      <c r="D9" s="30" t="s">
        <v>12156</v>
      </c>
      <c r="E9" s="30" t="s">
        <v>12157</v>
      </c>
      <c r="F9" s="30" t="s">
        <v>12123</v>
      </c>
      <c r="H9" s="30" t="s">
        <v>2574</v>
      </c>
      <c r="I9" s="30" t="s">
        <v>13928</v>
      </c>
      <c r="J9" s="30" t="s">
        <v>13900</v>
      </c>
      <c r="K9" s="30" t="s">
        <v>13901</v>
      </c>
      <c r="L9" s="30" t="s">
        <v>13902</v>
      </c>
      <c r="M9" s="30" t="s">
        <v>1222</v>
      </c>
      <c r="N9" s="30" t="s">
        <v>131</v>
      </c>
      <c r="O9" s="30" t="s">
        <v>13929</v>
      </c>
      <c r="P9" s="30" t="s">
        <v>129</v>
      </c>
      <c r="Q9" s="30" t="s">
        <v>129</v>
      </c>
      <c r="R9" s="30" t="s">
        <v>131</v>
      </c>
      <c r="S9" s="30" t="s">
        <v>129</v>
      </c>
      <c r="T9" s="30" t="s">
        <v>129</v>
      </c>
      <c r="U9" s="30" t="s">
        <v>13930</v>
      </c>
      <c r="V9" s="30" t="s">
        <v>13931</v>
      </c>
      <c r="W9" s="30" t="s">
        <v>129</v>
      </c>
      <c r="X9" s="30" t="s">
        <v>2238</v>
      </c>
      <c r="Y9" s="30" t="s">
        <v>2254</v>
      </c>
    </row>
    <row r="10" spans="1:25">
      <c r="A10" s="30" t="s">
        <v>13898</v>
      </c>
      <c r="B10" s="30" t="s">
        <v>538</v>
      </c>
      <c r="C10" s="30" t="s">
        <v>12158</v>
      </c>
      <c r="D10" s="30" t="s">
        <v>12159</v>
      </c>
      <c r="E10" s="30" t="s">
        <v>12160</v>
      </c>
      <c r="F10" s="30" t="s">
        <v>12148</v>
      </c>
      <c r="H10" s="30" t="s">
        <v>2574</v>
      </c>
      <c r="I10" s="30" t="s">
        <v>13932</v>
      </c>
      <c r="J10" s="30" t="s">
        <v>13923</v>
      </c>
      <c r="K10" s="30" t="s">
        <v>13901</v>
      </c>
      <c r="L10" s="30" t="s">
        <v>13902</v>
      </c>
      <c r="M10" s="30" t="s">
        <v>1222</v>
      </c>
      <c r="N10" s="30" t="s">
        <v>131</v>
      </c>
      <c r="O10" s="30" t="s">
        <v>13933</v>
      </c>
      <c r="P10" s="30" t="s">
        <v>131</v>
      </c>
      <c r="Q10" s="30" t="s">
        <v>131</v>
      </c>
      <c r="R10" s="30" t="s">
        <v>131</v>
      </c>
      <c r="S10" s="30" t="s">
        <v>129</v>
      </c>
      <c r="T10" s="30" t="s">
        <v>131</v>
      </c>
      <c r="U10" s="30" t="s">
        <v>13934</v>
      </c>
      <c r="V10" s="30" t="s">
        <v>13935</v>
      </c>
      <c r="W10" s="30" t="s">
        <v>131</v>
      </c>
      <c r="X10" s="30" t="s">
        <v>2240</v>
      </c>
      <c r="Y10" s="30" t="s">
        <v>2253</v>
      </c>
    </row>
    <row r="11" spans="1:25">
      <c r="A11" s="30" t="s">
        <v>13898</v>
      </c>
      <c r="B11" s="30" t="s">
        <v>542</v>
      </c>
      <c r="C11" s="30" t="s">
        <v>12164</v>
      </c>
      <c r="D11" s="30" t="s">
        <v>12165</v>
      </c>
      <c r="E11" s="30" t="s">
        <v>12166</v>
      </c>
      <c r="F11" s="30" t="s">
        <v>12167</v>
      </c>
      <c r="H11" s="30" t="s">
        <v>2564</v>
      </c>
      <c r="I11" s="30" t="s">
        <v>13936</v>
      </c>
      <c r="J11" s="30" t="s">
        <v>13937</v>
      </c>
      <c r="K11" s="30" t="s">
        <v>13901</v>
      </c>
      <c r="L11" s="30" t="s">
        <v>13938</v>
      </c>
      <c r="M11" s="30" t="s">
        <v>1222</v>
      </c>
      <c r="N11" s="30" t="s">
        <v>129</v>
      </c>
      <c r="P11" s="30" t="s">
        <v>131</v>
      </c>
      <c r="Q11" s="30" t="s">
        <v>131</v>
      </c>
      <c r="R11" s="30" t="s">
        <v>131</v>
      </c>
      <c r="S11" s="30" t="s">
        <v>129</v>
      </c>
      <c r="T11" s="30" t="s">
        <v>129</v>
      </c>
      <c r="U11" s="30" t="s">
        <v>13939</v>
      </c>
      <c r="V11" s="30" t="s">
        <v>13940</v>
      </c>
      <c r="W11" s="30" t="s">
        <v>129</v>
      </c>
      <c r="X11" s="30" t="s">
        <v>2238</v>
      </c>
      <c r="Y11" s="30" t="s">
        <v>2254</v>
      </c>
    </row>
    <row r="12" spans="1:25">
      <c r="A12" s="30" t="s">
        <v>13898</v>
      </c>
      <c r="B12" s="30" t="s">
        <v>328</v>
      </c>
      <c r="C12" s="30" t="s">
        <v>12164</v>
      </c>
      <c r="D12" s="30" t="s">
        <v>12165</v>
      </c>
      <c r="E12" s="30" t="s">
        <v>12166</v>
      </c>
      <c r="F12" s="30" t="s">
        <v>12167</v>
      </c>
      <c r="H12" s="30" t="s">
        <v>2581</v>
      </c>
      <c r="I12" s="30" t="s">
        <v>13936</v>
      </c>
      <c r="J12" s="30" t="s">
        <v>13937</v>
      </c>
      <c r="K12" s="30" t="s">
        <v>13901</v>
      </c>
      <c r="L12" s="30" t="s">
        <v>13927</v>
      </c>
      <c r="M12" s="30" t="s">
        <v>1222</v>
      </c>
      <c r="N12" s="30" t="s">
        <v>129</v>
      </c>
      <c r="P12" s="30" t="s">
        <v>131</v>
      </c>
      <c r="Q12" s="30" t="s">
        <v>131</v>
      </c>
      <c r="R12" s="30" t="s">
        <v>131</v>
      </c>
      <c r="S12" s="30" t="s">
        <v>129</v>
      </c>
      <c r="T12" s="30" t="s">
        <v>129</v>
      </c>
      <c r="U12" s="30" t="s">
        <v>13939</v>
      </c>
      <c r="V12" s="30" t="s">
        <v>13940</v>
      </c>
      <c r="W12" s="30" t="s">
        <v>129</v>
      </c>
      <c r="X12" s="30" t="s">
        <v>2238</v>
      </c>
      <c r="Y12" s="30" t="s">
        <v>2254</v>
      </c>
    </row>
    <row r="13" spans="1:25">
      <c r="A13" s="30" t="s">
        <v>13898</v>
      </c>
      <c r="B13" s="30" t="s">
        <v>541</v>
      </c>
      <c r="C13" s="30" t="s">
        <v>12174</v>
      </c>
      <c r="D13" s="30" t="s">
        <v>12175</v>
      </c>
      <c r="E13" s="30" t="s">
        <v>12176</v>
      </c>
      <c r="F13" s="30" t="s">
        <v>12177</v>
      </c>
      <c r="H13" s="30" t="s">
        <v>2574</v>
      </c>
      <c r="I13" s="30" t="s">
        <v>13941</v>
      </c>
      <c r="J13" s="30" t="s">
        <v>13942</v>
      </c>
      <c r="K13" s="30" t="s">
        <v>13901</v>
      </c>
      <c r="L13" s="30" t="s">
        <v>13902</v>
      </c>
      <c r="M13" s="30" t="s">
        <v>1222</v>
      </c>
      <c r="N13" s="30" t="s">
        <v>129</v>
      </c>
      <c r="P13" s="30" t="s">
        <v>129</v>
      </c>
      <c r="Q13" s="30" t="s">
        <v>131</v>
      </c>
      <c r="R13" s="30" t="s">
        <v>131</v>
      </c>
      <c r="S13" s="30" t="s">
        <v>129</v>
      </c>
      <c r="T13" s="30" t="s">
        <v>129</v>
      </c>
      <c r="U13" s="30" t="s">
        <v>13943</v>
      </c>
      <c r="V13" s="30" t="s">
        <v>13944</v>
      </c>
      <c r="W13" s="30" t="s">
        <v>129</v>
      </c>
      <c r="X13" s="30" t="s">
        <v>2238</v>
      </c>
      <c r="Y13" s="30" t="s">
        <v>2254</v>
      </c>
    </row>
    <row r="14" spans="1:25">
      <c r="A14" s="30" t="s">
        <v>13898</v>
      </c>
      <c r="B14" s="30" t="s">
        <v>543</v>
      </c>
      <c r="C14" s="30" t="s">
        <v>12178</v>
      </c>
      <c r="D14" s="30" t="s">
        <v>12179</v>
      </c>
      <c r="E14" s="30" t="s">
        <v>12180</v>
      </c>
      <c r="F14" s="30" t="s">
        <v>12181</v>
      </c>
      <c r="H14" s="30" t="s">
        <v>2574</v>
      </c>
      <c r="I14" s="30" t="s">
        <v>13945</v>
      </c>
      <c r="J14" s="30" t="s">
        <v>13946</v>
      </c>
      <c r="K14" s="30" t="s">
        <v>13901</v>
      </c>
      <c r="L14" s="30" t="s">
        <v>13902</v>
      </c>
      <c r="M14" s="30" t="s">
        <v>1223</v>
      </c>
      <c r="N14" s="30" t="s">
        <v>129</v>
      </c>
      <c r="P14" s="30" t="s">
        <v>131</v>
      </c>
      <c r="Q14" s="30" t="s">
        <v>131</v>
      </c>
      <c r="R14" s="30" t="s">
        <v>131</v>
      </c>
      <c r="S14" s="30" t="s">
        <v>129</v>
      </c>
      <c r="T14" s="30" t="s">
        <v>129</v>
      </c>
      <c r="U14" s="30" t="s">
        <v>13947</v>
      </c>
      <c r="V14" s="30" t="s">
        <v>13948</v>
      </c>
      <c r="W14" s="30" t="s">
        <v>129</v>
      </c>
      <c r="X14" s="30" t="s">
        <v>2238</v>
      </c>
      <c r="Y14" s="30" t="s">
        <v>2254</v>
      </c>
    </row>
    <row r="15" spans="1:25">
      <c r="A15" s="30" t="s">
        <v>13898</v>
      </c>
      <c r="B15" s="30" t="s">
        <v>544</v>
      </c>
      <c r="C15" s="30" t="s">
        <v>12182</v>
      </c>
      <c r="D15" s="30" t="s">
        <v>12183</v>
      </c>
      <c r="E15" s="30" t="s">
        <v>12184</v>
      </c>
      <c r="F15" s="30" t="s">
        <v>12185</v>
      </c>
      <c r="H15" s="30" t="s">
        <v>2574</v>
      </c>
      <c r="I15" s="30" t="s">
        <v>13949</v>
      </c>
      <c r="J15" s="30" t="s">
        <v>13950</v>
      </c>
      <c r="K15" s="30" t="s">
        <v>13901</v>
      </c>
      <c r="L15" s="30" t="s">
        <v>13902</v>
      </c>
      <c r="M15" s="30" t="s">
        <v>1223</v>
      </c>
      <c r="N15" s="30" t="s">
        <v>131</v>
      </c>
      <c r="O15" s="30" t="s">
        <v>13951</v>
      </c>
      <c r="P15" s="30" t="s">
        <v>131</v>
      </c>
      <c r="Q15" s="30" t="s">
        <v>131</v>
      </c>
      <c r="R15" s="30" t="s">
        <v>129</v>
      </c>
      <c r="S15" s="30" t="s">
        <v>129</v>
      </c>
      <c r="T15" s="30" t="s">
        <v>129</v>
      </c>
      <c r="U15" s="30" t="s">
        <v>13952</v>
      </c>
      <c r="V15" s="30" t="s">
        <v>13953</v>
      </c>
      <c r="W15" s="30" t="s">
        <v>129</v>
      </c>
      <c r="X15" s="30" t="s">
        <v>2238</v>
      </c>
      <c r="Y15" s="30" t="s">
        <v>2254</v>
      </c>
    </row>
    <row r="16" spans="1:25">
      <c r="A16" s="30" t="s">
        <v>13898</v>
      </c>
      <c r="B16" s="30" t="s">
        <v>546</v>
      </c>
      <c r="C16" s="30" t="s">
        <v>12186</v>
      </c>
      <c r="D16" s="30" t="s">
        <v>12187</v>
      </c>
      <c r="E16" s="30" t="s">
        <v>12188</v>
      </c>
      <c r="F16" s="30" t="s">
        <v>12189</v>
      </c>
      <c r="H16" s="30" t="s">
        <v>2574</v>
      </c>
      <c r="I16" s="30" t="s">
        <v>13954</v>
      </c>
      <c r="J16" s="30" t="s">
        <v>13955</v>
      </c>
      <c r="K16" s="30" t="s">
        <v>13901</v>
      </c>
      <c r="L16" s="30" t="s">
        <v>13902</v>
      </c>
      <c r="M16" s="30" t="s">
        <v>1222</v>
      </c>
      <c r="N16" s="30" t="s">
        <v>131</v>
      </c>
      <c r="O16" s="30" t="s">
        <v>13956</v>
      </c>
      <c r="P16" s="30" t="s">
        <v>131</v>
      </c>
      <c r="Q16" s="30" t="s">
        <v>129</v>
      </c>
      <c r="R16" s="30" t="s">
        <v>131</v>
      </c>
      <c r="S16" s="30" t="s">
        <v>129</v>
      </c>
      <c r="T16" s="30" t="s">
        <v>131</v>
      </c>
      <c r="U16" s="30" t="s">
        <v>13957</v>
      </c>
      <c r="V16" s="30" t="s">
        <v>13958</v>
      </c>
      <c r="W16" s="30" t="s">
        <v>131</v>
      </c>
      <c r="X16" s="30" t="s">
        <v>2239</v>
      </c>
      <c r="Y16" s="30" t="s">
        <v>2253</v>
      </c>
    </row>
    <row r="17" spans="1:25">
      <c r="A17" s="30" t="s">
        <v>13898</v>
      </c>
      <c r="B17" s="30" t="s">
        <v>551</v>
      </c>
      <c r="C17" s="30" t="s">
        <v>12190</v>
      </c>
      <c r="D17" s="30" t="s">
        <v>12191</v>
      </c>
      <c r="E17" s="30" t="s">
        <v>12192</v>
      </c>
      <c r="F17" s="30" t="s">
        <v>12193</v>
      </c>
      <c r="H17" s="30" t="s">
        <v>2574</v>
      </c>
      <c r="I17" s="30" t="s">
        <v>13959</v>
      </c>
      <c r="J17" s="30" t="s">
        <v>13960</v>
      </c>
      <c r="K17" s="30" t="s">
        <v>13901</v>
      </c>
      <c r="L17" s="30" t="s">
        <v>13902</v>
      </c>
      <c r="M17" s="30" t="s">
        <v>1222</v>
      </c>
      <c r="N17" s="30" t="s">
        <v>129</v>
      </c>
      <c r="P17" s="30" t="s">
        <v>129</v>
      </c>
      <c r="Q17" s="30" t="s">
        <v>129</v>
      </c>
      <c r="R17" s="30" t="s">
        <v>131</v>
      </c>
      <c r="S17" s="30" t="s">
        <v>129</v>
      </c>
      <c r="T17" s="30" t="s">
        <v>129</v>
      </c>
      <c r="U17" s="30" t="s">
        <v>13961</v>
      </c>
      <c r="V17" s="30" t="s">
        <v>13962</v>
      </c>
      <c r="W17" s="30" t="s">
        <v>129</v>
      </c>
      <c r="X17" s="30" t="s">
        <v>2238</v>
      </c>
      <c r="Y17" s="30" t="s">
        <v>2254</v>
      </c>
    </row>
    <row r="18" spans="1:25">
      <c r="A18" s="30" t="s">
        <v>13898</v>
      </c>
      <c r="B18" s="30" t="s">
        <v>552</v>
      </c>
      <c r="C18" s="30" t="s">
        <v>12194</v>
      </c>
      <c r="D18" s="30" t="s">
        <v>12195</v>
      </c>
      <c r="E18" s="30" t="s">
        <v>12196</v>
      </c>
      <c r="F18" s="30" t="s">
        <v>12135</v>
      </c>
      <c r="H18" s="30" t="s">
        <v>2574</v>
      </c>
      <c r="I18" s="30" t="s">
        <v>13963</v>
      </c>
      <c r="J18" s="30" t="s">
        <v>13910</v>
      </c>
      <c r="K18" s="30" t="s">
        <v>13901</v>
      </c>
      <c r="L18" s="30" t="s">
        <v>13902</v>
      </c>
      <c r="M18" s="30" t="s">
        <v>1222</v>
      </c>
      <c r="N18" s="30" t="s">
        <v>131</v>
      </c>
      <c r="O18" s="30" t="s">
        <v>13964</v>
      </c>
      <c r="P18" s="30" t="s">
        <v>131</v>
      </c>
      <c r="Q18" s="30" t="s">
        <v>129</v>
      </c>
      <c r="R18" s="30" t="s">
        <v>131</v>
      </c>
      <c r="S18" s="30" t="s">
        <v>129</v>
      </c>
      <c r="T18" s="30" t="s">
        <v>129</v>
      </c>
      <c r="U18" s="30" t="s">
        <v>13965</v>
      </c>
      <c r="V18" s="30" t="s">
        <v>13966</v>
      </c>
      <c r="W18" s="30" t="s">
        <v>129</v>
      </c>
      <c r="X18" s="30" t="s">
        <v>2238</v>
      </c>
      <c r="Y18" s="30" t="s">
        <v>2254</v>
      </c>
    </row>
    <row r="19" spans="1:25">
      <c r="A19" s="30" t="s">
        <v>13898</v>
      </c>
      <c r="B19" s="30" t="s">
        <v>553</v>
      </c>
      <c r="C19" s="30" t="s">
        <v>12198</v>
      </c>
      <c r="D19" s="30" t="s">
        <v>12199</v>
      </c>
      <c r="E19" s="30" t="s">
        <v>12200</v>
      </c>
      <c r="F19" s="30" t="s">
        <v>12201</v>
      </c>
      <c r="H19" s="30" t="s">
        <v>2574</v>
      </c>
      <c r="I19" s="30" t="s">
        <v>13967</v>
      </c>
      <c r="J19" s="30" t="s">
        <v>13968</v>
      </c>
      <c r="K19" s="30" t="s">
        <v>13901</v>
      </c>
      <c r="L19" s="30" t="s">
        <v>13902</v>
      </c>
      <c r="M19" s="30" t="s">
        <v>1223</v>
      </c>
      <c r="N19" s="30" t="s">
        <v>131</v>
      </c>
      <c r="O19" s="30" t="s">
        <v>13929</v>
      </c>
      <c r="P19" s="30" t="s">
        <v>131</v>
      </c>
      <c r="Q19" s="30" t="s">
        <v>131</v>
      </c>
      <c r="R19" s="30" t="s">
        <v>131</v>
      </c>
      <c r="S19" s="30" t="s">
        <v>129</v>
      </c>
      <c r="T19" s="30" t="s">
        <v>129</v>
      </c>
      <c r="U19" s="30" t="s">
        <v>13969</v>
      </c>
      <c r="V19" s="30" t="s">
        <v>13970</v>
      </c>
      <c r="W19" s="30" t="s">
        <v>129</v>
      </c>
      <c r="X19" s="30" t="s">
        <v>2238</v>
      </c>
      <c r="Y19" s="30" t="s">
        <v>2254</v>
      </c>
    </row>
    <row r="20" spans="1:25">
      <c r="A20" s="30" t="s">
        <v>13898</v>
      </c>
      <c r="B20" s="30" t="s">
        <v>603</v>
      </c>
      <c r="C20" s="30" t="s">
        <v>12202</v>
      </c>
      <c r="D20" s="30" t="s">
        <v>12203</v>
      </c>
      <c r="E20" s="30" t="s">
        <v>12204</v>
      </c>
      <c r="F20" s="30" t="s">
        <v>12144</v>
      </c>
      <c r="H20" s="30" t="s">
        <v>2574</v>
      </c>
      <c r="I20" s="30" t="s">
        <v>13971</v>
      </c>
      <c r="J20" s="30" t="s">
        <v>13919</v>
      </c>
      <c r="K20" s="30" t="s">
        <v>13901</v>
      </c>
      <c r="L20" s="30" t="s">
        <v>13902</v>
      </c>
      <c r="M20" s="30" t="s">
        <v>1222</v>
      </c>
      <c r="N20" s="30" t="s">
        <v>129</v>
      </c>
      <c r="P20" s="30" t="s">
        <v>131</v>
      </c>
      <c r="Q20" s="30" t="s">
        <v>131</v>
      </c>
      <c r="R20" s="30" t="s">
        <v>131</v>
      </c>
      <c r="S20" s="30" t="s">
        <v>129</v>
      </c>
      <c r="T20" s="30" t="s">
        <v>129</v>
      </c>
      <c r="U20" s="30" t="s">
        <v>13972</v>
      </c>
      <c r="V20" s="30" t="s">
        <v>13973</v>
      </c>
      <c r="W20" s="30" t="s">
        <v>129</v>
      </c>
      <c r="X20" s="30" t="s">
        <v>2238</v>
      </c>
      <c r="Y20" s="30" t="s">
        <v>2254</v>
      </c>
    </row>
    <row r="21" spans="1:25">
      <c r="A21" s="30" t="s">
        <v>13898</v>
      </c>
      <c r="B21" s="30" t="s">
        <v>606</v>
      </c>
      <c r="C21" s="30" t="s">
        <v>12209</v>
      </c>
      <c r="D21" s="30" t="s">
        <v>12210</v>
      </c>
      <c r="E21" s="30" t="s">
        <v>12211</v>
      </c>
      <c r="F21" s="30" t="s">
        <v>12135</v>
      </c>
      <c r="H21" s="30" t="s">
        <v>2574</v>
      </c>
      <c r="I21" s="30" t="s">
        <v>13974</v>
      </c>
      <c r="J21" s="30" t="s">
        <v>13910</v>
      </c>
      <c r="K21" s="30" t="s">
        <v>13901</v>
      </c>
      <c r="L21" s="30" t="s">
        <v>13902</v>
      </c>
      <c r="M21" s="30" t="s">
        <v>1222</v>
      </c>
      <c r="N21" s="30" t="s">
        <v>129</v>
      </c>
      <c r="P21" s="30" t="s">
        <v>129</v>
      </c>
      <c r="Q21" s="30" t="s">
        <v>129</v>
      </c>
      <c r="R21" s="30" t="s">
        <v>131</v>
      </c>
      <c r="S21" s="30" t="s">
        <v>129</v>
      </c>
      <c r="T21" s="30" t="s">
        <v>129</v>
      </c>
      <c r="U21" s="30" t="s">
        <v>13975</v>
      </c>
      <c r="V21" s="30" t="s">
        <v>13976</v>
      </c>
      <c r="W21" s="30" t="s">
        <v>129</v>
      </c>
      <c r="X21" s="30" t="s">
        <v>2238</v>
      </c>
      <c r="Y21" s="30" t="s">
        <v>2254</v>
      </c>
    </row>
    <row r="22" spans="1:25">
      <c r="A22" s="30" t="s">
        <v>13898</v>
      </c>
      <c r="B22" s="30" t="s">
        <v>607</v>
      </c>
      <c r="C22" s="30" t="s">
        <v>12212</v>
      </c>
      <c r="D22" s="30" t="s">
        <v>12213</v>
      </c>
      <c r="E22" s="30" t="s">
        <v>12214</v>
      </c>
      <c r="F22" s="30" t="s">
        <v>12215</v>
      </c>
      <c r="H22" s="30" t="s">
        <v>2574</v>
      </c>
      <c r="I22" s="30" t="s">
        <v>13977</v>
      </c>
      <c r="J22" s="30" t="s">
        <v>13978</v>
      </c>
      <c r="K22" s="30" t="s">
        <v>13901</v>
      </c>
      <c r="L22" s="30" t="s">
        <v>13902</v>
      </c>
      <c r="M22" s="30" t="s">
        <v>1222</v>
      </c>
      <c r="N22" s="30" t="s">
        <v>131</v>
      </c>
      <c r="O22" s="30" t="s">
        <v>13911</v>
      </c>
      <c r="P22" s="30" t="s">
        <v>131</v>
      </c>
      <c r="Q22" s="30" t="s">
        <v>131</v>
      </c>
      <c r="R22" s="30" t="s">
        <v>131</v>
      </c>
      <c r="S22" s="30" t="s">
        <v>129</v>
      </c>
      <c r="T22" s="30" t="s">
        <v>131</v>
      </c>
      <c r="U22" s="30" t="s">
        <v>13979</v>
      </c>
      <c r="V22" s="30" t="s">
        <v>13980</v>
      </c>
      <c r="W22" s="30" t="s">
        <v>131</v>
      </c>
      <c r="X22" s="30" t="s">
        <v>2241</v>
      </c>
      <c r="Y22" s="30" t="s">
        <v>2254</v>
      </c>
    </row>
    <row r="23" spans="1:25">
      <c r="A23" s="30" t="s">
        <v>13898</v>
      </c>
      <c r="B23" s="30" t="s">
        <v>608</v>
      </c>
      <c r="C23" s="30" t="s">
        <v>12216</v>
      </c>
      <c r="D23" s="30" t="s">
        <v>12217</v>
      </c>
      <c r="E23" s="30" t="s">
        <v>12218</v>
      </c>
      <c r="F23" s="30" t="s">
        <v>12185</v>
      </c>
      <c r="H23" s="30" t="s">
        <v>2574</v>
      </c>
      <c r="I23" s="30" t="s">
        <v>13981</v>
      </c>
      <c r="J23" s="30" t="s">
        <v>13950</v>
      </c>
      <c r="K23" s="30" t="s">
        <v>13901</v>
      </c>
      <c r="L23" s="30" t="s">
        <v>13902</v>
      </c>
      <c r="M23" s="30" t="s">
        <v>1222</v>
      </c>
      <c r="N23" s="30" t="s">
        <v>131</v>
      </c>
      <c r="O23" s="30" t="s">
        <v>13951</v>
      </c>
      <c r="P23" s="30" t="s">
        <v>131</v>
      </c>
      <c r="Q23" s="30" t="s">
        <v>131</v>
      </c>
      <c r="R23" s="30" t="s">
        <v>131</v>
      </c>
      <c r="S23" s="30" t="s">
        <v>129</v>
      </c>
      <c r="T23" s="30" t="s">
        <v>129</v>
      </c>
      <c r="U23" s="30" t="s">
        <v>13982</v>
      </c>
      <c r="V23" s="30" t="s">
        <v>13983</v>
      </c>
      <c r="W23" s="30" t="s">
        <v>129</v>
      </c>
      <c r="X23" s="30" t="s">
        <v>2238</v>
      </c>
      <c r="Y23" s="30" t="s">
        <v>2254</v>
      </c>
    </row>
    <row r="24" spans="1:25">
      <c r="A24" s="30" t="s">
        <v>13898</v>
      </c>
      <c r="B24" s="30" t="s">
        <v>280</v>
      </c>
      <c r="C24" s="30" t="s">
        <v>12219</v>
      </c>
      <c r="D24" s="30" t="s">
        <v>12220</v>
      </c>
      <c r="E24" s="30" t="s">
        <v>12221</v>
      </c>
      <c r="F24" s="30" t="s">
        <v>12135</v>
      </c>
      <c r="H24" s="30" t="s">
        <v>2574</v>
      </c>
      <c r="I24" s="30" t="s">
        <v>13984</v>
      </c>
      <c r="J24" s="30" t="s">
        <v>13910</v>
      </c>
      <c r="K24" s="30" t="s">
        <v>13901</v>
      </c>
      <c r="L24" s="30" t="s">
        <v>13902</v>
      </c>
      <c r="M24" s="30" t="s">
        <v>1222</v>
      </c>
      <c r="N24" s="30" t="s">
        <v>131</v>
      </c>
      <c r="O24" s="30" t="s">
        <v>13929</v>
      </c>
      <c r="P24" s="30" t="s">
        <v>129</v>
      </c>
      <c r="Q24" s="30" t="s">
        <v>131</v>
      </c>
      <c r="R24" s="30" t="s">
        <v>131</v>
      </c>
      <c r="S24" s="30" t="s">
        <v>129</v>
      </c>
      <c r="T24" s="30" t="s">
        <v>129</v>
      </c>
      <c r="U24" s="30" t="s">
        <v>13985</v>
      </c>
      <c r="V24" s="30" t="s">
        <v>13986</v>
      </c>
      <c r="W24" s="30" t="s">
        <v>129</v>
      </c>
      <c r="X24" s="30" t="s">
        <v>2238</v>
      </c>
      <c r="Y24" s="30" t="s">
        <v>2254</v>
      </c>
    </row>
    <row r="25" spans="1:25">
      <c r="A25" s="30" t="s">
        <v>13898</v>
      </c>
      <c r="B25" s="30" t="s">
        <v>281</v>
      </c>
      <c r="C25" s="30" t="s">
        <v>12222</v>
      </c>
      <c r="D25" s="30" t="s">
        <v>12223</v>
      </c>
      <c r="E25" s="30" t="s">
        <v>12224</v>
      </c>
      <c r="F25" s="30" t="s">
        <v>12225</v>
      </c>
      <c r="H25" s="30" t="s">
        <v>2574</v>
      </c>
      <c r="I25" s="30" t="s">
        <v>13987</v>
      </c>
      <c r="J25" s="30" t="s">
        <v>13988</v>
      </c>
      <c r="K25" s="30" t="s">
        <v>13901</v>
      </c>
      <c r="L25" s="30" t="s">
        <v>13902</v>
      </c>
      <c r="M25" s="30" t="s">
        <v>1222</v>
      </c>
      <c r="N25" s="30" t="s">
        <v>129</v>
      </c>
      <c r="P25" s="30" t="s">
        <v>131</v>
      </c>
      <c r="Q25" s="30" t="s">
        <v>131</v>
      </c>
      <c r="R25" s="30" t="s">
        <v>131</v>
      </c>
      <c r="S25" s="30" t="s">
        <v>129</v>
      </c>
      <c r="T25" s="30" t="s">
        <v>129</v>
      </c>
      <c r="U25" s="30" t="s">
        <v>13989</v>
      </c>
      <c r="V25" s="30" t="s">
        <v>13990</v>
      </c>
      <c r="W25" s="30" t="s">
        <v>129</v>
      </c>
      <c r="X25" s="30" t="s">
        <v>2238</v>
      </c>
      <c r="Y25" s="30" t="s">
        <v>2254</v>
      </c>
    </row>
    <row r="26" spans="1:25">
      <c r="A26" s="30" t="s">
        <v>13898</v>
      </c>
      <c r="B26" s="30" t="s">
        <v>1027</v>
      </c>
      <c r="C26" s="30" t="s">
        <v>12226</v>
      </c>
      <c r="D26" s="30" t="s">
        <v>12227</v>
      </c>
      <c r="E26" s="30" t="s">
        <v>12228</v>
      </c>
      <c r="F26" s="30" t="s">
        <v>12229</v>
      </c>
      <c r="H26" s="30" t="s">
        <v>2574</v>
      </c>
      <c r="I26" s="30" t="s">
        <v>13991</v>
      </c>
      <c r="J26" s="30" t="s">
        <v>13992</v>
      </c>
      <c r="K26" s="30" t="s">
        <v>13901</v>
      </c>
      <c r="L26" s="30" t="s">
        <v>13902</v>
      </c>
      <c r="M26" s="30" t="s">
        <v>1222</v>
      </c>
      <c r="N26" s="30" t="s">
        <v>131</v>
      </c>
      <c r="O26" s="30" t="s">
        <v>13993</v>
      </c>
      <c r="P26" s="30" t="s">
        <v>131</v>
      </c>
      <c r="Q26" s="30" t="s">
        <v>131</v>
      </c>
      <c r="R26" s="30" t="s">
        <v>131</v>
      </c>
      <c r="S26" s="30" t="s">
        <v>129</v>
      </c>
      <c r="T26" s="30" t="s">
        <v>129</v>
      </c>
      <c r="U26" s="30" t="s">
        <v>13994</v>
      </c>
      <c r="V26" s="30" t="s">
        <v>13995</v>
      </c>
      <c r="W26" s="30" t="s">
        <v>129</v>
      </c>
      <c r="X26" s="30" t="s">
        <v>2238</v>
      </c>
      <c r="Y26" s="30" t="s">
        <v>2254</v>
      </c>
    </row>
    <row r="27" spans="1:25">
      <c r="A27" s="30" t="s">
        <v>13898</v>
      </c>
      <c r="B27" s="30" t="s">
        <v>1028</v>
      </c>
      <c r="C27" s="30" t="s">
        <v>12230</v>
      </c>
      <c r="D27" s="30" t="s">
        <v>12231</v>
      </c>
      <c r="E27" s="30" t="s">
        <v>12232</v>
      </c>
      <c r="F27" s="30" t="s">
        <v>12201</v>
      </c>
      <c r="H27" s="30" t="s">
        <v>2574</v>
      </c>
      <c r="I27" s="30" t="s">
        <v>13996</v>
      </c>
      <c r="J27" s="30" t="s">
        <v>13968</v>
      </c>
      <c r="K27" s="30" t="s">
        <v>13901</v>
      </c>
      <c r="L27" s="30" t="s">
        <v>13902</v>
      </c>
      <c r="M27" s="30" t="s">
        <v>1222</v>
      </c>
      <c r="N27" s="30" t="s">
        <v>131</v>
      </c>
      <c r="O27" s="30" t="s">
        <v>13929</v>
      </c>
      <c r="P27" s="30" t="s">
        <v>131</v>
      </c>
      <c r="Q27" s="30" t="s">
        <v>129</v>
      </c>
      <c r="R27" s="30" t="s">
        <v>131</v>
      </c>
      <c r="S27" s="30" t="s">
        <v>129</v>
      </c>
      <c r="T27" s="30" t="s">
        <v>129</v>
      </c>
      <c r="U27" s="30" t="s">
        <v>13997</v>
      </c>
      <c r="V27" s="30" t="s">
        <v>13998</v>
      </c>
      <c r="W27" s="30" t="s">
        <v>129</v>
      </c>
      <c r="X27" s="30" t="s">
        <v>2238</v>
      </c>
      <c r="Y27" s="30" t="s">
        <v>2254</v>
      </c>
    </row>
    <row r="28" spans="1:25">
      <c r="A28" s="30" t="s">
        <v>13898</v>
      </c>
      <c r="B28" s="30" t="s">
        <v>1029</v>
      </c>
      <c r="C28" s="30" t="s">
        <v>12234</v>
      </c>
      <c r="D28" s="30" t="s">
        <v>12235</v>
      </c>
      <c r="E28" s="30" t="s">
        <v>12236</v>
      </c>
      <c r="F28" s="30" t="s">
        <v>12135</v>
      </c>
      <c r="H28" s="30" t="s">
        <v>2574</v>
      </c>
      <c r="I28" s="30" t="s">
        <v>13999</v>
      </c>
      <c r="J28" s="30" t="s">
        <v>13910</v>
      </c>
      <c r="K28" s="30" t="s">
        <v>13901</v>
      </c>
      <c r="L28" s="30" t="s">
        <v>13902</v>
      </c>
      <c r="M28" s="30" t="s">
        <v>1222</v>
      </c>
      <c r="N28" s="30" t="s">
        <v>131</v>
      </c>
      <c r="O28" s="30" t="s">
        <v>13964</v>
      </c>
      <c r="P28" s="30" t="s">
        <v>131</v>
      </c>
      <c r="Q28" s="30" t="s">
        <v>131</v>
      </c>
      <c r="R28" s="30" t="s">
        <v>131</v>
      </c>
      <c r="S28" s="30" t="s">
        <v>129</v>
      </c>
      <c r="T28" s="30" t="s">
        <v>129</v>
      </c>
      <c r="U28" s="30" t="s">
        <v>14000</v>
      </c>
      <c r="V28" s="30" t="s">
        <v>14001</v>
      </c>
      <c r="W28" s="30" t="s">
        <v>129</v>
      </c>
      <c r="X28" s="30" t="s">
        <v>2238</v>
      </c>
      <c r="Y28" s="30" t="s">
        <v>2254</v>
      </c>
    </row>
    <row r="29" spans="1:25">
      <c r="A29" s="30" t="s">
        <v>13898</v>
      </c>
      <c r="B29" s="30" t="s">
        <v>1135</v>
      </c>
      <c r="C29" s="30" t="s">
        <v>12237</v>
      </c>
      <c r="D29" s="30" t="s">
        <v>12238</v>
      </c>
      <c r="E29" s="30" t="s">
        <v>12239</v>
      </c>
      <c r="F29" s="30" t="s">
        <v>12201</v>
      </c>
      <c r="H29" s="30" t="s">
        <v>2574</v>
      </c>
      <c r="I29" s="30" t="s">
        <v>14002</v>
      </c>
      <c r="J29" s="30" t="s">
        <v>13968</v>
      </c>
      <c r="K29" s="30" t="s">
        <v>13901</v>
      </c>
      <c r="L29" s="30" t="s">
        <v>13902</v>
      </c>
      <c r="M29" s="30" t="s">
        <v>1222</v>
      </c>
      <c r="N29" s="30" t="s">
        <v>129</v>
      </c>
      <c r="P29" s="30" t="s">
        <v>131</v>
      </c>
      <c r="Q29" s="30" t="s">
        <v>131</v>
      </c>
      <c r="R29" s="30" t="s">
        <v>131</v>
      </c>
      <c r="S29" s="30" t="s">
        <v>129</v>
      </c>
      <c r="T29" s="30" t="s">
        <v>129</v>
      </c>
      <c r="U29" s="30" t="s">
        <v>14003</v>
      </c>
      <c r="V29" s="30" t="s">
        <v>14004</v>
      </c>
      <c r="W29" s="30" t="s">
        <v>131</v>
      </c>
      <c r="X29" s="30" t="s">
        <v>2241</v>
      </c>
      <c r="Y29" s="30" t="s">
        <v>2255</v>
      </c>
    </row>
    <row r="30" spans="1:25">
      <c r="A30" s="30" t="s">
        <v>13898</v>
      </c>
      <c r="B30" s="30" t="s">
        <v>1136</v>
      </c>
      <c r="C30" s="30" t="s">
        <v>12246</v>
      </c>
      <c r="D30" s="30" t="s">
        <v>12247</v>
      </c>
      <c r="E30" s="30" t="s">
        <v>12243</v>
      </c>
      <c r="F30" s="30" t="s">
        <v>12248</v>
      </c>
      <c r="H30" s="30" t="s">
        <v>2574</v>
      </c>
      <c r="I30" s="30" t="s">
        <v>14005</v>
      </c>
      <c r="J30" s="30" t="s">
        <v>14006</v>
      </c>
      <c r="K30" s="30" t="s">
        <v>13901</v>
      </c>
      <c r="L30" s="30" t="s">
        <v>13902</v>
      </c>
      <c r="M30" s="30" t="s">
        <v>1223</v>
      </c>
      <c r="N30" s="30" t="s">
        <v>131</v>
      </c>
      <c r="O30" s="30" t="s">
        <v>14007</v>
      </c>
      <c r="P30" s="30" t="s">
        <v>131</v>
      </c>
      <c r="Q30" s="30" t="s">
        <v>129</v>
      </c>
      <c r="R30" s="30" t="s">
        <v>131</v>
      </c>
      <c r="S30" s="30" t="s">
        <v>129</v>
      </c>
      <c r="T30" s="30" t="s">
        <v>131</v>
      </c>
      <c r="U30" s="30" t="s">
        <v>14008</v>
      </c>
      <c r="V30" s="30" t="s">
        <v>14009</v>
      </c>
      <c r="W30" s="30" t="s">
        <v>131</v>
      </c>
      <c r="X30" s="30" t="s">
        <v>2239</v>
      </c>
      <c r="Y30" s="30" t="s">
        <v>2253</v>
      </c>
    </row>
    <row r="31" spans="1:25">
      <c r="A31" s="30" t="s">
        <v>13898</v>
      </c>
      <c r="B31" s="30" t="s">
        <v>628</v>
      </c>
      <c r="C31" s="30" t="s">
        <v>12251</v>
      </c>
      <c r="D31" s="30" t="s">
        <v>12252</v>
      </c>
      <c r="E31" s="30" t="s">
        <v>12243</v>
      </c>
      <c r="F31" s="30" t="s">
        <v>12253</v>
      </c>
      <c r="H31" s="30" t="s">
        <v>2574</v>
      </c>
      <c r="I31" s="30" t="s">
        <v>14005</v>
      </c>
      <c r="J31" s="30" t="s">
        <v>14010</v>
      </c>
      <c r="K31" s="30" t="s">
        <v>13901</v>
      </c>
      <c r="L31" s="30" t="s">
        <v>13902</v>
      </c>
      <c r="M31" s="30" t="s">
        <v>1222</v>
      </c>
      <c r="N31" s="30" t="s">
        <v>131</v>
      </c>
      <c r="O31" s="30" t="s">
        <v>14011</v>
      </c>
      <c r="P31" s="30" t="s">
        <v>129</v>
      </c>
      <c r="Q31" s="30" t="s">
        <v>131</v>
      </c>
      <c r="R31" s="30" t="s">
        <v>131</v>
      </c>
      <c r="S31" s="30" t="s">
        <v>129</v>
      </c>
      <c r="T31" s="30" t="s">
        <v>131</v>
      </c>
      <c r="U31" s="30" t="s">
        <v>14008</v>
      </c>
      <c r="V31" s="30" t="s">
        <v>14012</v>
      </c>
      <c r="W31" s="30" t="s">
        <v>131</v>
      </c>
      <c r="X31" s="30" t="s">
        <v>2239</v>
      </c>
      <c r="Y31" s="30" t="s">
        <v>2253</v>
      </c>
    </row>
    <row r="32" spans="1:25">
      <c r="A32" s="30" t="s">
        <v>13898</v>
      </c>
      <c r="B32" s="30" t="s">
        <v>14013</v>
      </c>
      <c r="C32" s="30" t="s">
        <v>12254</v>
      </c>
      <c r="D32" s="30" t="s">
        <v>12255</v>
      </c>
      <c r="E32" s="30" t="s">
        <v>12243</v>
      </c>
      <c r="F32" s="30" t="s">
        <v>12256</v>
      </c>
      <c r="H32" s="30" t="s">
        <v>2574</v>
      </c>
      <c r="I32" s="30" t="s">
        <v>14005</v>
      </c>
      <c r="J32" s="30" t="s">
        <v>14014</v>
      </c>
      <c r="K32" s="30" t="s">
        <v>13901</v>
      </c>
      <c r="L32" s="30" t="s">
        <v>13902</v>
      </c>
      <c r="M32" s="30" t="s">
        <v>1222</v>
      </c>
      <c r="N32" s="30" t="s">
        <v>131</v>
      </c>
      <c r="O32" s="30" t="s">
        <v>14015</v>
      </c>
      <c r="P32" s="30" t="s">
        <v>129</v>
      </c>
      <c r="Q32" s="30" t="s">
        <v>131</v>
      </c>
      <c r="R32" s="30" t="s">
        <v>131</v>
      </c>
      <c r="S32" s="30" t="s">
        <v>129</v>
      </c>
      <c r="T32" s="30" t="s">
        <v>131</v>
      </c>
      <c r="U32" s="30" t="s">
        <v>14008</v>
      </c>
      <c r="V32" s="30" t="s">
        <v>14016</v>
      </c>
      <c r="W32" s="30" t="s">
        <v>131</v>
      </c>
      <c r="X32" s="30" t="s">
        <v>2239</v>
      </c>
      <c r="Y32" s="30" t="s">
        <v>2253</v>
      </c>
    </row>
    <row r="33" spans="1:25">
      <c r="A33" s="30" t="s">
        <v>13898</v>
      </c>
      <c r="B33" s="30" t="s">
        <v>14017</v>
      </c>
      <c r="C33" s="30" t="s">
        <v>12257</v>
      </c>
      <c r="D33" s="30" t="s">
        <v>12258</v>
      </c>
      <c r="E33" s="30" t="s">
        <v>12243</v>
      </c>
      <c r="F33" s="30" t="s">
        <v>12259</v>
      </c>
      <c r="H33" s="30" t="s">
        <v>2574</v>
      </c>
      <c r="I33" s="30" t="s">
        <v>14005</v>
      </c>
      <c r="J33" s="30" t="s">
        <v>14018</v>
      </c>
      <c r="K33" s="30" t="s">
        <v>13901</v>
      </c>
      <c r="L33" s="30" t="s">
        <v>13902</v>
      </c>
      <c r="M33" s="30" t="s">
        <v>1222</v>
      </c>
      <c r="N33" s="30" t="s">
        <v>131</v>
      </c>
      <c r="O33" s="30" t="s">
        <v>14019</v>
      </c>
      <c r="P33" s="30" t="s">
        <v>131</v>
      </c>
      <c r="Q33" s="30" t="s">
        <v>131</v>
      </c>
      <c r="R33" s="30" t="s">
        <v>131</v>
      </c>
      <c r="S33" s="30" t="s">
        <v>129</v>
      </c>
      <c r="T33" s="30" t="s">
        <v>131</v>
      </c>
      <c r="U33" s="30" t="s">
        <v>14008</v>
      </c>
      <c r="V33" s="30" t="s">
        <v>14020</v>
      </c>
      <c r="W33" s="30" t="s">
        <v>131</v>
      </c>
      <c r="X33" s="30" t="s">
        <v>2239</v>
      </c>
      <c r="Y33" s="30" t="s">
        <v>2253</v>
      </c>
    </row>
    <row r="34" spans="1:25">
      <c r="A34" s="30" t="s">
        <v>13898</v>
      </c>
      <c r="B34" s="30" t="s">
        <v>14021</v>
      </c>
      <c r="C34" s="30" t="s">
        <v>12257</v>
      </c>
      <c r="D34" s="30" t="s">
        <v>12258</v>
      </c>
      <c r="E34" s="30" t="s">
        <v>12243</v>
      </c>
      <c r="F34" s="30" t="s">
        <v>12259</v>
      </c>
      <c r="H34" s="30" t="s">
        <v>2581</v>
      </c>
      <c r="I34" s="30" t="s">
        <v>14005</v>
      </c>
      <c r="J34" s="30" t="s">
        <v>14018</v>
      </c>
      <c r="K34" s="30" t="s">
        <v>13901</v>
      </c>
      <c r="L34" s="30" t="s">
        <v>13927</v>
      </c>
      <c r="M34" s="30" t="s">
        <v>1222</v>
      </c>
      <c r="N34" s="30" t="s">
        <v>131</v>
      </c>
      <c r="O34" s="30" t="s">
        <v>14019</v>
      </c>
      <c r="P34" s="30" t="s">
        <v>131</v>
      </c>
      <c r="Q34" s="30" t="s">
        <v>131</v>
      </c>
      <c r="R34" s="30" t="s">
        <v>131</v>
      </c>
      <c r="S34" s="30" t="s">
        <v>129</v>
      </c>
      <c r="T34" s="30" t="s">
        <v>131</v>
      </c>
      <c r="U34" s="30" t="s">
        <v>14008</v>
      </c>
      <c r="V34" s="30" t="s">
        <v>14022</v>
      </c>
      <c r="W34" s="30" t="s">
        <v>131</v>
      </c>
      <c r="X34" s="30" t="s">
        <v>2239</v>
      </c>
      <c r="Y34" s="30" t="s">
        <v>2253</v>
      </c>
    </row>
    <row r="35" spans="1:25">
      <c r="A35" s="30" t="s">
        <v>13898</v>
      </c>
      <c r="B35" s="30" t="s">
        <v>14023</v>
      </c>
      <c r="C35" s="30" t="s">
        <v>12260</v>
      </c>
      <c r="D35" s="30" t="s">
        <v>12261</v>
      </c>
      <c r="E35" s="30" t="s">
        <v>12243</v>
      </c>
      <c r="F35" s="30" t="s">
        <v>12262</v>
      </c>
      <c r="H35" s="30" t="s">
        <v>2574</v>
      </c>
      <c r="I35" s="30" t="s">
        <v>14005</v>
      </c>
      <c r="J35" s="30" t="s">
        <v>14024</v>
      </c>
      <c r="K35" s="30" t="s">
        <v>13901</v>
      </c>
      <c r="L35" s="30" t="s">
        <v>13902</v>
      </c>
      <c r="M35" s="30" t="s">
        <v>1222</v>
      </c>
      <c r="N35" s="30" t="s">
        <v>131</v>
      </c>
      <c r="O35" s="30" t="s">
        <v>14025</v>
      </c>
      <c r="P35" s="30" t="s">
        <v>129</v>
      </c>
      <c r="Q35" s="30" t="s">
        <v>131</v>
      </c>
      <c r="R35" s="30" t="s">
        <v>131</v>
      </c>
      <c r="S35" s="30" t="s">
        <v>129</v>
      </c>
      <c r="T35" s="30" t="s">
        <v>131</v>
      </c>
      <c r="U35" s="30" t="s">
        <v>14008</v>
      </c>
      <c r="V35" s="30" t="s">
        <v>14020</v>
      </c>
      <c r="W35" s="30" t="s">
        <v>131</v>
      </c>
      <c r="X35" s="30" t="s">
        <v>2239</v>
      </c>
      <c r="Y35" s="30" t="s">
        <v>2253</v>
      </c>
    </row>
    <row r="36" spans="1:25">
      <c r="A36" s="30" t="s">
        <v>13898</v>
      </c>
      <c r="B36" s="30" t="s">
        <v>14026</v>
      </c>
      <c r="C36" s="30" t="s">
        <v>12263</v>
      </c>
      <c r="D36" s="30" t="s">
        <v>12264</v>
      </c>
      <c r="E36" s="30" t="s">
        <v>12243</v>
      </c>
      <c r="F36" s="30" t="s">
        <v>12265</v>
      </c>
      <c r="H36" s="30" t="s">
        <v>2574</v>
      </c>
      <c r="I36" s="30" t="s">
        <v>14005</v>
      </c>
      <c r="J36" s="30" t="s">
        <v>14027</v>
      </c>
      <c r="K36" s="30" t="s">
        <v>13901</v>
      </c>
      <c r="L36" s="30" t="s">
        <v>13902</v>
      </c>
      <c r="M36" s="30" t="s">
        <v>1222</v>
      </c>
      <c r="N36" s="30" t="s">
        <v>131</v>
      </c>
      <c r="O36" s="30" t="s">
        <v>14028</v>
      </c>
      <c r="P36" s="30" t="s">
        <v>131</v>
      </c>
      <c r="Q36" s="30" t="s">
        <v>131</v>
      </c>
      <c r="R36" s="30" t="s">
        <v>131</v>
      </c>
      <c r="S36" s="30" t="s">
        <v>129</v>
      </c>
      <c r="T36" s="30" t="s">
        <v>131</v>
      </c>
      <c r="U36" s="30" t="s">
        <v>14008</v>
      </c>
      <c r="V36" s="30" t="s">
        <v>14029</v>
      </c>
      <c r="W36" s="30" t="s">
        <v>131</v>
      </c>
      <c r="X36" s="30" t="s">
        <v>2239</v>
      </c>
      <c r="Y36" s="30" t="s">
        <v>2253</v>
      </c>
    </row>
    <row r="37" spans="1:25">
      <c r="A37" s="30" t="s">
        <v>13898</v>
      </c>
      <c r="B37" s="30" t="s">
        <v>14030</v>
      </c>
      <c r="C37" s="30" t="s">
        <v>12266</v>
      </c>
      <c r="D37" s="30" t="s">
        <v>12267</v>
      </c>
      <c r="E37" s="30" t="s">
        <v>12243</v>
      </c>
      <c r="F37" s="30" t="s">
        <v>12268</v>
      </c>
      <c r="H37" s="30" t="s">
        <v>2574</v>
      </c>
      <c r="I37" s="30" t="s">
        <v>14005</v>
      </c>
      <c r="J37" s="30" t="s">
        <v>14031</v>
      </c>
      <c r="K37" s="30" t="s">
        <v>13901</v>
      </c>
      <c r="L37" s="30" t="s">
        <v>13902</v>
      </c>
      <c r="M37" s="30" t="s">
        <v>1222</v>
      </c>
      <c r="N37" s="30" t="s">
        <v>131</v>
      </c>
      <c r="O37" s="30" t="s">
        <v>14032</v>
      </c>
      <c r="P37" s="30" t="s">
        <v>129</v>
      </c>
      <c r="Q37" s="30" t="s">
        <v>131</v>
      </c>
      <c r="R37" s="30" t="s">
        <v>131</v>
      </c>
      <c r="S37" s="30" t="s">
        <v>129</v>
      </c>
      <c r="T37" s="30" t="s">
        <v>131</v>
      </c>
      <c r="U37" s="30" t="s">
        <v>14008</v>
      </c>
      <c r="V37" s="30" t="s">
        <v>14012</v>
      </c>
      <c r="W37" s="30" t="s">
        <v>131</v>
      </c>
      <c r="X37" s="30" t="s">
        <v>2239</v>
      </c>
      <c r="Y37" s="30" t="s">
        <v>2253</v>
      </c>
    </row>
    <row r="38" spans="1:25">
      <c r="A38" s="30" t="s">
        <v>13898</v>
      </c>
      <c r="B38" s="30" t="s">
        <v>14033</v>
      </c>
      <c r="C38" s="30" t="s">
        <v>12269</v>
      </c>
      <c r="D38" s="30" t="s">
        <v>12270</v>
      </c>
      <c r="E38" s="30" t="s">
        <v>12271</v>
      </c>
      <c r="F38" s="30" t="s">
        <v>12135</v>
      </c>
      <c r="H38" s="30" t="s">
        <v>2574</v>
      </c>
      <c r="I38" s="30" t="s">
        <v>14034</v>
      </c>
      <c r="J38" s="30" t="s">
        <v>13910</v>
      </c>
      <c r="K38" s="30" t="s">
        <v>13901</v>
      </c>
      <c r="L38" s="30" t="s">
        <v>13902</v>
      </c>
      <c r="M38" s="30" t="s">
        <v>1222</v>
      </c>
      <c r="N38" s="30" t="s">
        <v>129</v>
      </c>
      <c r="P38" s="30" t="s">
        <v>131</v>
      </c>
      <c r="Q38" s="30" t="s">
        <v>131</v>
      </c>
      <c r="R38" s="30" t="s">
        <v>131</v>
      </c>
      <c r="S38" s="30" t="s">
        <v>129</v>
      </c>
      <c r="T38" s="30" t="s">
        <v>129</v>
      </c>
      <c r="U38" s="30" t="s">
        <v>14035</v>
      </c>
      <c r="V38" s="30" t="s">
        <v>14036</v>
      </c>
      <c r="W38" s="30" t="s">
        <v>129</v>
      </c>
      <c r="X38" s="30" t="s">
        <v>2238</v>
      </c>
      <c r="Y38" s="30" t="s">
        <v>2254</v>
      </c>
    </row>
    <row r="39" spans="1:25">
      <c r="A39" s="30" t="s">
        <v>13898</v>
      </c>
      <c r="B39" s="30" t="s">
        <v>14037</v>
      </c>
      <c r="C39" s="30" t="s">
        <v>12272</v>
      </c>
      <c r="D39" s="30" t="s">
        <v>12273</v>
      </c>
      <c r="E39" s="30" t="s">
        <v>12274</v>
      </c>
      <c r="F39" s="30" t="s">
        <v>12275</v>
      </c>
      <c r="H39" s="30" t="s">
        <v>2564</v>
      </c>
      <c r="I39" s="30" t="s">
        <v>14038</v>
      </c>
      <c r="J39" s="30" t="s">
        <v>14039</v>
      </c>
      <c r="K39" s="30" t="s">
        <v>13901</v>
      </c>
      <c r="L39" s="30" t="s">
        <v>13938</v>
      </c>
      <c r="M39" s="30" t="s">
        <v>1222</v>
      </c>
      <c r="N39" s="30" t="s">
        <v>129</v>
      </c>
      <c r="P39" s="30" t="s">
        <v>131</v>
      </c>
      <c r="Q39" s="30" t="s">
        <v>131</v>
      </c>
      <c r="R39" s="30" t="s">
        <v>131</v>
      </c>
      <c r="S39" s="30" t="s">
        <v>129</v>
      </c>
      <c r="T39" s="30" t="s">
        <v>131</v>
      </c>
      <c r="U39" s="30" t="s">
        <v>14040</v>
      </c>
      <c r="V39" s="30" t="s">
        <v>14041</v>
      </c>
      <c r="W39" s="30" t="s">
        <v>129</v>
      </c>
      <c r="X39" s="30" t="s">
        <v>2238</v>
      </c>
      <c r="Y39" s="30" t="s">
        <v>2254</v>
      </c>
    </row>
    <row r="40" spans="1:25">
      <c r="A40" s="30" t="s">
        <v>13898</v>
      </c>
      <c r="B40" s="30" t="s">
        <v>14042</v>
      </c>
      <c r="C40" s="30" t="s">
        <v>12281</v>
      </c>
      <c r="D40" s="30" t="s">
        <v>12282</v>
      </c>
      <c r="E40" s="30" t="s">
        <v>12283</v>
      </c>
      <c r="F40" s="30" t="s">
        <v>12275</v>
      </c>
      <c r="H40" s="30" t="s">
        <v>2574</v>
      </c>
      <c r="I40" s="30" t="s">
        <v>14043</v>
      </c>
      <c r="J40" s="30" t="s">
        <v>14039</v>
      </c>
      <c r="K40" s="30" t="s">
        <v>13901</v>
      </c>
      <c r="L40" s="30" t="s">
        <v>13902</v>
      </c>
      <c r="M40" s="30" t="s">
        <v>1222</v>
      </c>
      <c r="N40" s="30" t="s">
        <v>131</v>
      </c>
      <c r="O40" s="30" t="s">
        <v>14044</v>
      </c>
      <c r="P40" s="30" t="s">
        <v>131</v>
      </c>
      <c r="Q40" s="30" t="s">
        <v>131</v>
      </c>
      <c r="R40" s="30" t="s">
        <v>131</v>
      </c>
      <c r="S40" s="30" t="s">
        <v>129</v>
      </c>
      <c r="T40" s="30" t="s">
        <v>131</v>
      </c>
      <c r="U40" s="30" t="s">
        <v>14045</v>
      </c>
      <c r="V40" s="30" t="s">
        <v>14046</v>
      </c>
      <c r="W40" s="30" t="s">
        <v>129</v>
      </c>
      <c r="X40" s="30" t="s">
        <v>2238</v>
      </c>
      <c r="Y40" s="30" t="s">
        <v>2254</v>
      </c>
    </row>
    <row r="41" spans="1:25">
      <c r="A41" s="30" t="s">
        <v>13898</v>
      </c>
      <c r="B41" s="30" t="s">
        <v>14047</v>
      </c>
      <c r="C41" s="30" t="s">
        <v>12284</v>
      </c>
      <c r="D41" s="30" t="s">
        <v>12285</v>
      </c>
      <c r="E41" s="30" t="s">
        <v>12286</v>
      </c>
      <c r="F41" s="30" t="s">
        <v>12135</v>
      </c>
      <c r="G41" s="30" t="s">
        <v>3118</v>
      </c>
      <c r="H41" s="30" t="s">
        <v>2574</v>
      </c>
      <c r="I41" s="30" t="s">
        <v>14048</v>
      </c>
      <c r="J41" s="30" t="s">
        <v>13910</v>
      </c>
      <c r="K41" s="30" t="s">
        <v>14049</v>
      </c>
      <c r="L41" s="30" t="s">
        <v>13902</v>
      </c>
      <c r="M41" s="30" t="s">
        <v>1223</v>
      </c>
      <c r="N41" s="30" t="s">
        <v>129</v>
      </c>
      <c r="P41" s="30" t="s">
        <v>131</v>
      </c>
      <c r="Q41" s="30" t="s">
        <v>131</v>
      </c>
      <c r="R41" s="30" t="s">
        <v>131</v>
      </c>
      <c r="S41" s="30" t="s">
        <v>129</v>
      </c>
      <c r="T41" s="30" t="s">
        <v>131</v>
      </c>
      <c r="U41" s="30" t="s">
        <v>14050</v>
      </c>
      <c r="V41" s="30" t="s">
        <v>14051</v>
      </c>
      <c r="W41" s="30" t="s">
        <v>131</v>
      </c>
      <c r="X41" s="30" t="s">
        <v>2240</v>
      </c>
      <c r="Y41" s="30" t="s">
        <v>2253</v>
      </c>
    </row>
    <row r="42" spans="1:25">
      <c r="A42" s="30" t="s">
        <v>13898</v>
      </c>
      <c r="B42" s="30" t="s">
        <v>14052</v>
      </c>
      <c r="C42" s="30" t="s">
        <v>12284</v>
      </c>
      <c r="D42" s="30" t="s">
        <v>12285</v>
      </c>
      <c r="E42" s="30" t="s">
        <v>12286</v>
      </c>
      <c r="F42" s="30" t="s">
        <v>12135</v>
      </c>
      <c r="G42" s="30" t="s">
        <v>3132</v>
      </c>
      <c r="H42" s="30" t="s">
        <v>2574</v>
      </c>
      <c r="I42" s="30" t="s">
        <v>14048</v>
      </c>
      <c r="J42" s="30" t="s">
        <v>13910</v>
      </c>
      <c r="K42" s="30" t="s">
        <v>14053</v>
      </c>
      <c r="L42" s="30" t="s">
        <v>13902</v>
      </c>
      <c r="M42" s="30" t="s">
        <v>1223</v>
      </c>
      <c r="N42" s="30" t="s">
        <v>131</v>
      </c>
      <c r="O42" s="30" t="s">
        <v>14054</v>
      </c>
      <c r="P42" s="30" t="s">
        <v>131</v>
      </c>
      <c r="Q42" s="30" t="s">
        <v>131</v>
      </c>
      <c r="R42" s="30" t="s">
        <v>131</v>
      </c>
      <c r="S42" s="30" t="s">
        <v>129</v>
      </c>
      <c r="T42" s="30" t="s">
        <v>131</v>
      </c>
      <c r="U42" s="30" t="s">
        <v>14050</v>
      </c>
      <c r="V42" s="30" t="s">
        <v>14051</v>
      </c>
      <c r="W42" s="30" t="s">
        <v>131</v>
      </c>
      <c r="X42" s="30" t="s">
        <v>2240</v>
      </c>
      <c r="Y42" s="30" t="s">
        <v>2253</v>
      </c>
    </row>
    <row r="43" spans="1:25">
      <c r="A43" s="30" t="s">
        <v>13898</v>
      </c>
      <c r="B43" s="30" t="s">
        <v>14055</v>
      </c>
      <c r="C43" s="30" t="s">
        <v>12284</v>
      </c>
      <c r="D43" s="30" t="s">
        <v>12285</v>
      </c>
      <c r="E43" s="30" t="s">
        <v>12286</v>
      </c>
      <c r="F43" s="30" t="s">
        <v>12135</v>
      </c>
      <c r="H43" s="30" t="s">
        <v>2574</v>
      </c>
      <c r="I43" s="30" t="s">
        <v>14048</v>
      </c>
      <c r="J43" s="30" t="s">
        <v>13910</v>
      </c>
      <c r="K43" s="30" t="s">
        <v>13901</v>
      </c>
      <c r="L43" s="30" t="s">
        <v>13902</v>
      </c>
      <c r="M43" s="30" t="s">
        <v>1223</v>
      </c>
      <c r="N43" s="30" t="s">
        <v>131</v>
      </c>
      <c r="O43" s="30" t="s">
        <v>14056</v>
      </c>
      <c r="P43" s="30" t="s">
        <v>131</v>
      </c>
      <c r="Q43" s="30" t="s">
        <v>131</v>
      </c>
      <c r="R43" s="30" t="s">
        <v>131</v>
      </c>
      <c r="S43" s="30" t="s">
        <v>129</v>
      </c>
      <c r="T43" s="30" t="s">
        <v>131</v>
      </c>
      <c r="U43" s="30" t="s">
        <v>14050</v>
      </c>
      <c r="V43" s="30" t="s">
        <v>14051</v>
      </c>
      <c r="W43" s="30" t="s">
        <v>131</v>
      </c>
      <c r="X43" s="30" t="s">
        <v>2240</v>
      </c>
      <c r="Y43" s="30" t="s">
        <v>2253</v>
      </c>
    </row>
    <row r="44" spans="1:25">
      <c r="A44" s="30" t="s">
        <v>13898</v>
      </c>
      <c r="B44" s="30" t="s">
        <v>14057</v>
      </c>
      <c r="C44" s="30" t="s">
        <v>12287</v>
      </c>
      <c r="D44" s="30" t="s">
        <v>12288</v>
      </c>
      <c r="E44" s="30" t="s">
        <v>12289</v>
      </c>
      <c r="F44" s="30" t="s">
        <v>12290</v>
      </c>
      <c r="H44" s="30" t="s">
        <v>2574</v>
      </c>
      <c r="I44" s="30" t="s">
        <v>14058</v>
      </c>
      <c r="J44" s="30" t="s">
        <v>14059</v>
      </c>
      <c r="K44" s="30" t="s">
        <v>13901</v>
      </c>
      <c r="L44" s="30" t="s">
        <v>13902</v>
      </c>
      <c r="M44" s="30" t="s">
        <v>1222</v>
      </c>
      <c r="N44" s="30" t="s">
        <v>129</v>
      </c>
      <c r="P44" s="30" t="s">
        <v>131</v>
      </c>
      <c r="Q44" s="30" t="s">
        <v>131</v>
      </c>
      <c r="R44" s="30" t="s">
        <v>131</v>
      </c>
      <c r="S44" s="30" t="s">
        <v>129</v>
      </c>
      <c r="T44" s="30" t="s">
        <v>129</v>
      </c>
      <c r="U44" s="30" t="s">
        <v>14060</v>
      </c>
      <c r="V44" s="30" t="s">
        <v>14061</v>
      </c>
      <c r="W44" s="30" t="s">
        <v>129</v>
      </c>
      <c r="X44" s="30" t="s">
        <v>2238</v>
      </c>
      <c r="Y44" s="30" t="s">
        <v>2254</v>
      </c>
    </row>
    <row r="45" spans="1:25">
      <c r="A45" s="30" t="s">
        <v>13898</v>
      </c>
      <c r="B45" s="30" t="s">
        <v>14062</v>
      </c>
      <c r="C45" s="30" t="s">
        <v>12292</v>
      </c>
      <c r="D45" s="30" t="s">
        <v>12293</v>
      </c>
      <c r="E45" s="30" t="s">
        <v>12294</v>
      </c>
      <c r="F45" s="30" t="s">
        <v>12215</v>
      </c>
      <c r="H45" s="30" t="s">
        <v>2574</v>
      </c>
      <c r="I45" s="30" t="s">
        <v>14063</v>
      </c>
      <c r="J45" s="30" t="s">
        <v>13978</v>
      </c>
      <c r="K45" s="30" t="s">
        <v>13901</v>
      </c>
      <c r="L45" s="30" t="s">
        <v>13902</v>
      </c>
      <c r="M45" s="30" t="s">
        <v>1222</v>
      </c>
      <c r="N45" s="30" t="s">
        <v>129</v>
      </c>
      <c r="P45" s="30" t="s">
        <v>129</v>
      </c>
      <c r="Q45" s="30" t="s">
        <v>131</v>
      </c>
      <c r="R45" s="30" t="s">
        <v>131</v>
      </c>
      <c r="S45" s="30" t="s">
        <v>129</v>
      </c>
      <c r="T45" s="30" t="s">
        <v>131</v>
      </c>
      <c r="U45" s="30" t="s">
        <v>14064</v>
      </c>
      <c r="V45" s="30" t="s">
        <v>14065</v>
      </c>
      <c r="W45" s="30" t="s">
        <v>129</v>
      </c>
      <c r="X45" s="30" t="s">
        <v>2238</v>
      </c>
      <c r="Y45" s="30" t="s">
        <v>2254</v>
      </c>
    </row>
    <row r="46" spans="1:25">
      <c r="A46" s="30" t="s">
        <v>13898</v>
      </c>
      <c r="B46" s="30" t="s">
        <v>14066</v>
      </c>
      <c r="C46" s="30" t="s">
        <v>12296</v>
      </c>
      <c r="D46" s="30" t="s">
        <v>12297</v>
      </c>
      <c r="E46" s="30" t="s">
        <v>12298</v>
      </c>
      <c r="F46" s="30" t="s">
        <v>12299</v>
      </c>
      <c r="H46" s="30" t="s">
        <v>2574</v>
      </c>
      <c r="I46" s="30" t="s">
        <v>14067</v>
      </c>
      <c r="J46" s="30" t="s">
        <v>14068</v>
      </c>
      <c r="K46" s="30" t="s">
        <v>13901</v>
      </c>
      <c r="L46" s="30" t="s">
        <v>13902</v>
      </c>
      <c r="M46" s="30" t="s">
        <v>1222</v>
      </c>
      <c r="N46" s="30" t="s">
        <v>129</v>
      </c>
      <c r="P46" s="30" t="s">
        <v>131</v>
      </c>
      <c r="Q46" s="30" t="s">
        <v>131</v>
      </c>
      <c r="R46" s="30" t="s">
        <v>131</v>
      </c>
      <c r="S46" s="30" t="s">
        <v>129</v>
      </c>
      <c r="T46" s="30" t="s">
        <v>129</v>
      </c>
      <c r="U46" s="30" t="s">
        <v>14069</v>
      </c>
      <c r="V46" s="30" t="s">
        <v>14070</v>
      </c>
      <c r="W46" s="30" t="s">
        <v>129</v>
      </c>
      <c r="X46" s="30" t="s">
        <v>2238</v>
      </c>
      <c r="Y46" s="30" t="s">
        <v>2254</v>
      </c>
    </row>
    <row r="47" spans="1:25">
      <c r="A47" s="30" t="s">
        <v>13898</v>
      </c>
      <c r="B47" s="30" t="s">
        <v>14071</v>
      </c>
      <c r="C47" s="30" t="s">
        <v>12300</v>
      </c>
      <c r="D47" s="30" t="s">
        <v>12301</v>
      </c>
      <c r="E47" s="30" t="s">
        <v>12302</v>
      </c>
      <c r="F47" s="30" t="s">
        <v>12144</v>
      </c>
      <c r="H47" s="30" t="s">
        <v>2574</v>
      </c>
      <c r="I47" s="30" t="s">
        <v>14072</v>
      </c>
      <c r="J47" s="30" t="s">
        <v>13919</v>
      </c>
      <c r="K47" s="30" t="s">
        <v>13901</v>
      </c>
      <c r="L47" s="30" t="s">
        <v>13902</v>
      </c>
      <c r="M47" s="30" t="s">
        <v>1222</v>
      </c>
      <c r="N47" s="30" t="s">
        <v>129</v>
      </c>
      <c r="P47" s="30" t="s">
        <v>131</v>
      </c>
      <c r="Q47" s="30" t="s">
        <v>131</v>
      </c>
      <c r="R47" s="30" t="s">
        <v>131</v>
      </c>
      <c r="S47" s="30" t="s">
        <v>129</v>
      </c>
      <c r="T47" s="30" t="s">
        <v>129</v>
      </c>
      <c r="U47" s="30" t="s">
        <v>14073</v>
      </c>
      <c r="V47" s="30" t="s">
        <v>14074</v>
      </c>
      <c r="W47" s="30" t="s">
        <v>129</v>
      </c>
      <c r="X47" s="30" t="s">
        <v>2238</v>
      </c>
      <c r="Y47" s="30" t="s">
        <v>2254</v>
      </c>
    </row>
    <row r="48" spans="1:25">
      <c r="A48" s="30" t="s">
        <v>13898</v>
      </c>
      <c r="B48" s="30" t="s">
        <v>14075</v>
      </c>
      <c r="C48" s="30" t="s">
        <v>12304</v>
      </c>
      <c r="D48" s="30" t="s">
        <v>12305</v>
      </c>
      <c r="E48" s="30" t="s">
        <v>12306</v>
      </c>
      <c r="F48" s="30" t="s">
        <v>12307</v>
      </c>
      <c r="H48" s="30" t="s">
        <v>2574</v>
      </c>
      <c r="I48" s="30" t="s">
        <v>14076</v>
      </c>
      <c r="J48" s="30" t="s">
        <v>14077</v>
      </c>
      <c r="K48" s="30" t="s">
        <v>13901</v>
      </c>
      <c r="L48" s="30" t="s">
        <v>13902</v>
      </c>
      <c r="M48" s="30" t="s">
        <v>1222</v>
      </c>
      <c r="N48" s="30" t="s">
        <v>129</v>
      </c>
      <c r="P48" s="30" t="s">
        <v>131</v>
      </c>
      <c r="Q48" s="30" t="s">
        <v>129</v>
      </c>
      <c r="R48" s="30" t="s">
        <v>131</v>
      </c>
      <c r="S48" s="30" t="s">
        <v>129</v>
      </c>
      <c r="T48" s="30" t="s">
        <v>129</v>
      </c>
      <c r="U48" s="30" t="s">
        <v>14078</v>
      </c>
      <c r="V48" s="30" t="s">
        <v>14079</v>
      </c>
      <c r="W48" s="30" t="s">
        <v>131</v>
      </c>
      <c r="X48" s="30" t="s">
        <v>2239</v>
      </c>
      <c r="Y48" s="30" t="s">
        <v>2252</v>
      </c>
    </row>
    <row r="49" spans="1:25">
      <c r="A49" s="30" t="s">
        <v>13898</v>
      </c>
      <c r="B49" s="30" t="s">
        <v>14080</v>
      </c>
      <c r="C49" s="30" t="s">
        <v>12309</v>
      </c>
      <c r="D49" s="30" t="s">
        <v>12310</v>
      </c>
      <c r="E49" s="30" t="s">
        <v>12311</v>
      </c>
      <c r="F49" s="30" t="s">
        <v>12307</v>
      </c>
      <c r="H49" s="30" t="s">
        <v>2575</v>
      </c>
      <c r="I49" s="30" t="s">
        <v>14081</v>
      </c>
      <c r="J49" s="30" t="s">
        <v>14077</v>
      </c>
      <c r="K49" s="30" t="s">
        <v>13901</v>
      </c>
      <c r="L49" s="30" t="s">
        <v>14082</v>
      </c>
      <c r="M49" s="30" t="s">
        <v>1222</v>
      </c>
      <c r="N49" s="30" t="s">
        <v>131</v>
      </c>
      <c r="O49" s="30" t="s">
        <v>13911</v>
      </c>
      <c r="P49" s="30" t="s">
        <v>131</v>
      </c>
      <c r="Q49" s="30" t="s">
        <v>131</v>
      </c>
      <c r="R49" s="30" t="s">
        <v>131</v>
      </c>
      <c r="S49" s="30" t="s">
        <v>129</v>
      </c>
      <c r="T49" s="30" t="s">
        <v>129</v>
      </c>
      <c r="U49" s="30" t="s">
        <v>14083</v>
      </c>
      <c r="V49" s="30" t="s">
        <v>14084</v>
      </c>
      <c r="W49" s="30" t="s">
        <v>129</v>
      </c>
      <c r="X49" s="30" t="s">
        <v>2238</v>
      </c>
      <c r="Y49" s="30" t="s">
        <v>2254</v>
      </c>
    </row>
    <row r="50" spans="1:25">
      <c r="A50" s="30" t="s">
        <v>13898</v>
      </c>
      <c r="B50" s="30" t="s">
        <v>14085</v>
      </c>
      <c r="C50" s="30" t="s">
        <v>12312</v>
      </c>
      <c r="D50" s="30" t="s">
        <v>12313</v>
      </c>
      <c r="E50" s="30" t="s">
        <v>12314</v>
      </c>
      <c r="F50" s="30" t="s">
        <v>12307</v>
      </c>
      <c r="H50" s="30" t="s">
        <v>2574</v>
      </c>
      <c r="I50" s="30" t="s">
        <v>14086</v>
      </c>
      <c r="J50" s="30" t="s">
        <v>14077</v>
      </c>
      <c r="K50" s="30" t="s">
        <v>13901</v>
      </c>
      <c r="L50" s="30" t="s">
        <v>13902</v>
      </c>
      <c r="M50" s="30" t="s">
        <v>1222</v>
      </c>
      <c r="N50" s="30" t="s">
        <v>131</v>
      </c>
      <c r="O50" s="30" t="s">
        <v>14056</v>
      </c>
      <c r="P50" s="30" t="s">
        <v>131</v>
      </c>
      <c r="Q50" s="30" t="s">
        <v>131</v>
      </c>
      <c r="R50" s="30" t="s">
        <v>131</v>
      </c>
      <c r="S50" s="30" t="s">
        <v>129</v>
      </c>
      <c r="T50" s="30" t="s">
        <v>129</v>
      </c>
      <c r="U50" s="30" t="s">
        <v>14087</v>
      </c>
      <c r="V50" s="30" t="s">
        <v>14088</v>
      </c>
      <c r="W50" s="30" t="s">
        <v>129</v>
      </c>
      <c r="X50" s="30" t="s">
        <v>2238</v>
      </c>
      <c r="Y50" s="30" t="s">
        <v>2254</v>
      </c>
    </row>
    <row r="51" spans="1:25">
      <c r="A51" s="30" t="s">
        <v>13898</v>
      </c>
      <c r="B51" s="30" t="s">
        <v>13261</v>
      </c>
      <c r="C51" s="30" t="s">
        <v>12320</v>
      </c>
      <c r="D51" s="30" t="s">
        <v>12321</v>
      </c>
      <c r="E51" s="30" t="s">
        <v>12322</v>
      </c>
      <c r="F51" s="30" t="s">
        <v>12323</v>
      </c>
      <c r="H51" s="30" t="s">
        <v>2574</v>
      </c>
      <c r="I51" s="30" t="s">
        <v>14089</v>
      </c>
      <c r="J51" s="30" t="s">
        <v>14090</v>
      </c>
      <c r="K51" s="30" t="s">
        <v>13901</v>
      </c>
      <c r="L51" s="30" t="s">
        <v>13902</v>
      </c>
      <c r="M51" s="30" t="s">
        <v>1224</v>
      </c>
      <c r="N51" s="30" t="s">
        <v>129</v>
      </c>
      <c r="P51" s="30" t="s">
        <v>131</v>
      </c>
      <c r="Q51" s="30" t="s">
        <v>131</v>
      </c>
      <c r="R51" s="30" t="s">
        <v>131</v>
      </c>
      <c r="S51" s="30" t="s">
        <v>129</v>
      </c>
      <c r="T51" s="30" t="s">
        <v>129</v>
      </c>
      <c r="U51" s="30" t="s">
        <v>14091</v>
      </c>
      <c r="V51" s="30" t="s">
        <v>14092</v>
      </c>
      <c r="W51" s="30" t="s">
        <v>129</v>
      </c>
      <c r="X51" s="30" t="s">
        <v>2238</v>
      </c>
      <c r="Y51" s="30" t="s">
        <v>2254</v>
      </c>
    </row>
    <row r="52" spans="1:25">
      <c r="A52" s="30" t="s">
        <v>13898</v>
      </c>
      <c r="B52" s="30" t="s">
        <v>14093</v>
      </c>
      <c r="C52" s="30" t="s">
        <v>12324</v>
      </c>
      <c r="D52" s="30" t="s">
        <v>12325</v>
      </c>
      <c r="E52" s="30" t="s">
        <v>12326</v>
      </c>
      <c r="F52" s="30" t="s">
        <v>12327</v>
      </c>
      <c r="H52" s="30" t="s">
        <v>2574</v>
      </c>
      <c r="I52" s="30" t="s">
        <v>14094</v>
      </c>
      <c r="J52" s="30" t="s">
        <v>14095</v>
      </c>
      <c r="K52" s="30" t="s">
        <v>13901</v>
      </c>
      <c r="L52" s="30" t="s">
        <v>13902</v>
      </c>
      <c r="M52" s="30" t="s">
        <v>1212</v>
      </c>
      <c r="N52" s="30" t="s">
        <v>129</v>
      </c>
      <c r="P52" s="30" t="s">
        <v>131</v>
      </c>
      <c r="Q52" s="30" t="s">
        <v>131</v>
      </c>
      <c r="R52" s="30" t="s">
        <v>131</v>
      </c>
      <c r="S52" s="30" t="s">
        <v>129</v>
      </c>
      <c r="T52" s="30" t="s">
        <v>129</v>
      </c>
      <c r="U52" s="30" t="s">
        <v>14096</v>
      </c>
      <c r="V52" s="30" t="s">
        <v>14097</v>
      </c>
      <c r="W52" s="30" t="s">
        <v>131</v>
      </c>
      <c r="X52" s="30" t="s">
        <v>2240</v>
      </c>
      <c r="Y52" s="30" t="s">
        <v>2255</v>
      </c>
    </row>
    <row r="53" spans="1:25">
      <c r="A53" s="30" t="s">
        <v>13898</v>
      </c>
      <c r="B53" s="30" t="s">
        <v>14098</v>
      </c>
      <c r="C53" s="30" t="s">
        <v>12332</v>
      </c>
      <c r="D53" s="30" t="s">
        <v>12333</v>
      </c>
      <c r="E53" s="30" t="s">
        <v>12334</v>
      </c>
      <c r="F53" s="30" t="s">
        <v>12335</v>
      </c>
      <c r="H53" s="30" t="s">
        <v>2574</v>
      </c>
      <c r="I53" s="30" t="s">
        <v>14099</v>
      </c>
      <c r="J53" s="30" t="s">
        <v>14100</v>
      </c>
      <c r="K53" s="30" t="s">
        <v>13901</v>
      </c>
      <c r="L53" s="30" t="s">
        <v>13902</v>
      </c>
      <c r="M53" s="30" t="s">
        <v>1212</v>
      </c>
      <c r="N53" s="30" t="s">
        <v>129</v>
      </c>
      <c r="P53" s="30" t="s">
        <v>129</v>
      </c>
      <c r="Q53" s="30" t="s">
        <v>131</v>
      </c>
      <c r="R53" s="30" t="s">
        <v>131</v>
      </c>
      <c r="S53" s="30" t="s">
        <v>129</v>
      </c>
      <c r="T53" s="30" t="s">
        <v>129</v>
      </c>
      <c r="U53" s="30" t="s">
        <v>14101</v>
      </c>
      <c r="V53" s="30" t="s">
        <v>14102</v>
      </c>
      <c r="W53" s="30" t="s">
        <v>131</v>
      </c>
      <c r="X53" s="30" t="s">
        <v>2240</v>
      </c>
      <c r="Y53" s="30" t="s">
        <v>2253</v>
      </c>
    </row>
    <row r="54" spans="1:25">
      <c r="A54" s="30" t="s">
        <v>13898</v>
      </c>
      <c r="B54" s="30" t="s">
        <v>14103</v>
      </c>
      <c r="C54" s="30" t="s">
        <v>12336</v>
      </c>
      <c r="D54" s="30" t="s">
        <v>12337</v>
      </c>
      <c r="E54" s="30" t="s">
        <v>12338</v>
      </c>
      <c r="F54" s="30" t="s">
        <v>12339</v>
      </c>
      <c r="H54" s="30" t="s">
        <v>2574</v>
      </c>
      <c r="I54" s="30" t="s">
        <v>14104</v>
      </c>
      <c r="J54" s="30" t="s">
        <v>14105</v>
      </c>
      <c r="K54" s="30" t="s">
        <v>13901</v>
      </c>
      <c r="L54" s="30" t="s">
        <v>13902</v>
      </c>
      <c r="M54" s="30" t="s">
        <v>1212</v>
      </c>
      <c r="N54" s="30" t="s">
        <v>129</v>
      </c>
      <c r="P54" s="30" t="s">
        <v>131</v>
      </c>
      <c r="Q54" s="30" t="s">
        <v>131</v>
      </c>
      <c r="R54" s="30" t="s">
        <v>129</v>
      </c>
      <c r="S54" s="30" t="s">
        <v>129</v>
      </c>
      <c r="T54" s="30" t="s">
        <v>129</v>
      </c>
      <c r="U54" s="30" t="s">
        <v>14106</v>
      </c>
      <c r="V54" s="30" t="s">
        <v>14107</v>
      </c>
      <c r="W54" s="30" t="s">
        <v>131</v>
      </c>
      <c r="X54" s="30" t="s">
        <v>2240</v>
      </c>
      <c r="Y54" s="30" t="s">
        <v>2255</v>
      </c>
    </row>
    <row r="55" spans="1:25">
      <c r="A55" s="30" t="s">
        <v>13898</v>
      </c>
      <c r="B55" s="30" t="s">
        <v>14108</v>
      </c>
      <c r="C55" s="30" t="s">
        <v>12340</v>
      </c>
      <c r="D55" s="30" t="s">
        <v>12341</v>
      </c>
      <c r="E55" s="30" t="s">
        <v>12342</v>
      </c>
      <c r="F55" s="30" t="s">
        <v>12343</v>
      </c>
      <c r="H55" s="30" t="s">
        <v>2574</v>
      </c>
      <c r="I55" s="30" t="s">
        <v>14109</v>
      </c>
      <c r="J55" s="30" t="s">
        <v>14110</v>
      </c>
      <c r="K55" s="30" t="s">
        <v>13901</v>
      </c>
      <c r="L55" s="30" t="s">
        <v>13902</v>
      </c>
      <c r="M55" s="30" t="s">
        <v>1212</v>
      </c>
      <c r="N55" s="30" t="s">
        <v>129</v>
      </c>
      <c r="P55" s="30" t="s">
        <v>131</v>
      </c>
      <c r="Q55" s="30" t="s">
        <v>131</v>
      </c>
      <c r="R55" s="30" t="s">
        <v>131</v>
      </c>
      <c r="S55" s="30" t="s">
        <v>129</v>
      </c>
      <c r="T55" s="30" t="s">
        <v>129</v>
      </c>
      <c r="U55" s="30" t="s">
        <v>14111</v>
      </c>
      <c r="V55" s="30" t="s">
        <v>14112</v>
      </c>
      <c r="W55" s="30" t="s">
        <v>131</v>
      </c>
      <c r="X55" s="30" t="s">
        <v>2240</v>
      </c>
      <c r="Y55" s="30" t="s">
        <v>2255</v>
      </c>
    </row>
    <row r="56" spans="1:25">
      <c r="A56" s="30" t="s">
        <v>13898</v>
      </c>
      <c r="B56" s="30" t="s">
        <v>14113</v>
      </c>
      <c r="C56" s="30" t="s">
        <v>12344</v>
      </c>
      <c r="D56" s="30" t="s">
        <v>12345</v>
      </c>
      <c r="E56" s="30" t="s">
        <v>12346</v>
      </c>
      <c r="F56" s="30" t="s">
        <v>12347</v>
      </c>
      <c r="H56" s="30" t="s">
        <v>2574</v>
      </c>
      <c r="I56" s="30" t="s">
        <v>14114</v>
      </c>
      <c r="J56" s="30" t="s">
        <v>14115</v>
      </c>
      <c r="K56" s="30" t="s">
        <v>13901</v>
      </c>
      <c r="L56" s="30" t="s">
        <v>13902</v>
      </c>
      <c r="M56" s="30" t="s">
        <v>1209</v>
      </c>
      <c r="N56" s="30" t="s">
        <v>129</v>
      </c>
      <c r="P56" s="30" t="s">
        <v>131</v>
      </c>
      <c r="Q56" s="30" t="s">
        <v>129</v>
      </c>
      <c r="R56" s="30" t="s">
        <v>129</v>
      </c>
      <c r="S56" s="30" t="s">
        <v>129</v>
      </c>
      <c r="T56" s="30" t="s">
        <v>129</v>
      </c>
      <c r="U56" s="30" t="s">
        <v>14116</v>
      </c>
      <c r="V56" s="30" t="s">
        <v>14117</v>
      </c>
      <c r="W56" s="30" t="s">
        <v>131</v>
      </c>
      <c r="X56" s="30" t="s">
        <v>2240</v>
      </c>
      <c r="Y56" s="30" t="s">
        <v>2253</v>
      </c>
    </row>
    <row r="57" spans="1:25">
      <c r="A57" s="30" t="s">
        <v>13898</v>
      </c>
      <c r="B57" s="30" t="s">
        <v>14118</v>
      </c>
      <c r="C57" s="30" t="s">
        <v>12348</v>
      </c>
      <c r="D57" s="30" t="s">
        <v>12349</v>
      </c>
      <c r="E57" s="30" t="s">
        <v>12350</v>
      </c>
      <c r="F57" s="30" t="s">
        <v>12181</v>
      </c>
      <c r="H57" s="30" t="s">
        <v>2574</v>
      </c>
      <c r="I57" s="30" t="s">
        <v>14119</v>
      </c>
      <c r="J57" s="30" t="s">
        <v>13946</v>
      </c>
      <c r="K57" s="30" t="s">
        <v>13901</v>
      </c>
      <c r="L57" s="30" t="s">
        <v>13902</v>
      </c>
      <c r="M57" s="30" t="s">
        <v>1212</v>
      </c>
      <c r="N57" s="30" t="s">
        <v>129</v>
      </c>
      <c r="P57" s="30" t="s">
        <v>129</v>
      </c>
      <c r="Q57" s="30" t="s">
        <v>131</v>
      </c>
      <c r="R57" s="30" t="s">
        <v>129</v>
      </c>
      <c r="S57" s="30" t="s">
        <v>129</v>
      </c>
      <c r="T57" s="30" t="s">
        <v>131</v>
      </c>
      <c r="U57" s="30" t="s">
        <v>14120</v>
      </c>
      <c r="V57" s="30" t="s">
        <v>14121</v>
      </c>
      <c r="W57" s="30" t="s">
        <v>131</v>
      </c>
      <c r="X57" s="30" t="s">
        <v>2240</v>
      </c>
      <c r="Y57" s="30" t="s">
        <v>2253</v>
      </c>
    </row>
    <row r="58" spans="1:25">
      <c r="A58" s="30" t="s">
        <v>13898</v>
      </c>
      <c r="B58" s="30" t="s">
        <v>14122</v>
      </c>
      <c r="C58" s="30" t="s">
        <v>12351</v>
      </c>
      <c r="D58" s="30" t="s">
        <v>12352</v>
      </c>
      <c r="E58" s="30" t="s">
        <v>12353</v>
      </c>
      <c r="F58" s="30" t="s">
        <v>12354</v>
      </c>
      <c r="H58" s="30" t="s">
        <v>2574</v>
      </c>
      <c r="I58" s="30" t="s">
        <v>14123</v>
      </c>
      <c r="J58" s="30" t="s">
        <v>14124</v>
      </c>
      <c r="K58" s="30" t="s">
        <v>13901</v>
      </c>
      <c r="L58" s="30" t="s">
        <v>13902</v>
      </c>
      <c r="M58" s="30" t="s">
        <v>1212</v>
      </c>
      <c r="N58" s="30" t="s">
        <v>131</v>
      </c>
      <c r="O58" s="30" t="s">
        <v>14044</v>
      </c>
      <c r="P58" s="30" t="s">
        <v>131</v>
      </c>
      <c r="Q58" s="30" t="s">
        <v>131</v>
      </c>
      <c r="R58" s="30" t="s">
        <v>129</v>
      </c>
      <c r="S58" s="30" t="s">
        <v>129</v>
      </c>
      <c r="T58" s="30" t="s">
        <v>129</v>
      </c>
      <c r="U58" s="30" t="s">
        <v>14125</v>
      </c>
      <c r="V58" s="30" t="s">
        <v>14126</v>
      </c>
      <c r="W58" s="30" t="s">
        <v>131</v>
      </c>
      <c r="X58" s="30" t="s">
        <v>2240</v>
      </c>
      <c r="Y58" s="30" t="s">
        <v>2252</v>
      </c>
    </row>
    <row r="59" spans="1:25">
      <c r="A59" s="30" t="s">
        <v>13898</v>
      </c>
      <c r="B59" s="30" t="s">
        <v>14127</v>
      </c>
      <c r="C59" s="30" t="s">
        <v>12355</v>
      </c>
      <c r="D59" s="30" t="s">
        <v>12356</v>
      </c>
      <c r="E59" s="30" t="s">
        <v>12357</v>
      </c>
      <c r="F59" s="30" t="s">
        <v>12215</v>
      </c>
      <c r="H59" s="30" t="s">
        <v>2574</v>
      </c>
      <c r="I59" s="30" t="s">
        <v>14128</v>
      </c>
      <c r="J59" s="30" t="s">
        <v>13978</v>
      </c>
      <c r="K59" s="30" t="s">
        <v>13901</v>
      </c>
      <c r="L59" s="30" t="s">
        <v>13902</v>
      </c>
      <c r="M59" s="30" t="s">
        <v>1212</v>
      </c>
      <c r="N59" s="30" t="s">
        <v>129</v>
      </c>
      <c r="P59" s="30" t="s">
        <v>131</v>
      </c>
      <c r="Q59" s="30" t="s">
        <v>131</v>
      </c>
      <c r="R59" s="30" t="s">
        <v>131</v>
      </c>
      <c r="S59" s="30" t="s">
        <v>129</v>
      </c>
      <c r="T59" s="30" t="s">
        <v>129</v>
      </c>
      <c r="U59" s="30" t="s">
        <v>14129</v>
      </c>
      <c r="V59" s="30" t="s">
        <v>14130</v>
      </c>
      <c r="W59" s="30" t="s">
        <v>131</v>
      </c>
      <c r="X59" s="30" t="s">
        <v>2240</v>
      </c>
      <c r="Y59" s="30" t="s">
        <v>2252</v>
      </c>
    </row>
    <row r="60" spans="1:25">
      <c r="A60" s="30" t="s">
        <v>13898</v>
      </c>
      <c r="B60" s="30" t="s">
        <v>14131</v>
      </c>
      <c r="C60" s="30" t="s">
        <v>12361</v>
      </c>
      <c r="D60" s="30" t="s">
        <v>12362</v>
      </c>
      <c r="E60" s="30" t="s">
        <v>12363</v>
      </c>
      <c r="F60" s="30" t="s">
        <v>12189</v>
      </c>
      <c r="H60" s="30" t="s">
        <v>2574</v>
      </c>
      <c r="I60" s="30" t="s">
        <v>14132</v>
      </c>
      <c r="J60" s="30" t="s">
        <v>13955</v>
      </c>
      <c r="K60" s="30" t="s">
        <v>13901</v>
      </c>
      <c r="L60" s="30" t="s">
        <v>13902</v>
      </c>
      <c r="M60" s="30" t="s">
        <v>1212</v>
      </c>
      <c r="N60" s="30" t="s">
        <v>129</v>
      </c>
      <c r="P60" s="30" t="s">
        <v>131</v>
      </c>
      <c r="Q60" s="30" t="s">
        <v>129</v>
      </c>
      <c r="R60" s="30" t="s">
        <v>131</v>
      </c>
      <c r="S60" s="30" t="s">
        <v>129</v>
      </c>
      <c r="T60" s="30" t="s">
        <v>129</v>
      </c>
      <c r="U60" s="30" t="s">
        <v>14133</v>
      </c>
      <c r="V60" s="30" t="s">
        <v>14134</v>
      </c>
      <c r="W60" s="30" t="s">
        <v>131</v>
      </c>
      <c r="X60" s="30" t="s">
        <v>2240</v>
      </c>
      <c r="Y60" s="30" t="s">
        <v>2255</v>
      </c>
    </row>
    <row r="61" spans="1:25">
      <c r="A61" s="30" t="s">
        <v>13898</v>
      </c>
      <c r="B61" s="30" t="s">
        <v>14135</v>
      </c>
      <c r="C61" s="30" t="s">
        <v>12364</v>
      </c>
      <c r="D61" s="30" t="s">
        <v>12365</v>
      </c>
      <c r="E61" s="30" t="s">
        <v>12366</v>
      </c>
      <c r="F61" s="30" t="s">
        <v>12177</v>
      </c>
      <c r="H61" s="30" t="s">
        <v>2574</v>
      </c>
      <c r="I61" s="30" t="s">
        <v>14136</v>
      </c>
      <c r="J61" s="30" t="s">
        <v>13942</v>
      </c>
      <c r="K61" s="30" t="s">
        <v>13901</v>
      </c>
      <c r="L61" s="30" t="s">
        <v>13902</v>
      </c>
      <c r="M61" s="30" t="s">
        <v>1213</v>
      </c>
      <c r="N61" s="30" t="s">
        <v>129</v>
      </c>
      <c r="P61" s="30" t="s">
        <v>131</v>
      </c>
      <c r="Q61" s="30" t="s">
        <v>131</v>
      </c>
      <c r="R61" s="30" t="s">
        <v>129</v>
      </c>
      <c r="S61" s="30" t="s">
        <v>129</v>
      </c>
      <c r="T61" s="30" t="s">
        <v>129</v>
      </c>
      <c r="U61" s="30" t="s">
        <v>14137</v>
      </c>
      <c r="V61" s="30" t="s">
        <v>14138</v>
      </c>
      <c r="W61" s="30" t="s">
        <v>131</v>
      </c>
      <c r="X61" s="30" t="s">
        <v>2240</v>
      </c>
      <c r="Y61" s="30" t="s">
        <v>2253</v>
      </c>
    </row>
    <row r="62" spans="1:25">
      <c r="A62" s="30" t="s">
        <v>13898</v>
      </c>
      <c r="B62" s="30" t="s">
        <v>14139</v>
      </c>
      <c r="C62" s="30" t="s">
        <v>12367</v>
      </c>
      <c r="D62" s="30" t="s">
        <v>12368</v>
      </c>
      <c r="E62" s="30" t="s">
        <v>12369</v>
      </c>
      <c r="F62" s="30" t="s">
        <v>12370</v>
      </c>
      <c r="H62" s="30" t="s">
        <v>2574</v>
      </c>
      <c r="I62" s="30" t="s">
        <v>14140</v>
      </c>
      <c r="J62" s="30" t="s">
        <v>14141</v>
      </c>
      <c r="K62" s="30" t="s">
        <v>13901</v>
      </c>
      <c r="L62" s="30" t="s">
        <v>13902</v>
      </c>
      <c r="M62" s="30" t="s">
        <v>1222</v>
      </c>
      <c r="N62" s="30" t="s">
        <v>129</v>
      </c>
      <c r="P62" s="30" t="s">
        <v>131</v>
      </c>
      <c r="Q62" s="30" t="s">
        <v>131</v>
      </c>
      <c r="R62" s="30" t="s">
        <v>131</v>
      </c>
      <c r="S62" s="30" t="s">
        <v>129</v>
      </c>
      <c r="T62" s="30" t="s">
        <v>129</v>
      </c>
      <c r="U62" s="30" t="s">
        <v>14142</v>
      </c>
      <c r="V62" s="30" t="s">
        <v>14143</v>
      </c>
      <c r="W62" s="30" t="s">
        <v>131</v>
      </c>
      <c r="X62" s="30" t="s">
        <v>2239</v>
      </c>
      <c r="Y62" s="30" t="s">
        <v>2254</v>
      </c>
    </row>
    <row r="63" spans="1:25">
      <c r="A63" s="30" t="s">
        <v>13898</v>
      </c>
      <c r="B63" s="30" t="s">
        <v>14144</v>
      </c>
      <c r="C63" s="30" t="s">
        <v>12371</v>
      </c>
      <c r="D63" s="30" t="s">
        <v>12372</v>
      </c>
      <c r="E63" s="30" t="s">
        <v>12373</v>
      </c>
      <c r="F63" s="30" t="s">
        <v>12318</v>
      </c>
      <c r="H63" s="30" t="s">
        <v>2574</v>
      </c>
      <c r="I63" s="30" t="s">
        <v>14145</v>
      </c>
      <c r="J63" s="30" t="s">
        <v>14146</v>
      </c>
      <c r="K63" s="30" t="s">
        <v>13901</v>
      </c>
      <c r="L63" s="30" t="s">
        <v>13902</v>
      </c>
      <c r="M63" s="30" t="s">
        <v>1289</v>
      </c>
      <c r="N63" s="30" t="s">
        <v>131</v>
      </c>
      <c r="O63" s="30" t="s">
        <v>14147</v>
      </c>
      <c r="P63" s="30" t="s">
        <v>129</v>
      </c>
      <c r="Q63" s="30" t="s">
        <v>131</v>
      </c>
      <c r="R63" s="30" t="s">
        <v>129</v>
      </c>
      <c r="S63" s="30" t="s">
        <v>129</v>
      </c>
      <c r="T63" s="30" t="s">
        <v>131</v>
      </c>
      <c r="U63" s="30" t="s">
        <v>14148</v>
      </c>
      <c r="V63" s="30" t="s">
        <v>14149</v>
      </c>
      <c r="W63" s="30" t="s">
        <v>131</v>
      </c>
      <c r="X63" s="30" t="s">
        <v>2240</v>
      </c>
      <c r="Y63" s="30" t="s">
        <v>2253</v>
      </c>
    </row>
    <row r="64" spans="1:25">
      <c r="A64" s="30" t="s">
        <v>13898</v>
      </c>
      <c r="B64" s="30" t="s">
        <v>14150</v>
      </c>
      <c r="C64" s="30" t="s">
        <v>12375</v>
      </c>
      <c r="D64" s="30" t="s">
        <v>12376</v>
      </c>
      <c r="E64" s="30" t="s">
        <v>12377</v>
      </c>
      <c r="F64" s="30" t="s">
        <v>12201</v>
      </c>
      <c r="H64" s="30" t="s">
        <v>2574</v>
      </c>
      <c r="I64" s="30" t="s">
        <v>14151</v>
      </c>
      <c r="J64" s="30" t="s">
        <v>13968</v>
      </c>
      <c r="K64" s="30" t="s">
        <v>13901</v>
      </c>
      <c r="L64" s="30" t="s">
        <v>13902</v>
      </c>
      <c r="M64" s="30" t="s">
        <v>1223</v>
      </c>
      <c r="N64" s="30" t="s">
        <v>129</v>
      </c>
      <c r="P64" s="30" t="s">
        <v>131</v>
      </c>
      <c r="Q64" s="30" t="s">
        <v>131</v>
      </c>
      <c r="R64" s="30" t="s">
        <v>131</v>
      </c>
      <c r="S64" s="30" t="s">
        <v>129</v>
      </c>
      <c r="T64" s="30" t="s">
        <v>129</v>
      </c>
      <c r="U64" s="30" t="s">
        <v>14152</v>
      </c>
      <c r="V64" s="30" t="s">
        <v>14153</v>
      </c>
      <c r="W64" s="30" t="s">
        <v>129</v>
      </c>
      <c r="X64" s="30" t="s">
        <v>2238</v>
      </c>
      <c r="Y64" s="30" t="s">
        <v>2254</v>
      </c>
    </row>
    <row r="65" spans="1:25">
      <c r="A65" s="30" t="s">
        <v>13898</v>
      </c>
      <c r="B65" s="30" t="s">
        <v>14154</v>
      </c>
      <c r="C65" s="30" t="s">
        <v>12378</v>
      </c>
      <c r="D65" s="30" t="s">
        <v>12379</v>
      </c>
      <c r="E65" s="30" t="s">
        <v>12380</v>
      </c>
      <c r="F65" s="30" t="s">
        <v>12307</v>
      </c>
      <c r="H65" s="30" t="s">
        <v>130</v>
      </c>
      <c r="I65" s="30" t="s">
        <v>14155</v>
      </c>
      <c r="J65" s="30" t="s">
        <v>14077</v>
      </c>
      <c r="K65" s="30" t="s">
        <v>13901</v>
      </c>
      <c r="L65" s="30" t="s">
        <v>14156</v>
      </c>
      <c r="M65" s="30" t="s">
        <v>1223</v>
      </c>
      <c r="N65" s="30" t="s">
        <v>129</v>
      </c>
      <c r="P65" s="30" t="s">
        <v>131</v>
      </c>
      <c r="Q65" s="30" t="s">
        <v>131</v>
      </c>
      <c r="R65" s="30" t="s">
        <v>131</v>
      </c>
      <c r="S65" s="30" t="s">
        <v>129</v>
      </c>
      <c r="T65" s="30" t="s">
        <v>129</v>
      </c>
      <c r="U65" s="30" t="s">
        <v>14157</v>
      </c>
      <c r="V65" s="30" t="s">
        <v>14158</v>
      </c>
      <c r="W65" s="30" t="s">
        <v>129</v>
      </c>
      <c r="X65" s="30" t="s">
        <v>2238</v>
      </c>
      <c r="Y65" s="30" t="s">
        <v>2254</v>
      </c>
    </row>
    <row r="66" spans="1:25">
      <c r="A66" s="30" t="s">
        <v>13898</v>
      </c>
      <c r="B66" s="30" t="s">
        <v>14159</v>
      </c>
      <c r="C66" s="30" t="s">
        <v>12383</v>
      </c>
      <c r="D66" s="30" t="s">
        <v>12384</v>
      </c>
      <c r="E66" s="30" t="s">
        <v>12385</v>
      </c>
      <c r="F66" s="30" t="s">
        <v>12131</v>
      </c>
      <c r="H66" s="30" t="s">
        <v>2574</v>
      </c>
      <c r="I66" s="30" t="s">
        <v>14160</v>
      </c>
      <c r="J66" s="30" t="s">
        <v>13906</v>
      </c>
      <c r="K66" s="30" t="s">
        <v>13901</v>
      </c>
      <c r="L66" s="30" t="s">
        <v>13902</v>
      </c>
      <c r="M66" s="30" t="s">
        <v>1223</v>
      </c>
      <c r="N66" s="30" t="s">
        <v>131</v>
      </c>
      <c r="O66" s="30" t="s">
        <v>13929</v>
      </c>
      <c r="P66" s="30" t="s">
        <v>131</v>
      </c>
      <c r="Q66" s="30" t="s">
        <v>129</v>
      </c>
      <c r="R66" s="30" t="s">
        <v>129</v>
      </c>
      <c r="S66" s="30" t="s">
        <v>129</v>
      </c>
      <c r="T66" s="30" t="s">
        <v>129</v>
      </c>
      <c r="U66" s="30" t="s">
        <v>14161</v>
      </c>
      <c r="V66" s="30" t="s">
        <v>14162</v>
      </c>
      <c r="W66" s="30" t="s">
        <v>129</v>
      </c>
      <c r="X66" s="30" t="s">
        <v>2238</v>
      </c>
      <c r="Y66" s="30" t="s">
        <v>2254</v>
      </c>
    </row>
    <row r="67" spans="1:25">
      <c r="A67" s="30" t="s">
        <v>13898</v>
      </c>
      <c r="B67" s="30" t="s">
        <v>14163</v>
      </c>
      <c r="C67" s="30" t="s">
        <v>12386</v>
      </c>
      <c r="D67" s="30" t="s">
        <v>12387</v>
      </c>
      <c r="E67" s="30" t="s">
        <v>12388</v>
      </c>
      <c r="F67" s="30" t="s">
        <v>12389</v>
      </c>
      <c r="H67" s="30" t="s">
        <v>2574</v>
      </c>
      <c r="I67" s="30" t="s">
        <v>14164</v>
      </c>
      <c r="J67" s="30" t="s">
        <v>14165</v>
      </c>
      <c r="K67" s="30" t="s">
        <v>13901</v>
      </c>
      <c r="L67" s="30" t="s">
        <v>13902</v>
      </c>
      <c r="M67" s="30" t="s">
        <v>1281</v>
      </c>
      <c r="N67" s="30" t="s">
        <v>129</v>
      </c>
      <c r="P67" s="30" t="s">
        <v>131</v>
      </c>
      <c r="Q67" s="30" t="s">
        <v>131</v>
      </c>
      <c r="R67" s="30" t="s">
        <v>129</v>
      </c>
      <c r="S67" s="30" t="s">
        <v>129</v>
      </c>
      <c r="T67" s="30" t="s">
        <v>131</v>
      </c>
      <c r="U67" s="30" t="s">
        <v>14166</v>
      </c>
      <c r="V67" s="30" t="s">
        <v>14167</v>
      </c>
      <c r="W67" s="30" t="s">
        <v>129</v>
      </c>
      <c r="X67" s="30" t="s">
        <v>2238</v>
      </c>
      <c r="Y67" s="30" t="s">
        <v>2254</v>
      </c>
    </row>
    <row r="68" spans="1:25">
      <c r="A68" s="30" t="s">
        <v>13898</v>
      </c>
      <c r="B68" s="30" t="s">
        <v>14168</v>
      </c>
      <c r="C68" s="30" t="s">
        <v>12393</v>
      </c>
      <c r="D68" s="30" t="s">
        <v>12394</v>
      </c>
      <c r="E68" s="30" t="s">
        <v>12395</v>
      </c>
      <c r="F68" s="30" t="s">
        <v>12389</v>
      </c>
      <c r="H68" s="30" t="s">
        <v>130</v>
      </c>
      <c r="I68" s="30" t="s">
        <v>14169</v>
      </c>
      <c r="J68" s="30" t="s">
        <v>14165</v>
      </c>
      <c r="K68" s="30" t="s">
        <v>13901</v>
      </c>
      <c r="L68" s="30" t="s">
        <v>14156</v>
      </c>
      <c r="M68" s="30" t="s">
        <v>1281</v>
      </c>
      <c r="N68" s="30" t="s">
        <v>129</v>
      </c>
      <c r="P68" s="30" t="s">
        <v>129</v>
      </c>
      <c r="Q68" s="30" t="s">
        <v>129</v>
      </c>
      <c r="R68" s="30" t="s">
        <v>129</v>
      </c>
      <c r="S68" s="30" t="s">
        <v>129</v>
      </c>
      <c r="T68" s="30" t="s">
        <v>131</v>
      </c>
      <c r="U68" s="30" t="s">
        <v>14170</v>
      </c>
      <c r="V68" s="30" t="s">
        <v>14171</v>
      </c>
      <c r="W68" s="30" t="s">
        <v>129</v>
      </c>
      <c r="X68" s="30" t="s">
        <v>2238</v>
      </c>
      <c r="Y68" s="30" t="s">
        <v>2254</v>
      </c>
    </row>
    <row r="69" spans="1:25">
      <c r="A69" s="30" t="s">
        <v>13898</v>
      </c>
      <c r="B69" s="30" t="s">
        <v>14172</v>
      </c>
      <c r="C69" s="30" t="s">
        <v>12398</v>
      </c>
      <c r="D69" s="30" t="s">
        <v>12399</v>
      </c>
      <c r="E69" s="30" t="s">
        <v>12400</v>
      </c>
      <c r="F69" s="30" t="s">
        <v>12389</v>
      </c>
      <c r="H69" s="30" t="s">
        <v>2574</v>
      </c>
      <c r="I69" s="30" t="s">
        <v>14173</v>
      </c>
      <c r="J69" s="30" t="s">
        <v>14165</v>
      </c>
      <c r="K69" s="30" t="s">
        <v>13901</v>
      </c>
      <c r="L69" s="30" t="s">
        <v>13902</v>
      </c>
      <c r="M69" s="30" t="s">
        <v>1281</v>
      </c>
      <c r="N69" s="30" t="s">
        <v>129</v>
      </c>
      <c r="P69" s="30" t="s">
        <v>131</v>
      </c>
      <c r="Q69" s="30" t="s">
        <v>129</v>
      </c>
      <c r="R69" s="30" t="s">
        <v>129</v>
      </c>
      <c r="S69" s="30" t="s">
        <v>129</v>
      </c>
      <c r="T69" s="30" t="s">
        <v>129</v>
      </c>
      <c r="U69" s="30" t="s">
        <v>14174</v>
      </c>
      <c r="V69" s="30" t="s">
        <v>14175</v>
      </c>
      <c r="W69" s="30" t="s">
        <v>129</v>
      </c>
      <c r="X69" s="30" t="s">
        <v>2238</v>
      </c>
      <c r="Y69" s="30" t="s">
        <v>2254</v>
      </c>
    </row>
    <row r="70" spans="1:25">
      <c r="A70" s="30" t="s">
        <v>13898</v>
      </c>
      <c r="B70" s="30" t="s">
        <v>14176</v>
      </c>
      <c r="C70" s="30" t="s">
        <v>12401</v>
      </c>
      <c r="D70" s="30" t="s">
        <v>12402</v>
      </c>
      <c r="E70" s="30" t="s">
        <v>12322</v>
      </c>
      <c r="F70" s="30" t="s">
        <v>12403</v>
      </c>
      <c r="H70" s="30" t="s">
        <v>2574</v>
      </c>
      <c r="I70" s="30" t="s">
        <v>14089</v>
      </c>
      <c r="J70" s="30" t="s">
        <v>14177</v>
      </c>
      <c r="K70" s="30" t="s">
        <v>13901</v>
      </c>
      <c r="L70" s="30" t="s">
        <v>13902</v>
      </c>
      <c r="M70" s="30" t="s">
        <v>1224</v>
      </c>
      <c r="N70" s="30" t="s">
        <v>129</v>
      </c>
      <c r="P70" s="30" t="s">
        <v>131</v>
      </c>
      <c r="Q70" s="30" t="s">
        <v>131</v>
      </c>
      <c r="R70" s="30" t="s">
        <v>131</v>
      </c>
      <c r="S70" s="30" t="s">
        <v>129</v>
      </c>
      <c r="T70" s="30" t="s">
        <v>129</v>
      </c>
      <c r="U70" s="30" t="s">
        <v>14091</v>
      </c>
      <c r="V70" s="30" t="s">
        <v>14092</v>
      </c>
      <c r="W70" s="30" t="s">
        <v>129</v>
      </c>
      <c r="X70" s="30" t="s">
        <v>2238</v>
      </c>
      <c r="Y70" s="30" t="s">
        <v>2254</v>
      </c>
    </row>
    <row r="71" spans="1:25">
      <c r="A71" s="30" t="s">
        <v>13898</v>
      </c>
      <c r="B71" s="30" t="s">
        <v>14178</v>
      </c>
      <c r="C71" s="30" t="s">
        <v>12404</v>
      </c>
      <c r="D71" s="30" t="s">
        <v>12405</v>
      </c>
      <c r="E71" s="30" t="s">
        <v>12406</v>
      </c>
      <c r="F71" s="30" t="s">
        <v>12407</v>
      </c>
      <c r="H71" s="30" t="s">
        <v>2574</v>
      </c>
      <c r="I71" s="30" t="s">
        <v>14179</v>
      </c>
      <c r="J71" s="30" t="s">
        <v>14180</v>
      </c>
      <c r="K71" s="30" t="s">
        <v>13901</v>
      </c>
      <c r="L71" s="30" t="s">
        <v>13902</v>
      </c>
      <c r="M71" s="30" t="s">
        <v>1216</v>
      </c>
      <c r="N71" s="30" t="s">
        <v>129</v>
      </c>
      <c r="P71" s="30" t="s">
        <v>131</v>
      </c>
      <c r="Q71" s="30" t="s">
        <v>129</v>
      </c>
      <c r="R71" s="30" t="s">
        <v>129</v>
      </c>
      <c r="S71" s="30" t="s">
        <v>129</v>
      </c>
      <c r="T71" s="30" t="s">
        <v>129</v>
      </c>
      <c r="U71" s="30" t="s">
        <v>14181</v>
      </c>
      <c r="V71" s="30" t="s">
        <v>14182</v>
      </c>
      <c r="W71" s="30" t="s">
        <v>131</v>
      </c>
      <c r="X71" s="30" t="s">
        <v>2240</v>
      </c>
      <c r="Y71" s="30" t="s">
        <v>2253</v>
      </c>
    </row>
    <row r="72" spans="1:25">
      <c r="A72" s="30" t="s">
        <v>13898</v>
      </c>
      <c r="B72" s="30" t="s">
        <v>14183</v>
      </c>
      <c r="C72" s="30" t="s">
        <v>12408</v>
      </c>
      <c r="D72" s="30" t="s">
        <v>12409</v>
      </c>
      <c r="E72" s="30" t="s">
        <v>12410</v>
      </c>
      <c r="F72" s="30" t="s">
        <v>12407</v>
      </c>
      <c r="H72" s="30" t="s">
        <v>2574</v>
      </c>
      <c r="I72" s="30" t="s">
        <v>14184</v>
      </c>
      <c r="J72" s="30" t="s">
        <v>14180</v>
      </c>
      <c r="K72" s="30" t="s">
        <v>13901</v>
      </c>
      <c r="L72" s="30" t="s">
        <v>13902</v>
      </c>
      <c r="M72" s="30" t="s">
        <v>1216</v>
      </c>
      <c r="N72" s="30" t="s">
        <v>129</v>
      </c>
      <c r="P72" s="30" t="s">
        <v>129</v>
      </c>
      <c r="Q72" s="30" t="s">
        <v>129</v>
      </c>
      <c r="R72" s="30" t="s">
        <v>129</v>
      </c>
      <c r="S72" s="30" t="s">
        <v>129</v>
      </c>
      <c r="T72" s="30" t="s">
        <v>129</v>
      </c>
      <c r="U72" s="30" t="s">
        <v>14185</v>
      </c>
      <c r="V72" s="30" t="s">
        <v>14186</v>
      </c>
      <c r="W72" s="30" t="s">
        <v>131</v>
      </c>
      <c r="X72" s="30" t="s">
        <v>2240</v>
      </c>
      <c r="Y72" s="30" t="s">
        <v>2255</v>
      </c>
    </row>
    <row r="73" spans="1:25">
      <c r="A73" s="30" t="s">
        <v>13898</v>
      </c>
      <c r="B73" s="30" t="s">
        <v>14187</v>
      </c>
      <c r="C73" s="30" t="s">
        <v>12411</v>
      </c>
      <c r="D73" s="30" t="s">
        <v>12412</v>
      </c>
      <c r="E73" s="30" t="s">
        <v>12413</v>
      </c>
      <c r="F73" s="30" t="s">
        <v>12414</v>
      </c>
      <c r="H73" s="30" t="s">
        <v>2574</v>
      </c>
      <c r="I73" s="30" t="s">
        <v>14188</v>
      </c>
      <c r="J73" s="30" t="s">
        <v>14189</v>
      </c>
      <c r="K73" s="30" t="s">
        <v>13901</v>
      </c>
      <c r="L73" s="30" t="s">
        <v>13902</v>
      </c>
      <c r="M73" s="30" t="s">
        <v>1289</v>
      </c>
      <c r="N73" s="30" t="s">
        <v>129</v>
      </c>
      <c r="P73" s="30" t="s">
        <v>131</v>
      </c>
      <c r="Q73" s="30" t="s">
        <v>131</v>
      </c>
      <c r="R73" s="30" t="s">
        <v>129</v>
      </c>
      <c r="S73" s="30" t="s">
        <v>129</v>
      </c>
      <c r="T73" s="30" t="s">
        <v>131</v>
      </c>
      <c r="U73" s="30" t="s">
        <v>14190</v>
      </c>
      <c r="V73" s="30" t="s">
        <v>14191</v>
      </c>
      <c r="W73" s="30" t="s">
        <v>131</v>
      </c>
      <c r="X73" s="30" t="s">
        <v>2240</v>
      </c>
      <c r="Y73" s="30" t="s">
        <v>2253</v>
      </c>
    </row>
    <row r="74" spans="1:25">
      <c r="A74" s="30" t="s">
        <v>13898</v>
      </c>
      <c r="B74" s="30" t="s">
        <v>14192</v>
      </c>
      <c r="C74" s="30" t="s">
        <v>12415</v>
      </c>
      <c r="D74" s="30" t="s">
        <v>12416</v>
      </c>
      <c r="E74" s="30" t="s">
        <v>12417</v>
      </c>
      <c r="F74" s="30" t="s">
        <v>12299</v>
      </c>
      <c r="H74" s="30" t="s">
        <v>2574</v>
      </c>
      <c r="I74" s="30" t="s">
        <v>14193</v>
      </c>
      <c r="J74" s="30" t="s">
        <v>14068</v>
      </c>
      <c r="K74" s="30" t="s">
        <v>13901</v>
      </c>
      <c r="L74" s="30" t="s">
        <v>13902</v>
      </c>
      <c r="M74" s="30" t="s">
        <v>1289</v>
      </c>
      <c r="N74" s="30" t="s">
        <v>129</v>
      </c>
      <c r="P74" s="30" t="s">
        <v>131</v>
      </c>
      <c r="Q74" s="30" t="s">
        <v>131</v>
      </c>
      <c r="R74" s="30" t="s">
        <v>129</v>
      </c>
      <c r="S74" s="30" t="s">
        <v>129</v>
      </c>
      <c r="T74" s="30" t="s">
        <v>129</v>
      </c>
      <c r="U74" s="30" t="s">
        <v>14194</v>
      </c>
      <c r="V74" s="30" t="s">
        <v>14195</v>
      </c>
      <c r="W74" s="30" t="s">
        <v>131</v>
      </c>
      <c r="X74" s="30" t="s">
        <v>2240</v>
      </c>
      <c r="Y74" s="30" t="s">
        <v>2253</v>
      </c>
    </row>
    <row r="75" spans="1:25">
      <c r="A75" s="30" t="s">
        <v>13898</v>
      </c>
      <c r="B75" s="30" t="s">
        <v>14196</v>
      </c>
      <c r="C75" s="30" t="s">
        <v>12418</v>
      </c>
      <c r="D75" s="30" t="s">
        <v>12419</v>
      </c>
      <c r="E75" s="30" t="s">
        <v>12420</v>
      </c>
      <c r="F75" s="30" t="s">
        <v>12229</v>
      </c>
      <c r="H75" s="30" t="s">
        <v>2574</v>
      </c>
      <c r="I75" s="30" t="s">
        <v>14197</v>
      </c>
      <c r="J75" s="30" t="s">
        <v>13992</v>
      </c>
      <c r="K75" s="30" t="s">
        <v>13901</v>
      </c>
      <c r="L75" s="30" t="s">
        <v>13902</v>
      </c>
      <c r="M75" s="30" t="s">
        <v>1289</v>
      </c>
      <c r="N75" s="30" t="s">
        <v>129</v>
      </c>
      <c r="P75" s="30" t="s">
        <v>131</v>
      </c>
      <c r="Q75" s="30" t="s">
        <v>129</v>
      </c>
      <c r="R75" s="30" t="s">
        <v>129</v>
      </c>
      <c r="S75" s="30" t="s">
        <v>129</v>
      </c>
      <c r="T75" s="30" t="s">
        <v>131</v>
      </c>
      <c r="U75" s="30" t="s">
        <v>14198</v>
      </c>
      <c r="V75" s="30" t="s">
        <v>14199</v>
      </c>
      <c r="W75" s="30" t="s">
        <v>131</v>
      </c>
      <c r="X75" s="30" t="s">
        <v>2240</v>
      </c>
      <c r="Y75" s="30" t="s">
        <v>2253</v>
      </c>
    </row>
    <row r="76" spans="1:25">
      <c r="A76" s="30" t="s">
        <v>13898</v>
      </c>
      <c r="B76" s="30" t="s">
        <v>14200</v>
      </c>
      <c r="C76" s="30" t="s">
        <v>12421</v>
      </c>
      <c r="D76" s="30" t="s">
        <v>12422</v>
      </c>
      <c r="E76" s="30" t="s">
        <v>12423</v>
      </c>
      <c r="F76" s="30" t="s">
        <v>12299</v>
      </c>
      <c r="H76" s="30" t="s">
        <v>2574</v>
      </c>
      <c r="I76" s="30" t="s">
        <v>14201</v>
      </c>
      <c r="J76" s="30" t="s">
        <v>14068</v>
      </c>
      <c r="K76" s="30" t="s">
        <v>13901</v>
      </c>
      <c r="L76" s="30" t="s">
        <v>13902</v>
      </c>
      <c r="M76" s="30" t="s">
        <v>1289</v>
      </c>
      <c r="N76" s="30" t="s">
        <v>129</v>
      </c>
      <c r="P76" s="30" t="s">
        <v>131</v>
      </c>
      <c r="Q76" s="30" t="s">
        <v>131</v>
      </c>
      <c r="R76" s="30" t="s">
        <v>131</v>
      </c>
      <c r="S76" s="30" t="s">
        <v>129</v>
      </c>
      <c r="T76" s="30" t="s">
        <v>131</v>
      </c>
      <c r="U76" s="30" t="s">
        <v>14202</v>
      </c>
      <c r="V76" s="30" t="s">
        <v>14203</v>
      </c>
      <c r="W76" s="30" t="s">
        <v>131</v>
      </c>
      <c r="X76" s="30" t="s">
        <v>2240</v>
      </c>
      <c r="Y76" s="30" t="s">
        <v>2253</v>
      </c>
    </row>
    <row r="77" spans="1:25">
      <c r="A77" s="30" t="s">
        <v>13898</v>
      </c>
      <c r="B77" s="30" t="s">
        <v>14204</v>
      </c>
      <c r="C77" s="30" t="s">
        <v>12424</v>
      </c>
      <c r="D77" s="30" t="s">
        <v>12425</v>
      </c>
      <c r="E77" s="30" t="s">
        <v>12426</v>
      </c>
      <c r="F77" s="30" t="s">
        <v>12427</v>
      </c>
      <c r="H77" s="30" t="s">
        <v>2574</v>
      </c>
      <c r="I77" s="30" t="s">
        <v>14205</v>
      </c>
      <c r="J77" s="30" t="s">
        <v>14206</v>
      </c>
      <c r="K77" s="30" t="s">
        <v>13901</v>
      </c>
      <c r="L77" s="30" t="s">
        <v>13902</v>
      </c>
      <c r="M77" s="30" t="s">
        <v>1289</v>
      </c>
      <c r="N77" s="30" t="s">
        <v>129</v>
      </c>
      <c r="P77" s="30" t="s">
        <v>131</v>
      </c>
      <c r="Q77" s="30" t="s">
        <v>129</v>
      </c>
      <c r="R77" s="30" t="s">
        <v>129</v>
      </c>
      <c r="S77" s="30" t="s">
        <v>129</v>
      </c>
      <c r="T77" s="30" t="s">
        <v>131</v>
      </c>
      <c r="U77" s="30" t="s">
        <v>14207</v>
      </c>
      <c r="V77" s="30" t="s">
        <v>14208</v>
      </c>
      <c r="W77" s="30" t="s">
        <v>131</v>
      </c>
      <c r="X77" s="30" t="s">
        <v>2240</v>
      </c>
      <c r="Y77" s="30" t="s">
        <v>2253</v>
      </c>
    </row>
    <row r="78" spans="1:25">
      <c r="A78" s="30" t="s">
        <v>13898</v>
      </c>
      <c r="B78" s="30" t="s">
        <v>14209</v>
      </c>
      <c r="C78" s="30" t="s">
        <v>12428</v>
      </c>
      <c r="D78" s="30" t="s">
        <v>12429</v>
      </c>
      <c r="E78" s="30" t="s">
        <v>12430</v>
      </c>
      <c r="F78" s="30" t="s">
        <v>12189</v>
      </c>
      <c r="H78" s="30" t="s">
        <v>2574</v>
      </c>
      <c r="I78" s="30" t="s">
        <v>14210</v>
      </c>
      <c r="J78" s="30" t="s">
        <v>13955</v>
      </c>
      <c r="K78" s="30" t="s">
        <v>13901</v>
      </c>
      <c r="L78" s="30" t="s">
        <v>13902</v>
      </c>
      <c r="M78" s="30" t="s">
        <v>1289</v>
      </c>
      <c r="N78" s="30" t="s">
        <v>131</v>
      </c>
      <c r="O78" s="30" t="s">
        <v>13956</v>
      </c>
      <c r="P78" s="30" t="s">
        <v>131</v>
      </c>
      <c r="Q78" s="30" t="s">
        <v>129</v>
      </c>
      <c r="R78" s="30" t="s">
        <v>129</v>
      </c>
      <c r="S78" s="30" t="s">
        <v>129</v>
      </c>
      <c r="T78" s="30" t="s">
        <v>131</v>
      </c>
      <c r="U78" s="30" t="s">
        <v>14211</v>
      </c>
      <c r="V78" s="30" t="s">
        <v>14212</v>
      </c>
      <c r="W78" s="30" t="s">
        <v>131</v>
      </c>
      <c r="X78" s="30" t="s">
        <v>2240</v>
      </c>
      <c r="Y78" s="30" t="s">
        <v>2253</v>
      </c>
    </row>
    <row r="79" spans="1:25">
      <c r="A79" s="30" t="s">
        <v>13898</v>
      </c>
      <c r="B79" s="30" t="s">
        <v>14213</v>
      </c>
      <c r="C79" s="30" t="s">
        <v>12431</v>
      </c>
      <c r="D79" s="30" t="s">
        <v>12432</v>
      </c>
      <c r="E79" s="30" t="s">
        <v>12433</v>
      </c>
      <c r="F79" s="30" t="s">
        <v>12290</v>
      </c>
      <c r="H79" s="30" t="s">
        <v>2574</v>
      </c>
      <c r="I79" s="30" t="s">
        <v>14214</v>
      </c>
      <c r="J79" s="30" t="s">
        <v>14059</v>
      </c>
      <c r="K79" s="30" t="s">
        <v>13901</v>
      </c>
      <c r="L79" s="30" t="s">
        <v>13902</v>
      </c>
      <c r="M79" s="30" t="s">
        <v>1289</v>
      </c>
      <c r="N79" s="30" t="s">
        <v>129</v>
      </c>
      <c r="P79" s="30" t="s">
        <v>131</v>
      </c>
      <c r="Q79" s="30" t="s">
        <v>131</v>
      </c>
      <c r="R79" s="30" t="s">
        <v>131</v>
      </c>
      <c r="S79" s="30" t="s">
        <v>129</v>
      </c>
      <c r="T79" s="30" t="s">
        <v>131</v>
      </c>
      <c r="U79" s="30" t="s">
        <v>14215</v>
      </c>
      <c r="V79" s="30" t="s">
        <v>14216</v>
      </c>
      <c r="W79" s="30" t="s">
        <v>131</v>
      </c>
      <c r="X79" s="30" t="s">
        <v>2240</v>
      </c>
      <c r="Y79" s="30" t="s">
        <v>2253</v>
      </c>
    </row>
    <row r="80" spans="1:25">
      <c r="A80" s="30" t="s">
        <v>13898</v>
      </c>
      <c r="B80" s="30" t="s">
        <v>14217</v>
      </c>
      <c r="C80" s="30" t="s">
        <v>12434</v>
      </c>
      <c r="D80" s="30" t="s">
        <v>12435</v>
      </c>
      <c r="E80" s="30" t="s">
        <v>12436</v>
      </c>
      <c r="F80" s="30" t="s">
        <v>12427</v>
      </c>
      <c r="H80" s="30" t="s">
        <v>2581</v>
      </c>
      <c r="I80" s="30" t="s">
        <v>14218</v>
      </c>
      <c r="J80" s="30" t="s">
        <v>14206</v>
      </c>
      <c r="K80" s="30" t="s">
        <v>13901</v>
      </c>
      <c r="L80" s="30" t="s">
        <v>13927</v>
      </c>
      <c r="M80" s="30" t="s">
        <v>1289</v>
      </c>
      <c r="N80" s="30" t="s">
        <v>129</v>
      </c>
      <c r="P80" s="30" t="s">
        <v>131</v>
      </c>
      <c r="Q80" s="30" t="s">
        <v>129</v>
      </c>
      <c r="R80" s="30" t="s">
        <v>129</v>
      </c>
      <c r="S80" s="30" t="s">
        <v>129</v>
      </c>
      <c r="T80" s="30" t="s">
        <v>131</v>
      </c>
      <c r="U80" s="30" t="s">
        <v>14219</v>
      </c>
      <c r="V80" s="30" t="s">
        <v>14220</v>
      </c>
      <c r="W80" s="30" t="s">
        <v>131</v>
      </c>
      <c r="X80" s="30" t="s">
        <v>2240</v>
      </c>
      <c r="Y80" s="30" t="s">
        <v>2253</v>
      </c>
    </row>
    <row r="81" spans="1:25">
      <c r="A81" s="30" t="s">
        <v>13898</v>
      </c>
      <c r="B81" s="30" t="s">
        <v>14221</v>
      </c>
      <c r="C81" s="30" t="s">
        <v>12437</v>
      </c>
      <c r="D81" s="30" t="s">
        <v>12438</v>
      </c>
      <c r="E81" s="30" t="s">
        <v>12439</v>
      </c>
      <c r="F81" s="30" t="s">
        <v>12181</v>
      </c>
      <c r="H81" s="30" t="s">
        <v>2574</v>
      </c>
      <c r="I81" s="30" t="s">
        <v>14222</v>
      </c>
      <c r="J81" s="30" t="s">
        <v>13946</v>
      </c>
      <c r="K81" s="30" t="s">
        <v>13901</v>
      </c>
      <c r="L81" s="30" t="s">
        <v>13902</v>
      </c>
      <c r="M81" s="30" t="s">
        <v>1289</v>
      </c>
      <c r="N81" s="30" t="s">
        <v>129</v>
      </c>
      <c r="P81" s="30" t="s">
        <v>129</v>
      </c>
      <c r="Q81" s="30" t="s">
        <v>131</v>
      </c>
      <c r="R81" s="30" t="s">
        <v>131</v>
      </c>
      <c r="S81" s="30" t="s">
        <v>129</v>
      </c>
      <c r="T81" s="30" t="s">
        <v>131</v>
      </c>
      <c r="U81" s="30" t="s">
        <v>14223</v>
      </c>
      <c r="V81" s="30" t="s">
        <v>14224</v>
      </c>
      <c r="W81" s="30" t="s">
        <v>131</v>
      </c>
      <c r="X81" s="30" t="s">
        <v>2240</v>
      </c>
      <c r="Y81" s="30" t="s">
        <v>2253</v>
      </c>
    </row>
    <row r="82" spans="1:25">
      <c r="A82" s="30" t="s">
        <v>13898</v>
      </c>
      <c r="B82" s="30" t="s">
        <v>14225</v>
      </c>
      <c r="C82" s="30" t="s">
        <v>12441</v>
      </c>
      <c r="D82" s="30" t="s">
        <v>12442</v>
      </c>
      <c r="E82" s="30" t="s">
        <v>12443</v>
      </c>
      <c r="F82" s="30" t="s">
        <v>12444</v>
      </c>
      <c r="H82" s="30" t="s">
        <v>2574</v>
      </c>
      <c r="I82" s="30" t="s">
        <v>14226</v>
      </c>
      <c r="J82" s="30" t="s">
        <v>14227</v>
      </c>
      <c r="K82" s="30" t="s">
        <v>13901</v>
      </c>
      <c r="L82" s="30" t="s">
        <v>13902</v>
      </c>
      <c r="M82" s="30" t="s">
        <v>1289</v>
      </c>
      <c r="N82" s="30" t="s">
        <v>131</v>
      </c>
      <c r="O82" s="30" t="s">
        <v>14228</v>
      </c>
      <c r="P82" s="30" t="s">
        <v>131</v>
      </c>
      <c r="Q82" s="30" t="s">
        <v>131</v>
      </c>
      <c r="R82" s="30" t="s">
        <v>129</v>
      </c>
      <c r="S82" s="30" t="s">
        <v>129</v>
      </c>
      <c r="T82" s="30" t="s">
        <v>131</v>
      </c>
      <c r="U82" s="30" t="s">
        <v>14229</v>
      </c>
      <c r="V82" s="30" t="s">
        <v>14230</v>
      </c>
      <c r="W82" s="30" t="s">
        <v>131</v>
      </c>
      <c r="X82" s="30" t="s">
        <v>2240</v>
      </c>
      <c r="Y82" s="30" t="s">
        <v>2253</v>
      </c>
    </row>
    <row r="83" spans="1:25">
      <c r="A83" s="30" t="s">
        <v>13898</v>
      </c>
      <c r="B83" s="30" t="s">
        <v>14231</v>
      </c>
      <c r="C83" s="30" t="s">
        <v>12446</v>
      </c>
      <c r="D83" s="30" t="s">
        <v>12447</v>
      </c>
      <c r="E83" s="30" t="s">
        <v>12448</v>
      </c>
      <c r="F83" s="30" t="s">
        <v>12167</v>
      </c>
      <c r="H83" s="30" t="s">
        <v>2574</v>
      </c>
      <c r="I83" s="30" t="s">
        <v>14232</v>
      </c>
      <c r="J83" s="30" t="s">
        <v>13937</v>
      </c>
      <c r="K83" s="30" t="s">
        <v>13901</v>
      </c>
      <c r="L83" s="30" t="s">
        <v>13902</v>
      </c>
      <c r="M83" s="30" t="s">
        <v>1289</v>
      </c>
      <c r="N83" s="30" t="s">
        <v>131</v>
      </c>
      <c r="O83" s="30" t="s">
        <v>14233</v>
      </c>
      <c r="P83" s="30" t="s">
        <v>131</v>
      </c>
      <c r="Q83" s="30" t="s">
        <v>129</v>
      </c>
      <c r="R83" s="30" t="s">
        <v>129</v>
      </c>
      <c r="S83" s="30" t="s">
        <v>129</v>
      </c>
      <c r="T83" s="30" t="s">
        <v>131</v>
      </c>
      <c r="U83" s="30" t="s">
        <v>14234</v>
      </c>
      <c r="V83" s="30" t="s">
        <v>14235</v>
      </c>
      <c r="W83" s="30" t="s">
        <v>131</v>
      </c>
      <c r="X83" s="30" t="s">
        <v>2240</v>
      </c>
      <c r="Y83" s="30" t="s">
        <v>2253</v>
      </c>
    </row>
    <row r="84" spans="1:25">
      <c r="A84" s="30" t="s">
        <v>13898</v>
      </c>
      <c r="B84" s="30" t="s">
        <v>14236</v>
      </c>
      <c r="C84" s="30" t="s">
        <v>12449</v>
      </c>
      <c r="D84" s="30" t="s">
        <v>12450</v>
      </c>
      <c r="E84" s="30" t="s">
        <v>12451</v>
      </c>
      <c r="F84" s="30" t="s">
        <v>12452</v>
      </c>
      <c r="H84" s="30" t="s">
        <v>2574</v>
      </c>
      <c r="I84" s="30" t="s">
        <v>14237</v>
      </c>
      <c r="J84" s="30" t="s">
        <v>14238</v>
      </c>
      <c r="K84" s="30" t="s">
        <v>13901</v>
      </c>
      <c r="L84" s="30" t="s">
        <v>13902</v>
      </c>
      <c r="M84" s="30" t="s">
        <v>1289</v>
      </c>
      <c r="N84" s="30" t="s">
        <v>131</v>
      </c>
      <c r="O84" s="30" t="s">
        <v>14239</v>
      </c>
      <c r="P84" s="30" t="s">
        <v>131</v>
      </c>
      <c r="Q84" s="30" t="s">
        <v>131</v>
      </c>
      <c r="R84" s="30" t="s">
        <v>129</v>
      </c>
      <c r="S84" s="30" t="s">
        <v>129</v>
      </c>
      <c r="T84" s="30" t="s">
        <v>131</v>
      </c>
      <c r="U84" s="30" t="s">
        <v>14240</v>
      </c>
      <c r="V84" s="30" t="s">
        <v>14241</v>
      </c>
      <c r="W84" s="30" t="s">
        <v>131</v>
      </c>
      <c r="X84" s="30" t="s">
        <v>2240</v>
      </c>
      <c r="Y84" s="30" t="s">
        <v>2253</v>
      </c>
    </row>
    <row r="85" spans="1:25">
      <c r="A85" s="30" t="s">
        <v>13898</v>
      </c>
      <c r="B85" s="30" t="s">
        <v>14242</v>
      </c>
      <c r="C85" s="30" t="s">
        <v>12453</v>
      </c>
      <c r="D85" s="30" t="s">
        <v>12454</v>
      </c>
      <c r="E85" s="30" t="s">
        <v>12455</v>
      </c>
      <c r="F85" s="30" t="s">
        <v>12456</v>
      </c>
      <c r="H85" s="30" t="s">
        <v>2574</v>
      </c>
      <c r="I85" s="30" t="s">
        <v>14243</v>
      </c>
      <c r="J85" s="30" t="s">
        <v>14244</v>
      </c>
      <c r="K85" s="30" t="s">
        <v>13901</v>
      </c>
      <c r="L85" s="30" t="s">
        <v>13902</v>
      </c>
      <c r="M85" s="30" t="s">
        <v>1289</v>
      </c>
      <c r="N85" s="30" t="s">
        <v>129</v>
      </c>
      <c r="P85" s="30" t="s">
        <v>129</v>
      </c>
      <c r="Q85" s="30" t="s">
        <v>131</v>
      </c>
      <c r="R85" s="30" t="s">
        <v>129</v>
      </c>
      <c r="S85" s="30" t="s">
        <v>129</v>
      </c>
      <c r="T85" s="30" t="s">
        <v>131</v>
      </c>
      <c r="U85" s="30" t="s">
        <v>14245</v>
      </c>
      <c r="V85" s="30" t="s">
        <v>14246</v>
      </c>
      <c r="W85" s="30" t="s">
        <v>131</v>
      </c>
      <c r="X85" s="30" t="s">
        <v>2240</v>
      </c>
      <c r="Y85" s="30" t="s">
        <v>2253</v>
      </c>
    </row>
    <row r="86" spans="1:25">
      <c r="A86" s="30" t="s">
        <v>13898</v>
      </c>
      <c r="B86" s="30" t="s">
        <v>14247</v>
      </c>
      <c r="C86" s="30" t="s">
        <v>12457</v>
      </c>
      <c r="D86" s="30" t="s">
        <v>12458</v>
      </c>
      <c r="E86" s="30" t="s">
        <v>12459</v>
      </c>
      <c r="F86" s="30" t="s">
        <v>12460</v>
      </c>
      <c r="H86" s="30" t="s">
        <v>2574</v>
      </c>
      <c r="I86" s="30" t="s">
        <v>14248</v>
      </c>
      <c r="J86" s="30" t="s">
        <v>14249</v>
      </c>
      <c r="K86" s="30" t="s">
        <v>13901</v>
      </c>
      <c r="L86" s="30" t="s">
        <v>13902</v>
      </c>
      <c r="M86" s="30" t="s">
        <v>1289</v>
      </c>
      <c r="N86" s="30" t="s">
        <v>129</v>
      </c>
      <c r="P86" s="30" t="s">
        <v>131</v>
      </c>
      <c r="Q86" s="30" t="s">
        <v>131</v>
      </c>
      <c r="R86" s="30" t="s">
        <v>129</v>
      </c>
      <c r="S86" s="30" t="s">
        <v>129</v>
      </c>
      <c r="T86" s="30" t="s">
        <v>129</v>
      </c>
      <c r="U86" s="30" t="s">
        <v>14250</v>
      </c>
      <c r="V86" s="30" t="s">
        <v>14251</v>
      </c>
      <c r="W86" s="30" t="s">
        <v>131</v>
      </c>
      <c r="X86" s="30" t="s">
        <v>2240</v>
      </c>
      <c r="Y86" s="30" t="s">
        <v>2253</v>
      </c>
    </row>
    <row r="87" spans="1:25">
      <c r="A87" s="30" t="s">
        <v>13898</v>
      </c>
      <c r="B87" s="30" t="s">
        <v>14252</v>
      </c>
      <c r="C87" s="30" t="s">
        <v>12461</v>
      </c>
      <c r="D87" s="30" t="s">
        <v>12462</v>
      </c>
      <c r="E87" s="30" t="s">
        <v>12463</v>
      </c>
      <c r="F87" s="30" t="s">
        <v>12343</v>
      </c>
      <c r="H87" s="30" t="s">
        <v>2574</v>
      </c>
      <c r="I87" s="30" t="s">
        <v>14253</v>
      </c>
      <c r="J87" s="30" t="s">
        <v>14110</v>
      </c>
      <c r="K87" s="30" t="s">
        <v>13901</v>
      </c>
      <c r="L87" s="30" t="s">
        <v>13902</v>
      </c>
      <c r="M87" s="30" t="s">
        <v>1289</v>
      </c>
      <c r="N87" s="30" t="s">
        <v>129</v>
      </c>
      <c r="P87" s="30" t="s">
        <v>131</v>
      </c>
      <c r="Q87" s="30" t="s">
        <v>131</v>
      </c>
      <c r="R87" s="30" t="s">
        <v>129</v>
      </c>
      <c r="S87" s="30" t="s">
        <v>129</v>
      </c>
      <c r="T87" s="30" t="s">
        <v>129</v>
      </c>
      <c r="U87" s="30" t="s">
        <v>14254</v>
      </c>
      <c r="V87" s="30" t="s">
        <v>14255</v>
      </c>
      <c r="W87" s="30" t="s">
        <v>131</v>
      </c>
      <c r="X87" s="30" t="s">
        <v>2240</v>
      </c>
      <c r="Y87" s="30" t="s">
        <v>2253</v>
      </c>
    </row>
    <row r="88" spans="1:25">
      <c r="A88" s="30" t="s">
        <v>13898</v>
      </c>
      <c r="B88" s="30" t="s">
        <v>14256</v>
      </c>
      <c r="C88" s="30" t="s">
        <v>12464</v>
      </c>
      <c r="D88" s="30" t="s">
        <v>12465</v>
      </c>
      <c r="E88" s="30" t="s">
        <v>12466</v>
      </c>
      <c r="F88" s="30" t="s">
        <v>12185</v>
      </c>
      <c r="H88" s="30" t="s">
        <v>2574</v>
      </c>
      <c r="I88" s="30" t="s">
        <v>14257</v>
      </c>
      <c r="J88" s="30" t="s">
        <v>13950</v>
      </c>
      <c r="K88" s="30" t="s">
        <v>13901</v>
      </c>
      <c r="L88" s="30" t="s">
        <v>13902</v>
      </c>
      <c r="M88" s="30" t="s">
        <v>1289</v>
      </c>
      <c r="N88" s="30" t="s">
        <v>131</v>
      </c>
      <c r="O88" s="30" t="s">
        <v>13951</v>
      </c>
      <c r="P88" s="30" t="s">
        <v>129</v>
      </c>
      <c r="Q88" s="30" t="s">
        <v>131</v>
      </c>
      <c r="R88" s="30" t="s">
        <v>129</v>
      </c>
      <c r="S88" s="30" t="s">
        <v>129</v>
      </c>
      <c r="T88" s="30" t="s">
        <v>131</v>
      </c>
      <c r="U88" s="30" t="s">
        <v>14258</v>
      </c>
      <c r="V88" s="30" t="s">
        <v>14259</v>
      </c>
      <c r="W88" s="30" t="s">
        <v>131</v>
      </c>
      <c r="X88" s="30" t="s">
        <v>2240</v>
      </c>
      <c r="Y88" s="30" t="s">
        <v>2253</v>
      </c>
    </row>
    <row r="89" spans="1:25">
      <c r="A89" s="30" t="s">
        <v>13898</v>
      </c>
      <c r="B89" s="30" t="s">
        <v>14260</v>
      </c>
      <c r="C89" s="30" t="s">
        <v>12471</v>
      </c>
      <c r="D89" s="30" t="s">
        <v>12472</v>
      </c>
      <c r="E89" s="30" t="s">
        <v>12473</v>
      </c>
      <c r="F89" s="30" t="s">
        <v>12181</v>
      </c>
      <c r="H89" s="30" t="s">
        <v>2574</v>
      </c>
      <c r="I89" s="30" t="s">
        <v>14261</v>
      </c>
      <c r="J89" s="30" t="s">
        <v>13946</v>
      </c>
      <c r="K89" s="30" t="s">
        <v>13901</v>
      </c>
      <c r="L89" s="30" t="s">
        <v>13902</v>
      </c>
      <c r="M89" s="30" t="s">
        <v>1289</v>
      </c>
      <c r="N89" s="30" t="s">
        <v>129</v>
      </c>
      <c r="P89" s="30" t="s">
        <v>131</v>
      </c>
      <c r="Q89" s="30" t="s">
        <v>131</v>
      </c>
      <c r="R89" s="30" t="s">
        <v>131</v>
      </c>
      <c r="S89" s="30" t="s">
        <v>129</v>
      </c>
      <c r="T89" s="30" t="s">
        <v>131</v>
      </c>
      <c r="U89" s="30" t="s">
        <v>14262</v>
      </c>
      <c r="V89" s="30" t="s">
        <v>14263</v>
      </c>
      <c r="W89" s="30" t="s">
        <v>131</v>
      </c>
      <c r="X89" s="30" t="s">
        <v>2240</v>
      </c>
      <c r="Y89" s="30" t="s">
        <v>2253</v>
      </c>
    </row>
    <row r="90" spans="1:25">
      <c r="A90" s="30" t="s">
        <v>13898</v>
      </c>
      <c r="B90" s="30" t="s">
        <v>14264</v>
      </c>
      <c r="C90" s="30" t="s">
        <v>12474</v>
      </c>
      <c r="D90" s="30" t="s">
        <v>12475</v>
      </c>
      <c r="E90" s="30" t="s">
        <v>12476</v>
      </c>
      <c r="F90" s="30" t="s">
        <v>12452</v>
      </c>
      <c r="H90" s="30" t="s">
        <v>2574</v>
      </c>
      <c r="I90" s="30" t="s">
        <v>14265</v>
      </c>
      <c r="J90" s="30" t="s">
        <v>14238</v>
      </c>
      <c r="K90" s="30" t="s">
        <v>13901</v>
      </c>
      <c r="L90" s="30" t="s">
        <v>13902</v>
      </c>
      <c r="M90" s="30" t="s">
        <v>1289</v>
      </c>
      <c r="N90" s="30" t="s">
        <v>131</v>
      </c>
      <c r="O90" s="30" t="s">
        <v>14266</v>
      </c>
      <c r="P90" s="30" t="s">
        <v>131</v>
      </c>
      <c r="Q90" s="30" t="s">
        <v>131</v>
      </c>
      <c r="R90" s="30" t="s">
        <v>129</v>
      </c>
      <c r="S90" s="30" t="s">
        <v>129</v>
      </c>
      <c r="T90" s="30" t="s">
        <v>131</v>
      </c>
      <c r="U90" s="30" t="s">
        <v>14267</v>
      </c>
      <c r="V90" s="30" t="s">
        <v>14268</v>
      </c>
      <c r="W90" s="30" t="s">
        <v>131</v>
      </c>
      <c r="X90" s="30" t="s">
        <v>2240</v>
      </c>
      <c r="Y90" s="30" t="s">
        <v>2253</v>
      </c>
    </row>
    <row r="91" spans="1:25">
      <c r="A91" s="30" t="s">
        <v>13898</v>
      </c>
      <c r="B91" s="30" t="s">
        <v>14269</v>
      </c>
      <c r="C91" s="30" t="s">
        <v>12477</v>
      </c>
      <c r="D91" s="30" t="s">
        <v>12478</v>
      </c>
      <c r="E91" s="30" t="s">
        <v>12479</v>
      </c>
      <c r="F91" s="30" t="s">
        <v>12444</v>
      </c>
      <c r="H91" s="30" t="s">
        <v>2574</v>
      </c>
      <c r="I91" s="30" t="s">
        <v>14270</v>
      </c>
      <c r="J91" s="30" t="s">
        <v>14227</v>
      </c>
      <c r="K91" s="30" t="s">
        <v>13901</v>
      </c>
      <c r="L91" s="30" t="s">
        <v>13902</v>
      </c>
      <c r="M91" s="30" t="s">
        <v>1289</v>
      </c>
      <c r="N91" s="30" t="s">
        <v>129</v>
      </c>
      <c r="P91" s="30" t="s">
        <v>131</v>
      </c>
      <c r="Q91" s="30" t="s">
        <v>131</v>
      </c>
      <c r="R91" s="30" t="s">
        <v>129</v>
      </c>
      <c r="S91" s="30" t="s">
        <v>129</v>
      </c>
      <c r="T91" s="30" t="s">
        <v>131</v>
      </c>
      <c r="U91" s="30" t="s">
        <v>14271</v>
      </c>
      <c r="V91" s="30" t="s">
        <v>14272</v>
      </c>
      <c r="W91" s="30" t="s">
        <v>131</v>
      </c>
      <c r="X91" s="30" t="s">
        <v>2240</v>
      </c>
      <c r="Y91" s="30" t="s">
        <v>2253</v>
      </c>
    </row>
    <row r="92" spans="1:25">
      <c r="A92" s="30" t="s">
        <v>13898</v>
      </c>
      <c r="B92" s="30" t="s">
        <v>14273</v>
      </c>
      <c r="C92" s="30" t="s">
        <v>12480</v>
      </c>
      <c r="D92" s="30" t="s">
        <v>12481</v>
      </c>
      <c r="E92" s="30" t="s">
        <v>12482</v>
      </c>
      <c r="F92" s="30" t="s">
        <v>12444</v>
      </c>
      <c r="H92" s="30" t="s">
        <v>2574</v>
      </c>
      <c r="I92" s="30" t="s">
        <v>14274</v>
      </c>
      <c r="J92" s="30" t="s">
        <v>14227</v>
      </c>
      <c r="K92" s="30" t="s">
        <v>13901</v>
      </c>
      <c r="L92" s="30" t="s">
        <v>13902</v>
      </c>
      <c r="M92" s="30" t="s">
        <v>1289</v>
      </c>
      <c r="N92" s="30" t="s">
        <v>129</v>
      </c>
      <c r="P92" s="30" t="s">
        <v>131</v>
      </c>
      <c r="Q92" s="30" t="s">
        <v>131</v>
      </c>
      <c r="R92" s="30" t="s">
        <v>129</v>
      </c>
      <c r="S92" s="30" t="s">
        <v>129</v>
      </c>
      <c r="T92" s="30" t="s">
        <v>131</v>
      </c>
      <c r="U92" s="30" t="s">
        <v>14275</v>
      </c>
      <c r="V92" s="30" t="s">
        <v>14276</v>
      </c>
      <c r="W92" s="30" t="s">
        <v>131</v>
      </c>
      <c r="X92" s="30" t="s">
        <v>2240</v>
      </c>
      <c r="Y92" s="30" t="s">
        <v>2253</v>
      </c>
    </row>
    <row r="93" spans="1:25">
      <c r="A93" s="30" t="s">
        <v>13898</v>
      </c>
      <c r="B93" s="30" t="s">
        <v>14277</v>
      </c>
      <c r="C93" s="30" t="s">
        <v>12483</v>
      </c>
      <c r="D93" s="30" t="s">
        <v>12484</v>
      </c>
      <c r="E93" s="30" t="s">
        <v>12485</v>
      </c>
      <c r="F93" s="30" t="s">
        <v>12444</v>
      </c>
      <c r="H93" s="30" t="s">
        <v>2574</v>
      </c>
      <c r="I93" s="30" t="s">
        <v>14278</v>
      </c>
      <c r="J93" s="30" t="s">
        <v>14227</v>
      </c>
      <c r="K93" s="30" t="s">
        <v>13901</v>
      </c>
      <c r="L93" s="30" t="s">
        <v>13902</v>
      </c>
      <c r="M93" s="30" t="s">
        <v>1289</v>
      </c>
      <c r="N93" s="30" t="s">
        <v>129</v>
      </c>
      <c r="P93" s="30" t="s">
        <v>131</v>
      </c>
      <c r="Q93" s="30" t="s">
        <v>131</v>
      </c>
      <c r="R93" s="30" t="s">
        <v>129</v>
      </c>
      <c r="S93" s="30" t="s">
        <v>129</v>
      </c>
      <c r="T93" s="30" t="s">
        <v>131</v>
      </c>
      <c r="U93" s="30" t="s">
        <v>14279</v>
      </c>
      <c r="V93" s="30" t="s">
        <v>14280</v>
      </c>
      <c r="W93" s="30" t="s">
        <v>131</v>
      </c>
      <c r="X93" s="30" t="s">
        <v>2240</v>
      </c>
      <c r="Y93" s="30" t="s">
        <v>2253</v>
      </c>
    </row>
    <row r="94" spans="1:25">
      <c r="A94" s="30" t="s">
        <v>13898</v>
      </c>
      <c r="B94" s="30" t="s">
        <v>14281</v>
      </c>
      <c r="C94" s="30" t="s">
        <v>12487</v>
      </c>
      <c r="D94" s="30" t="s">
        <v>12488</v>
      </c>
      <c r="E94" s="30" t="s">
        <v>12489</v>
      </c>
      <c r="F94" s="30" t="s">
        <v>12444</v>
      </c>
      <c r="H94" s="30" t="s">
        <v>2574</v>
      </c>
      <c r="I94" s="30" t="s">
        <v>14282</v>
      </c>
      <c r="J94" s="30" t="s">
        <v>14227</v>
      </c>
      <c r="K94" s="30" t="s">
        <v>13901</v>
      </c>
      <c r="L94" s="30" t="s">
        <v>13902</v>
      </c>
      <c r="M94" s="30" t="s">
        <v>1289</v>
      </c>
      <c r="N94" s="30" t="s">
        <v>129</v>
      </c>
      <c r="P94" s="30" t="s">
        <v>131</v>
      </c>
      <c r="Q94" s="30" t="s">
        <v>131</v>
      </c>
      <c r="R94" s="30" t="s">
        <v>129</v>
      </c>
      <c r="S94" s="30" t="s">
        <v>129</v>
      </c>
      <c r="T94" s="30" t="s">
        <v>131</v>
      </c>
      <c r="U94" s="30" t="s">
        <v>14283</v>
      </c>
      <c r="V94" s="30" t="s">
        <v>14284</v>
      </c>
      <c r="W94" s="30" t="s">
        <v>131</v>
      </c>
      <c r="X94" s="30" t="s">
        <v>2240</v>
      </c>
      <c r="Y94" s="30" t="s">
        <v>2253</v>
      </c>
    </row>
    <row r="95" spans="1:25">
      <c r="A95" s="30" t="s">
        <v>13898</v>
      </c>
      <c r="B95" s="30" t="s">
        <v>14285</v>
      </c>
      <c r="C95" s="30" t="s">
        <v>12490</v>
      </c>
      <c r="D95" s="30" t="s">
        <v>12491</v>
      </c>
      <c r="E95" s="30" t="s">
        <v>12492</v>
      </c>
      <c r="F95" s="30" t="s">
        <v>12444</v>
      </c>
      <c r="H95" s="30" t="s">
        <v>2574</v>
      </c>
      <c r="I95" s="30" t="s">
        <v>14286</v>
      </c>
      <c r="J95" s="30" t="s">
        <v>14227</v>
      </c>
      <c r="K95" s="30" t="s">
        <v>13901</v>
      </c>
      <c r="L95" s="30" t="s">
        <v>13902</v>
      </c>
      <c r="M95" s="30" t="s">
        <v>1289</v>
      </c>
      <c r="N95" s="30" t="s">
        <v>131</v>
      </c>
      <c r="O95" s="30" t="s">
        <v>14287</v>
      </c>
      <c r="P95" s="30" t="s">
        <v>131</v>
      </c>
      <c r="Q95" s="30" t="s">
        <v>131</v>
      </c>
      <c r="R95" s="30" t="s">
        <v>129</v>
      </c>
      <c r="S95" s="30" t="s">
        <v>129</v>
      </c>
      <c r="T95" s="30" t="s">
        <v>131</v>
      </c>
      <c r="U95" s="30" t="s">
        <v>14288</v>
      </c>
      <c r="V95" s="30" t="s">
        <v>14289</v>
      </c>
      <c r="W95" s="30" t="s">
        <v>131</v>
      </c>
      <c r="X95" s="30" t="s">
        <v>2240</v>
      </c>
      <c r="Y95" s="30" t="s">
        <v>2253</v>
      </c>
    </row>
    <row r="96" spans="1:25">
      <c r="A96" s="30" t="s">
        <v>13898</v>
      </c>
      <c r="B96" s="30" t="s">
        <v>14290</v>
      </c>
      <c r="C96" s="30" t="s">
        <v>12494</v>
      </c>
      <c r="D96" s="30" t="s">
        <v>12495</v>
      </c>
      <c r="E96" s="30" t="s">
        <v>12496</v>
      </c>
      <c r="F96" s="30" t="s">
        <v>12497</v>
      </c>
      <c r="H96" s="30" t="s">
        <v>2574</v>
      </c>
      <c r="I96" s="30" t="s">
        <v>14291</v>
      </c>
      <c r="J96" s="30" t="s">
        <v>14292</v>
      </c>
      <c r="K96" s="30" t="s">
        <v>13901</v>
      </c>
      <c r="L96" s="30" t="s">
        <v>13902</v>
      </c>
      <c r="M96" s="30" t="s">
        <v>1289</v>
      </c>
      <c r="N96" s="30" t="s">
        <v>129</v>
      </c>
      <c r="P96" s="30" t="s">
        <v>131</v>
      </c>
      <c r="Q96" s="30" t="s">
        <v>131</v>
      </c>
      <c r="R96" s="30" t="s">
        <v>129</v>
      </c>
      <c r="S96" s="30" t="s">
        <v>129</v>
      </c>
      <c r="T96" s="30" t="s">
        <v>131</v>
      </c>
      <c r="U96" s="30" t="s">
        <v>14293</v>
      </c>
      <c r="V96" s="30" t="s">
        <v>14294</v>
      </c>
      <c r="W96" s="30" t="s">
        <v>131</v>
      </c>
      <c r="X96" s="30" t="s">
        <v>2240</v>
      </c>
      <c r="Y96" s="30" t="s">
        <v>2253</v>
      </c>
    </row>
    <row r="97" spans="1:25">
      <c r="A97" s="30" t="s">
        <v>13898</v>
      </c>
      <c r="B97" s="30" t="s">
        <v>14295</v>
      </c>
      <c r="C97" s="30" t="s">
        <v>12498</v>
      </c>
      <c r="D97" s="30" t="s">
        <v>12499</v>
      </c>
      <c r="E97" s="30" t="s">
        <v>12500</v>
      </c>
      <c r="F97" s="30" t="s">
        <v>12444</v>
      </c>
      <c r="H97" s="30" t="s">
        <v>2574</v>
      </c>
      <c r="I97" s="30" t="s">
        <v>14296</v>
      </c>
      <c r="J97" s="30" t="s">
        <v>14227</v>
      </c>
      <c r="K97" s="30" t="s">
        <v>13901</v>
      </c>
      <c r="L97" s="30" t="s">
        <v>13902</v>
      </c>
      <c r="M97" s="30" t="s">
        <v>1289</v>
      </c>
      <c r="N97" s="30" t="s">
        <v>129</v>
      </c>
      <c r="P97" s="30" t="s">
        <v>131</v>
      </c>
      <c r="Q97" s="30" t="s">
        <v>131</v>
      </c>
      <c r="R97" s="30" t="s">
        <v>129</v>
      </c>
      <c r="S97" s="30" t="s">
        <v>129</v>
      </c>
      <c r="T97" s="30" t="s">
        <v>131</v>
      </c>
      <c r="U97" s="30" t="s">
        <v>14297</v>
      </c>
      <c r="V97" s="30" t="s">
        <v>14298</v>
      </c>
      <c r="W97" s="30" t="s">
        <v>131</v>
      </c>
      <c r="X97" s="30" t="s">
        <v>2240</v>
      </c>
      <c r="Y97" s="30" t="s">
        <v>2253</v>
      </c>
    </row>
    <row r="98" spans="1:25">
      <c r="A98" s="30" t="s">
        <v>13898</v>
      </c>
      <c r="B98" s="30" t="s">
        <v>14299</v>
      </c>
      <c r="C98" s="30" t="s">
        <v>12501</v>
      </c>
      <c r="D98" s="30" t="s">
        <v>12502</v>
      </c>
      <c r="E98" s="30" t="s">
        <v>12503</v>
      </c>
      <c r="F98" s="30" t="s">
        <v>12504</v>
      </c>
      <c r="H98" s="30" t="s">
        <v>2574</v>
      </c>
      <c r="I98" s="30" t="s">
        <v>14300</v>
      </c>
      <c r="J98" s="30" t="s">
        <v>14301</v>
      </c>
      <c r="K98" s="30" t="s">
        <v>13901</v>
      </c>
      <c r="L98" s="30" t="s">
        <v>13902</v>
      </c>
      <c r="M98" s="30" t="s">
        <v>1286</v>
      </c>
      <c r="N98" s="30" t="s">
        <v>131</v>
      </c>
      <c r="O98" s="30" t="s">
        <v>14302</v>
      </c>
      <c r="P98" s="30" t="s">
        <v>131</v>
      </c>
      <c r="Q98" s="30" t="s">
        <v>131</v>
      </c>
      <c r="R98" s="30" t="s">
        <v>129</v>
      </c>
      <c r="S98" s="30" t="s">
        <v>129</v>
      </c>
      <c r="T98" s="30" t="s">
        <v>131</v>
      </c>
      <c r="U98" s="30" t="s">
        <v>14303</v>
      </c>
      <c r="V98" s="30" t="s">
        <v>14304</v>
      </c>
      <c r="W98" s="30" t="s">
        <v>131</v>
      </c>
      <c r="X98" s="30" t="s">
        <v>2240</v>
      </c>
      <c r="Y98" s="30" t="s">
        <v>2253</v>
      </c>
    </row>
    <row r="99" spans="1:25">
      <c r="A99" s="30" t="s">
        <v>13898</v>
      </c>
      <c r="B99" s="30" t="s">
        <v>14305</v>
      </c>
      <c r="C99" s="30" t="s">
        <v>12505</v>
      </c>
      <c r="D99" s="30" t="s">
        <v>12506</v>
      </c>
      <c r="E99" s="30" t="s">
        <v>12507</v>
      </c>
      <c r="F99" s="30" t="s">
        <v>12327</v>
      </c>
      <c r="H99" s="30" t="s">
        <v>2574</v>
      </c>
      <c r="I99" s="30" t="s">
        <v>14306</v>
      </c>
      <c r="J99" s="30" t="s">
        <v>14095</v>
      </c>
      <c r="K99" s="30" t="s">
        <v>13901</v>
      </c>
      <c r="L99" s="30" t="s">
        <v>13902</v>
      </c>
      <c r="M99" s="30" t="s">
        <v>1289</v>
      </c>
      <c r="N99" s="30" t="s">
        <v>131</v>
      </c>
      <c r="O99" s="30" t="s">
        <v>14307</v>
      </c>
      <c r="P99" s="30" t="s">
        <v>131</v>
      </c>
      <c r="Q99" s="30" t="s">
        <v>131</v>
      </c>
      <c r="R99" s="30" t="s">
        <v>129</v>
      </c>
      <c r="S99" s="30" t="s">
        <v>129</v>
      </c>
      <c r="T99" s="30" t="s">
        <v>131</v>
      </c>
      <c r="U99" s="30" t="s">
        <v>14308</v>
      </c>
      <c r="V99" s="30" t="s">
        <v>14309</v>
      </c>
      <c r="W99" s="30" t="s">
        <v>131</v>
      </c>
      <c r="X99" s="30" t="s">
        <v>2240</v>
      </c>
      <c r="Y99" s="30" t="s">
        <v>2253</v>
      </c>
    </row>
    <row r="100" spans="1:25">
      <c r="A100" s="30" t="s">
        <v>13898</v>
      </c>
      <c r="B100" s="30" t="s">
        <v>14310</v>
      </c>
      <c r="C100" s="30" t="s">
        <v>12508</v>
      </c>
      <c r="D100" s="30" t="s">
        <v>12509</v>
      </c>
      <c r="E100" s="30" t="s">
        <v>12510</v>
      </c>
      <c r="F100" s="30" t="s">
        <v>12511</v>
      </c>
      <c r="H100" s="30" t="s">
        <v>2574</v>
      </c>
      <c r="I100" s="30" t="s">
        <v>14311</v>
      </c>
      <c r="J100" s="30" t="s">
        <v>14312</v>
      </c>
      <c r="K100" s="30" t="s">
        <v>13901</v>
      </c>
      <c r="L100" s="30" t="s">
        <v>13902</v>
      </c>
      <c r="M100" s="30" t="s">
        <v>1289</v>
      </c>
      <c r="N100" s="30" t="s">
        <v>131</v>
      </c>
      <c r="O100" s="30" t="s">
        <v>14313</v>
      </c>
      <c r="P100" s="30" t="s">
        <v>131</v>
      </c>
      <c r="Q100" s="30" t="s">
        <v>131</v>
      </c>
      <c r="R100" s="30" t="s">
        <v>129</v>
      </c>
      <c r="S100" s="30" t="s">
        <v>129</v>
      </c>
      <c r="T100" s="30" t="s">
        <v>131</v>
      </c>
      <c r="U100" s="30" t="s">
        <v>14314</v>
      </c>
      <c r="V100" s="30" t="s">
        <v>14315</v>
      </c>
      <c r="W100" s="30" t="s">
        <v>131</v>
      </c>
      <c r="X100" s="30" t="s">
        <v>2240</v>
      </c>
      <c r="Y100" s="30" t="s">
        <v>2253</v>
      </c>
    </row>
    <row r="101" spans="1:25">
      <c r="A101" s="30" t="s">
        <v>13898</v>
      </c>
      <c r="B101" s="30" t="s">
        <v>13246</v>
      </c>
      <c r="C101" s="30" t="s">
        <v>12512</v>
      </c>
      <c r="D101" s="30" t="s">
        <v>12513</v>
      </c>
      <c r="E101" s="30" t="s">
        <v>12514</v>
      </c>
      <c r="F101" s="30" t="s">
        <v>12167</v>
      </c>
      <c r="H101" s="30" t="s">
        <v>2574</v>
      </c>
      <c r="I101" s="30" t="s">
        <v>14316</v>
      </c>
      <c r="J101" s="30" t="s">
        <v>13937</v>
      </c>
      <c r="K101" s="30" t="s">
        <v>13901</v>
      </c>
      <c r="L101" s="30" t="s">
        <v>13902</v>
      </c>
      <c r="M101" s="30" t="s">
        <v>1289</v>
      </c>
      <c r="N101" s="30" t="s">
        <v>129</v>
      </c>
      <c r="P101" s="30" t="s">
        <v>131</v>
      </c>
      <c r="Q101" s="30" t="s">
        <v>129</v>
      </c>
      <c r="R101" s="30" t="s">
        <v>129</v>
      </c>
      <c r="S101" s="30" t="s">
        <v>129</v>
      </c>
      <c r="T101" s="30" t="s">
        <v>131</v>
      </c>
      <c r="U101" s="30" t="s">
        <v>14317</v>
      </c>
      <c r="V101" s="30" t="s">
        <v>14318</v>
      </c>
      <c r="W101" s="30" t="s">
        <v>131</v>
      </c>
      <c r="X101" s="30" t="s">
        <v>2240</v>
      </c>
      <c r="Y101" s="30" t="s">
        <v>2253</v>
      </c>
    </row>
    <row r="102" spans="1:25">
      <c r="A102" s="30" t="s">
        <v>13898</v>
      </c>
      <c r="B102" s="30" t="s">
        <v>14319</v>
      </c>
      <c r="C102" s="30" t="s">
        <v>12516</v>
      </c>
      <c r="D102" s="30" t="s">
        <v>12517</v>
      </c>
      <c r="E102" s="30" t="s">
        <v>12518</v>
      </c>
      <c r="F102" s="30" t="s">
        <v>12511</v>
      </c>
      <c r="H102" s="30" t="s">
        <v>2574</v>
      </c>
      <c r="I102" s="30" t="s">
        <v>14320</v>
      </c>
      <c r="J102" s="30" t="s">
        <v>14312</v>
      </c>
      <c r="K102" s="30" t="s">
        <v>13901</v>
      </c>
      <c r="L102" s="30" t="s">
        <v>13902</v>
      </c>
      <c r="M102" s="30" t="s">
        <v>1289</v>
      </c>
      <c r="N102" s="30" t="s">
        <v>131</v>
      </c>
      <c r="O102" s="30" t="s">
        <v>14321</v>
      </c>
      <c r="P102" s="30" t="s">
        <v>131</v>
      </c>
      <c r="Q102" s="30" t="s">
        <v>131</v>
      </c>
      <c r="R102" s="30" t="s">
        <v>129</v>
      </c>
      <c r="S102" s="30" t="s">
        <v>129</v>
      </c>
      <c r="T102" s="30" t="s">
        <v>131</v>
      </c>
      <c r="U102" s="30" t="s">
        <v>14322</v>
      </c>
      <c r="V102" s="30" t="s">
        <v>14323</v>
      </c>
      <c r="W102" s="30" t="s">
        <v>131</v>
      </c>
      <c r="X102" s="30" t="s">
        <v>2240</v>
      </c>
      <c r="Y102" s="30" t="s">
        <v>2253</v>
      </c>
    </row>
    <row r="103" spans="1:25">
      <c r="A103" s="30" t="s">
        <v>13898</v>
      </c>
      <c r="B103" s="30" t="s">
        <v>14324</v>
      </c>
      <c r="C103" s="30" t="s">
        <v>12519</v>
      </c>
      <c r="D103" s="30" t="s">
        <v>12520</v>
      </c>
      <c r="E103" s="30" t="s">
        <v>12521</v>
      </c>
      <c r="F103" s="30" t="s">
        <v>12497</v>
      </c>
      <c r="H103" s="30" t="s">
        <v>2574</v>
      </c>
      <c r="I103" s="30" t="s">
        <v>14325</v>
      </c>
      <c r="J103" s="30" t="s">
        <v>14292</v>
      </c>
      <c r="K103" s="30" t="s">
        <v>13901</v>
      </c>
      <c r="L103" s="30" t="s">
        <v>13902</v>
      </c>
      <c r="M103" s="30" t="s">
        <v>1289</v>
      </c>
      <c r="N103" s="30" t="s">
        <v>131</v>
      </c>
      <c r="O103" s="30" t="s">
        <v>14326</v>
      </c>
      <c r="P103" s="30" t="s">
        <v>131</v>
      </c>
      <c r="Q103" s="30" t="s">
        <v>131</v>
      </c>
      <c r="R103" s="30" t="s">
        <v>129</v>
      </c>
      <c r="S103" s="30" t="s">
        <v>129</v>
      </c>
      <c r="T103" s="30" t="s">
        <v>131</v>
      </c>
      <c r="U103" s="30" t="s">
        <v>14327</v>
      </c>
      <c r="V103" s="30" t="s">
        <v>14328</v>
      </c>
      <c r="W103" s="30" t="s">
        <v>131</v>
      </c>
      <c r="X103" s="30" t="s">
        <v>2240</v>
      </c>
      <c r="Y103" s="30" t="s">
        <v>2253</v>
      </c>
    </row>
    <row r="104" spans="1:25">
      <c r="A104" s="30" t="s">
        <v>13898</v>
      </c>
      <c r="B104" s="30" t="s">
        <v>14329</v>
      </c>
      <c r="C104" s="30" t="s">
        <v>12519</v>
      </c>
      <c r="D104" s="30" t="s">
        <v>12520</v>
      </c>
      <c r="E104" s="30" t="s">
        <v>12521</v>
      </c>
      <c r="F104" s="30" t="s">
        <v>12497</v>
      </c>
      <c r="H104" s="30" t="s">
        <v>2574</v>
      </c>
      <c r="I104" s="30" t="s">
        <v>14325</v>
      </c>
      <c r="J104" s="30" t="s">
        <v>14292</v>
      </c>
      <c r="K104" s="30" t="s">
        <v>13901</v>
      </c>
      <c r="L104" s="30" t="s">
        <v>13902</v>
      </c>
      <c r="M104" s="30" t="s">
        <v>1289</v>
      </c>
      <c r="N104" s="30" t="s">
        <v>131</v>
      </c>
      <c r="O104" s="30" t="s">
        <v>14326</v>
      </c>
      <c r="P104" s="30" t="s">
        <v>131</v>
      </c>
      <c r="Q104" s="30" t="s">
        <v>131</v>
      </c>
      <c r="R104" s="30" t="s">
        <v>131</v>
      </c>
      <c r="S104" s="30" t="s">
        <v>129</v>
      </c>
      <c r="T104" s="30" t="s">
        <v>131</v>
      </c>
      <c r="U104" s="30" t="s">
        <v>14327</v>
      </c>
      <c r="V104" s="30" t="s">
        <v>14328</v>
      </c>
      <c r="W104" s="30" t="s">
        <v>131</v>
      </c>
      <c r="X104" s="30" t="s">
        <v>2240</v>
      </c>
      <c r="Y104" s="30" t="s">
        <v>2253</v>
      </c>
    </row>
    <row r="105" spans="1:25">
      <c r="A105" s="30" t="s">
        <v>13898</v>
      </c>
      <c r="B105" s="30" t="s">
        <v>14330</v>
      </c>
      <c r="C105" s="30" t="s">
        <v>12522</v>
      </c>
      <c r="D105" s="30" t="s">
        <v>12523</v>
      </c>
      <c r="E105" s="30" t="s">
        <v>12524</v>
      </c>
      <c r="F105" s="30" t="s">
        <v>12167</v>
      </c>
      <c r="H105" s="30" t="s">
        <v>2574</v>
      </c>
      <c r="I105" s="30" t="s">
        <v>14331</v>
      </c>
      <c r="J105" s="30" t="s">
        <v>13937</v>
      </c>
      <c r="K105" s="30" t="s">
        <v>13901</v>
      </c>
      <c r="L105" s="30" t="s">
        <v>13902</v>
      </c>
      <c r="M105" s="30" t="s">
        <v>1289</v>
      </c>
      <c r="N105" s="30" t="s">
        <v>131</v>
      </c>
      <c r="O105" s="30" t="s">
        <v>14332</v>
      </c>
      <c r="P105" s="30" t="s">
        <v>131</v>
      </c>
      <c r="Q105" s="30" t="s">
        <v>131</v>
      </c>
      <c r="R105" s="30" t="s">
        <v>129</v>
      </c>
      <c r="S105" s="30" t="s">
        <v>129</v>
      </c>
      <c r="T105" s="30" t="s">
        <v>131</v>
      </c>
      <c r="U105" s="30" t="s">
        <v>14333</v>
      </c>
      <c r="V105" s="30" t="s">
        <v>14334</v>
      </c>
      <c r="W105" s="30" t="s">
        <v>131</v>
      </c>
      <c r="X105" s="30" t="s">
        <v>2240</v>
      </c>
      <c r="Y105" s="30" t="s">
        <v>2253</v>
      </c>
    </row>
    <row r="106" spans="1:25">
      <c r="A106" s="30" t="s">
        <v>13898</v>
      </c>
      <c r="B106" s="30" t="s">
        <v>14335</v>
      </c>
      <c r="C106" s="30" t="s">
        <v>12525</v>
      </c>
      <c r="D106" s="30" t="s">
        <v>12526</v>
      </c>
      <c r="E106" s="30" t="s">
        <v>12527</v>
      </c>
      <c r="F106" s="30" t="s">
        <v>12167</v>
      </c>
      <c r="H106" s="30" t="s">
        <v>2574</v>
      </c>
      <c r="I106" s="30" t="s">
        <v>14336</v>
      </c>
      <c r="J106" s="30" t="s">
        <v>13937</v>
      </c>
      <c r="K106" s="30" t="s">
        <v>13901</v>
      </c>
      <c r="L106" s="30" t="s">
        <v>13902</v>
      </c>
      <c r="M106" s="30" t="s">
        <v>1289</v>
      </c>
      <c r="N106" s="30" t="s">
        <v>129</v>
      </c>
      <c r="P106" s="30" t="s">
        <v>129</v>
      </c>
      <c r="Q106" s="30" t="s">
        <v>129</v>
      </c>
      <c r="R106" s="30" t="s">
        <v>129</v>
      </c>
      <c r="S106" s="30" t="s">
        <v>129</v>
      </c>
      <c r="T106" s="30" t="s">
        <v>131</v>
      </c>
      <c r="U106" s="30" t="s">
        <v>14337</v>
      </c>
      <c r="V106" s="30" t="s">
        <v>14338</v>
      </c>
      <c r="W106" s="30" t="s">
        <v>131</v>
      </c>
      <c r="X106" s="30" t="s">
        <v>2240</v>
      </c>
      <c r="Y106" s="30" t="s">
        <v>2253</v>
      </c>
    </row>
    <row r="107" spans="1:25">
      <c r="A107" s="30" t="s">
        <v>13898</v>
      </c>
      <c r="B107" s="30" t="s">
        <v>14339</v>
      </c>
      <c r="C107" s="30" t="s">
        <v>12528</v>
      </c>
      <c r="D107" s="30" t="s">
        <v>12529</v>
      </c>
      <c r="E107" s="30" t="s">
        <v>12530</v>
      </c>
      <c r="F107" s="30" t="s">
        <v>12531</v>
      </c>
      <c r="H107" s="30" t="s">
        <v>2574</v>
      </c>
      <c r="I107" s="30" t="s">
        <v>14340</v>
      </c>
      <c r="J107" s="30" t="s">
        <v>14341</v>
      </c>
      <c r="K107" s="30" t="s">
        <v>13901</v>
      </c>
      <c r="L107" s="30" t="s">
        <v>13902</v>
      </c>
      <c r="M107" s="30" t="s">
        <v>1289</v>
      </c>
      <c r="N107" s="30" t="s">
        <v>129</v>
      </c>
      <c r="P107" s="30" t="s">
        <v>131</v>
      </c>
      <c r="Q107" s="30" t="s">
        <v>131</v>
      </c>
      <c r="R107" s="30" t="s">
        <v>129</v>
      </c>
      <c r="S107" s="30" t="s">
        <v>129</v>
      </c>
      <c r="T107" s="30" t="s">
        <v>129</v>
      </c>
      <c r="U107" s="30" t="s">
        <v>14342</v>
      </c>
      <c r="V107" s="30" t="s">
        <v>14343</v>
      </c>
      <c r="W107" s="30" t="s">
        <v>131</v>
      </c>
      <c r="X107" s="30" t="s">
        <v>2240</v>
      </c>
      <c r="Y107" s="30" t="s">
        <v>2253</v>
      </c>
    </row>
    <row r="108" spans="1:25">
      <c r="A108" s="30" t="s">
        <v>13898</v>
      </c>
      <c r="B108" s="30" t="s">
        <v>14344</v>
      </c>
      <c r="C108" s="30" t="s">
        <v>12532</v>
      </c>
      <c r="D108" s="30" t="s">
        <v>12533</v>
      </c>
      <c r="E108" s="30" t="s">
        <v>12534</v>
      </c>
      <c r="F108" s="30" t="s">
        <v>12343</v>
      </c>
      <c r="H108" s="30" t="s">
        <v>2574</v>
      </c>
      <c r="I108" s="30" t="s">
        <v>14345</v>
      </c>
      <c r="J108" s="30" t="s">
        <v>14110</v>
      </c>
      <c r="K108" s="30" t="s">
        <v>13901</v>
      </c>
      <c r="L108" s="30" t="s">
        <v>13902</v>
      </c>
      <c r="M108" s="30" t="s">
        <v>1289</v>
      </c>
      <c r="N108" s="30" t="s">
        <v>129</v>
      </c>
      <c r="P108" s="30" t="s">
        <v>131</v>
      </c>
      <c r="Q108" s="30" t="s">
        <v>131</v>
      </c>
      <c r="R108" s="30" t="s">
        <v>129</v>
      </c>
      <c r="S108" s="30" t="s">
        <v>129</v>
      </c>
      <c r="T108" s="30" t="s">
        <v>129</v>
      </c>
      <c r="U108" s="30" t="s">
        <v>14346</v>
      </c>
      <c r="V108" s="30" t="s">
        <v>14347</v>
      </c>
      <c r="W108" s="30" t="s">
        <v>131</v>
      </c>
      <c r="X108" s="30" t="s">
        <v>2240</v>
      </c>
      <c r="Y108" s="30" t="s">
        <v>2253</v>
      </c>
    </row>
    <row r="109" spans="1:25">
      <c r="A109" s="30" t="s">
        <v>13898</v>
      </c>
      <c r="B109" s="30" t="s">
        <v>14348</v>
      </c>
      <c r="C109" s="30" t="s">
        <v>12535</v>
      </c>
      <c r="D109" s="30" t="s">
        <v>12536</v>
      </c>
      <c r="E109" s="30" t="s">
        <v>12537</v>
      </c>
      <c r="F109" s="30" t="s">
        <v>12444</v>
      </c>
      <c r="H109" s="30" t="s">
        <v>2574</v>
      </c>
      <c r="I109" s="30" t="s">
        <v>14349</v>
      </c>
      <c r="J109" s="30" t="s">
        <v>14227</v>
      </c>
      <c r="K109" s="30" t="s">
        <v>13901</v>
      </c>
      <c r="L109" s="30" t="s">
        <v>13902</v>
      </c>
      <c r="M109" s="30" t="s">
        <v>1289</v>
      </c>
      <c r="N109" s="30" t="s">
        <v>131</v>
      </c>
      <c r="O109" s="30" t="s">
        <v>14350</v>
      </c>
      <c r="P109" s="30" t="s">
        <v>131</v>
      </c>
      <c r="Q109" s="30" t="s">
        <v>131</v>
      </c>
      <c r="R109" s="30" t="s">
        <v>131</v>
      </c>
      <c r="S109" s="30" t="s">
        <v>129</v>
      </c>
      <c r="T109" s="30" t="s">
        <v>131</v>
      </c>
      <c r="U109" s="30" t="s">
        <v>14351</v>
      </c>
      <c r="V109" s="30" t="s">
        <v>14352</v>
      </c>
      <c r="W109" s="30" t="s">
        <v>131</v>
      </c>
      <c r="X109" s="30" t="s">
        <v>2240</v>
      </c>
      <c r="Y109" s="30" t="s">
        <v>2253</v>
      </c>
    </row>
    <row r="110" spans="1:25">
      <c r="A110" s="30" t="s">
        <v>13898</v>
      </c>
      <c r="B110" s="30" t="s">
        <v>14353</v>
      </c>
      <c r="C110" s="30" t="s">
        <v>12538</v>
      </c>
      <c r="D110" s="30" t="s">
        <v>12539</v>
      </c>
      <c r="E110" s="30" t="s">
        <v>12540</v>
      </c>
      <c r="F110" s="30" t="s">
        <v>12541</v>
      </c>
      <c r="H110" s="30" t="s">
        <v>2574</v>
      </c>
      <c r="I110" s="30" t="s">
        <v>14354</v>
      </c>
      <c r="J110" s="30" t="s">
        <v>14355</v>
      </c>
      <c r="K110" s="30" t="s">
        <v>13901</v>
      </c>
      <c r="L110" s="30" t="s">
        <v>13902</v>
      </c>
      <c r="M110" s="30" t="s">
        <v>1289</v>
      </c>
      <c r="N110" s="30" t="s">
        <v>131</v>
      </c>
      <c r="O110" s="30" t="s">
        <v>14356</v>
      </c>
      <c r="P110" s="30" t="s">
        <v>131</v>
      </c>
      <c r="Q110" s="30" t="s">
        <v>131</v>
      </c>
      <c r="R110" s="30" t="s">
        <v>129</v>
      </c>
      <c r="S110" s="30" t="s">
        <v>129</v>
      </c>
      <c r="T110" s="30" t="s">
        <v>131</v>
      </c>
      <c r="U110" s="30" t="s">
        <v>14357</v>
      </c>
      <c r="V110" s="30" t="s">
        <v>14358</v>
      </c>
      <c r="W110" s="30" t="s">
        <v>131</v>
      </c>
      <c r="X110" s="30" t="s">
        <v>2240</v>
      </c>
      <c r="Y110" s="30" t="s">
        <v>2253</v>
      </c>
    </row>
    <row r="111" spans="1:25">
      <c r="A111" s="30" t="s">
        <v>13898</v>
      </c>
      <c r="B111" s="30" t="s">
        <v>14359</v>
      </c>
      <c r="C111" s="30" t="s">
        <v>12543</v>
      </c>
      <c r="D111" s="30" t="s">
        <v>12544</v>
      </c>
      <c r="E111" s="30" t="s">
        <v>12545</v>
      </c>
      <c r="F111" s="30" t="s">
        <v>12177</v>
      </c>
      <c r="H111" s="30" t="s">
        <v>2574</v>
      </c>
      <c r="I111" s="30" t="s">
        <v>14360</v>
      </c>
      <c r="J111" s="30" t="s">
        <v>13942</v>
      </c>
      <c r="K111" s="30" t="s">
        <v>13901</v>
      </c>
      <c r="L111" s="30" t="s">
        <v>13902</v>
      </c>
      <c r="M111" s="30" t="s">
        <v>1289</v>
      </c>
      <c r="N111" s="30" t="s">
        <v>131</v>
      </c>
      <c r="O111" s="30" t="s">
        <v>14361</v>
      </c>
      <c r="P111" s="30" t="s">
        <v>131</v>
      </c>
      <c r="Q111" s="30" t="s">
        <v>131</v>
      </c>
      <c r="R111" s="30" t="s">
        <v>131</v>
      </c>
      <c r="S111" s="30" t="s">
        <v>129</v>
      </c>
      <c r="T111" s="30" t="s">
        <v>131</v>
      </c>
      <c r="U111" s="30" t="s">
        <v>14362</v>
      </c>
      <c r="V111" s="30" t="s">
        <v>14363</v>
      </c>
      <c r="W111" s="30" t="s">
        <v>131</v>
      </c>
      <c r="X111" s="30" t="s">
        <v>2240</v>
      </c>
      <c r="Y111" s="30" t="s">
        <v>2253</v>
      </c>
    </row>
    <row r="112" spans="1:25">
      <c r="A112" s="30" t="s">
        <v>13898</v>
      </c>
      <c r="B112" s="30" t="s">
        <v>14364</v>
      </c>
      <c r="C112" s="30" t="s">
        <v>12543</v>
      </c>
      <c r="D112" s="30" t="s">
        <v>12544</v>
      </c>
      <c r="E112" s="30" t="s">
        <v>12545</v>
      </c>
      <c r="F112" s="30" t="s">
        <v>12177</v>
      </c>
      <c r="H112" s="30" t="s">
        <v>130</v>
      </c>
      <c r="I112" s="30" t="s">
        <v>14360</v>
      </c>
      <c r="J112" s="30" t="s">
        <v>13942</v>
      </c>
      <c r="K112" s="30" t="s">
        <v>13901</v>
      </c>
      <c r="L112" s="30" t="s">
        <v>14156</v>
      </c>
      <c r="M112" s="30" t="s">
        <v>1289</v>
      </c>
      <c r="N112" s="30" t="s">
        <v>129</v>
      </c>
      <c r="P112" s="30" t="s">
        <v>131</v>
      </c>
      <c r="Q112" s="30" t="s">
        <v>131</v>
      </c>
      <c r="R112" s="30" t="s">
        <v>131</v>
      </c>
      <c r="S112" s="30" t="s">
        <v>129</v>
      </c>
      <c r="T112" s="30" t="s">
        <v>131</v>
      </c>
      <c r="U112" s="30" t="s">
        <v>14362</v>
      </c>
      <c r="V112" s="30" t="s">
        <v>14363</v>
      </c>
      <c r="W112" s="30" t="s">
        <v>131</v>
      </c>
      <c r="X112" s="30" t="s">
        <v>2240</v>
      </c>
      <c r="Y112" s="30" t="s">
        <v>2253</v>
      </c>
    </row>
    <row r="113" spans="1:25">
      <c r="A113" s="30" t="s">
        <v>13898</v>
      </c>
      <c r="B113" s="30" t="s">
        <v>14365</v>
      </c>
      <c r="C113" s="30" t="s">
        <v>12546</v>
      </c>
      <c r="D113" s="30" t="s">
        <v>12547</v>
      </c>
      <c r="E113" s="30" t="s">
        <v>12548</v>
      </c>
      <c r="F113" s="30" t="s">
        <v>12549</v>
      </c>
      <c r="H113" s="30" t="s">
        <v>2574</v>
      </c>
      <c r="I113" s="30" t="s">
        <v>14366</v>
      </c>
      <c r="J113" s="30" t="s">
        <v>14367</v>
      </c>
      <c r="K113" s="30" t="s">
        <v>13901</v>
      </c>
      <c r="L113" s="30" t="s">
        <v>13902</v>
      </c>
      <c r="M113" s="30" t="s">
        <v>1289</v>
      </c>
      <c r="N113" s="30" t="s">
        <v>129</v>
      </c>
      <c r="P113" s="30" t="s">
        <v>131</v>
      </c>
      <c r="Q113" s="30" t="s">
        <v>129</v>
      </c>
      <c r="R113" s="30" t="s">
        <v>129</v>
      </c>
      <c r="S113" s="30" t="s">
        <v>129</v>
      </c>
      <c r="T113" s="30" t="s">
        <v>131</v>
      </c>
      <c r="U113" s="30" t="s">
        <v>14368</v>
      </c>
      <c r="V113" s="30" t="s">
        <v>14369</v>
      </c>
      <c r="W113" s="30" t="s">
        <v>131</v>
      </c>
      <c r="X113" s="30" t="s">
        <v>2240</v>
      </c>
      <c r="Y113" s="30" t="s">
        <v>2253</v>
      </c>
    </row>
    <row r="114" spans="1:25">
      <c r="A114" s="30" t="s">
        <v>13898</v>
      </c>
      <c r="B114" s="30" t="s">
        <v>14370</v>
      </c>
      <c r="C114" s="30" t="s">
        <v>12550</v>
      </c>
      <c r="D114" s="30" t="s">
        <v>12551</v>
      </c>
      <c r="E114" s="30" t="s">
        <v>12552</v>
      </c>
      <c r="F114" s="30" t="s">
        <v>12444</v>
      </c>
      <c r="H114" s="30" t="s">
        <v>2574</v>
      </c>
      <c r="I114" s="30" t="s">
        <v>14371</v>
      </c>
      <c r="J114" s="30" t="s">
        <v>14227</v>
      </c>
      <c r="K114" s="30" t="s">
        <v>13901</v>
      </c>
      <c r="L114" s="30" t="s">
        <v>13902</v>
      </c>
      <c r="M114" s="30" t="s">
        <v>1289</v>
      </c>
      <c r="N114" s="30" t="s">
        <v>131</v>
      </c>
      <c r="O114" s="30" t="s">
        <v>14372</v>
      </c>
      <c r="P114" s="30" t="s">
        <v>131</v>
      </c>
      <c r="Q114" s="30" t="s">
        <v>131</v>
      </c>
      <c r="R114" s="30" t="s">
        <v>131</v>
      </c>
      <c r="S114" s="30" t="s">
        <v>129</v>
      </c>
      <c r="T114" s="30" t="s">
        <v>131</v>
      </c>
      <c r="U114" s="30" t="s">
        <v>14373</v>
      </c>
      <c r="V114" s="30" t="s">
        <v>14374</v>
      </c>
      <c r="W114" s="30" t="s">
        <v>131</v>
      </c>
      <c r="X114" s="30" t="s">
        <v>2240</v>
      </c>
      <c r="Y114" s="30" t="s">
        <v>2253</v>
      </c>
    </row>
    <row r="115" spans="1:25">
      <c r="A115" s="30" t="s">
        <v>13898</v>
      </c>
      <c r="B115" s="30" t="s">
        <v>14375</v>
      </c>
      <c r="C115" s="30" t="s">
        <v>12553</v>
      </c>
      <c r="D115" s="30" t="s">
        <v>12554</v>
      </c>
      <c r="E115" s="30" t="s">
        <v>12555</v>
      </c>
      <c r="F115" s="30" t="s">
        <v>12452</v>
      </c>
      <c r="H115" s="30" t="s">
        <v>2574</v>
      </c>
      <c r="I115" s="30" t="s">
        <v>14376</v>
      </c>
      <c r="J115" s="30" t="s">
        <v>14238</v>
      </c>
      <c r="K115" s="30" t="s">
        <v>13901</v>
      </c>
      <c r="L115" s="30" t="s">
        <v>13902</v>
      </c>
      <c r="M115" s="30" t="s">
        <v>1289</v>
      </c>
      <c r="N115" s="30" t="s">
        <v>131</v>
      </c>
      <c r="O115" s="30" t="s">
        <v>14377</v>
      </c>
      <c r="P115" s="30" t="s">
        <v>131</v>
      </c>
      <c r="Q115" s="30" t="s">
        <v>131</v>
      </c>
      <c r="R115" s="30" t="s">
        <v>129</v>
      </c>
      <c r="S115" s="30" t="s">
        <v>129</v>
      </c>
      <c r="T115" s="30" t="s">
        <v>131</v>
      </c>
      <c r="U115" s="30" t="s">
        <v>14378</v>
      </c>
      <c r="V115" s="30" t="s">
        <v>14379</v>
      </c>
      <c r="W115" s="30" t="s">
        <v>131</v>
      </c>
      <c r="X115" s="30" t="s">
        <v>2240</v>
      </c>
      <c r="Y115" s="30" t="s">
        <v>2253</v>
      </c>
    </row>
    <row r="116" spans="1:25">
      <c r="A116" s="30" t="s">
        <v>13898</v>
      </c>
      <c r="B116" s="30" t="s">
        <v>14380</v>
      </c>
      <c r="C116" s="30" t="s">
        <v>12556</v>
      </c>
      <c r="D116" s="30" t="s">
        <v>12557</v>
      </c>
      <c r="E116" s="30" t="s">
        <v>12558</v>
      </c>
      <c r="F116" s="30" t="s">
        <v>12559</v>
      </c>
      <c r="H116" s="30" t="s">
        <v>2574</v>
      </c>
      <c r="I116" s="30" t="s">
        <v>14381</v>
      </c>
      <c r="J116" s="30" t="s">
        <v>14382</v>
      </c>
      <c r="K116" s="30" t="s">
        <v>13901</v>
      </c>
      <c r="L116" s="30" t="s">
        <v>13902</v>
      </c>
      <c r="M116" s="30" t="s">
        <v>1289</v>
      </c>
      <c r="N116" s="30" t="s">
        <v>129</v>
      </c>
      <c r="P116" s="30" t="s">
        <v>131</v>
      </c>
      <c r="Q116" s="30" t="s">
        <v>131</v>
      </c>
      <c r="R116" s="30" t="s">
        <v>129</v>
      </c>
      <c r="S116" s="30" t="s">
        <v>129</v>
      </c>
      <c r="T116" s="30" t="s">
        <v>131</v>
      </c>
      <c r="U116" s="30" t="s">
        <v>14383</v>
      </c>
      <c r="V116" s="30" t="s">
        <v>14384</v>
      </c>
      <c r="W116" s="30" t="s">
        <v>131</v>
      </c>
      <c r="X116" s="30" t="s">
        <v>2240</v>
      </c>
      <c r="Y116" s="30" t="s">
        <v>2253</v>
      </c>
    </row>
    <row r="117" spans="1:25">
      <c r="A117" s="30" t="s">
        <v>13898</v>
      </c>
      <c r="B117" s="30" t="s">
        <v>14385</v>
      </c>
      <c r="C117" s="30" t="s">
        <v>12560</v>
      </c>
      <c r="D117" s="30" t="s">
        <v>12561</v>
      </c>
      <c r="E117" s="30" t="s">
        <v>12562</v>
      </c>
      <c r="F117" s="30" t="s">
        <v>12563</v>
      </c>
      <c r="H117" s="30" t="s">
        <v>2574</v>
      </c>
      <c r="I117" s="30" t="s">
        <v>14386</v>
      </c>
      <c r="J117" s="30" t="s">
        <v>14387</v>
      </c>
      <c r="K117" s="30" t="s">
        <v>13901</v>
      </c>
      <c r="L117" s="30" t="s">
        <v>13902</v>
      </c>
      <c r="M117" s="30" t="s">
        <v>1289</v>
      </c>
      <c r="N117" s="30" t="s">
        <v>131</v>
      </c>
      <c r="O117" s="30" t="s">
        <v>14388</v>
      </c>
      <c r="P117" s="30" t="s">
        <v>131</v>
      </c>
      <c r="Q117" s="30" t="s">
        <v>131</v>
      </c>
      <c r="R117" s="30" t="s">
        <v>129</v>
      </c>
      <c r="S117" s="30" t="s">
        <v>129</v>
      </c>
      <c r="T117" s="30" t="s">
        <v>129</v>
      </c>
      <c r="U117" s="30" t="s">
        <v>14389</v>
      </c>
      <c r="V117" s="30" t="s">
        <v>14390</v>
      </c>
      <c r="W117" s="30" t="s">
        <v>131</v>
      </c>
      <c r="X117" s="30" t="s">
        <v>2240</v>
      </c>
      <c r="Y117" s="30" t="s">
        <v>2253</v>
      </c>
    </row>
    <row r="118" spans="1:25">
      <c r="A118" s="30" t="s">
        <v>13898</v>
      </c>
      <c r="B118" s="30" t="s">
        <v>14391</v>
      </c>
      <c r="C118" s="30" t="s">
        <v>12564</v>
      </c>
      <c r="D118" s="30" t="s">
        <v>12565</v>
      </c>
      <c r="E118" s="30" t="s">
        <v>12566</v>
      </c>
      <c r="F118" s="30" t="s">
        <v>12185</v>
      </c>
      <c r="H118" s="30" t="s">
        <v>2574</v>
      </c>
      <c r="I118" s="30" t="s">
        <v>14392</v>
      </c>
      <c r="J118" s="30" t="s">
        <v>13950</v>
      </c>
      <c r="K118" s="30" t="s">
        <v>13901</v>
      </c>
      <c r="L118" s="30" t="s">
        <v>13902</v>
      </c>
      <c r="M118" s="30" t="s">
        <v>1289</v>
      </c>
      <c r="N118" s="30" t="s">
        <v>131</v>
      </c>
      <c r="O118" s="30" t="s">
        <v>13951</v>
      </c>
      <c r="P118" s="30" t="s">
        <v>131</v>
      </c>
      <c r="Q118" s="30" t="s">
        <v>131</v>
      </c>
      <c r="R118" s="30" t="s">
        <v>129</v>
      </c>
      <c r="S118" s="30" t="s">
        <v>129</v>
      </c>
      <c r="T118" s="30" t="s">
        <v>131</v>
      </c>
      <c r="U118" s="30" t="s">
        <v>14393</v>
      </c>
      <c r="V118" s="30" t="s">
        <v>14394</v>
      </c>
      <c r="W118" s="30" t="s">
        <v>131</v>
      </c>
      <c r="X118" s="30" t="s">
        <v>2240</v>
      </c>
      <c r="Y118" s="30" t="s">
        <v>2253</v>
      </c>
    </row>
    <row r="119" spans="1:25">
      <c r="A119" s="30" t="s">
        <v>13898</v>
      </c>
      <c r="B119" s="30" t="s">
        <v>14395</v>
      </c>
      <c r="C119" s="30" t="s">
        <v>12567</v>
      </c>
      <c r="D119" s="30" t="s">
        <v>12568</v>
      </c>
      <c r="E119" s="30" t="s">
        <v>12569</v>
      </c>
      <c r="F119" s="30" t="s">
        <v>12335</v>
      </c>
      <c r="H119" s="30" t="s">
        <v>2574</v>
      </c>
      <c r="I119" s="30" t="s">
        <v>14396</v>
      </c>
      <c r="J119" s="30" t="s">
        <v>14100</v>
      </c>
      <c r="K119" s="30" t="s">
        <v>13901</v>
      </c>
      <c r="L119" s="30" t="s">
        <v>13902</v>
      </c>
      <c r="M119" s="30" t="s">
        <v>1289</v>
      </c>
      <c r="N119" s="30" t="s">
        <v>131</v>
      </c>
      <c r="O119" s="30" t="s">
        <v>14397</v>
      </c>
      <c r="P119" s="30" t="s">
        <v>131</v>
      </c>
      <c r="Q119" s="30" t="s">
        <v>131</v>
      </c>
      <c r="R119" s="30" t="s">
        <v>129</v>
      </c>
      <c r="S119" s="30" t="s">
        <v>129</v>
      </c>
      <c r="T119" s="30" t="s">
        <v>131</v>
      </c>
      <c r="U119" s="30" t="s">
        <v>14398</v>
      </c>
      <c r="V119" s="30" t="s">
        <v>14399</v>
      </c>
      <c r="W119" s="30" t="s">
        <v>131</v>
      </c>
      <c r="X119" s="30" t="s">
        <v>2240</v>
      </c>
      <c r="Y119" s="30" t="s">
        <v>2253</v>
      </c>
    </row>
    <row r="120" spans="1:25">
      <c r="A120" s="30" t="s">
        <v>13898</v>
      </c>
      <c r="B120" s="30" t="s">
        <v>14400</v>
      </c>
      <c r="C120" s="30" t="s">
        <v>12570</v>
      </c>
      <c r="D120" s="30" t="s">
        <v>12571</v>
      </c>
      <c r="E120" s="30" t="s">
        <v>12572</v>
      </c>
      <c r="F120" s="30" t="s">
        <v>12573</v>
      </c>
      <c r="H120" s="30" t="s">
        <v>2574</v>
      </c>
      <c r="I120" s="30" t="s">
        <v>14401</v>
      </c>
      <c r="J120" s="30" t="s">
        <v>14402</v>
      </c>
      <c r="K120" s="30" t="s">
        <v>13901</v>
      </c>
      <c r="L120" s="30" t="s">
        <v>13902</v>
      </c>
      <c r="M120" s="30" t="s">
        <v>1289</v>
      </c>
      <c r="N120" s="30" t="s">
        <v>131</v>
      </c>
      <c r="O120" s="30" t="s">
        <v>14403</v>
      </c>
      <c r="P120" s="30" t="s">
        <v>131</v>
      </c>
      <c r="Q120" s="30" t="s">
        <v>129</v>
      </c>
      <c r="R120" s="30" t="s">
        <v>129</v>
      </c>
      <c r="S120" s="30" t="s">
        <v>129</v>
      </c>
      <c r="T120" s="30" t="s">
        <v>131</v>
      </c>
      <c r="U120" s="30" t="s">
        <v>14404</v>
      </c>
      <c r="V120" s="30" t="s">
        <v>14405</v>
      </c>
      <c r="W120" s="30" t="s">
        <v>131</v>
      </c>
      <c r="X120" s="30" t="s">
        <v>2240</v>
      </c>
      <c r="Y120" s="30" t="s">
        <v>2253</v>
      </c>
    </row>
    <row r="121" spans="1:25">
      <c r="A121" s="30" t="s">
        <v>13898</v>
      </c>
      <c r="B121" s="30" t="s">
        <v>14406</v>
      </c>
      <c r="C121" s="30" t="s">
        <v>12575</v>
      </c>
      <c r="D121" s="30" t="s">
        <v>12576</v>
      </c>
      <c r="E121" s="30" t="s">
        <v>12577</v>
      </c>
      <c r="F121" s="30" t="s">
        <v>12578</v>
      </c>
      <c r="H121" s="30" t="s">
        <v>2574</v>
      </c>
      <c r="I121" s="30" t="s">
        <v>14407</v>
      </c>
      <c r="J121" s="30" t="s">
        <v>14408</v>
      </c>
      <c r="K121" s="30" t="s">
        <v>13901</v>
      </c>
      <c r="L121" s="30" t="s">
        <v>13902</v>
      </c>
      <c r="M121" s="30" t="s">
        <v>1289</v>
      </c>
      <c r="N121" s="30" t="s">
        <v>131</v>
      </c>
      <c r="O121" s="30" t="s">
        <v>14409</v>
      </c>
      <c r="P121" s="30" t="s">
        <v>131</v>
      </c>
      <c r="Q121" s="30" t="s">
        <v>129</v>
      </c>
      <c r="R121" s="30" t="s">
        <v>129</v>
      </c>
      <c r="S121" s="30" t="s">
        <v>129</v>
      </c>
      <c r="T121" s="30" t="s">
        <v>131</v>
      </c>
      <c r="U121" s="30" t="s">
        <v>14410</v>
      </c>
      <c r="V121" s="30" t="s">
        <v>14411</v>
      </c>
      <c r="W121" s="30" t="s">
        <v>131</v>
      </c>
      <c r="X121" s="30" t="s">
        <v>2240</v>
      </c>
      <c r="Y121" s="30" t="s">
        <v>2253</v>
      </c>
    </row>
    <row r="122" spans="1:25">
      <c r="A122" s="30" t="s">
        <v>13898</v>
      </c>
      <c r="B122" s="30" t="s">
        <v>14412</v>
      </c>
      <c r="C122" s="30" t="s">
        <v>12579</v>
      </c>
      <c r="D122" s="30" t="s">
        <v>12580</v>
      </c>
      <c r="E122" s="30" t="s">
        <v>12581</v>
      </c>
      <c r="F122" s="30" t="s">
        <v>12343</v>
      </c>
      <c r="H122" s="30" t="s">
        <v>2574</v>
      </c>
      <c r="I122" s="30" t="s">
        <v>14413</v>
      </c>
      <c r="J122" s="30" t="s">
        <v>14110</v>
      </c>
      <c r="K122" s="30" t="s">
        <v>13901</v>
      </c>
      <c r="L122" s="30" t="s">
        <v>13902</v>
      </c>
      <c r="M122" s="30" t="s">
        <v>1289</v>
      </c>
      <c r="N122" s="30" t="s">
        <v>131</v>
      </c>
      <c r="O122" s="30" t="s">
        <v>14414</v>
      </c>
      <c r="P122" s="30" t="s">
        <v>131</v>
      </c>
      <c r="Q122" s="30" t="s">
        <v>131</v>
      </c>
      <c r="R122" s="30" t="s">
        <v>129</v>
      </c>
      <c r="S122" s="30" t="s">
        <v>129</v>
      </c>
      <c r="T122" s="30" t="s">
        <v>129</v>
      </c>
      <c r="U122" s="30" t="s">
        <v>14050</v>
      </c>
      <c r="V122" s="30" t="s">
        <v>14051</v>
      </c>
      <c r="W122" s="30" t="s">
        <v>131</v>
      </c>
      <c r="X122" s="30" t="s">
        <v>2240</v>
      </c>
      <c r="Y122" s="30" t="s">
        <v>2253</v>
      </c>
    </row>
    <row r="123" spans="1:25">
      <c r="A123" s="30" t="s">
        <v>13898</v>
      </c>
      <c r="B123" s="30" t="s">
        <v>14415</v>
      </c>
      <c r="C123" s="30" t="s">
        <v>12582</v>
      </c>
      <c r="D123" s="30" t="s">
        <v>12583</v>
      </c>
      <c r="E123" s="30" t="s">
        <v>12584</v>
      </c>
      <c r="F123" s="30" t="s">
        <v>12585</v>
      </c>
      <c r="H123" s="30" t="s">
        <v>2574</v>
      </c>
      <c r="I123" s="30" t="s">
        <v>14416</v>
      </c>
      <c r="J123" s="30" t="s">
        <v>14417</v>
      </c>
      <c r="K123" s="30" t="s">
        <v>13901</v>
      </c>
      <c r="L123" s="30" t="s">
        <v>13902</v>
      </c>
      <c r="M123" s="30" t="s">
        <v>1289</v>
      </c>
      <c r="N123" s="30" t="s">
        <v>129</v>
      </c>
      <c r="P123" s="30" t="s">
        <v>131</v>
      </c>
      <c r="Q123" s="30" t="s">
        <v>131</v>
      </c>
      <c r="R123" s="30" t="s">
        <v>129</v>
      </c>
      <c r="S123" s="30" t="s">
        <v>129</v>
      </c>
      <c r="T123" s="30" t="s">
        <v>131</v>
      </c>
      <c r="U123" s="30" t="s">
        <v>14418</v>
      </c>
      <c r="V123" s="30" t="s">
        <v>14419</v>
      </c>
      <c r="W123" s="30" t="s">
        <v>131</v>
      </c>
      <c r="X123" s="30" t="s">
        <v>2240</v>
      </c>
      <c r="Y123" s="30" t="s">
        <v>2253</v>
      </c>
    </row>
    <row r="124" spans="1:25">
      <c r="A124" s="30" t="s">
        <v>13898</v>
      </c>
      <c r="B124" s="30" t="s">
        <v>14420</v>
      </c>
      <c r="C124" s="30" t="s">
        <v>12586</v>
      </c>
      <c r="D124" s="30" t="s">
        <v>12587</v>
      </c>
      <c r="E124" s="30" t="s">
        <v>12588</v>
      </c>
      <c r="F124" s="30" t="s">
        <v>12589</v>
      </c>
      <c r="H124" s="30" t="s">
        <v>2574</v>
      </c>
      <c r="I124" s="30" t="s">
        <v>14421</v>
      </c>
      <c r="J124" s="30" t="s">
        <v>14422</v>
      </c>
      <c r="K124" s="30" t="s">
        <v>13901</v>
      </c>
      <c r="L124" s="30" t="s">
        <v>13902</v>
      </c>
      <c r="M124" s="30" t="s">
        <v>1289</v>
      </c>
      <c r="N124" s="30" t="s">
        <v>129</v>
      </c>
      <c r="P124" s="30" t="s">
        <v>131</v>
      </c>
      <c r="Q124" s="30" t="s">
        <v>131</v>
      </c>
      <c r="R124" s="30" t="s">
        <v>129</v>
      </c>
      <c r="S124" s="30" t="s">
        <v>129</v>
      </c>
      <c r="T124" s="30" t="s">
        <v>131</v>
      </c>
      <c r="U124" s="30" t="s">
        <v>14423</v>
      </c>
      <c r="V124" s="30" t="s">
        <v>14424</v>
      </c>
      <c r="W124" s="30" t="s">
        <v>131</v>
      </c>
      <c r="X124" s="30" t="s">
        <v>2240</v>
      </c>
      <c r="Y124" s="30" t="s">
        <v>2253</v>
      </c>
    </row>
    <row r="125" spans="1:25">
      <c r="A125" s="30" t="s">
        <v>13898</v>
      </c>
      <c r="B125" s="30" t="s">
        <v>14425</v>
      </c>
      <c r="C125" s="30" t="s">
        <v>12590</v>
      </c>
      <c r="D125" s="30" t="s">
        <v>12591</v>
      </c>
      <c r="E125" s="30" t="s">
        <v>12592</v>
      </c>
      <c r="F125" s="30" t="s">
        <v>12347</v>
      </c>
      <c r="H125" s="30" t="s">
        <v>2574</v>
      </c>
      <c r="I125" s="30" t="s">
        <v>14426</v>
      </c>
      <c r="J125" s="30" t="s">
        <v>14115</v>
      </c>
      <c r="K125" s="30" t="s">
        <v>13901</v>
      </c>
      <c r="L125" s="30" t="s">
        <v>13902</v>
      </c>
      <c r="M125" s="30" t="s">
        <v>1289</v>
      </c>
      <c r="N125" s="30" t="s">
        <v>129</v>
      </c>
      <c r="P125" s="30" t="s">
        <v>131</v>
      </c>
      <c r="Q125" s="30" t="s">
        <v>131</v>
      </c>
      <c r="R125" s="30" t="s">
        <v>131</v>
      </c>
      <c r="S125" s="30" t="s">
        <v>129</v>
      </c>
      <c r="T125" s="30" t="s">
        <v>131</v>
      </c>
      <c r="U125" s="30" t="s">
        <v>14427</v>
      </c>
      <c r="V125" s="30" t="s">
        <v>14428</v>
      </c>
      <c r="W125" s="30" t="s">
        <v>131</v>
      </c>
      <c r="X125" s="30" t="s">
        <v>2240</v>
      </c>
      <c r="Y125" s="30" t="s">
        <v>2253</v>
      </c>
    </row>
    <row r="126" spans="1:25">
      <c r="A126" s="30" t="s">
        <v>13898</v>
      </c>
      <c r="B126" s="30" t="s">
        <v>14429</v>
      </c>
      <c r="C126" s="30" t="s">
        <v>12594</v>
      </c>
      <c r="D126" s="30" t="s">
        <v>12595</v>
      </c>
      <c r="E126" s="30" t="s">
        <v>12596</v>
      </c>
      <c r="F126" s="30" t="s">
        <v>12597</v>
      </c>
      <c r="H126" s="30" t="s">
        <v>2574</v>
      </c>
      <c r="I126" s="30" t="s">
        <v>14430</v>
      </c>
      <c r="J126" s="30" t="s">
        <v>14431</v>
      </c>
      <c r="K126" s="30" t="s">
        <v>13901</v>
      </c>
      <c r="L126" s="30" t="s">
        <v>13902</v>
      </c>
      <c r="M126" s="30" t="s">
        <v>1289</v>
      </c>
      <c r="N126" s="30" t="s">
        <v>131</v>
      </c>
      <c r="O126" s="30" t="s">
        <v>14432</v>
      </c>
      <c r="P126" s="30" t="s">
        <v>131</v>
      </c>
      <c r="Q126" s="30" t="s">
        <v>129</v>
      </c>
      <c r="R126" s="30" t="s">
        <v>129</v>
      </c>
      <c r="S126" s="30" t="s">
        <v>129</v>
      </c>
      <c r="T126" s="30" t="s">
        <v>131</v>
      </c>
      <c r="U126" s="30" t="s">
        <v>14433</v>
      </c>
      <c r="V126" s="30" t="s">
        <v>14434</v>
      </c>
      <c r="W126" s="30" t="s">
        <v>131</v>
      </c>
      <c r="X126" s="30" t="s">
        <v>2240</v>
      </c>
      <c r="Y126" s="30" t="s">
        <v>2253</v>
      </c>
    </row>
    <row r="127" spans="1:25">
      <c r="A127" s="30" t="s">
        <v>13898</v>
      </c>
      <c r="B127" s="30" t="s">
        <v>14435</v>
      </c>
      <c r="C127" s="30" t="s">
        <v>12598</v>
      </c>
      <c r="D127" s="30" t="s">
        <v>12599</v>
      </c>
      <c r="E127" s="30" t="s">
        <v>12600</v>
      </c>
      <c r="F127" s="30" t="s">
        <v>12444</v>
      </c>
      <c r="H127" s="30" t="s">
        <v>2574</v>
      </c>
      <c r="I127" s="30" t="s">
        <v>14436</v>
      </c>
      <c r="J127" s="30" t="s">
        <v>14227</v>
      </c>
      <c r="K127" s="30" t="s">
        <v>13901</v>
      </c>
      <c r="L127" s="30" t="s">
        <v>13902</v>
      </c>
      <c r="M127" s="30" t="s">
        <v>1289</v>
      </c>
      <c r="N127" s="30" t="s">
        <v>129</v>
      </c>
      <c r="P127" s="30" t="s">
        <v>131</v>
      </c>
      <c r="Q127" s="30" t="s">
        <v>131</v>
      </c>
      <c r="R127" s="30" t="s">
        <v>129</v>
      </c>
      <c r="S127" s="30" t="s">
        <v>129</v>
      </c>
      <c r="T127" s="30" t="s">
        <v>131</v>
      </c>
      <c r="U127" s="30" t="s">
        <v>14437</v>
      </c>
      <c r="V127" s="30" t="s">
        <v>14438</v>
      </c>
      <c r="W127" s="30" t="s">
        <v>131</v>
      </c>
      <c r="X127" s="30" t="s">
        <v>2240</v>
      </c>
      <c r="Y127" s="30" t="s">
        <v>2253</v>
      </c>
    </row>
    <row r="128" spans="1:25">
      <c r="A128" s="30" t="s">
        <v>13898</v>
      </c>
      <c r="B128" s="30" t="s">
        <v>14439</v>
      </c>
      <c r="C128" s="30" t="s">
        <v>12602</v>
      </c>
      <c r="D128" s="30" t="s">
        <v>12603</v>
      </c>
      <c r="E128" s="30" t="s">
        <v>12604</v>
      </c>
      <c r="F128" s="30" t="s">
        <v>12563</v>
      </c>
      <c r="H128" s="30" t="s">
        <v>2574</v>
      </c>
      <c r="I128" s="30" t="s">
        <v>14440</v>
      </c>
      <c r="J128" s="30" t="s">
        <v>14387</v>
      </c>
      <c r="K128" s="30" t="s">
        <v>13901</v>
      </c>
      <c r="L128" s="30" t="s">
        <v>13902</v>
      </c>
      <c r="M128" s="30" t="s">
        <v>1289</v>
      </c>
      <c r="N128" s="30" t="s">
        <v>129</v>
      </c>
      <c r="P128" s="30" t="s">
        <v>131</v>
      </c>
      <c r="Q128" s="30" t="s">
        <v>131</v>
      </c>
      <c r="R128" s="30" t="s">
        <v>129</v>
      </c>
      <c r="S128" s="30" t="s">
        <v>129</v>
      </c>
      <c r="T128" s="30" t="s">
        <v>129</v>
      </c>
      <c r="U128" s="30" t="s">
        <v>14441</v>
      </c>
      <c r="V128" s="30" t="s">
        <v>14442</v>
      </c>
      <c r="W128" s="30" t="s">
        <v>131</v>
      </c>
      <c r="X128" s="30" t="s">
        <v>2240</v>
      </c>
      <c r="Y128" s="30" t="s">
        <v>2253</v>
      </c>
    </row>
    <row r="129" spans="1:25">
      <c r="A129" s="30" t="s">
        <v>13898</v>
      </c>
      <c r="B129" s="30" t="s">
        <v>14443</v>
      </c>
      <c r="C129" s="30" t="s">
        <v>12606</v>
      </c>
      <c r="D129" s="30" t="s">
        <v>12607</v>
      </c>
      <c r="E129" s="30" t="s">
        <v>12608</v>
      </c>
      <c r="F129" s="30" t="s">
        <v>12609</v>
      </c>
      <c r="H129" s="30" t="s">
        <v>2574</v>
      </c>
      <c r="I129" s="30" t="s">
        <v>14444</v>
      </c>
      <c r="J129" s="30" t="s">
        <v>14445</v>
      </c>
      <c r="K129" s="30" t="s">
        <v>13901</v>
      </c>
      <c r="L129" s="30" t="s">
        <v>13902</v>
      </c>
      <c r="M129" s="30" t="s">
        <v>1289</v>
      </c>
      <c r="N129" s="30" t="s">
        <v>131</v>
      </c>
      <c r="O129" s="30" t="s">
        <v>14446</v>
      </c>
      <c r="P129" s="30" t="s">
        <v>131</v>
      </c>
      <c r="Q129" s="30" t="s">
        <v>131</v>
      </c>
      <c r="R129" s="30" t="s">
        <v>129</v>
      </c>
      <c r="S129" s="30" t="s">
        <v>129</v>
      </c>
      <c r="T129" s="30" t="s">
        <v>131</v>
      </c>
      <c r="U129" s="30" t="s">
        <v>14447</v>
      </c>
      <c r="V129" s="30" t="s">
        <v>14448</v>
      </c>
      <c r="W129" s="30" t="s">
        <v>131</v>
      </c>
      <c r="X129" s="30" t="s">
        <v>2240</v>
      </c>
      <c r="Y129" s="30" t="s">
        <v>2253</v>
      </c>
    </row>
    <row r="130" spans="1:25">
      <c r="A130" s="30" t="s">
        <v>13898</v>
      </c>
      <c r="B130" s="30" t="s">
        <v>14449</v>
      </c>
      <c r="C130" s="30" t="s">
        <v>12610</v>
      </c>
      <c r="D130" s="30" t="s">
        <v>12611</v>
      </c>
      <c r="E130" s="30" t="s">
        <v>12612</v>
      </c>
      <c r="F130" s="30" t="s">
        <v>12563</v>
      </c>
      <c r="H130" s="30" t="s">
        <v>2574</v>
      </c>
      <c r="I130" s="30" t="s">
        <v>14450</v>
      </c>
      <c r="J130" s="30" t="s">
        <v>14387</v>
      </c>
      <c r="K130" s="30" t="s">
        <v>13901</v>
      </c>
      <c r="L130" s="30" t="s">
        <v>13902</v>
      </c>
      <c r="M130" s="30" t="s">
        <v>1289</v>
      </c>
      <c r="N130" s="30" t="s">
        <v>129</v>
      </c>
      <c r="P130" s="30" t="s">
        <v>131</v>
      </c>
      <c r="Q130" s="30" t="s">
        <v>131</v>
      </c>
      <c r="R130" s="30" t="s">
        <v>129</v>
      </c>
      <c r="S130" s="30" t="s">
        <v>129</v>
      </c>
      <c r="T130" s="30" t="s">
        <v>129</v>
      </c>
      <c r="U130" s="30" t="s">
        <v>14451</v>
      </c>
      <c r="V130" s="30" t="s">
        <v>14452</v>
      </c>
      <c r="W130" s="30" t="s">
        <v>131</v>
      </c>
      <c r="X130" s="30" t="s">
        <v>2240</v>
      </c>
      <c r="Y130" s="30" t="s">
        <v>2253</v>
      </c>
    </row>
    <row r="131" spans="1:25">
      <c r="A131" s="30" t="s">
        <v>13898</v>
      </c>
      <c r="B131" s="30" t="s">
        <v>14453</v>
      </c>
      <c r="C131" s="30" t="s">
        <v>12613</v>
      </c>
      <c r="D131" s="30" t="s">
        <v>12614</v>
      </c>
      <c r="E131" s="30" t="s">
        <v>12615</v>
      </c>
      <c r="F131" s="30" t="s">
        <v>12123</v>
      </c>
      <c r="H131" s="30" t="s">
        <v>2574</v>
      </c>
      <c r="I131" s="30" t="s">
        <v>14454</v>
      </c>
      <c r="J131" s="30" t="s">
        <v>13900</v>
      </c>
      <c r="K131" s="30" t="s">
        <v>13901</v>
      </c>
      <c r="L131" s="30" t="s">
        <v>13902</v>
      </c>
      <c r="M131" s="30" t="s">
        <v>1212</v>
      </c>
      <c r="N131" s="30" t="s">
        <v>129</v>
      </c>
      <c r="P131" s="30" t="s">
        <v>129</v>
      </c>
      <c r="Q131" s="30" t="s">
        <v>129</v>
      </c>
      <c r="R131" s="30" t="s">
        <v>131</v>
      </c>
      <c r="S131" s="30" t="s">
        <v>129</v>
      </c>
      <c r="T131" s="30" t="s">
        <v>129</v>
      </c>
      <c r="U131" s="30" t="s">
        <v>14455</v>
      </c>
      <c r="V131" s="30" t="s">
        <v>14456</v>
      </c>
      <c r="W131" s="30" t="s">
        <v>131</v>
      </c>
      <c r="X131" s="30" t="s">
        <v>2240</v>
      </c>
      <c r="Y131" s="30" t="s">
        <v>2252</v>
      </c>
    </row>
    <row r="132" spans="1:25">
      <c r="A132" s="30" t="s">
        <v>13898</v>
      </c>
      <c r="B132" s="30" t="s">
        <v>14457</v>
      </c>
      <c r="C132" s="30" t="s">
        <v>12616</v>
      </c>
      <c r="D132" s="30" t="s">
        <v>12617</v>
      </c>
      <c r="E132" s="30" t="s">
        <v>12618</v>
      </c>
      <c r="F132" s="30" t="s">
        <v>12131</v>
      </c>
      <c r="H132" s="30" t="s">
        <v>2574</v>
      </c>
      <c r="I132" s="30" t="s">
        <v>14458</v>
      </c>
      <c r="J132" s="30" t="s">
        <v>13906</v>
      </c>
      <c r="K132" s="30" t="s">
        <v>13901</v>
      </c>
      <c r="L132" s="30" t="s">
        <v>13902</v>
      </c>
      <c r="M132" s="30" t="s">
        <v>1212</v>
      </c>
      <c r="N132" s="30" t="s">
        <v>129</v>
      </c>
      <c r="P132" s="30" t="s">
        <v>131</v>
      </c>
      <c r="Q132" s="30" t="s">
        <v>131</v>
      </c>
      <c r="R132" s="30" t="s">
        <v>131</v>
      </c>
      <c r="S132" s="30" t="s">
        <v>129</v>
      </c>
      <c r="T132" s="30" t="s">
        <v>129</v>
      </c>
      <c r="U132" s="30" t="s">
        <v>14459</v>
      </c>
      <c r="V132" s="30" t="s">
        <v>14460</v>
      </c>
      <c r="W132" s="30" t="s">
        <v>131</v>
      </c>
      <c r="X132" s="30" t="s">
        <v>2240</v>
      </c>
      <c r="Y132" s="30" t="s">
        <v>2252</v>
      </c>
    </row>
    <row r="133" spans="1:25">
      <c r="A133" s="30" t="s">
        <v>13898</v>
      </c>
      <c r="B133" s="30" t="s">
        <v>14461</v>
      </c>
      <c r="C133" s="30" t="s">
        <v>12623</v>
      </c>
      <c r="D133" s="30" t="s">
        <v>12624</v>
      </c>
      <c r="E133" s="30" t="s">
        <v>12625</v>
      </c>
      <c r="F133" s="30" t="s">
        <v>12626</v>
      </c>
      <c r="H133" s="30" t="s">
        <v>2574</v>
      </c>
      <c r="I133" s="30" t="s">
        <v>14462</v>
      </c>
      <c r="J133" s="30" t="s">
        <v>14463</v>
      </c>
      <c r="K133" s="30" t="s">
        <v>13901</v>
      </c>
      <c r="L133" s="30" t="s">
        <v>13902</v>
      </c>
      <c r="M133" s="30" t="s">
        <v>1216</v>
      </c>
      <c r="N133" s="30" t="s">
        <v>131</v>
      </c>
      <c r="O133" s="30" t="s">
        <v>13911</v>
      </c>
      <c r="P133" s="30" t="s">
        <v>129</v>
      </c>
      <c r="Q133" s="30" t="s">
        <v>129</v>
      </c>
      <c r="R133" s="30" t="s">
        <v>131</v>
      </c>
      <c r="S133" s="30" t="s">
        <v>129</v>
      </c>
      <c r="T133" s="30" t="s">
        <v>129</v>
      </c>
      <c r="U133" s="30" t="s">
        <v>14464</v>
      </c>
      <c r="V133" s="30" t="s">
        <v>14465</v>
      </c>
      <c r="W133" s="30" t="s">
        <v>131</v>
      </c>
      <c r="X133" s="30" t="s">
        <v>2240</v>
      </c>
      <c r="Y133" s="30" t="s">
        <v>2253</v>
      </c>
    </row>
    <row r="134" spans="1:25">
      <c r="A134" s="30" t="s">
        <v>13898</v>
      </c>
      <c r="B134" s="30" t="s">
        <v>14466</v>
      </c>
      <c r="C134" s="30" t="s">
        <v>12630</v>
      </c>
      <c r="D134" s="30" t="s">
        <v>12631</v>
      </c>
      <c r="E134" s="30" t="s">
        <v>12625</v>
      </c>
      <c r="F134" s="30" t="s">
        <v>12632</v>
      </c>
      <c r="H134" s="30" t="s">
        <v>2574</v>
      </c>
      <c r="I134" s="30" t="s">
        <v>14462</v>
      </c>
      <c r="J134" s="30" t="s">
        <v>14467</v>
      </c>
      <c r="K134" s="30" t="s">
        <v>13901</v>
      </c>
      <c r="L134" s="30" t="s">
        <v>13902</v>
      </c>
      <c r="M134" s="30" t="s">
        <v>1216</v>
      </c>
      <c r="N134" s="30" t="s">
        <v>129</v>
      </c>
      <c r="P134" s="30" t="s">
        <v>129</v>
      </c>
      <c r="Q134" s="30" t="s">
        <v>129</v>
      </c>
      <c r="R134" s="30" t="s">
        <v>131</v>
      </c>
      <c r="S134" s="30" t="s">
        <v>129</v>
      </c>
      <c r="T134" s="30" t="s">
        <v>129</v>
      </c>
      <c r="U134" s="30" t="s">
        <v>14464</v>
      </c>
      <c r="V134" s="30" t="s">
        <v>14465</v>
      </c>
      <c r="W134" s="30" t="s">
        <v>131</v>
      </c>
      <c r="X134" s="30" t="s">
        <v>2240</v>
      </c>
      <c r="Y134" s="30" t="s">
        <v>2253</v>
      </c>
    </row>
    <row r="135" spans="1:25">
      <c r="A135" s="30" t="s">
        <v>13898</v>
      </c>
      <c r="B135" s="30" t="s">
        <v>14468</v>
      </c>
      <c r="C135" s="30" t="s">
        <v>12633</v>
      </c>
      <c r="D135" s="30" t="s">
        <v>12634</v>
      </c>
      <c r="E135" s="30" t="s">
        <v>12635</v>
      </c>
      <c r="F135" s="30" t="s">
        <v>12135</v>
      </c>
      <c r="H135" s="30" t="s">
        <v>2574</v>
      </c>
      <c r="I135" s="30" t="s">
        <v>14469</v>
      </c>
      <c r="J135" s="30" t="s">
        <v>13910</v>
      </c>
      <c r="K135" s="30" t="s">
        <v>13901</v>
      </c>
      <c r="L135" s="30" t="s">
        <v>13902</v>
      </c>
      <c r="M135" s="30" t="s">
        <v>1222</v>
      </c>
      <c r="N135" s="30" t="s">
        <v>131</v>
      </c>
      <c r="O135" s="30" t="s">
        <v>14056</v>
      </c>
      <c r="P135" s="30" t="s">
        <v>131</v>
      </c>
      <c r="Q135" s="30" t="s">
        <v>131</v>
      </c>
      <c r="R135" s="30" t="s">
        <v>131</v>
      </c>
      <c r="S135" s="30" t="s">
        <v>129</v>
      </c>
      <c r="T135" s="30" t="s">
        <v>129</v>
      </c>
      <c r="U135" s="30" t="s">
        <v>14470</v>
      </c>
      <c r="V135" s="30" t="s">
        <v>14471</v>
      </c>
      <c r="W135" s="30" t="s">
        <v>129</v>
      </c>
      <c r="X135" s="30" t="s">
        <v>2238</v>
      </c>
      <c r="Y135" s="30" t="s">
        <v>2254</v>
      </c>
    </row>
    <row r="136" spans="1:25">
      <c r="A136" s="30" t="s">
        <v>13898</v>
      </c>
      <c r="B136" s="30" t="s">
        <v>14472</v>
      </c>
      <c r="C136" s="30" t="s">
        <v>12636</v>
      </c>
      <c r="D136" s="30" t="s">
        <v>12637</v>
      </c>
      <c r="E136" s="30" t="s">
        <v>12638</v>
      </c>
      <c r="F136" s="30" t="s">
        <v>12470</v>
      </c>
      <c r="H136" s="30" t="s">
        <v>2574</v>
      </c>
      <c r="I136" s="30" t="s">
        <v>14473</v>
      </c>
      <c r="J136" s="30" t="s">
        <v>14474</v>
      </c>
      <c r="K136" s="30" t="s">
        <v>13901</v>
      </c>
      <c r="L136" s="30" t="s">
        <v>13902</v>
      </c>
      <c r="M136" s="30" t="s">
        <v>1222</v>
      </c>
      <c r="N136" s="30" t="s">
        <v>131</v>
      </c>
      <c r="O136" s="30" t="s">
        <v>14475</v>
      </c>
      <c r="P136" s="30" t="s">
        <v>131</v>
      </c>
      <c r="Q136" s="30" t="s">
        <v>131</v>
      </c>
      <c r="R136" s="30" t="s">
        <v>131</v>
      </c>
      <c r="S136" s="30" t="s">
        <v>129</v>
      </c>
      <c r="T136" s="30" t="s">
        <v>129</v>
      </c>
      <c r="U136" s="30" t="s">
        <v>14476</v>
      </c>
      <c r="V136" s="30" t="s">
        <v>14477</v>
      </c>
      <c r="W136" s="30" t="s">
        <v>129</v>
      </c>
      <c r="X136" s="30" t="s">
        <v>2238</v>
      </c>
      <c r="Y136" s="30" t="s">
        <v>2254</v>
      </c>
    </row>
    <row r="137" spans="1:25">
      <c r="A137" s="30" t="s">
        <v>13898</v>
      </c>
      <c r="B137" s="30" t="s">
        <v>14478</v>
      </c>
      <c r="C137" s="30" t="s">
        <v>12639</v>
      </c>
      <c r="D137" s="30" t="s">
        <v>12640</v>
      </c>
      <c r="E137" s="30" t="s">
        <v>12641</v>
      </c>
      <c r="F137" s="30" t="s">
        <v>12225</v>
      </c>
      <c r="H137" s="30" t="s">
        <v>2574</v>
      </c>
      <c r="I137" s="30" t="s">
        <v>14479</v>
      </c>
      <c r="J137" s="30" t="s">
        <v>13988</v>
      </c>
      <c r="K137" s="30" t="s">
        <v>13901</v>
      </c>
      <c r="L137" s="30" t="s">
        <v>13902</v>
      </c>
      <c r="M137" s="30" t="s">
        <v>1222</v>
      </c>
      <c r="N137" s="30" t="s">
        <v>129</v>
      </c>
      <c r="P137" s="30" t="s">
        <v>131</v>
      </c>
      <c r="Q137" s="30" t="s">
        <v>131</v>
      </c>
      <c r="R137" s="30" t="s">
        <v>131</v>
      </c>
      <c r="S137" s="30" t="s">
        <v>129</v>
      </c>
      <c r="T137" s="30" t="s">
        <v>129</v>
      </c>
      <c r="U137" s="30" t="s">
        <v>14480</v>
      </c>
      <c r="V137" s="30" t="s">
        <v>14481</v>
      </c>
      <c r="W137" s="30" t="s">
        <v>129</v>
      </c>
      <c r="X137" s="30" t="s">
        <v>2238</v>
      </c>
      <c r="Y137" s="30" t="s">
        <v>2254</v>
      </c>
    </row>
    <row r="138" spans="1:25">
      <c r="A138" s="30" t="s">
        <v>13898</v>
      </c>
      <c r="B138" s="30" t="s">
        <v>14482</v>
      </c>
      <c r="C138" s="30" t="s">
        <v>12645</v>
      </c>
      <c r="D138" s="30" t="s">
        <v>12646</v>
      </c>
      <c r="E138" s="30" t="s">
        <v>12647</v>
      </c>
      <c r="F138" s="30" t="s">
        <v>12648</v>
      </c>
      <c r="H138" s="30" t="s">
        <v>2574</v>
      </c>
      <c r="I138" s="30" t="s">
        <v>14483</v>
      </c>
      <c r="J138" s="30" t="s">
        <v>14484</v>
      </c>
      <c r="K138" s="30" t="s">
        <v>13901</v>
      </c>
      <c r="L138" s="30" t="s">
        <v>13902</v>
      </c>
      <c r="M138" s="30" t="s">
        <v>1222</v>
      </c>
      <c r="N138" s="30" t="s">
        <v>131</v>
      </c>
      <c r="O138" s="30" t="s">
        <v>14485</v>
      </c>
      <c r="P138" s="30" t="s">
        <v>131</v>
      </c>
      <c r="Q138" s="30" t="s">
        <v>131</v>
      </c>
      <c r="R138" s="30" t="s">
        <v>131</v>
      </c>
      <c r="S138" s="30" t="s">
        <v>129</v>
      </c>
      <c r="T138" s="30" t="s">
        <v>131</v>
      </c>
      <c r="U138" s="30" t="s">
        <v>14486</v>
      </c>
      <c r="V138" s="30" t="s">
        <v>14487</v>
      </c>
      <c r="W138" s="30" t="s">
        <v>129</v>
      </c>
      <c r="X138" s="30" t="s">
        <v>2238</v>
      </c>
      <c r="Y138" s="30" t="s">
        <v>2254</v>
      </c>
    </row>
    <row r="139" spans="1:25">
      <c r="A139" s="30" t="s">
        <v>13898</v>
      </c>
      <c r="B139" s="30" t="s">
        <v>14488</v>
      </c>
      <c r="C139" s="30" t="s">
        <v>12649</v>
      </c>
      <c r="D139" s="30" t="s">
        <v>12650</v>
      </c>
      <c r="E139" s="30" t="s">
        <v>12651</v>
      </c>
      <c r="F139" s="30" t="s">
        <v>12193</v>
      </c>
      <c r="H139" s="30" t="s">
        <v>2581</v>
      </c>
      <c r="I139" s="30" t="s">
        <v>14489</v>
      </c>
      <c r="J139" s="30" t="s">
        <v>13960</v>
      </c>
      <c r="K139" s="30" t="s">
        <v>13901</v>
      </c>
      <c r="L139" s="30" t="s">
        <v>13927</v>
      </c>
      <c r="M139" s="30" t="s">
        <v>1224</v>
      </c>
      <c r="N139" s="30" t="s">
        <v>129</v>
      </c>
      <c r="P139" s="30" t="s">
        <v>129</v>
      </c>
      <c r="Q139" s="30" t="s">
        <v>129</v>
      </c>
      <c r="R139" s="30" t="s">
        <v>131</v>
      </c>
      <c r="S139" s="30" t="s">
        <v>129</v>
      </c>
      <c r="T139" s="30" t="s">
        <v>129</v>
      </c>
      <c r="U139" s="30" t="s">
        <v>14490</v>
      </c>
      <c r="V139" s="30" t="s">
        <v>14491</v>
      </c>
      <c r="W139" s="30" t="s">
        <v>129</v>
      </c>
      <c r="X139" s="30" t="s">
        <v>2238</v>
      </c>
      <c r="Y139" s="30" t="s">
        <v>2254</v>
      </c>
    </row>
    <row r="140" spans="1:25">
      <c r="A140" s="30" t="s">
        <v>13898</v>
      </c>
      <c r="B140" s="30" t="s">
        <v>14492</v>
      </c>
      <c r="C140" s="30" t="s">
        <v>12652</v>
      </c>
      <c r="D140" s="30" t="s">
        <v>12653</v>
      </c>
      <c r="E140" s="30" t="s">
        <v>12654</v>
      </c>
      <c r="F140" s="30" t="s">
        <v>12470</v>
      </c>
      <c r="H140" s="30" t="s">
        <v>2574</v>
      </c>
      <c r="I140" s="30" t="s">
        <v>14493</v>
      </c>
      <c r="J140" s="30" t="s">
        <v>14474</v>
      </c>
      <c r="K140" s="30" t="s">
        <v>13901</v>
      </c>
      <c r="L140" s="30" t="s">
        <v>13902</v>
      </c>
      <c r="M140" s="30" t="s">
        <v>1224</v>
      </c>
      <c r="N140" s="30" t="s">
        <v>129</v>
      </c>
      <c r="P140" s="30" t="s">
        <v>129</v>
      </c>
      <c r="Q140" s="30" t="s">
        <v>129</v>
      </c>
      <c r="R140" s="30" t="s">
        <v>129</v>
      </c>
      <c r="S140" s="30" t="s">
        <v>129</v>
      </c>
      <c r="T140" s="30" t="s">
        <v>131</v>
      </c>
      <c r="U140" s="30" t="s">
        <v>14494</v>
      </c>
      <c r="V140" s="30" t="s">
        <v>14495</v>
      </c>
      <c r="W140" s="30" t="s">
        <v>129</v>
      </c>
      <c r="X140" s="30" t="s">
        <v>2238</v>
      </c>
      <c r="Y140" s="30" t="s">
        <v>2254</v>
      </c>
    </row>
    <row r="141" spans="1:25">
      <c r="A141" s="30" t="s">
        <v>13898</v>
      </c>
      <c r="B141" s="30" t="s">
        <v>14496</v>
      </c>
      <c r="C141" s="30" t="s">
        <v>12655</v>
      </c>
      <c r="D141" s="30" t="s">
        <v>12656</v>
      </c>
      <c r="E141" s="30" t="s">
        <v>12657</v>
      </c>
      <c r="F141" s="30" t="s">
        <v>12215</v>
      </c>
      <c r="H141" s="30" t="s">
        <v>2564</v>
      </c>
      <c r="I141" s="30" t="s">
        <v>14497</v>
      </c>
      <c r="J141" s="30" t="s">
        <v>13978</v>
      </c>
      <c r="K141" s="30" t="s">
        <v>13901</v>
      </c>
      <c r="L141" s="30" t="s">
        <v>13938</v>
      </c>
      <c r="M141" s="30" t="s">
        <v>1224</v>
      </c>
      <c r="N141" s="30" t="s">
        <v>131</v>
      </c>
      <c r="O141" s="30" t="s">
        <v>14498</v>
      </c>
      <c r="P141" s="30" t="s">
        <v>131</v>
      </c>
      <c r="Q141" s="30" t="s">
        <v>131</v>
      </c>
      <c r="R141" s="30" t="s">
        <v>131</v>
      </c>
      <c r="S141" s="30" t="s">
        <v>129</v>
      </c>
      <c r="T141" s="30" t="s">
        <v>131</v>
      </c>
      <c r="U141" s="30" t="s">
        <v>14499</v>
      </c>
      <c r="V141" s="30" t="s">
        <v>14500</v>
      </c>
      <c r="W141" s="30" t="s">
        <v>129</v>
      </c>
      <c r="X141" s="30" t="s">
        <v>2238</v>
      </c>
      <c r="Y141" s="30" t="s">
        <v>2254</v>
      </c>
    </row>
    <row r="142" spans="1:25">
      <c r="A142" s="30" t="s">
        <v>13898</v>
      </c>
      <c r="B142" s="30" t="s">
        <v>14501</v>
      </c>
      <c r="C142" s="30" t="s">
        <v>12655</v>
      </c>
      <c r="D142" s="30" t="s">
        <v>12656</v>
      </c>
      <c r="E142" s="30" t="s">
        <v>12657</v>
      </c>
      <c r="F142" s="30" t="s">
        <v>12215</v>
      </c>
      <c r="H142" s="30" t="s">
        <v>2574</v>
      </c>
      <c r="I142" s="30" t="s">
        <v>14497</v>
      </c>
      <c r="J142" s="30" t="s">
        <v>13978</v>
      </c>
      <c r="K142" s="30" t="s">
        <v>13901</v>
      </c>
      <c r="L142" s="30" t="s">
        <v>13902</v>
      </c>
      <c r="M142" s="30" t="s">
        <v>1224</v>
      </c>
      <c r="N142" s="30" t="s">
        <v>131</v>
      </c>
      <c r="O142" s="30" t="s">
        <v>14502</v>
      </c>
      <c r="P142" s="30" t="s">
        <v>131</v>
      </c>
      <c r="Q142" s="30" t="s">
        <v>131</v>
      </c>
      <c r="R142" s="30" t="s">
        <v>131</v>
      </c>
      <c r="S142" s="30" t="s">
        <v>129</v>
      </c>
      <c r="T142" s="30" t="s">
        <v>131</v>
      </c>
      <c r="U142" s="30" t="s">
        <v>14499</v>
      </c>
      <c r="V142" s="30" t="s">
        <v>14500</v>
      </c>
      <c r="W142" s="30" t="s">
        <v>129</v>
      </c>
      <c r="X142" s="30" t="s">
        <v>2238</v>
      </c>
      <c r="Y142" s="30" t="s">
        <v>2254</v>
      </c>
    </row>
    <row r="143" spans="1:25">
      <c r="A143" s="30" t="s">
        <v>13898</v>
      </c>
      <c r="B143" s="30" t="s">
        <v>14503</v>
      </c>
      <c r="C143" s="30" t="s">
        <v>12655</v>
      </c>
      <c r="D143" s="30" t="s">
        <v>12656</v>
      </c>
      <c r="E143" s="30" t="s">
        <v>12657</v>
      </c>
      <c r="F143" s="30" t="s">
        <v>12215</v>
      </c>
      <c r="H143" s="30" t="s">
        <v>2581</v>
      </c>
      <c r="I143" s="30" t="s">
        <v>14497</v>
      </c>
      <c r="J143" s="30" t="s">
        <v>13978</v>
      </c>
      <c r="K143" s="30" t="s">
        <v>13901</v>
      </c>
      <c r="L143" s="30" t="s">
        <v>13927</v>
      </c>
      <c r="M143" s="30" t="s">
        <v>1224</v>
      </c>
      <c r="N143" s="30" t="s">
        <v>131</v>
      </c>
      <c r="O143" s="30" t="s">
        <v>14502</v>
      </c>
      <c r="P143" s="30" t="s">
        <v>131</v>
      </c>
      <c r="Q143" s="30" t="s">
        <v>131</v>
      </c>
      <c r="R143" s="30" t="s">
        <v>131</v>
      </c>
      <c r="S143" s="30" t="s">
        <v>129</v>
      </c>
      <c r="T143" s="30" t="s">
        <v>131</v>
      </c>
      <c r="U143" s="30" t="s">
        <v>14499</v>
      </c>
      <c r="V143" s="30" t="s">
        <v>14500</v>
      </c>
      <c r="W143" s="30" t="s">
        <v>129</v>
      </c>
      <c r="X143" s="30" t="s">
        <v>2238</v>
      </c>
      <c r="Y143" s="30" t="s">
        <v>2254</v>
      </c>
    </row>
    <row r="144" spans="1:25">
      <c r="A144" s="30" t="s">
        <v>13898</v>
      </c>
      <c r="B144" s="30" t="s">
        <v>14504</v>
      </c>
      <c r="C144" s="30" t="s">
        <v>12660</v>
      </c>
      <c r="D144" s="30" t="s">
        <v>12661</v>
      </c>
      <c r="E144" s="30" t="s">
        <v>12322</v>
      </c>
      <c r="F144" s="30" t="s">
        <v>12144</v>
      </c>
      <c r="H144" s="30" t="s">
        <v>2574</v>
      </c>
      <c r="I144" s="30" t="s">
        <v>14089</v>
      </c>
      <c r="J144" s="30" t="s">
        <v>13919</v>
      </c>
      <c r="K144" s="30" t="s">
        <v>13901</v>
      </c>
      <c r="L144" s="30" t="s">
        <v>13902</v>
      </c>
      <c r="M144" s="30" t="s">
        <v>1224</v>
      </c>
      <c r="N144" s="30" t="s">
        <v>129</v>
      </c>
      <c r="P144" s="30" t="s">
        <v>131</v>
      </c>
      <c r="Q144" s="30" t="s">
        <v>129</v>
      </c>
      <c r="R144" s="30" t="s">
        <v>131</v>
      </c>
      <c r="S144" s="30" t="s">
        <v>129</v>
      </c>
      <c r="T144" s="30" t="s">
        <v>129</v>
      </c>
      <c r="U144" s="30" t="s">
        <v>14091</v>
      </c>
      <c r="V144" s="30" t="s">
        <v>14092</v>
      </c>
      <c r="W144" s="30" t="s">
        <v>129</v>
      </c>
      <c r="X144" s="30" t="s">
        <v>2238</v>
      </c>
      <c r="Y144" s="30" t="s">
        <v>2254</v>
      </c>
    </row>
    <row r="145" spans="1:25">
      <c r="A145" s="30" t="s">
        <v>13898</v>
      </c>
      <c r="B145" s="30" t="s">
        <v>14505</v>
      </c>
      <c r="C145" s="30" t="s">
        <v>12662</v>
      </c>
      <c r="D145" s="30" t="s">
        <v>12663</v>
      </c>
      <c r="E145" s="30" t="s">
        <v>12664</v>
      </c>
      <c r="F145" s="30" t="s">
        <v>12225</v>
      </c>
      <c r="H145" s="30" t="s">
        <v>2574</v>
      </c>
      <c r="I145" s="30" t="s">
        <v>14506</v>
      </c>
      <c r="J145" s="30" t="s">
        <v>13988</v>
      </c>
      <c r="K145" s="30" t="s">
        <v>13901</v>
      </c>
      <c r="L145" s="30" t="s">
        <v>13902</v>
      </c>
      <c r="M145" s="30" t="s">
        <v>1224</v>
      </c>
      <c r="N145" s="30" t="s">
        <v>131</v>
      </c>
      <c r="O145" s="30" t="s">
        <v>14507</v>
      </c>
      <c r="P145" s="30" t="s">
        <v>131</v>
      </c>
      <c r="Q145" s="30" t="s">
        <v>129</v>
      </c>
      <c r="R145" s="30" t="s">
        <v>129</v>
      </c>
      <c r="S145" s="30" t="s">
        <v>129</v>
      </c>
      <c r="T145" s="30" t="s">
        <v>131</v>
      </c>
      <c r="U145" s="30" t="s">
        <v>14508</v>
      </c>
      <c r="V145" s="30" t="s">
        <v>14509</v>
      </c>
      <c r="W145" s="30" t="s">
        <v>129</v>
      </c>
      <c r="X145" s="30" t="s">
        <v>2238</v>
      </c>
      <c r="Y145" s="30" t="s">
        <v>2254</v>
      </c>
    </row>
    <row r="146" spans="1:25">
      <c r="A146" s="30" t="s">
        <v>13898</v>
      </c>
      <c r="B146" s="30" t="s">
        <v>14510</v>
      </c>
      <c r="C146" s="30" t="s">
        <v>12665</v>
      </c>
      <c r="D146" s="30" t="s">
        <v>12666</v>
      </c>
      <c r="E146" s="30" t="s">
        <v>12667</v>
      </c>
      <c r="F146" s="30" t="s">
        <v>12189</v>
      </c>
      <c r="H146" s="30" t="s">
        <v>2574</v>
      </c>
      <c r="I146" s="30" t="s">
        <v>14511</v>
      </c>
      <c r="J146" s="30" t="s">
        <v>13955</v>
      </c>
      <c r="K146" s="30" t="s">
        <v>13901</v>
      </c>
      <c r="L146" s="30" t="s">
        <v>13902</v>
      </c>
      <c r="M146" s="30" t="s">
        <v>1224</v>
      </c>
      <c r="N146" s="30" t="s">
        <v>131</v>
      </c>
      <c r="O146" s="30" t="s">
        <v>14512</v>
      </c>
      <c r="P146" s="30" t="s">
        <v>129</v>
      </c>
      <c r="Q146" s="30" t="s">
        <v>129</v>
      </c>
      <c r="R146" s="30" t="s">
        <v>129</v>
      </c>
      <c r="S146" s="30" t="s">
        <v>129</v>
      </c>
      <c r="T146" s="30" t="s">
        <v>131</v>
      </c>
      <c r="U146" s="30" t="s">
        <v>14513</v>
      </c>
      <c r="V146" s="30" t="s">
        <v>14514</v>
      </c>
      <c r="W146" s="30" t="s">
        <v>129</v>
      </c>
      <c r="X146" s="30" t="s">
        <v>2238</v>
      </c>
      <c r="Y146" s="30" t="s">
        <v>2254</v>
      </c>
    </row>
    <row r="147" spans="1:25">
      <c r="A147" s="30" t="s">
        <v>13898</v>
      </c>
      <c r="B147" s="30" t="s">
        <v>14515</v>
      </c>
      <c r="C147" s="30" t="s">
        <v>12665</v>
      </c>
      <c r="D147" s="30" t="s">
        <v>12666</v>
      </c>
      <c r="E147" s="30" t="s">
        <v>12667</v>
      </c>
      <c r="F147" s="30" t="s">
        <v>12189</v>
      </c>
      <c r="H147" s="30" t="s">
        <v>2574</v>
      </c>
      <c r="I147" s="30" t="s">
        <v>14511</v>
      </c>
      <c r="J147" s="30" t="s">
        <v>13955</v>
      </c>
      <c r="K147" s="30" t="s">
        <v>13901</v>
      </c>
      <c r="L147" s="30" t="s">
        <v>13902</v>
      </c>
      <c r="M147" s="30" t="s">
        <v>1224</v>
      </c>
      <c r="N147" s="30" t="s">
        <v>129</v>
      </c>
      <c r="P147" s="30" t="s">
        <v>129</v>
      </c>
      <c r="Q147" s="30" t="s">
        <v>131</v>
      </c>
      <c r="R147" s="30" t="s">
        <v>129</v>
      </c>
      <c r="S147" s="30" t="s">
        <v>129</v>
      </c>
      <c r="T147" s="30" t="s">
        <v>131</v>
      </c>
      <c r="U147" s="30" t="s">
        <v>14513</v>
      </c>
      <c r="V147" s="30" t="s">
        <v>14514</v>
      </c>
      <c r="W147" s="30" t="s">
        <v>129</v>
      </c>
      <c r="X147" s="30" t="s">
        <v>2238</v>
      </c>
      <c r="Y147" s="30" t="s">
        <v>2254</v>
      </c>
    </row>
    <row r="148" spans="1:25">
      <c r="A148" s="30" t="s">
        <v>13898</v>
      </c>
      <c r="B148" s="30" t="s">
        <v>14516</v>
      </c>
      <c r="C148" s="30" t="s">
        <v>12668</v>
      </c>
      <c r="D148" s="30" t="s">
        <v>12669</v>
      </c>
      <c r="E148" s="30" t="s">
        <v>12670</v>
      </c>
      <c r="F148" s="30" t="s">
        <v>12225</v>
      </c>
      <c r="H148" s="30" t="s">
        <v>2574</v>
      </c>
      <c r="I148" s="30" t="s">
        <v>14517</v>
      </c>
      <c r="J148" s="30" t="s">
        <v>13988</v>
      </c>
      <c r="K148" s="30" t="s">
        <v>13901</v>
      </c>
      <c r="L148" s="30" t="s">
        <v>13902</v>
      </c>
      <c r="M148" s="30" t="s">
        <v>1224</v>
      </c>
      <c r="N148" s="30" t="s">
        <v>129</v>
      </c>
      <c r="P148" s="30" t="s">
        <v>131</v>
      </c>
      <c r="Q148" s="30" t="s">
        <v>129</v>
      </c>
      <c r="R148" s="30" t="s">
        <v>131</v>
      </c>
      <c r="S148" s="30" t="s">
        <v>129</v>
      </c>
      <c r="T148" s="30" t="s">
        <v>129</v>
      </c>
      <c r="U148" s="30" t="s">
        <v>14518</v>
      </c>
      <c r="V148" s="30" t="s">
        <v>14519</v>
      </c>
      <c r="W148" s="30" t="s">
        <v>129</v>
      </c>
      <c r="X148" s="30" t="s">
        <v>2238</v>
      </c>
      <c r="Y148" s="30" t="s">
        <v>2254</v>
      </c>
    </row>
    <row r="149" spans="1:25">
      <c r="A149" s="30" t="s">
        <v>13898</v>
      </c>
      <c r="B149" s="30" t="s">
        <v>14520</v>
      </c>
      <c r="C149" s="30" t="s">
        <v>12671</v>
      </c>
      <c r="D149" s="30" t="s">
        <v>12672</v>
      </c>
      <c r="E149" s="30" t="s">
        <v>12673</v>
      </c>
      <c r="F149" s="30" t="s">
        <v>12189</v>
      </c>
      <c r="H149" s="30" t="s">
        <v>2574</v>
      </c>
      <c r="I149" s="30" t="s">
        <v>14521</v>
      </c>
      <c r="J149" s="30" t="s">
        <v>13955</v>
      </c>
      <c r="K149" s="30" t="s">
        <v>13901</v>
      </c>
      <c r="L149" s="30" t="s">
        <v>13902</v>
      </c>
      <c r="M149" s="30" t="s">
        <v>1224</v>
      </c>
      <c r="N149" s="30" t="s">
        <v>131</v>
      </c>
      <c r="O149" s="30" t="s">
        <v>14507</v>
      </c>
      <c r="P149" s="30" t="s">
        <v>131</v>
      </c>
      <c r="Q149" s="30" t="s">
        <v>129</v>
      </c>
      <c r="R149" s="30" t="s">
        <v>131</v>
      </c>
      <c r="S149" s="30" t="s">
        <v>129</v>
      </c>
      <c r="T149" s="30" t="s">
        <v>131</v>
      </c>
      <c r="U149" s="30" t="s">
        <v>14522</v>
      </c>
      <c r="V149" s="30" t="s">
        <v>14523</v>
      </c>
      <c r="W149" s="30" t="s">
        <v>129</v>
      </c>
      <c r="X149" s="30" t="s">
        <v>2238</v>
      </c>
      <c r="Y149" s="30" t="s">
        <v>2254</v>
      </c>
    </row>
    <row r="150" spans="1:25">
      <c r="A150" s="30" t="s">
        <v>13898</v>
      </c>
      <c r="B150" s="30" t="s">
        <v>14524</v>
      </c>
      <c r="C150" s="30" t="s">
        <v>12674</v>
      </c>
      <c r="D150" s="30" t="s">
        <v>12675</v>
      </c>
      <c r="E150" s="30" t="s">
        <v>12676</v>
      </c>
      <c r="F150" s="30" t="s">
        <v>12189</v>
      </c>
      <c r="H150" s="30" t="s">
        <v>2574</v>
      </c>
      <c r="I150" s="30" t="s">
        <v>14525</v>
      </c>
      <c r="J150" s="30" t="s">
        <v>13955</v>
      </c>
      <c r="K150" s="30" t="s">
        <v>13901</v>
      </c>
      <c r="L150" s="30" t="s">
        <v>13902</v>
      </c>
      <c r="M150" s="30" t="s">
        <v>1224</v>
      </c>
      <c r="N150" s="30" t="s">
        <v>131</v>
      </c>
      <c r="O150" s="30" t="s">
        <v>14507</v>
      </c>
      <c r="P150" s="30" t="s">
        <v>131</v>
      </c>
      <c r="Q150" s="30" t="s">
        <v>131</v>
      </c>
      <c r="R150" s="30" t="s">
        <v>131</v>
      </c>
      <c r="S150" s="30" t="s">
        <v>129</v>
      </c>
      <c r="T150" s="30" t="s">
        <v>131</v>
      </c>
      <c r="U150" s="30" t="s">
        <v>14526</v>
      </c>
      <c r="V150" s="30" t="s">
        <v>14527</v>
      </c>
      <c r="W150" s="30" t="s">
        <v>129</v>
      </c>
      <c r="X150" s="30" t="s">
        <v>2238</v>
      </c>
      <c r="Y150" s="30" t="s">
        <v>2254</v>
      </c>
    </row>
    <row r="151" spans="1:25">
      <c r="A151" s="30" t="s">
        <v>13898</v>
      </c>
      <c r="B151" s="30" t="s">
        <v>14528</v>
      </c>
      <c r="C151" s="30" t="s">
        <v>12674</v>
      </c>
      <c r="D151" s="30" t="s">
        <v>12675</v>
      </c>
      <c r="E151" s="30" t="s">
        <v>12676</v>
      </c>
      <c r="F151" s="30" t="s">
        <v>12189</v>
      </c>
      <c r="H151" s="30" t="s">
        <v>2575</v>
      </c>
      <c r="I151" s="30" t="s">
        <v>14525</v>
      </c>
      <c r="J151" s="30" t="s">
        <v>13955</v>
      </c>
      <c r="K151" s="30" t="s">
        <v>13901</v>
      </c>
      <c r="L151" s="30" t="s">
        <v>14082</v>
      </c>
      <c r="M151" s="30" t="s">
        <v>1224</v>
      </c>
      <c r="N151" s="30" t="s">
        <v>129</v>
      </c>
      <c r="P151" s="30" t="s">
        <v>131</v>
      </c>
      <c r="Q151" s="30" t="s">
        <v>129</v>
      </c>
      <c r="R151" s="30" t="s">
        <v>131</v>
      </c>
      <c r="S151" s="30" t="s">
        <v>129</v>
      </c>
      <c r="T151" s="30" t="s">
        <v>131</v>
      </c>
      <c r="U151" s="30" t="s">
        <v>14526</v>
      </c>
      <c r="V151" s="30" t="s">
        <v>14527</v>
      </c>
      <c r="W151" s="30" t="s">
        <v>129</v>
      </c>
      <c r="X151" s="30" t="s">
        <v>2238</v>
      </c>
      <c r="Y151" s="30" t="s">
        <v>2254</v>
      </c>
    </row>
    <row r="152" spans="1:25">
      <c r="A152" s="30" t="s">
        <v>13898</v>
      </c>
      <c r="B152" s="30" t="s">
        <v>14529</v>
      </c>
      <c r="C152" s="30" t="s">
        <v>12677</v>
      </c>
      <c r="D152" s="30" t="s">
        <v>12678</v>
      </c>
      <c r="E152" s="30" t="s">
        <v>12679</v>
      </c>
      <c r="F152" s="30" t="s">
        <v>12680</v>
      </c>
      <c r="H152" s="30" t="s">
        <v>2574</v>
      </c>
      <c r="I152" s="30" t="s">
        <v>14530</v>
      </c>
      <c r="J152" s="30" t="s">
        <v>14531</v>
      </c>
      <c r="K152" s="30" t="s">
        <v>13901</v>
      </c>
      <c r="L152" s="30" t="s">
        <v>13902</v>
      </c>
      <c r="M152" s="30" t="s">
        <v>1224</v>
      </c>
      <c r="N152" s="30" t="s">
        <v>131</v>
      </c>
      <c r="O152" s="30" t="s">
        <v>14532</v>
      </c>
      <c r="P152" s="30" t="s">
        <v>131</v>
      </c>
      <c r="Q152" s="30" t="s">
        <v>131</v>
      </c>
      <c r="R152" s="30" t="s">
        <v>129</v>
      </c>
      <c r="S152" s="30" t="s">
        <v>129</v>
      </c>
      <c r="T152" s="30" t="s">
        <v>131</v>
      </c>
      <c r="U152" s="30" t="s">
        <v>14533</v>
      </c>
      <c r="V152" s="30" t="s">
        <v>14534</v>
      </c>
      <c r="W152" s="30" t="s">
        <v>129</v>
      </c>
      <c r="X152" s="30" t="s">
        <v>2238</v>
      </c>
      <c r="Y152" s="30" t="s">
        <v>2254</v>
      </c>
    </row>
    <row r="153" spans="1:25">
      <c r="A153" s="30" t="s">
        <v>13898</v>
      </c>
      <c r="B153" s="30" t="s">
        <v>14535</v>
      </c>
      <c r="C153" s="30" t="s">
        <v>12681</v>
      </c>
      <c r="D153" s="30" t="s">
        <v>12682</v>
      </c>
      <c r="E153" s="30" t="s">
        <v>12683</v>
      </c>
      <c r="F153" s="30" t="s">
        <v>12135</v>
      </c>
      <c r="H153" s="30" t="s">
        <v>2574</v>
      </c>
      <c r="I153" s="30" t="s">
        <v>14536</v>
      </c>
      <c r="J153" s="30" t="s">
        <v>13910</v>
      </c>
      <c r="K153" s="30" t="s">
        <v>13901</v>
      </c>
      <c r="L153" s="30" t="s">
        <v>13902</v>
      </c>
      <c r="M153" s="30" t="s">
        <v>1224</v>
      </c>
      <c r="N153" s="30" t="s">
        <v>129</v>
      </c>
      <c r="P153" s="30" t="s">
        <v>131</v>
      </c>
      <c r="Q153" s="30" t="s">
        <v>129</v>
      </c>
      <c r="R153" s="30" t="s">
        <v>131</v>
      </c>
      <c r="S153" s="30" t="s">
        <v>129</v>
      </c>
      <c r="T153" s="30" t="s">
        <v>131</v>
      </c>
      <c r="U153" s="30" t="s">
        <v>14537</v>
      </c>
      <c r="V153" s="30" t="s">
        <v>14538</v>
      </c>
      <c r="W153" s="30" t="s">
        <v>129</v>
      </c>
      <c r="X153" s="30" t="s">
        <v>2238</v>
      </c>
      <c r="Y153" s="30" t="s">
        <v>2254</v>
      </c>
    </row>
    <row r="154" spans="1:25">
      <c r="A154" s="30" t="s">
        <v>13898</v>
      </c>
      <c r="B154" s="30" t="s">
        <v>14539</v>
      </c>
      <c r="C154" s="30" t="s">
        <v>12684</v>
      </c>
      <c r="D154" s="30" t="s">
        <v>12685</v>
      </c>
      <c r="E154" s="30" t="s">
        <v>12686</v>
      </c>
      <c r="F154" s="30" t="s">
        <v>12167</v>
      </c>
      <c r="H154" s="30" t="s">
        <v>2581</v>
      </c>
      <c r="I154" s="30" t="s">
        <v>14540</v>
      </c>
      <c r="J154" s="30" t="s">
        <v>13937</v>
      </c>
      <c r="K154" s="30" t="s">
        <v>13901</v>
      </c>
      <c r="L154" s="30" t="s">
        <v>13927</v>
      </c>
      <c r="M154" s="30" t="s">
        <v>1224</v>
      </c>
      <c r="N154" s="30" t="s">
        <v>131</v>
      </c>
      <c r="O154" s="30" t="s">
        <v>14541</v>
      </c>
      <c r="P154" s="30" t="s">
        <v>131</v>
      </c>
      <c r="Q154" s="30" t="s">
        <v>131</v>
      </c>
      <c r="R154" s="30" t="s">
        <v>131</v>
      </c>
      <c r="S154" s="30" t="s">
        <v>129</v>
      </c>
      <c r="T154" s="30" t="s">
        <v>131</v>
      </c>
      <c r="U154" s="30" t="s">
        <v>14542</v>
      </c>
      <c r="V154" s="30" t="s">
        <v>14543</v>
      </c>
      <c r="W154" s="30" t="s">
        <v>129</v>
      </c>
      <c r="X154" s="30" t="s">
        <v>2238</v>
      </c>
      <c r="Y154" s="30" t="s">
        <v>2254</v>
      </c>
    </row>
    <row r="155" spans="1:25">
      <c r="A155" s="30" t="s">
        <v>13898</v>
      </c>
      <c r="B155" s="30" t="s">
        <v>14544</v>
      </c>
      <c r="C155" s="30" t="s">
        <v>12687</v>
      </c>
      <c r="D155" s="30" t="s">
        <v>12688</v>
      </c>
      <c r="E155" s="30" t="s">
        <v>12689</v>
      </c>
      <c r="F155" s="30" t="s">
        <v>12123</v>
      </c>
      <c r="H155" s="30" t="s">
        <v>2572</v>
      </c>
      <c r="I155" s="30" t="s">
        <v>14545</v>
      </c>
      <c r="J155" s="30" t="s">
        <v>13900</v>
      </c>
      <c r="K155" s="30" t="s">
        <v>13901</v>
      </c>
      <c r="L155" s="30" t="s">
        <v>13924</v>
      </c>
      <c r="M155" s="30" t="s">
        <v>1224</v>
      </c>
      <c r="N155" s="30" t="s">
        <v>129</v>
      </c>
      <c r="P155" s="30" t="s">
        <v>129</v>
      </c>
      <c r="Q155" s="30" t="s">
        <v>129</v>
      </c>
      <c r="R155" s="30" t="s">
        <v>129</v>
      </c>
      <c r="S155" s="30" t="s">
        <v>129</v>
      </c>
      <c r="T155" s="30" t="s">
        <v>131</v>
      </c>
      <c r="U155" s="30" t="s">
        <v>14546</v>
      </c>
      <c r="V155" s="30" t="s">
        <v>14547</v>
      </c>
      <c r="W155" s="30" t="s">
        <v>129</v>
      </c>
      <c r="X155" s="30" t="s">
        <v>2238</v>
      </c>
      <c r="Y155" s="30" t="s">
        <v>2254</v>
      </c>
    </row>
    <row r="156" spans="1:25">
      <c r="A156" s="30" t="s">
        <v>13898</v>
      </c>
      <c r="B156" s="30" t="s">
        <v>14548</v>
      </c>
      <c r="C156" s="30" t="s">
        <v>12690</v>
      </c>
      <c r="D156" s="30" t="s">
        <v>12691</v>
      </c>
      <c r="E156" s="30" t="s">
        <v>12692</v>
      </c>
      <c r="F156" s="30" t="s">
        <v>12131</v>
      </c>
      <c r="H156" s="30" t="s">
        <v>2574</v>
      </c>
      <c r="I156" s="30" t="s">
        <v>14549</v>
      </c>
      <c r="J156" s="30" t="s">
        <v>13906</v>
      </c>
      <c r="K156" s="30" t="s">
        <v>13901</v>
      </c>
      <c r="L156" s="30" t="s">
        <v>13902</v>
      </c>
      <c r="M156" s="30" t="s">
        <v>1224</v>
      </c>
      <c r="N156" s="30" t="s">
        <v>129</v>
      </c>
      <c r="P156" s="30" t="s">
        <v>131</v>
      </c>
      <c r="Q156" s="30" t="s">
        <v>131</v>
      </c>
      <c r="R156" s="30" t="s">
        <v>131</v>
      </c>
      <c r="S156" s="30" t="s">
        <v>129</v>
      </c>
      <c r="T156" s="30" t="s">
        <v>129</v>
      </c>
      <c r="U156" s="30" t="s">
        <v>14550</v>
      </c>
      <c r="V156" s="30" t="s">
        <v>14551</v>
      </c>
      <c r="W156" s="30" t="s">
        <v>129</v>
      </c>
      <c r="X156" s="30" t="s">
        <v>2238</v>
      </c>
      <c r="Y156" s="30" t="s">
        <v>2254</v>
      </c>
    </row>
    <row r="157" spans="1:25">
      <c r="A157" s="30" t="s">
        <v>13898</v>
      </c>
      <c r="B157" s="30" t="s">
        <v>14552</v>
      </c>
      <c r="C157" s="30" t="s">
        <v>12693</v>
      </c>
      <c r="D157" s="30" t="s">
        <v>12694</v>
      </c>
      <c r="E157" s="30" t="s">
        <v>12695</v>
      </c>
      <c r="F157" s="30" t="s">
        <v>12696</v>
      </c>
      <c r="H157" s="30" t="s">
        <v>2574</v>
      </c>
      <c r="I157" s="30" t="s">
        <v>14553</v>
      </c>
      <c r="J157" s="30" t="s">
        <v>14554</v>
      </c>
      <c r="K157" s="30" t="s">
        <v>13901</v>
      </c>
      <c r="L157" s="30" t="s">
        <v>13902</v>
      </c>
      <c r="M157" s="30" t="s">
        <v>1224</v>
      </c>
      <c r="N157" s="30" t="s">
        <v>131</v>
      </c>
      <c r="O157" s="30" t="s">
        <v>14555</v>
      </c>
      <c r="P157" s="30" t="s">
        <v>131</v>
      </c>
      <c r="Q157" s="30" t="s">
        <v>131</v>
      </c>
      <c r="R157" s="30" t="s">
        <v>129</v>
      </c>
      <c r="S157" s="30" t="s">
        <v>129</v>
      </c>
      <c r="T157" s="30" t="s">
        <v>129</v>
      </c>
      <c r="U157" s="30" t="s">
        <v>14556</v>
      </c>
      <c r="V157" s="30" t="s">
        <v>14557</v>
      </c>
      <c r="W157" s="30" t="s">
        <v>129</v>
      </c>
      <c r="X157" s="30" t="s">
        <v>2238</v>
      </c>
      <c r="Y157" s="30" t="s">
        <v>2254</v>
      </c>
    </row>
    <row r="158" spans="1:25">
      <c r="A158" s="30" t="s">
        <v>13898</v>
      </c>
      <c r="B158" s="30" t="s">
        <v>14558</v>
      </c>
      <c r="C158" s="30" t="s">
        <v>12697</v>
      </c>
      <c r="D158" s="30" t="s">
        <v>12698</v>
      </c>
      <c r="E158" s="30" t="s">
        <v>12699</v>
      </c>
      <c r="F158" s="30" t="s">
        <v>12307</v>
      </c>
      <c r="H158" s="30" t="s">
        <v>2572</v>
      </c>
      <c r="I158" s="30" t="s">
        <v>14559</v>
      </c>
      <c r="J158" s="30" t="s">
        <v>14077</v>
      </c>
      <c r="K158" s="30" t="s">
        <v>13901</v>
      </c>
      <c r="L158" s="30" t="s">
        <v>13924</v>
      </c>
      <c r="M158" s="30" t="s">
        <v>1224</v>
      </c>
      <c r="N158" s="30" t="s">
        <v>129</v>
      </c>
      <c r="P158" s="30" t="s">
        <v>129</v>
      </c>
      <c r="Q158" s="30" t="s">
        <v>131</v>
      </c>
      <c r="R158" s="30" t="s">
        <v>131</v>
      </c>
      <c r="S158" s="30" t="s">
        <v>129</v>
      </c>
      <c r="T158" s="30" t="s">
        <v>131</v>
      </c>
      <c r="U158" s="30" t="s">
        <v>14560</v>
      </c>
      <c r="V158" s="30" t="s">
        <v>14561</v>
      </c>
      <c r="W158" s="30" t="s">
        <v>129</v>
      </c>
      <c r="X158" s="30" t="s">
        <v>2238</v>
      </c>
      <c r="Y158" s="30" t="s">
        <v>2254</v>
      </c>
    </row>
    <row r="159" spans="1:25">
      <c r="A159" s="30" t="s">
        <v>13898</v>
      </c>
      <c r="B159" s="30" t="s">
        <v>14562</v>
      </c>
      <c r="C159" s="30" t="s">
        <v>12697</v>
      </c>
      <c r="D159" s="30" t="s">
        <v>12698</v>
      </c>
      <c r="E159" s="30" t="s">
        <v>12699</v>
      </c>
      <c r="F159" s="30" t="s">
        <v>12307</v>
      </c>
      <c r="H159" s="30" t="s">
        <v>2574</v>
      </c>
      <c r="I159" s="30" t="s">
        <v>14559</v>
      </c>
      <c r="J159" s="30" t="s">
        <v>14077</v>
      </c>
      <c r="K159" s="30" t="s">
        <v>13901</v>
      </c>
      <c r="L159" s="30" t="s">
        <v>13902</v>
      </c>
      <c r="M159" s="30" t="s">
        <v>1224</v>
      </c>
      <c r="N159" s="30" t="s">
        <v>129</v>
      </c>
      <c r="P159" s="30" t="s">
        <v>129</v>
      </c>
      <c r="Q159" s="30" t="s">
        <v>131</v>
      </c>
      <c r="R159" s="30" t="s">
        <v>131</v>
      </c>
      <c r="S159" s="30" t="s">
        <v>129</v>
      </c>
      <c r="T159" s="30" t="s">
        <v>131</v>
      </c>
      <c r="U159" s="30" t="s">
        <v>14560</v>
      </c>
      <c r="V159" s="30" t="s">
        <v>14561</v>
      </c>
      <c r="W159" s="30" t="s">
        <v>129</v>
      </c>
      <c r="X159" s="30" t="s">
        <v>2238</v>
      </c>
      <c r="Y159" s="30" t="s">
        <v>2254</v>
      </c>
    </row>
    <row r="160" spans="1:25">
      <c r="A160" s="30" t="s">
        <v>13898</v>
      </c>
      <c r="B160" s="30" t="s">
        <v>14563</v>
      </c>
      <c r="C160" s="30" t="s">
        <v>12700</v>
      </c>
      <c r="D160" s="30" t="s">
        <v>12701</v>
      </c>
      <c r="E160" s="30" t="s">
        <v>12702</v>
      </c>
      <c r="F160" s="30" t="s">
        <v>12185</v>
      </c>
      <c r="H160" s="30" t="s">
        <v>2574</v>
      </c>
      <c r="I160" s="30" t="s">
        <v>14564</v>
      </c>
      <c r="J160" s="30" t="s">
        <v>13950</v>
      </c>
      <c r="K160" s="30" t="s">
        <v>13901</v>
      </c>
      <c r="L160" s="30" t="s">
        <v>13902</v>
      </c>
      <c r="M160" s="30" t="s">
        <v>1224</v>
      </c>
      <c r="N160" s="30" t="s">
        <v>131</v>
      </c>
      <c r="O160" s="30" t="s">
        <v>13951</v>
      </c>
      <c r="P160" s="30" t="s">
        <v>131</v>
      </c>
      <c r="Q160" s="30" t="s">
        <v>131</v>
      </c>
      <c r="R160" s="30" t="s">
        <v>129</v>
      </c>
      <c r="S160" s="30" t="s">
        <v>129</v>
      </c>
      <c r="T160" s="30" t="s">
        <v>131</v>
      </c>
      <c r="U160" s="30" t="s">
        <v>14565</v>
      </c>
      <c r="V160" s="30" t="s">
        <v>14566</v>
      </c>
      <c r="W160" s="30" t="s">
        <v>129</v>
      </c>
      <c r="X160" s="30" t="s">
        <v>2238</v>
      </c>
      <c r="Y160" s="30" t="s">
        <v>2254</v>
      </c>
    </row>
    <row r="161" spans="1:25">
      <c r="A161" s="30" t="s">
        <v>13898</v>
      </c>
      <c r="B161" s="30" t="s">
        <v>14567</v>
      </c>
      <c r="C161" s="30" t="s">
        <v>12703</v>
      </c>
      <c r="D161" s="30" t="s">
        <v>12704</v>
      </c>
      <c r="E161" s="30" t="s">
        <v>12705</v>
      </c>
      <c r="F161" s="30" t="s">
        <v>12123</v>
      </c>
      <c r="H161" s="30" t="s">
        <v>2574</v>
      </c>
      <c r="I161" s="30" t="s">
        <v>14568</v>
      </c>
      <c r="J161" s="30" t="s">
        <v>13900</v>
      </c>
      <c r="K161" s="30" t="s">
        <v>13901</v>
      </c>
      <c r="L161" s="30" t="s">
        <v>13902</v>
      </c>
      <c r="M161" s="30" t="s">
        <v>1224</v>
      </c>
      <c r="N161" s="30" t="s">
        <v>131</v>
      </c>
      <c r="O161" s="30" t="s">
        <v>14569</v>
      </c>
      <c r="P161" s="30" t="s">
        <v>131</v>
      </c>
      <c r="Q161" s="30" t="s">
        <v>131</v>
      </c>
      <c r="R161" s="30" t="s">
        <v>131</v>
      </c>
      <c r="S161" s="30" t="s">
        <v>129</v>
      </c>
      <c r="T161" s="30" t="s">
        <v>131</v>
      </c>
      <c r="U161" s="30" t="s">
        <v>14570</v>
      </c>
      <c r="V161" s="30" t="s">
        <v>14571</v>
      </c>
      <c r="W161" s="30" t="s">
        <v>129</v>
      </c>
      <c r="X161" s="30" t="s">
        <v>2238</v>
      </c>
      <c r="Y161" s="30" t="s">
        <v>2254</v>
      </c>
    </row>
    <row r="162" spans="1:25">
      <c r="A162" s="30" t="s">
        <v>13898</v>
      </c>
      <c r="B162" s="30" t="s">
        <v>14572</v>
      </c>
      <c r="C162" s="30" t="s">
        <v>12706</v>
      </c>
      <c r="D162" s="30" t="s">
        <v>12707</v>
      </c>
      <c r="E162" s="30" t="s">
        <v>12708</v>
      </c>
      <c r="F162" s="30" t="s">
        <v>12181</v>
      </c>
      <c r="H162" s="30" t="s">
        <v>2574</v>
      </c>
      <c r="I162" s="30" t="s">
        <v>14573</v>
      </c>
      <c r="J162" s="30" t="s">
        <v>13946</v>
      </c>
      <c r="K162" s="30" t="s">
        <v>13901</v>
      </c>
      <c r="L162" s="30" t="s">
        <v>13902</v>
      </c>
      <c r="M162" s="30" t="s">
        <v>1224</v>
      </c>
      <c r="N162" s="30" t="s">
        <v>129</v>
      </c>
      <c r="P162" s="30" t="s">
        <v>131</v>
      </c>
      <c r="Q162" s="30" t="s">
        <v>131</v>
      </c>
      <c r="R162" s="30" t="s">
        <v>129</v>
      </c>
      <c r="S162" s="30" t="s">
        <v>129</v>
      </c>
      <c r="T162" s="30" t="s">
        <v>131</v>
      </c>
      <c r="U162" s="30" t="s">
        <v>14574</v>
      </c>
      <c r="V162" s="30" t="s">
        <v>14575</v>
      </c>
      <c r="W162" s="30" t="s">
        <v>129</v>
      </c>
      <c r="X162" s="30" t="s">
        <v>2238</v>
      </c>
      <c r="Y162" s="30" t="s">
        <v>2254</v>
      </c>
    </row>
    <row r="163" spans="1:25">
      <c r="A163" s="30" t="s">
        <v>13898</v>
      </c>
      <c r="B163" s="30" t="s">
        <v>14576</v>
      </c>
      <c r="C163" s="30" t="s">
        <v>12709</v>
      </c>
      <c r="D163" s="30" t="s">
        <v>12710</v>
      </c>
      <c r="E163" s="30" t="s">
        <v>12711</v>
      </c>
      <c r="F163" s="30" t="s">
        <v>12193</v>
      </c>
      <c r="H163" s="30" t="s">
        <v>2574</v>
      </c>
      <c r="I163" s="30" t="s">
        <v>14577</v>
      </c>
      <c r="J163" s="30" t="s">
        <v>13960</v>
      </c>
      <c r="K163" s="30" t="s">
        <v>13901</v>
      </c>
      <c r="L163" s="30" t="s">
        <v>13902</v>
      </c>
      <c r="M163" s="30" t="s">
        <v>1224</v>
      </c>
      <c r="N163" s="30" t="s">
        <v>129</v>
      </c>
      <c r="P163" s="30" t="s">
        <v>131</v>
      </c>
      <c r="Q163" s="30" t="s">
        <v>129</v>
      </c>
      <c r="R163" s="30" t="s">
        <v>131</v>
      </c>
      <c r="S163" s="30" t="s">
        <v>129</v>
      </c>
      <c r="T163" s="30" t="s">
        <v>129</v>
      </c>
      <c r="U163" s="30" t="s">
        <v>14578</v>
      </c>
      <c r="V163" s="30" t="s">
        <v>14579</v>
      </c>
      <c r="W163" s="30" t="s">
        <v>129</v>
      </c>
      <c r="X163" s="30" t="s">
        <v>2238</v>
      </c>
      <c r="Y163" s="30" t="s">
        <v>2254</v>
      </c>
    </row>
    <row r="164" spans="1:25">
      <c r="A164" s="30" t="s">
        <v>13898</v>
      </c>
      <c r="B164" s="30" t="s">
        <v>14580</v>
      </c>
      <c r="C164" s="30" t="s">
        <v>12712</v>
      </c>
      <c r="D164" s="30" t="s">
        <v>12713</v>
      </c>
      <c r="E164" s="30" t="s">
        <v>12714</v>
      </c>
      <c r="F164" s="30" t="s">
        <v>12299</v>
      </c>
      <c r="H164" s="30" t="s">
        <v>2574</v>
      </c>
      <c r="I164" s="30" t="s">
        <v>14581</v>
      </c>
      <c r="J164" s="30" t="s">
        <v>14068</v>
      </c>
      <c r="K164" s="30" t="s">
        <v>13901</v>
      </c>
      <c r="L164" s="30" t="s">
        <v>13902</v>
      </c>
      <c r="M164" s="30" t="s">
        <v>1224</v>
      </c>
      <c r="N164" s="30" t="s">
        <v>129</v>
      </c>
      <c r="P164" s="30" t="s">
        <v>129</v>
      </c>
      <c r="Q164" s="30" t="s">
        <v>129</v>
      </c>
      <c r="R164" s="30" t="s">
        <v>129</v>
      </c>
      <c r="S164" s="30" t="s">
        <v>129</v>
      </c>
      <c r="T164" s="30" t="s">
        <v>129</v>
      </c>
      <c r="U164" s="30" t="s">
        <v>14582</v>
      </c>
      <c r="V164" s="30" t="s">
        <v>14583</v>
      </c>
      <c r="W164" s="30" t="s">
        <v>129</v>
      </c>
      <c r="X164" s="30" t="s">
        <v>2238</v>
      </c>
      <c r="Y164" s="30" t="s">
        <v>2254</v>
      </c>
    </row>
    <row r="165" spans="1:25">
      <c r="A165" s="30" t="s">
        <v>13898</v>
      </c>
      <c r="B165" s="30" t="s">
        <v>14584</v>
      </c>
      <c r="C165" s="30" t="s">
        <v>12715</v>
      </c>
      <c r="D165" s="30" t="s">
        <v>12716</v>
      </c>
      <c r="E165" s="30" t="s">
        <v>12717</v>
      </c>
      <c r="F165" s="30" t="s">
        <v>12131</v>
      </c>
      <c r="H165" s="30" t="s">
        <v>2574</v>
      </c>
      <c r="I165" s="30" t="s">
        <v>14585</v>
      </c>
      <c r="J165" s="30" t="s">
        <v>13906</v>
      </c>
      <c r="K165" s="30" t="s">
        <v>13901</v>
      </c>
      <c r="L165" s="30" t="s">
        <v>13902</v>
      </c>
      <c r="M165" s="30" t="s">
        <v>1224</v>
      </c>
      <c r="N165" s="30" t="s">
        <v>131</v>
      </c>
      <c r="O165" s="30" t="s">
        <v>13929</v>
      </c>
      <c r="P165" s="30" t="s">
        <v>131</v>
      </c>
      <c r="Q165" s="30" t="s">
        <v>129</v>
      </c>
      <c r="R165" s="30" t="s">
        <v>131</v>
      </c>
      <c r="S165" s="30" t="s">
        <v>129</v>
      </c>
      <c r="T165" s="30" t="s">
        <v>129</v>
      </c>
      <c r="U165" s="30" t="s">
        <v>14586</v>
      </c>
      <c r="V165" s="30" t="s">
        <v>14587</v>
      </c>
      <c r="W165" s="30" t="s">
        <v>129</v>
      </c>
      <c r="X165" s="30" t="s">
        <v>2238</v>
      </c>
      <c r="Y165" s="30" t="s">
        <v>2254</v>
      </c>
    </row>
    <row r="166" spans="1:25">
      <c r="A166" s="30" t="s">
        <v>13898</v>
      </c>
      <c r="B166" s="30" t="s">
        <v>14588</v>
      </c>
      <c r="C166" s="30" t="s">
        <v>12719</v>
      </c>
      <c r="D166" s="30" t="s">
        <v>12720</v>
      </c>
      <c r="E166" s="30" t="s">
        <v>12721</v>
      </c>
      <c r="F166" s="30" t="s">
        <v>12189</v>
      </c>
      <c r="H166" s="30" t="s">
        <v>2568</v>
      </c>
      <c r="I166" s="30" t="s">
        <v>14589</v>
      </c>
      <c r="J166" s="30" t="s">
        <v>13955</v>
      </c>
      <c r="K166" s="30" t="s">
        <v>13901</v>
      </c>
      <c r="L166" s="30" t="s">
        <v>14590</v>
      </c>
      <c r="M166" s="30" t="s">
        <v>1224</v>
      </c>
      <c r="N166" s="30" t="s">
        <v>129</v>
      </c>
      <c r="P166" s="30" t="s">
        <v>131</v>
      </c>
      <c r="Q166" s="30" t="s">
        <v>129</v>
      </c>
      <c r="R166" s="30" t="s">
        <v>131</v>
      </c>
      <c r="S166" s="30" t="s">
        <v>129</v>
      </c>
      <c r="T166" s="30" t="s">
        <v>129</v>
      </c>
      <c r="U166" s="30" t="s">
        <v>14591</v>
      </c>
      <c r="V166" s="30" t="s">
        <v>14592</v>
      </c>
      <c r="W166" s="30" t="s">
        <v>129</v>
      </c>
      <c r="X166" s="30" t="s">
        <v>2238</v>
      </c>
      <c r="Y166" s="30" t="s">
        <v>2254</v>
      </c>
    </row>
    <row r="167" spans="1:25">
      <c r="A167" s="30" t="s">
        <v>13898</v>
      </c>
      <c r="B167" s="30" t="s">
        <v>14593</v>
      </c>
      <c r="C167" s="30" t="s">
        <v>12723</v>
      </c>
      <c r="D167" s="30" t="s">
        <v>12724</v>
      </c>
      <c r="E167" s="30" t="s">
        <v>12725</v>
      </c>
      <c r="F167" s="30" t="s">
        <v>12470</v>
      </c>
      <c r="H167" s="30" t="s">
        <v>2574</v>
      </c>
      <c r="I167" s="30" t="s">
        <v>14594</v>
      </c>
      <c r="J167" s="30" t="s">
        <v>14474</v>
      </c>
      <c r="K167" s="30" t="s">
        <v>13901</v>
      </c>
      <c r="L167" s="30" t="s">
        <v>13902</v>
      </c>
      <c r="M167" s="30" t="s">
        <v>1224</v>
      </c>
      <c r="N167" s="30" t="s">
        <v>131</v>
      </c>
      <c r="O167" s="30" t="s">
        <v>14595</v>
      </c>
      <c r="P167" s="30" t="s">
        <v>129</v>
      </c>
      <c r="Q167" s="30" t="s">
        <v>129</v>
      </c>
      <c r="R167" s="30" t="s">
        <v>129</v>
      </c>
      <c r="S167" s="30" t="s">
        <v>129</v>
      </c>
      <c r="T167" s="30" t="s">
        <v>131</v>
      </c>
      <c r="U167" s="30" t="s">
        <v>14596</v>
      </c>
      <c r="V167" s="30" t="s">
        <v>14597</v>
      </c>
      <c r="W167" s="30" t="s">
        <v>129</v>
      </c>
      <c r="X167" s="30" t="s">
        <v>2238</v>
      </c>
      <c r="Y167" s="30" t="s">
        <v>2254</v>
      </c>
    </row>
    <row r="168" spans="1:25">
      <c r="A168" s="30" t="s">
        <v>13898</v>
      </c>
      <c r="B168" s="30" t="s">
        <v>14598</v>
      </c>
      <c r="C168" s="30" t="s">
        <v>12726</v>
      </c>
      <c r="D168" s="30" t="s">
        <v>12727</v>
      </c>
      <c r="E168" s="30" t="s">
        <v>12728</v>
      </c>
      <c r="F168" s="30" t="s">
        <v>12201</v>
      </c>
      <c r="H168" s="30" t="s">
        <v>2574</v>
      </c>
      <c r="I168" s="30" t="s">
        <v>14599</v>
      </c>
      <c r="J168" s="30" t="s">
        <v>13968</v>
      </c>
      <c r="K168" s="30" t="s">
        <v>13901</v>
      </c>
      <c r="L168" s="30" t="s">
        <v>13902</v>
      </c>
      <c r="M168" s="30" t="s">
        <v>1224</v>
      </c>
      <c r="N168" s="30" t="s">
        <v>129</v>
      </c>
      <c r="P168" s="30" t="s">
        <v>131</v>
      </c>
      <c r="Q168" s="30" t="s">
        <v>131</v>
      </c>
      <c r="R168" s="30" t="s">
        <v>131</v>
      </c>
      <c r="S168" s="30" t="s">
        <v>129</v>
      </c>
      <c r="T168" s="30" t="s">
        <v>129</v>
      </c>
      <c r="U168" s="30" t="s">
        <v>14600</v>
      </c>
      <c r="V168" s="30" t="s">
        <v>14601</v>
      </c>
      <c r="W168" s="30" t="s">
        <v>129</v>
      </c>
      <c r="X168" s="30" t="s">
        <v>2238</v>
      </c>
      <c r="Y168" s="30" t="s">
        <v>2254</v>
      </c>
    </row>
    <row r="169" spans="1:25">
      <c r="A169" s="30" t="s">
        <v>13898</v>
      </c>
      <c r="B169" s="30" t="s">
        <v>14602</v>
      </c>
      <c r="C169" s="30" t="s">
        <v>12729</v>
      </c>
      <c r="D169" s="30" t="s">
        <v>12730</v>
      </c>
      <c r="E169" s="30" t="s">
        <v>12731</v>
      </c>
      <c r="F169" s="30" t="s">
        <v>12201</v>
      </c>
      <c r="H169" s="30" t="s">
        <v>2574</v>
      </c>
      <c r="I169" s="30" t="s">
        <v>14603</v>
      </c>
      <c r="J169" s="30" t="s">
        <v>13968</v>
      </c>
      <c r="K169" s="30" t="s">
        <v>13901</v>
      </c>
      <c r="L169" s="30" t="s">
        <v>13902</v>
      </c>
      <c r="M169" s="30" t="s">
        <v>1224</v>
      </c>
      <c r="N169" s="30" t="s">
        <v>131</v>
      </c>
      <c r="O169" s="30" t="s">
        <v>14604</v>
      </c>
      <c r="P169" s="30" t="s">
        <v>131</v>
      </c>
      <c r="Q169" s="30" t="s">
        <v>131</v>
      </c>
      <c r="R169" s="30" t="s">
        <v>131</v>
      </c>
      <c r="S169" s="30" t="s">
        <v>129</v>
      </c>
      <c r="T169" s="30" t="s">
        <v>131</v>
      </c>
      <c r="U169" s="30" t="s">
        <v>14605</v>
      </c>
      <c r="V169" s="30" t="s">
        <v>14606</v>
      </c>
      <c r="W169" s="30" t="s">
        <v>129</v>
      </c>
      <c r="X169" s="30" t="s">
        <v>2238</v>
      </c>
      <c r="Y169" s="30" t="s">
        <v>2254</v>
      </c>
    </row>
    <row r="170" spans="1:25">
      <c r="A170" s="30" t="s">
        <v>13898</v>
      </c>
      <c r="B170" s="30" t="s">
        <v>14607</v>
      </c>
      <c r="C170" s="30" t="s">
        <v>12733</v>
      </c>
      <c r="D170" s="30" t="s">
        <v>12734</v>
      </c>
      <c r="E170" s="30" t="s">
        <v>12735</v>
      </c>
      <c r="F170" s="30" t="s">
        <v>12215</v>
      </c>
      <c r="H170" s="30" t="s">
        <v>2574</v>
      </c>
      <c r="I170" s="30" t="s">
        <v>14608</v>
      </c>
      <c r="J170" s="30" t="s">
        <v>13978</v>
      </c>
      <c r="K170" s="30" t="s">
        <v>13901</v>
      </c>
      <c r="L170" s="30" t="s">
        <v>13902</v>
      </c>
      <c r="M170" s="30" t="s">
        <v>1224</v>
      </c>
      <c r="N170" s="30" t="s">
        <v>129</v>
      </c>
      <c r="P170" s="30" t="s">
        <v>129</v>
      </c>
      <c r="Q170" s="30" t="s">
        <v>131</v>
      </c>
      <c r="R170" s="30" t="s">
        <v>131</v>
      </c>
      <c r="S170" s="30" t="s">
        <v>129</v>
      </c>
      <c r="T170" s="30" t="s">
        <v>131</v>
      </c>
      <c r="U170" s="30" t="s">
        <v>14609</v>
      </c>
      <c r="V170" s="30" t="s">
        <v>14610</v>
      </c>
      <c r="W170" s="30" t="s">
        <v>129</v>
      </c>
      <c r="X170" s="30" t="s">
        <v>2238</v>
      </c>
      <c r="Y170" s="30" t="s">
        <v>2254</v>
      </c>
    </row>
    <row r="171" spans="1:25">
      <c r="A171" s="30" t="s">
        <v>13898</v>
      </c>
      <c r="B171" s="30" t="s">
        <v>14611</v>
      </c>
      <c r="C171" s="30" t="s">
        <v>12733</v>
      </c>
      <c r="D171" s="30" t="s">
        <v>12734</v>
      </c>
      <c r="E171" s="30" t="s">
        <v>12735</v>
      </c>
      <c r="F171" s="30" t="s">
        <v>12215</v>
      </c>
      <c r="H171" s="30" t="s">
        <v>130</v>
      </c>
      <c r="I171" s="30" t="s">
        <v>14608</v>
      </c>
      <c r="J171" s="30" t="s">
        <v>13978</v>
      </c>
      <c r="K171" s="30" t="s">
        <v>13901</v>
      </c>
      <c r="L171" s="30" t="s">
        <v>14156</v>
      </c>
      <c r="M171" s="30" t="s">
        <v>1224</v>
      </c>
      <c r="N171" s="30" t="s">
        <v>129</v>
      </c>
      <c r="P171" s="30" t="s">
        <v>131</v>
      </c>
      <c r="Q171" s="30" t="s">
        <v>131</v>
      </c>
      <c r="R171" s="30" t="s">
        <v>131</v>
      </c>
      <c r="S171" s="30" t="s">
        <v>131</v>
      </c>
      <c r="T171" s="30" t="s">
        <v>131</v>
      </c>
      <c r="U171" s="30" t="s">
        <v>14609</v>
      </c>
      <c r="V171" s="30" t="s">
        <v>14610</v>
      </c>
      <c r="W171" s="30" t="s">
        <v>129</v>
      </c>
      <c r="X171" s="30" t="s">
        <v>2238</v>
      </c>
      <c r="Y171" s="30" t="s">
        <v>2254</v>
      </c>
    </row>
    <row r="172" spans="1:25">
      <c r="A172" s="30" t="s">
        <v>13898</v>
      </c>
      <c r="B172" s="30" t="s">
        <v>14612</v>
      </c>
      <c r="C172" s="30" t="s">
        <v>12736</v>
      </c>
      <c r="D172" s="30" t="s">
        <v>12737</v>
      </c>
      <c r="E172" s="30" t="s">
        <v>12738</v>
      </c>
      <c r="F172" s="30" t="s">
        <v>12739</v>
      </c>
      <c r="H172" s="30" t="s">
        <v>2574</v>
      </c>
      <c r="I172" s="30" t="s">
        <v>14613</v>
      </c>
      <c r="J172" s="30" t="s">
        <v>14614</v>
      </c>
      <c r="K172" s="30" t="s">
        <v>13901</v>
      </c>
      <c r="L172" s="30" t="s">
        <v>13902</v>
      </c>
      <c r="M172" s="30" t="s">
        <v>1224</v>
      </c>
      <c r="N172" s="30" t="s">
        <v>129</v>
      </c>
      <c r="P172" s="30" t="s">
        <v>131</v>
      </c>
      <c r="Q172" s="30" t="s">
        <v>131</v>
      </c>
      <c r="R172" s="30" t="s">
        <v>131</v>
      </c>
      <c r="S172" s="30" t="s">
        <v>129</v>
      </c>
      <c r="T172" s="30" t="s">
        <v>131</v>
      </c>
      <c r="U172" s="30" t="s">
        <v>14615</v>
      </c>
      <c r="V172" s="30" t="s">
        <v>14616</v>
      </c>
      <c r="W172" s="30" t="s">
        <v>129</v>
      </c>
      <c r="X172" s="30" t="s">
        <v>2238</v>
      </c>
      <c r="Y172" s="30" t="s">
        <v>2254</v>
      </c>
    </row>
    <row r="173" spans="1:25">
      <c r="A173" s="30" t="s">
        <v>13898</v>
      </c>
      <c r="B173" s="30" t="s">
        <v>14617</v>
      </c>
      <c r="C173" s="30" t="s">
        <v>12741</v>
      </c>
      <c r="D173" s="30" t="s">
        <v>12742</v>
      </c>
      <c r="E173" s="30" t="s">
        <v>12743</v>
      </c>
      <c r="F173" s="30" t="s">
        <v>12549</v>
      </c>
      <c r="H173" s="30" t="s">
        <v>2574</v>
      </c>
      <c r="I173" s="30" t="s">
        <v>14618</v>
      </c>
      <c r="J173" s="30" t="s">
        <v>14367</v>
      </c>
      <c r="K173" s="30" t="s">
        <v>13901</v>
      </c>
      <c r="L173" s="30" t="s">
        <v>13902</v>
      </c>
      <c r="M173" s="30" t="s">
        <v>1224</v>
      </c>
      <c r="N173" s="30" t="s">
        <v>129</v>
      </c>
      <c r="P173" s="30" t="s">
        <v>129</v>
      </c>
      <c r="Q173" s="30" t="s">
        <v>129</v>
      </c>
      <c r="R173" s="30" t="s">
        <v>129</v>
      </c>
      <c r="S173" s="30" t="s">
        <v>129</v>
      </c>
      <c r="T173" s="30" t="s">
        <v>129</v>
      </c>
      <c r="U173" s="30" t="s">
        <v>14619</v>
      </c>
      <c r="V173" s="30" t="s">
        <v>14620</v>
      </c>
      <c r="W173" s="30" t="s">
        <v>129</v>
      </c>
      <c r="X173" s="30" t="s">
        <v>2238</v>
      </c>
      <c r="Y173" s="30" t="s">
        <v>2254</v>
      </c>
    </row>
    <row r="174" spans="1:25">
      <c r="A174" s="30" t="s">
        <v>13898</v>
      </c>
      <c r="B174" s="30" t="s">
        <v>14621</v>
      </c>
      <c r="C174" s="30" t="s">
        <v>12744</v>
      </c>
      <c r="D174" s="30" t="s">
        <v>12745</v>
      </c>
      <c r="E174" s="30" t="s">
        <v>12746</v>
      </c>
      <c r="F174" s="30" t="s">
        <v>12354</v>
      </c>
      <c r="H174" s="30" t="s">
        <v>2574</v>
      </c>
      <c r="I174" s="30" t="s">
        <v>14622</v>
      </c>
      <c r="J174" s="30" t="s">
        <v>14124</v>
      </c>
      <c r="K174" s="30" t="s">
        <v>13901</v>
      </c>
      <c r="L174" s="30" t="s">
        <v>13902</v>
      </c>
      <c r="M174" s="30" t="s">
        <v>1224</v>
      </c>
      <c r="N174" s="30" t="s">
        <v>129</v>
      </c>
      <c r="P174" s="30" t="s">
        <v>131</v>
      </c>
      <c r="Q174" s="30" t="s">
        <v>131</v>
      </c>
      <c r="R174" s="30" t="s">
        <v>129</v>
      </c>
      <c r="S174" s="30" t="s">
        <v>129</v>
      </c>
      <c r="T174" s="30" t="s">
        <v>131</v>
      </c>
      <c r="U174" s="30" t="s">
        <v>14623</v>
      </c>
      <c r="V174" s="30" t="s">
        <v>14624</v>
      </c>
      <c r="W174" s="30" t="s">
        <v>129</v>
      </c>
      <c r="X174" s="30" t="s">
        <v>2238</v>
      </c>
      <c r="Y174" s="30" t="s">
        <v>2254</v>
      </c>
    </row>
    <row r="175" spans="1:25">
      <c r="A175" s="30" t="s">
        <v>13898</v>
      </c>
      <c r="B175" s="30" t="s">
        <v>14625</v>
      </c>
      <c r="C175" s="30" t="s">
        <v>12747</v>
      </c>
      <c r="D175" s="30" t="s">
        <v>12748</v>
      </c>
      <c r="E175" s="30" t="s">
        <v>12749</v>
      </c>
      <c r="F175" s="30" t="s">
        <v>12750</v>
      </c>
      <c r="H175" s="30" t="s">
        <v>2574</v>
      </c>
      <c r="I175" s="30" t="s">
        <v>14626</v>
      </c>
      <c r="J175" s="30" t="s">
        <v>14627</v>
      </c>
      <c r="K175" s="30" t="s">
        <v>13901</v>
      </c>
      <c r="L175" s="30" t="s">
        <v>13902</v>
      </c>
      <c r="M175" s="30" t="s">
        <v>1224</v>
      </c>
      <c r="N175" s="30" t="s">
        <v>129</v>
      </c>
      <c r="P175" s="30" t="s">
        <v>129</v>
      </c>
      <c r="Q175" s="30" t="s">
        <v>131</v>
      </c>
      <c r="R175" s="30" t="s">
        <v>131</v>
      </c>
      <c r="S175" s="30" t="s">
        <v>129</v>
      </c>
      <c r="T175" s="30" t="s">
        <v>131</v>
      </c>
      <c r="U175" s="30" t="s">
        <v>14628</v>
      </c>
      <c r="V175" s="30" t="s">
        <v>14629</v>
      </c>
      <c r="W175" s="30" t="s">
        <v>129</v>
      </c>
      <c r="X175" s="30" t="s">
        <v>2238</v>
      </c>
      <c r="Y175" s="30" t="s">
        <v>2254</v>
      </c>
    </row>
    <row r="176" spans="1:25">
      <c r="A176" s="30" t="s">
        <v>13898</v>
      </c>
      <c r="B176" s="30" t="s">
        <v>14630</v>
      </c>
      <c r="C176" s="30" t="s">
        <v>12751</v>
      </c>
      <c r="D176" s="30" t="s">
        <v>12752</v>
      </c>
      <c r="E176" s="30" t="s">
        <v>12753</v>
      </c>
      <c r="F176" s="30" t="s">
        <v>12131</v>
      </c>
      <c r="H176" s="30" t="s">
        <v>2574</v>
      </c>
      <c r="I176" s="30" t="s">
        <v>14631</v>
      </c>
      <c r="J176" s="30" t="s">
        <v>13906</v>
      </c>
      <c r="K176" s="30" t="s">
        <v>13901</v>
      </c>
      <c r="L176" s="30" t="s">
        <v>13902</v>
      </c>
      <c r="M176" s="30" t="s">
        <v>1224</v>
      </c>
      <c r="N176" s="30" t="s">
        <v>131</v>
      </c>
      <c r="O176" s="30" t="s">
        <v>13929</v>
      </c>
      <c r="P176" s="30" t="s">
        <v>131</v>
      </c>
      <c r="Q176" s="30" t="s">
        <v>129</v>
      </c>
      <c r="R176" s="30" t="s">
        <v>131</v>
      </c>
      <c r="S176" s="30" t="s">
        <v>129</v>
      </c>
      <c r="T176" s="30" t="s">
        <v>129</v>
      </c>
      <c r="U176" s="30" t="s">
        <v>14632</v>
      </c>
      <c r="V176" s="30" t="s">
        <v>14633</v>
      </c>
      <c r="W176" s="30" t="s">
        <v>129</v>
      </c>
      <c r="X176" s="30" t="s">
        <v>2238</v>
      </c>
      <c r="Y176" s="30" t="s">
        <v>2254</v>
      </c>
    </row>
    <row r="177" spans="1:25">
      <c r="A177" s="30" t="s">
        <v>13898</v>
      </c>
      <c r="B177" s="30" t="s">
        <v>14634</v>
      </c>
      <c r="C177" s="30" t="s">
        <v>12761</v>
      </c>
      <c r="D177" s="30" t="s">
        <v>12762</v>
      </c>
      <c r="E177" s="30" t="s">
        <v>12763</v>
      </c>
      <c r="F177" s="30" t="s">
        <v>12201</v>
      </c>
      <c r="H177" s="30" t="s">
        <v>2574</v>
      </c>
      <c r="I177" s="30" t="s">
        <v>14635</v>
      </c>
      <c r="J177" s="30" t="s">
        <v>13968</v>
      </c>
      <c r="K177" s="30" t="s">
        <v>13901</v>
      </c>
      <c r="L177" s="30" t="s">
        <v>13902</v>
      </c>
      <c r="M177" s="30" t="s">
        <v>1224</v>
      </c>
      <c r="N177" s="30" t="s">
        <v>131</v>
      </c>
      <c r="O177" s="30" t="s">
        <v>13929</v>
      </c>
      <c r="P177" s="30" t="s">
        <v>131</v>
      </c>
      <c r="Q177" s="30" t="s">
        <v>131</v>
      </c>
      <c r="R177" s="30" t="s">
        <v>129</v>
      </c>
      <c r="S177" s="30" t="s">
        <v>129</v>
      </c>
      <c r="T177" s="30" t="s">
        <v>129</v>
      </c>
      <c r="U177" s="30" t="s">
        <v>14636</v>
      </c>
      <c r="V177" s="30" t="s">
        <v>14637</v>
      </c>
      <c r="W177" s="30" t="s">
        <v>129</v>
      </c>
      <c r="X177" s="30" t="s">
        <v>2238</v>
      </c>
      <c r="Y177" s="30" t="s">
        <v>2254</v>
      </c>
    </row>
    <row r="178" spans="1:25">
      <c r="A178" s="30" t="s">
        <v>13898</v>
      </c>
      <c r="B178" s="30" t="s">
        <v>14638</v>
      </c>
      <c r="C178" s="30" t="s">
        <v>12765</v>
      </c>
      <c r="D178" s="30" t="s">
        <v>12766</v>
      </c>
      <c r="E178" s="30" t="s">
        <v>12767</v>
      </c>
      <c r="F178" s="30" t="s">
        <v>12131</v>
      </c>
      <c r="H178" s="30" t="s">
        <v>2574</v>
      </c>
      <c r="I178" s="30" t="s">
        <v>14639</v>
      </c>
      <c r="J178" s="30" t="s">
        <v>13906</v>
      </c>
      <c r="K178" s="30" t="s">
        <v>13901</v>
      </c>
      <c r="L178" s="30" t="s">
        <v>13902</v>
      </c>
      <c r="M178" s="30" t="s">
        <v>1224</v>
      </c>
      <c r="N178" s="30" t="s">
        <v>129</v>
      </c>
      <c r="P178" s="30" t="s">
        <v>131</v>
      </c>
      <c r="Q178" s="30" t="s">
        <v>131</v>
      </c>
      <c r="R178" s="30" t="s">
        <v>129</v>
      </c>
      <c r="S178" s="30" t="s">
        <v>129</v>
      </c>
      <c r="T178" s="30" t="s">
        <v>129</v>
      </c>
      <c r="U178" s="30" t="s">
        <v>14640</v>
      </c>
      <c r="V178" s="30" t="s">
        <v>14641</v>
      </c>
      <c r="W178" s="30" t="s">
        <v>129</v>
      </c>
      <c r="X178" s="30" t="s">
        <v>2238</v>
      </c>
      <c r="Y178" s="30" t="s">
        <v>2254</v>
      </c>
    </row>
    <row r="179" spans="1:25">
      <c r="A179" s="30" t="s">
        <v>13898</v>
      </c>
      <c r="B179" s="30" t="s">
        <v>14642</v>
      </c>
      <c r="C179" s="30" t="s">
        <v>12769</v>
      </c>
      <c r="D179" s="30" t="s">
        <v>12770</v>
      </c>
      <c r="E179" s="30" t="s">
        <v>12771</v>
      </c>
      <c r="F179" s="30" t="s">
        <v>12229</v>
      </c>
      <c r="H179" s="30" t="s">
        <v>2574</v>
      </c>
      <c r="I179" s="30" t="s">
        <v>14643</v>
      </c>
      <c r="J179" s="30" t="s">
        <v>13992</v>
      </c>
      <c r="K179" s="30" t="s">
        <v>13901</v>
      </c>
      <c r="L179" s="30" t="s">
        <v>13902</v>
      </c>
      <c r="M179" s="30" t="s">
        <v>1224</v>
      </c>
      <c r="N179" s="30" t="s">
        <v>131</v>
      </c>
      <c r="O179" s="30" t="s">
        <v>14644</v>
      </c>
      <c r="P179" s="30" t="s">
        <v>129</v>
      </c>
      <c r="Q179" s="30" t="s">
        <v>131</v>
      </c>
      <c r="R179" s="30" t="s">
        <v>129</v>
      </c>
      <c r="S179" s="30" t="s">
        <v>129</v>
      </c>
      <c r="T179" s="30" t="s">
        <v>131</v>
      </c>
      <c r="U179" s="30" t="s">
        <v>14645</v>
      </c>
      <c r="V179" s="30" t="s">
        <v>14646</v>
      </c>
      <c r="W179" s="30" t="s">
        <v>129</v>
      </c>
      <c r="X179" s="30" t="s">
        <v>2238</v>
      </c>
      <c r="Y179" s="30" t="s">
        <v>2254</v>
      </c>
    </row>
    <row r="180" spans="1:25">
      <c r="A180" s="30" t="s">
        <v>13898</v>
      </c>
      <c r="B180" s="30" t="s">
        <v>14647</v>
      </c>
      <c r="C180" s="30" t="s">
        <v>12773</v>
      </c>
      <c r="D180" s="30" t="s">
        <v>12774</v>
      </c>
      <c r="E180" s="30" t="s">
        <v>12775</v>
      </c>
      <c r="F180" s="30" t="s">
        <v>12131</v>
      </c>
      <c r="H180" s="30" t="s">
        <v>2574</v>
      </c>
      <c r="I180" s="30" t="s">
        <v>14648</v>
      </c>
      <c r="J180" s="30" t="s">
        <v>13906</v>
      </c>
      <c r="K180" s="30" t="s">
        <v>13901</v>
      </c>
      <c r="L180" s="30" t="s">
        <v>13902</v>
      </c>
      <c r="M180" s="30" t="s">
        <v>1224</v>
      </c>
      <c r="N180" s="30" t="s">
        <v>129</v>
      </c>
      <c r="P180" s="30" t="s">
        <v>131</v>
      </c>
      <c r="Q180" s="30" t="s">
        <v>131</v>
      </c>
      <c r="R180" s="30" t="s">
        <v>131</v>
      </c>
      <c r="S180" s="30" t="s">
        <v>129</v>
      </c>
      <c r="T180" s="30" t="s">
        <v>131</v>
      </c>
      <c r="U180" s="30" t="s">
        <v>14649</v>
      </c>
      <c r="V180" s="30" t="s">
        <v>14650</v>
      </c>
      <c r="W180" s="30" t="s">
        <v>129</v>
      </c>
      <c r="X180" s="30" t="s">
        <v>2238</v>
      </c>
      <c r="Y180" s="30" t="s">
        <v>2254</v>
      </c>
    </row>
    <row r="181" spans="1:25">
      <c r="A181" s="30" t="s">
        <v>13898</v>
      </c>
      <c r="B181" s="30" t="s">
        <v>14651</v>
      </c>
      <c r="C181" s="30" t="s">
        <v>12776</v>
      </c>
      <c r="D181" s="30" t="s">
        <v>12777</v>
      </c>
      <c r="E181" s="30" t="s">
        <v>12778</v>
      </c>
      <c r="F181" s="30" t="s">
        <v>12123</v>
      </c>
      <c r="H181" s="30" t="s">
        <v>2574</v>
      </c>
      <c r="I181" s="30" t="s">
        <v>14652</v>
      </c>
      <c r="J181" s="30" t="s">
        <v>13900</v>
      </c>
      <c r="K181" s="30" t="s">
        <v>13901</v>
      </c>
      <c r="L181" s="30" t="s">
        <v>13902</v>
      </c>
      <c r="M181" s="30" t="s">
        <v>1224</v>
      </c>
      <c r="N181" s="30" t="s">
        <v>131</v>
      </c>
      <c r="O181" s="30" t="s">
        <v>14502</v>
      </c>
      <c r="P181" s="30" t="s">
        <v>129</v>
      </c>
      <c r="Q181" s="30" t="s">
        <v>131</v>
      </c>
      <c r="R181" s="30" t="s">
        <v>131</v>
      </c>
      <c r="S181" s="30" t="s">
        <v>129</v>
      </c>
      <c r="T181" s="30" t="s">
        <v>131</v>
      </c>
      <c r="U181" s="30" t="s">
        <v>14653</v>
      </c>
      <c r="V181" s="30" t="s">
        <v>14654</v>
      </c>
      <c r="W181" s="30" t="s">
        <v>129</v>
      </c>
      <c r="X181" s="30" t="s">
        <v>2238</v>
      </c>
      <c r="Y181" s="30" t="s">
        <v>2254</v>
      </c>
    </row>
    <row r="182" spans="1:25">
      <c r="A182" s="30" t="s">
        <v>13898</v>
      </c>
      <c r="B182" s="30" t="s">
        <v>14655</v>
      </c>
      <c r="C182" s="30" t="s">
        <v>12783</v>
      </c>
      <c r="D182" s="30" t="s">
        <v>12784</v>
      </c>
      <c r="E182" s="30" t="s">
        <v>12785</v>
      </c>
      <c r="F182" s="30" t="s">
        <v>12347</v>
      </c>
      <c r="H182" s="30" t="s">
        <v>2574</v>
      </c>
      <c r="I182" s="30" t="s">
        <v>14656</v>
      </c>
      <c r="J182" s="30" t="s">
        <v>14115</v>
      </c>
      <c r="K182" s="30" t="s">
        <v>13901</v>
      </c>
      <c r="L182" s="30" t="s">
        <v>13902</v>
      </c>
      <c r="M182" s="30" t="s">
        <v>1224</v>
      </c>
      <c r="N182" s="30" t="s">
        <v>131</v>
      </c>
      <c r="O182" s="30" t="s">
        <v>14657</v>
      </c>
      <c r="P182" s="30" t="s">
        <v>131</v>
      </c>
      <c r="Q182" s="30" t="s">
        <v>131</v>
      </c>
      <c r="R182" s="30" t="s">
        <v>129</v>
      </c>
      <c r="S182" s="30" t="s">
        <v>129</v>
      </c>
      <c r="T182" s="30" t="s">
        <v>131</v>
      </c>
      <c r="U182" s="30" t="s">
        <v>14658</v>
      </c>
      <c r="V182" s="30" t="s">
        <v>14659</v>
      </c>
      <c r="W182" s="30" t="s">
        <v>129</v>
      </c>
      <c r="X182" s="30" t="s">
        <v>2238</v>
      </c>
      <c r="Y182" s="30" t="s">
        <v>2254</v>
      </c>
    </row>
    <row r="183" spans="1:25">
      <c r="A183" s="30" t="s">
        <v>13898</v>
      </c>
      <c r="B183" s="30" t="s">
        <v>14660</v>
      </c>
      <c r="C183" s="30" t="s">
        <v>12786</v>
      </c>
      <c r="D183" s="30" t="s">
        <v>12787</v>
      </c>
      <c r="E183" s="30" t="s">
        <v>12788</v>
      </c>
      <c r="F183" s="30" t="s">
        <v>12225</v>
      </c>
      <c r="H183" s="30" t="s">
        <v>2574</v>
      </c>
      <c r="I183" s="30" t="s">
        <v>14661</v>
      </c>
      <c r="J183" s="30" t="s">
        <v>13988</v>
      </c>
      <c r="K183" s="30" t="s">
        <v>13901</v>
      </c>
      <c r="L183" s="30" t="s">
        <v>13902</v>
      </c>
      <c r="M183" s="30" t="s">
        <v>1224</v>
      </c>
      <c r="N183" s="30" t="s">
        <v>131</v>
      </c>
      <c r="O183" s="30" t="s">
        <v>14662</v>
      </c>
      <c r="P183" s="30" t="s">
        <v>131</v>
      </c>
      <c r="Q183" s="30" t="s">
        <v>131</v>
      </c>
      <c r="R183" s="30" t="s">
        <v>131</v>
      </c>
      <c r="S183" s="30" t="s">
        <v>129</v>
      </c>
      <c r="T183" s="30" t="s">
        <v>131</v>
      </c>
      <c r="U183" s="30" t="s">
        <v>14663</v>
      </c>
      <c r="V183" s="30" t="s">
        <v>14664</v>
      </c>
      <c r="W183" s="30" t="s">
        <v>129</v>
      </c>
      <c r="X183" s="30" t="s">
        <v>2238</v>
      </c>
      <c r="Y183" s="30" t="s">
        <v>2254</v>
      </c>
    </row>
    <row r="184" spans="1:25">
      <c r="A184" s="30" t="s">
        <v>13898</v>
      </c>
      <c r="B184" s="30" t="s">
        <v>14665</v>
      </c>
      <c r="C184" s="30" t="s">
        <v>12789</v>
      </c>
      <c r="D184" s="30" t="s">
        <v>12790</v>
      </c>
      <c r="E184" s="30" t="s">
        <v>12791</v>
      </c>
      <c r="F184" s="30" t="s">
        <v>12123</v>
      </c>
      <c r="H184" s="30" t="s">
        <v>2574</v>
      </c>
      <c r="I184" s="30" t="s">
        <v>14666</v>
      </c>
      <c r="J184" s="30" t="s">
        <v>13900</v>
      </c>
      <c r="K184" s="30" t="s">
        <v>13901</v>
      </c>
      <c r="L184" s="30" t="s">
        <v>13902</v>
      </c>
      <c r="M184" s="30" t="s">
        <v>1224</v>
      </c>
      <c r="N184" s="30" t="s">
        <v>131</v>
      </c>
      <c r="O184" s="30" t="s">
        <v>13929</v>
      </c>
      <c r="P184" s="30" t="s">
        <v>131</v>
      </c>
      <c r="Q184" s="30" t="s">
        <v>129</v>
      </c>
      <c r="R184" s="30" t="s">
        <v>129</v>
      </c>
      <c r="S184" s="30" t="s">
        <v>129</v>
      </c>
      <c r="T184" s="30" t="s">
        <v>131</v>
      </c>
      <c r="U184" s="30" t="s">
        <v>14667</v>
      </c>
      <c r="V184" s="30" t="s">
        <v>14668</v>
      </c>
      <c r="W184" s="30" t="s">
        <v>129</v>
      </c>
      <c r="X184" s="30" t="s">
        <v>2238</v>
      </c>
      <c r="Y184" s="30" t="s">
        <v>2254</v>
      </c>
    </row>
    <row r="185" spans="1:25">
      <c r="A185" s="30" t="s">
        <v>13898</v>
      </c>
      <c r="B185" s="30" t="s">
        <v>14669</v>
      </c>
      <c r="C185" s="30" t="s">
        <v>12792</v>
      </c>
      <c r="D185" s="30" t="s">
        <v>12793</v>
      </c>
      <c r="E185" s="30" t="s">
        <v>12794</v>
      </c>
      <c r="F185" s="30" t="s">
        <v>12144</v>
      </c>
      <c r="H185" s="30" t="s">
        <v>2574</v>
      </c>
      <c r="I185" s="30" t="s">
        <v>14670</v>
      </c>
      <c r="J185" s="30" t="s">
        <v>13919</v>
      </c>
      <c r="K185" s="30" t="s">
        <v>13901</v>
      </c>
      <c r="L185" s="30" t="s">
        <v>13902</v>
      </c>
      <c r="M185" s="30" t="s">
        <v>1224</v>
      </c>
      <c r="N185" s="30" t="s">
        <v>131</v>
      </c>
      <c r="O185" s="30" t="s">
        <v>14671</v>
      </c>
      <c r="P185" s="30" t="s">
        <v>129</v>
      </c>
      <c r="Q185" s="30" t="s">
        <v>131</v>
      </c>
      <c r="R185" s="30" t="s">
        <v>129</v>
      </c>
      <c r="S185" s="30" t="s">
        <v>129</v>
      </c>
      <c r="T185" s="30" t="s">
        <v>131</v>
      </c>
      <c r="U185" s="30" t="s">
        <v>14672</v>
      </c>
      <c r="V185" s="30" t="s">
        <v>14673</v>
      </c>
      <c r="W185" s="30" t="s">
        <v>129</v>
      </c>
      <c r="X185" s="30" t="s">
        <v>2238</v>
      </c>
      <c r="Y185" s="30" t="s">
        <v>2254</v>
      </c>
    </row>
    <row r="186" spans="1:25">
      <c r="A186" s="30" t="s">
        <v>13898</v>
      </c>
      <c r="B186" s="30" t="s">
        <v>14674</v>
      </c>
      <c r="C186" s="30" t="s">
        <v>12795</v>
      </c>
      <c r="D186" s="30" t="s">
        <v>12796</v>
      </c>
      <c r="E186" s="30" t="s">
        <v>12797</v>
      </c>
      <c r="F186" s="30" t="s">
        <v>12193</v>
      </c>
      <c r="H186" s="30" t="s">
        <v>2575</v>
      </c>
      <c r="I186" s="30" t="s">
        <v>14675</v>
      </c>
      <c r="J186" s="30" t="s">
        <v>13960</v>
      </c>
      <c r="K186" s="30" t="s">
        <v>13901</v>
      </c>
      <c r="L186" s="30" t="s">
        <v>14082</v>
      </c>
      <c r="M186" s="30" t="s">
        <v>1224</v>
      </c>
      <c r="N186" s="30" t="s">
        <v>129</v>
      </c>
      <c r="P186" s="30" t="s">
        <v>131</v>
      </c>
      <c r="Q186" s="30" t="s">
        <v>131</v>
      </c>
      <c r="R186" s="30" t="s">
        <v>131</v>
      </c>
      <c r="S186" s="30" t="s">
        <v>129</v>
      </c>
      <c r="T186" s="30" t="s">
        <v>129</v>
      </c>
      <c r="U186" s="30" t="s">
        <v>14676</v>
      </c>
      <c r="V186" s="30" t="s">
        <v>14677</v>
      </c>
      <c r="W186" s="30" t="s">
        <v>129</v>
      </c>
      <c r="X186" s="30" t="s">
        <v>2238</v>
      </c>
      <c r="Y186" s="30" t="s">
        <v>2254</v>
      </c>
    </row>
    <row r="187" spans="1:25">
      <c r="A187" s="30" t="s">
        <v>13898</v>
      </c>
      <c r="B187" s="30" t="s">
        <v>14678</v>
      </c>
      <c r="C187" s="30" t="s">
        <v>12798</v>
      </c>
      <c r="D187" s="30" t="s">
        <v>12799</v>
      </c>
      <c r="E187" s="30" t="s">
        <v>12800</v>
      </c>
      <c r="F187" s="30" t="s">
        <v>12167</v>
      </c>
      <c r="H187" s="30" t="s">
        <v>2574</v>
      </c>
      <c r="I187" s="30" t="s">
        <v>14679</v>
      </c>
      <c r="J187" s="30" t="s">
        <v>13937</v>
      </c>
      <c r="K187" s="30" t="s">
        <v>13901</v>
      </c>
      <c r="L187" s="30" t="s">
        <v>13902</v>
      </c>
      <c r="M187" s="30" t="s">
        <v>1224</v>
      </c>
      <c r="N187" s="30" t="s">
        <v>131</v>
      </c>
      <c r="O187" s="30" t="s">
        <v>14680</v>
      </c>
      <c r="P187" s="30" t="s">
        <v>131</v>
      </c>
      <c r="Q187" s="30" t="s">
        <v>131</v>
      </c>
      <c r="R187" s="30" t="s">
        <v>129</v>
      </c>
      <c r="S187" s="30" t="s">
        <v>129</v>
      </c>
      <c r="T187" s="30" t="s">
        <v>131</v>
      </c>
      <c r="U187" s="30" t="s">
        <v>14681</v>
      </c>
      <c r="V187" s="30" t="s">
        <v>14682</v>
      </c>
      <c r="W187" s="30" t="s">
        <v>129</v>
      </c>
      <c r="X187" s="30" t="s">
        <v>2238</v>
      </c>
      <c r="Y187" s="30" t="s">
        <v>2254</v>
      </c>
    </row>
    <row r="188" spans="1:25">
      <c r="A188" s="30" t="s">
        <v>13898</v>
      </c>
      <c r="B188" s="30" t="s">
        <v>14683</v>
      </c>
      <c r="C188" s="30" t="s">
        <v>12798</v>
      </c>
      <c r="D188" s="30" t="s">
        <v>12799</v>
      </c>
      <c r="E188" s="30" t="s">
        <v>12800</v>
      </c>
      <c r="F188" s="30" t="s">
        <v>12167</v>
      </c>
      <c r="H188" s="30" t="s">
        <v>2574</v>
      </c>
      <c r="I188" s="30" t="s">
        <v>14679</v>
      </c>
      <c r="J188" s="30" t="s">
        <v>13937</v>
      </c>
      <c r="K188" s="30" t="s">
        <v>13901</v>
      </c>
      <c r="L188" s="30" t="s">
        <v>13902</v>
      </c>
      <c r="M188" s="30" t="s">
        <v>1224</v>
      </c>
      <c r="N188" s="30" t="s">
        <v>131</v>
      </c>
      <c r="O188" s="30" t="s">
        <v>14680</v>
      </c>
      <c r="P188" s="30" t="s">
        <v>131</v>
      </c>
      <c r="Q188" s="30" t="s">
        <v>131</v>
      </c>
      <c r="R188" s="30" t="s">
        <v>131</v>
      </c>
      <c r="S188" s="30" t="s">
        <v>129</v>
      </c>
      <c r="T188" s="30" t="s">
        <v>131</v>
      </c>
      <c r="U188" s="30" t="s">
        <v>14681</v>
      </c>
      <c r="V188" s="30" t="s">
        <v>14682</v>
      </c>
      <c r="W188" s="30" t="s">
        <v>129</v>
      </c>
      <c r="X188" s="30" t="s">
        <v>2238</v>
      </c>
      <c r="Y188" s="30" t="s">
        <v>2254</v>
      </c>
    </row>
    <row r="189" spans="1:25">
      <c r="A189" s="30" t="s">
        <v>13898</v>
      </c>
      <c r="B189" s="30" t="s">
        <v>14684</v>
      </c>
      <c r="C189" s="30" t="s">
        <v>12801</v>
      </c>
      <c r="D189" s="30" t="s">
        <v>12802</v>
      </c>
      <c r="E189" s="30" t="s">
        <v>12803</v>
      </c>
      <c r="F189" s="30" t="s">
        <v>12201</v>
      </c>
      <c r="H189" s="30" t="s">
        <v>2574</v>
      </c>
      <c r="I189" s="30" t="s">
        <v>14685</v>
      </c>
      <c r="J189" s="30" t="s">
        <v>13968</v>
      </c>
      <c r="K189" s="30" t="s">
        <v>13901</v>
      </c>
      <c r="L189" s="30" t="s">
        <v>13902</v>
      </c>
      <c r="M189" s="30" t="s">
        <v>1224</v>
      </c>
      <c r="N189" s="30" t="s">
        <v>131</v>
      </c>
      <c r="O189" s="30" t="s">
        <v>14604</v>
      </c>
      <c r="P189" s="30" t="s">
        <v>131</v>
      </c>
      <c r="Q189" s="30" t="s">
        <v>131</v>
      </c>
      <c r="R189" s="30" t="s">
        <v>129</v>
      </c>
      <c r="S189" s="30" t="s">
        <v>129</v>
      </c>
      <c r="T189" s="30" t="s">
        <v>131</v>
      </c>
      <c r="U189" s="30" t="s">
        <v>14686</v>
      </c>
      <c r="V189" s="30" t="s">
        <v>14687</v>
      </c>
      <c r="W189" s="30" t="s">
        <v>129</v>
      </c>
      <c r="X189" s="30" t="s">
        <v>2238</v>
      </c>
      <c r="Y189" s="30" t="s">
        <v>2254</v>
      </c>
    </row>
    <row r="190" spans="1:25">
      <c r="A190" s="30" t="s">
        <v>13898</v>
      </c>
      <c r="B190" s="30" t="s">
        <v>14688</v>
      </c>
      <c r="C190" s="30" t="s">
        <v>12804</v>
      </c>
      <c r="D190" s="30" t="s">
        <v>12805</v>
      </c>
      <c r="E190" s="30" t="s">
        <v>12806</v>
      </c>
      <c r="F190" s="30" t="s">
        <v>12407</v>
      </c>
      <c r="H190" s="30" t="s">
        <v>2574</v>
      </c>
      <c r="I190" s="30" t="s">
        <v>14689</v>
      </c>
      <c r="J190" s="30" t="s">
        <v>14180</v>
      </c>
      <c r="K190" s="30" t="s">
        <v>13901</v>
      </c>
      <c r="L190" s="30" t="s">
        <v>13902</v>
      </c>
      <c r="M190" s="30" t="s">
        <v>1224</v>
      </c>
      <c r="N190" s="30" t="s">
        <v>129</v>
      </c>
      <c r="P190" s="30" t="s">
        <v>129</v>
      </c>
      <c r="Q190" s="30" t="s">
        <v>131</v>
      </c>
      <c r="R190" s="30" t="s">
        <v>129</v>
      </c>
      <c r="S190" s="30" t="s">
        <v>129</v>
      </c>
      <c r="T190" s="30" t="s">
        <v>131</v>
      </c>
      <c r="U190" s="30" t="s">
        <v>14690</v>
      </c>
      <c r="V190" s="30" t="s">
        <v>14691</v>
      </c>
      <c r="W190" s="30" t="s">
        <v>129</v>
      </c>
      <c r="X190" s="30" t="s">
        <v>2238</v>
      </c>
      <c r="Y190" s="30" t="s">
        <v>2254</v>
      </c>
    </row>
    <row r="191" spans="1:25">
      <c r="A191" s="30" t="s">
        <v>13898</v>
      </c>
      <c r="B191" s="30" t="s">
        <v>14692</v>
      </c>
      <c r="C191" s="30" t="s">
        <v>12807</v>
      </c>
      <c r="D191" s="30" t="s">
        <v>12808</v>
      </c>
      <c r="E191" s="30" t="s">
        <v>12809</v>
      </c>
      <c r="F191" s="30" t="s">
        <v>12225</v>
      </c>
      <c r="H191" s="30" t="s">
        <v>2574</v>
      </c>
      <c r="I191" s="30" t="s">
        <v>14693</v>
      </c>
      <c r="J191" s="30" t="s">
        <v>13988</v>
      </c>
      <c r="K191" s="30" t="s">
        <v>13901</v>
      </c>
      <c r="L191" s="30" t="s">
        <v>13902</v>
      </c>
      <c r="M191" s="30" t="s">
        <v>1224</v>
      </c>
      <c r="N191" s="30" t="s">
        <v>129</v>
      </c>
      <c r="P191" s="30" t="s">
        <v>129</v>
      </c>
      <c r="Q191" s="30" t="s">
        <v>131</v>
      </c>
      <c r="R191" s="30" t="s">
        <v>131</v>
      </c>
      <c r="S191" s="30" t="s">
        <v>129</v>
      </c>
      <c r="T191" s="30" t="s">
        <v>129</v>
      </c>
      <c r="U191" s="30" t="s">
        <v>14694</v>
      </c>
      <c r="V191" s="30" t="s">
        <v>14695</v>
      </c>
      <c r="W191" s="30" t="s">
        <v>129</v>
      </c>
      <c r="X191" s="30" t="s">
        <v>2238</v>
      </c>
      <c r="Y191" s="30" t="s">
        <v>2254</v>
      </c>
    </row>
    <row r="192" spans="1:25">
      <c r="A192" s="30" t="s">
        <v>13898</v>
      </c>
      <c r="B192" s="30" t="s">
        <v>14696</v>
      </c>
      <c r="C192" s="30" t="s">
        <v>12810</v>
      </c>
      <c r="D192" s="30" t="s">
        <v>12811</v>
      </c>
      <c r="E192" s="30" t="s">
        <v>12812</v>
      </c>
      <c r="F192" s="30" t="s">
        <v>12813</v>
      </c>
      <c r="H192" s="30" t="s">
        <v>2574</v>
      </c>
      <c r="I192" s="30" t="s">
        <v>14697</v>
      </c>
      <c r="J192" s="30" t="s">
        <v>14698</v>
      </c>
      <c r="K192" s="30" t="s">
        <v>13901</v>
      </c>
      <c r="L192" s="30" t="s">
        <v>13902</v>
      </c>
      <c r="M192" s="30" t="s">
        <v>1224</v>
      </c>
      <c r="N192" s="30" t="s">
        <v>129</v>
      </c>
      <c r="P192" s="30" t="s">
        <v>129</v>
      </c>
      <c r="Q192" s="30" t="s">
        <v>131</v>
      </c>
      <c r="R192" s="30" t="s">
        <v>131</v>
      </c>
      <c r="S192" s="30" t="s">
        <v>129</v>
      </c>
      <c r="T192" s="30" t="s">
        <v>131</v>
      </c>
      <c r="U192" s="30" t="s">
        <v>14699</v>
      </c>
      <c r="V192" s="30" t="s">
        <v>14700</v>
      </c>
      <c r="W192" s="30" t="s">
        <v>129</v>
      </c>
      <c r="X192" s="30" t="s">
        <v>2238</v>
      </c>
      <c r="Y192" s="30" t="s">
        <v>2254</v>
      </c>
    </row>
    <row r="193" spans="1:25">
      <c r="A193" s="30" t="s">
        <v>13898</v>
      </c>
      <c r="B193" s="30" t="s">
        <v>14701</v>
      </c>
      <c r="C193" s="30" t="s">
        <v>12814</v>
      </c>
      <c r="D193" s="30" t="s">
        <v>12815</v>
      </c>
      <c r="E193" s="30" t="s">
        <v>12816</v>
      </c>
      <c r="F193" s="30" t="s">
        <v>12131</v>
      </c>
      <c r="H193" s="30" t="s">
        <v>2574</v>
      </c>
      <c r="I193" s="30" t="s">
        <v>14702</v>
      </c>
      <c r="J193" s="30" t="s">
        <v>13906</v>
      </c>
      <c r="K193" s="30" t="s">
        <v>13901</v>
      </c>
      <c r="L193" s="30" t="s">
        <v>13902</v>
      </c>
      <c r="M193" s="30" t="s">
        <v>1224</v>
      </c>
      <c r="N193" s="30" t="s">
        <v>129</v>
      </c>
      <c r="P193" s="30" t="s">
        <v>129</v>
      </c>
      <c r="Q193" s="30" t="s">
        <v>129</v>
      </c>
      <c r="R193" s="30" t="s">
        <v>131</v>
      </c>
      <c r="S193" s="30" t="s">
        <v>129</v>
      </c>
      <c r="T193" s="30" t="s">
        <v>131</v>
      </c>
      <c r="U193" s="30" t="s">
        <v>14703</v>
      </c>
      <c r="V193" s="30" t="s">
        <v>14704</v>
      </c>
      <c r="W193" s="30" t="s">
        <v>129</v>
      </c>
      <c r="X193" s="30" t="s">
        <v>2238</v>
      </c>
      <c r="Y193" s="30" t="s">
        <v>2254</v>
      </c>
    </row>
    <row r="194" spans="1:25">
      <c r="A194" s="30" t="s">
        <v>13898</v>
      </c>
      <c r="B194" s="30" t="s">
        <v>14705</v>
      </c>
      <c r="C194" s="30" t="s">
        <v>12817</v>
      </c>
      <c r="D194" s="30" t="s">
        <v>12818</v>
      </c>
      <c r="E194" s="30" t="s">
        <v>12819</v>
      </c>
      <c r="F194" s="30" t="s">
        <v>12135</v>
      </c>
      <c r="H194" s="30" t="s">
        <v>2574</v>
      </c>
      <c r="I194" s="30" t="s">
        <v>14706</v>
      </c>
      <c r="J194" s="30" t="s">
        <v>13910</v>
      </c>
      <c r="K194" s="30" t="s">
        <v>13901</v>
      </c>
      <c r="L194" s="30" t="s">
        <v>13902</v>
      </c>
      <c r="M194" s="30" t="s">
        <v>1224</v>
      </c>
      <c r="N194" s="30" t="s">
        <v>131</v>
      </c>
      <c r="O194" s="30" t="s">
        <v>13911</v>
      </c>
      <c r="P194" s="30" t="s">
        <v>129</v>
      </c>
      <c r="Q194" s="30" t="s">
        <v>129</v>
      </c>
      <c r="R194" s="30" t="s">
        <v>131</v>
      </c>
      <c r="S194" s="30" t="s">
        <v>129</v>
      </c>
      <c r="T194" s="30" t="s">
        <v>129</v>
      </c>
      <c r="U194" s="30" t="s">
        <v>14707</v>
      </c>
      <c r="V194" s="30" t="s">
        <v>14708</v>
      </c>
      <c r="W194" s="30" t="s">
        <v>129</v>
      </c>
      <c r="X194" s="30" t="s">
        <v>2238</v>
      </c>
      <c r="Y194" s="30" t="s">
        <v>2254</v>
      </c>
    </row>
    <row r="195" spans="1:25">
      <c r="A195" s="30" t="s">
        <v>13898</v>
      </c>
      <c r="B195" s="30" t="s">
        <v>14709</v>
      </c>
      <c r="C195" s="30" t="s">
        <v>12820</v>
      </c>
      <c r="D195" s="30" t="s">
        <v>12821</v>
      </c>
      <c r="E195" s="30" t="s">
        <v>12822</v>
      </c>
      <c r="F195" s="30" t="s">
        <v>12497</v>
      </c>
      <c r="H195" s="30" t="s">
        <v>2574</v>
      </c>
      <c r="I195" s="30" t="s">
        <v>14710</v>
      </c>
      <c r="J195" s="30" t="s">
        <v>14292</v>
      </c>
      <c r="K195" s="30" t="s">
        <v>13901</v>
      </c>
      <c r="L195" s="30" t="s">
        <v>13902</v>
      </c>
      <c r="M195" s="30" t="s">
        <v>1224</v>
      </c>
      <c r="N195" s="30" t="s">
        <v>129</v>
      </c>
      <c r="P195" s="30" t="s">
        <v>129</v>
      </c>
      <c r="Q195" s="30" t="s">
        <v>131</v>
      </c>
      <c r="R195" s="30" t="s">
        <v>129</v>
      </c>
      <c r="S195" s="30" t="s">
        <v>129</v>
      </c>
      <c r="T195" s="30" t="s">
        <v>131</v>
      </c>
      <c r="U195" s="30" t="s">
        <v>14711</v>
      </c>
      <c r="V195" s="30" t="s">
        <v>14712</v>
      </c>
      <c r="W195" s="30" t="s">
        <v>129</v>
      </c>
      <c r="X195" s="30" t="s">
        <v>2238</v>
      </c>
      <c r="Y195" s="30" t="s">
        <v>2254</v>
      </c>
    </row>
    <row r="196" spans="1:25">
      <c r="A196" s="30" t="s">
        <v>13898</v>
      </c>
      <c r="B196" s="30" t="s">
        <v>14713</v>
      </c>
      <c r="C196" s="30" t="s">
        <v>12823</v>
      </c>
      <c r="D196" s="30" t="s">
        <v>12824</v>
      </c>
      <c r="E196" s="30" t="s">
        <v>12825</v>
      </c>
      <c r="F196" s="30" t="s">
        <v>12826</v>
      </c>
      <c r="H196" s="30" t="s">
        <v>2574</v>
      </c>
      <c r="I196" s="30" t="s">
        <v>14714</v>
      </c>
      <c r="J196" s="30" t="s">
        <v>14715</v>
      </c>
      <c r="K196" s="30" t="s">
        <v>13901</v>
      </c>
      <c r="L196" s="30" t="s">
        <v>13902</v>
      </c>
      <c r="M196" s="30" t="s">
        <v>1224</v>
      </c>
      <c r="N196" s="30" t="s">
        <v>129</v>
      </c>
      <c r="P196" s="30" t="s">
        <v>129</v>
      </c>
      <c r="Q196" s="30" t="s">
        <v>131</v>
      </c>
      <c r="R196" s="30" t="s">
        <v>131</v>
      </c>
      <c r="S196" s="30" t="s">
        <v>129</v>
      </c>
      <c r="T196" s="30" t="s">
        <v>131</v>
      </c>
      <c r="U196" s="30" t="s">
        <v>14716</v>
      </c>
      <c r="V196" s="30" t="s">
        <v>14717</v>
      </c>
      <c r="W196" s="30" t="s">
        <v>129</v>
      </c>
      <c r="X196" s="30" t="s">
        <v>2238</v>
      </c>
      <c r="Y196" s="30" t="s">
        <v>2254</v>
      </c>
    </row>
    <row r="197" spans="1:25">
      <c r="A197" s="30" t="s">
        <v>13898</v>
      </c>
      <c r="B197" s="30" t="s">
        <v>14718</v>
      </c>
      <c r="C197" s="30" t="s">
        <v>12831</v>
      </c>
      <c r="D197" s="30" t="s">
        <v>12832</v>
      </c>
      <c r="E197" s="30" t="s">
        <v>12833</v>
      </c>
      <c r="F197" s="30" t="s">
        <v>12354</v>
      </c>
      <c r="H197" s="30" t="s">
        <v>2574</v>
      </c>
      <c r="I197" s="30" t="s">
        <v>14719</v>
      </c>
      <c r="J197" s="30" t="s">
        <v>14124</v>
      </c>
      <c r="K197" s="30" t="s">
        <v>13901</v>
      </c>
      <c r="L197" s="30" t="s">
        <v>13902</v>
      </c>
      <c r="M197" s="30" t="s">
        <v>1224</v>
      </c>
      <c r="N197" s="30" t="s">
        <v>129</v>
      </c>
      <c r="P197" s="30" t="s">
        <v>129</v>
      </c>
      <c r="Q197" s="30" t="s">
        <v>131</v>
      </c>
      <c r="R197" s="30" t="s">
        <v>129</v>
      </c>
      <c r="S197" s="30" t="s">
        <v>129</v>
      </c>
      <c r="T197" s="30" t="s">
        <v>131</v>
      </c>
      <c r="U197" s="30" t="s">
        <v>14720</v>
      </c>
      <c r="V197" s="30" t="s">
        <v>14721</v>
      </c>
      <c r="W197" s="30" t="s">
        <v>129</v>
      </c>
      <c r="X197" s="30" t="s">
        <v>2238</v>
      </c>
      <c r="Y197" s="30" t="s">
        <v>2254</v>
      </c>
    </row>
    <row r="198" spans="1:25">
      <c r="A198" s="30" t="s">
        <v>13898</v>
      </c>
      <c r="B198" s="30" t="s">
        <v>14722</v>
      </c>
      <c r="C198" s="30" t="s">
        <v>12834</v>
      </c>
      <c r="D198" s="30" t="s">
        <v>12835</v>
      </c>
      <c r="E198" s="30" t="s">
        <v>12836</v>
      </c>
      <c r="F198" s="30" t="s">
        <v>12837</v>
      </c>
      <c r="H198" s="30" t="s">
        <v>2575</v>
      </c>
      <c r="I198" s="30" t="s">
        <v>14723</v>
      </c>
      <c r="J198" s="30" t="s">
        <v>14724</v>
      </c>
      <c r="K198" s="30" t="s">
        <v>13901</v>
      </c>
      <c r="L198" s="30" t="s">
        <v>14082</v>
      </c>
      <c r="M198" s="30" t="s">
        <v>1224</v>
      </c>
      <c r="N198" s="30" t="s">
        <v>129</v>
      </c>
      <c r="P198" s="30" t="s">
        <v>131</v>
      </c>
      <c r="Q198" s="30" t="s">
        <v>129</v>
      </c>
      <c r="R198" s="30" t="s">
        <v>131</v>
      </c>
      <c r="S198" s="30" t="s">
        <v>129</v>
      </c>
      <c r="T198" s="30" t="s">
        <v>129</v>
      </c>
      <c r="U198" s="30" t="s">
        <v>14725</v>
      </c>
      <c r="V198" s="30" t="s">
        <v>14726</v>
      </c>
      <c r="W198" s="30" t="s">
        <v>129</v>
      </c>
      <c r="X198" s="30" t="s">
        <v>2238</v>
      </c>
      <c r="Y198" s="30" t="s">
        <v>2254</v>
      </c>
    </row>
    <row r="199" spans="1:25">
      <c r="A199" s="30" t="s">
        <v>13898</v>
      </c>
      <c r="B199" s="30" t="s">
        <v>14727</v>
      </c>
      <c r="C199" s="30" t="s">
        <v>12841</v>
      </c>
      <c r="D199" s="30" t="s">
        <v>12842</v>
      </c>
      <c r="E199" s="30" t="s">
        <v>12843</v>
      </c>
      <c r="F199" s="30" t="s">
        <v>12844</v>
      </c>
      <c r="H199" s="30" t="s">
        <v>2574</v>
      </c>
      <c r="I199" s="30" t="s">
        <v>14728</v>
      </c>
      <c r="J199" s="30" t="s">
        <v>14729</v>
      </c>
      <c r="K199" s="30" t="s">
        <v>13901</v>
      </c>
      <c r="L199" s="30" t="s">
        <v>13902</v>
      </c>
      <c r="M199" s="30" t="s">
        <v>1224</v>
      </c>
      <c r="N199" s="30" t="s">
        <v>129</v>
      </c>
      <c r="P199" s="30" t="s">
        <v>131</v>
      </c>
      <c r="Q199" s="30" t="s">
        <v>129</v>
      </c>
      <c r="R199" s="30" t="s">
        <v>131</v>
      </c>
      <c r="S199" s="30" t="s">
        <v>129</v>
      </c>
      <c r="T199" s="30" t="s">
        <v>131</v>
      </c>
      <c r="U199" s="30" t="s">
        <v>14730</v>
      </c>
      <c r="V199" s="30" t="s">
        <v>14731</v>
      </c>
      <c r="W199" s="30" t="s">
        <v>129</v>
      </c>
      <c r="X199" s="30" t="s">
        <v>2238</v>
      </c>
      <c r="Y199" s="30" t="s">
        <v>2254</v>
      </c>
    </row>
    <row r="200" spans="1:25">
      <c r="A200" s="30" t="s">
        <v>13898</v>
      </c>
      <c r="B200" s="30" t="s">
        <v>14732</v>
      </c>
      <c r="C200" s="30" t="s">
        <v>12848</v>
      </c>
      <c r="D200" s="30" t="s">
        <v>12849</v>
      </c>
      <c r="E200" s="30" t="s">
        <v>12850</v>
      </c>
      <c r="F200" s="30" t="s">
        <v>12123</v>
      </c>
      <c r="H200" s="30" t="s">
        <v>2574</v>
      </c>
      <c r="I200" s="30" t="s">
        <v>14733</v>
      </c>
      <c r="J200" s="30" t="s">
        <v>13900</v>
      </c>
      <c r="K200" s="30" t="s">
        <v>13901</v>
      </c>
      <c r="L200" s="30" t="s">
        <v>13902</v>
      </c>
      <c r="M200" s="30" t="s">
        <v>1224</v>
      </c>
      <c r="N200" s="30" t="s">
        <v>131</v>
      </c>
      <c r="O200" s="30" t="s">
        <v>14056</v>
      </c>
      <c r="P200" s="30" t="s">
        <v>131</v>
      </c>
      <c r="Q200" s="30" t="s">
        <v>131</v>
      </c>
      <c r="R200" s="30" t="s">
        <v>131</v>
      </c>
      <c r="S200" s="30" t="s">
        <v>129</v>
      </c>
      <c r="T200" s="30" t="s">
        <v>131</v>
      </c>
      <c r="U200" s="30" t="s">
        <v>14734</v>
      </c>
      <c r="V200" s="30" t="s">
        <v>14735</v>
      </c>
      <c r="W200" s="30" t="s">
        <v>129</v>
      </c>
      <c r="X200" s="30" t="s">
        <v>2238</v>
      </c>
      <c r="Y200" s="30" t="s">
        <v>2254</v>
      </c>
    </row>
    <row r="201" spans="1:25">
      <c r="A201" s="30" t="s">
        <v>13898</v>
      </c>
      <c r="B201" s="30" t="s">
        <v>13241</v>
      </c>
      <c r="C201" s="30" t="s">
        <v>12851</v>
      </c>
      <c r="D201" s="30" t="s">
        <v>12852</v>
      </c>
      <c r="E201" s="30" t="s">
        <v>12853</v>
      </c>
      <c r="F201" s="30" t="s">
        <v>12854</v>
      </c>
      <c r="H201" s="30" t="s">
        <v>2574</v>
      </c>
      <c r="I201" s="30" t="s">
        <v>14736</v>
      </c>
      <c r="J201" s="30" t="s">
        <v>14737</v>
      </c>
      <c r="K201" s="30" t="s">
        <v>13901</v>
      </c>
      <c r="L201" s="30" t="s">
        <v>13902</v>
      </c>
      <c r="M201" s="30" t="s">
        <v>1224</v>
      </c>
      <c r="N201" s="30" t="s">
        <v>131</v>
      </c>
      <c r="O201" s="30" t="s">
        <v>13911</v>
      </c>
      <c r="P201" s="30" t="s">
        <v>131</v>
      </c>
      <c r="Q201" s="30" t="s">
        <v>129</v>
      </c>
      <c r="R201" s="30" t="s">
        <v>131</v>
      </c>
      <c r="S201" s="30" t="s">
        <v>129</v>
      </c>
      <c r="T201" s="30" t="s">
        <v>129</v>
      </c>
      <c r="U201" s="30" t="s">
        <v>14738</v>
      </c>
      <c r="V201" s="30" t="s">
        <v>14739</v>
      </c>
      <c r="W201" s="30" t="s">
        <v>129</v>
      </c>
      <c r="X201" s="30" t="s">
        <v>2238</v>
      </c>
      <c r="Y201" s="30" t="s">
        <v>2254</v>
      </c>
    </row>
    <row r="202" spans="1:25">
      <c r="A202" s="30" t="s">
        <v>13898</v>
      </c>
      <c r="B202" s="30" t="s">
        <v>14740</v>
      </c>
      <c r="C202" s="30" t="s">
        <v>12856</v>
      </c>
      <c r="D202" s="30" t="s">
        <v>12857</v>
      </c>
      <c r="E202" s="30" t="s">
        <v>12858</v>
      </c>
      <c r="F202" s="30" t="s">
        <v>12444</v>
      </c>
      <c r="H202" s="30" t="s">
        <v>2574</v>
      </c>
      <c r="I202" s="30" t="s">
        <v>14741</v>
      </c>
      <c r="J202" s="30" t="s">
        <v>14227</v>
      </c>
      <c r="K202" s="30" t="s">
        <v>13901</v>
      </c>
      <c r="L202" s="30" t="s">
        <v>13902</v>
      </c>
      <c r="M202" s="30" t="s">
        <v>1224</v>
      </c>
      <c r="N202" s="30" t="s">
        <v>129</v>
      </c>
      <c r="P202" s="30" t="s">
        <v>131</v>
      </c>
      <c r="Q202" s="30" t="s">
        <v>131</v>
      </c>
      <c r="R202" s="30" t="s">
        <v>131</v>
      </c>
      <c r="S202" s="30" t="s">
        <v>129</v>
      </c>
      <c r="T202" s="30" t="s">
        <v>129</v>
      </c>
      <c r="U202" s="30" t="s">
        <v>14742</v>
      </c>
      <c r="V202" s="30" t="s">
        <v>14743</v>
      </c>
      <c r="W202" s="30" t="s">
        <v>129</v>
      </c>
      <c r="X202" s="30" t="s">
        <v>2238</v>
      </c>
      <c r="Y202" s="30" t="s">
        <v>2254</v>
      </c>
    </row>
    <row r="203" spans="1:25">
      <c r="A203" s="30" t="s">
        <v>13898</v>
      </c>
      <c r="B203" s="30" t="s">
        <v>14744</v>
      </c>
      <c r="C203" s="30" t="s">
        <v>12860</v>
      </c>
      <c r="D203" s="30" t="s">
        <v>12861</v>
      </c>
      <c r="E203" s="30" t="s">
        <v>12862</v>
      </c>
      <c r="F203" s="30" t="s">
        <v>12123</v>
      </c>
      <c r="H203" s="30" t="s">
        <v>2574</v>
      </c>
      <c r="I203" s="30" t="s">
        <v>14745</v>
      </c>
      <c r="J203" s="30" t="s">
        <v>13900</v>
      </c>
      <c r="K203" s="30" t="s">
        <v>13901</v>
      </c>
      <c r="L203" s="30" t="s">
        <v>13902</v>
      </c>
      <c r="M203" s="30" t="s">
        <v>1224</v>
      </c>
      <c r="N203" s="30" t="s">
        <v>129</v>
      </c>
      <c r="P203" s="30" t="s">
        <v>131</v>
      </c>
      <c r="Q203" s="30" t="s">
        <v>129</v>
      </c>
      <c r="R203" s="30" t="s">
        <v>131</v>
      </c>
      <c r="S203" s="30" t="s">
        <v>129</v>
      </c>
      <c r="T203" s="30" t="s">
        <v>129</v>
      </c>
      <c r="U203" s="30" t="s">
        <v>14746</v>
      </c>
      <c r="V203" s="30" t="s">
        <v>14747</v>
      </c>
      <c r="W203" s="30" t="s">
        <v>129</v>
      </c>
      <c r="X203" s="30" t="s">
        <v>2238</v>
      </c>
      <c r="Y203" s="30" t="s">
        <v>2254</v>
      </c>
    </row>
    <row r="204" spans="1:25">
      <c r="A204" s="30" t="s">
        <v>13898</v>
      </c>
      <c r="B204" s="30" t="s">
        <v>14748</v>
      </c>
      <c r="C204" s="30" t="s">
        <v>12863</v>
      </c>
      <c r="D204" s="30" t="s">
        <v>12864</v>
      </c>
      <c r="E204" s="30" t="s">
        <v>12865</v>
      </c>
      <c r="F204" s="30" t="s">
        <v>12123</v>
      </c>
      <c r="H204" s="30" t="s">
        <v>2574</v>
      </c>
      <c r="I204" s="30" t="s">
        <v>14749</v>
      </c>
      <c r="J204" s="30" t="s">
        <v>13900</v>
      </c>
      <c r="K204" s="30" t="s">
        <v>13901</v>
      </c>
      <c r="L204" s="30" t="s">
        <v>13902</v>
      </c>
      <c r="M204" s="30" t="s">
        <v>1224</v>
      </c>
      <c r="N204" s="30" t="s">
        <v>131</v>
      </c>
      <c r="O204" s="30" t="s">
        <v>13929</v>
      </c>
      <c r="P204" s="30" t="s">
        <v>131</v>
      </c>
      <c r="Q204" s="30" t="s">
        <v>131</v>
      </c>
      <c r="R204" s="30" t="s">
        <v>131</v>
      </c>
      <c r="S204" s="30" t="s">
        <v>129</v>
      </c>
      <c r="T204" s="30" t="s">
        <v>129</v>
      </c>
      <c r="U204" s="30" t="s">
        <v>14750</v>
      </c>
      <c r="V204" s="30" t="s">
        <v>14751</v>
      </c>
      <c r="W204" s="30" t="s">
        <v>129</v>
      </c>
      <c r="X204" s="30" t="s">
        <v>2238</v>
      </c>
      <c r="Y204" s="30" t="s">
        <v>2254</v>
      </c>
    </row>
    <row r="205" spans="1:25">
      <c r="A205" s="30" t="s">
        <v>13898</v>
      </c>
      <c r="B205" s="30" t="s">
        <v>14752</v>
      </c>
      <c r="C205" s="30" t="s">
        <v>12866</v>
      </c>
      <c r="D205" s="30" t="s">
        <v>12867</v>
      </c>
      <c r="E205" s="30" t="s">
        <v>12868</v>
      </c>
      <c r="F205" s="30" t="s">
        <v>12347</v>
      </c>
      <c r="H205" s="30" t="s">
        <v>2574</v>
      </c>
      <c r="I205" s="30" t="s">
        <v>14753</v>
      </c>
      <c r="J205" s="30" t="s">
        <v>14115</v>
      </c>
      <c r="K205" s="30" t="s">
        <v>13901</v>
      </c>
      <c r="L205" s="30" t="s">
        <v>13902</v>
      </c>
      <c r="M205" s="30" t="s">
        <v>1224</v>
      </c>
      <c r="N205" s="30" t="s">
        <v>129</v>
      </c>
      <c r="P205" s="30" t="s">
        <v>129</v>
      </c>
      <c r="Q205" s="30" t="s">
        <v>129</v>
      </c>
      <c r="R205" s="30" t="s">
        <v>131</v>
      </c>
      <c r="S205" s="30" t="s">
        <v>129</v>
      </c>
      <c r="T205" s="30" t="s">
        <v>131</v>
      </c>
      <c r="U205" s="30" t="s">
        <v>14754</v>
      </c>
      <c r="V205" s="30" t="s">
        <v>14755</v>
      </c>
      <c r="W205" s="30" t="s">
        <v>129</v>
      </c>
      <c r="X205" s="30" t="s">
        <v>2238</v>
      </c>
      <c r="Y205" s="30" t="s">
        <v>2254</v>
      </c>
    </row>
    <row r="206" spans="1:25">
      <c r="A206" s="30" t="s">
        <v>13898</v>
      </c>
      <c r="B206" s="30" t="s">
        <v>14756</v>
      </c>
      <c r="C206" s="30" t="s">
        <v>12869</v>
      </c>
      <c r="D206" s="30" t="s">
        <v>12870</v>
      </c>
      <c r="E206" s="30" t="s">
        <v>12871</v>
      </c>
      <c r="F206" s="30" t="s">
        <v>12299</v>
      </c>
      <c r="H206" s="30" t="s">
        <v>2574</v>
      </c>
      <c r="I206" s="30" t="s">
        <v>14757</v>
      </c>
      <c r="J206" s="30" t="s">
        <v>14068</v>
      </c>
      <c r="K206" s="30" t="s">
        <v>13901</v>
      </c>
      <c r="L206" s="30" t="s">
        <v>13902</v>
      </c>
      <c r="M206" s="30" t="s">
        <v>1224</v>
      </c>
      <c r="N206" s="30" t="s">
        <v>129</v>
      </c>
      <c r="P206" s="30" t="s">
        <v>131</v>
      </c>
      <c r="Q206" s="30" t="s">
        <v>131</v>
      </c>
      <c r="R206" s="30" t="s">
        <v>129</v>
      </c>
      <c r="S206" s="30" t="s">
        <v>129</v>
      </c>
      <c r="T206" s="30" t="s">
        <v>129</v>
      </c>
      <c r="U206" s="30" t="s">
        <v>14758</v>
      </c>
      <c r="V206" s="30" t="s">
        <v>14759</v>
      </c>
      <c r="W206" s="30" t="s">
        <v>129</v>
      </c>
      <c r="X206" s="30" t="s">
        <v>2238</v>
      </c>
      <c r="Y206" s="30" t="s">
        <v>2254</v>
      </c>
    </row>
    <row r="207" spans="1:25">
      <c r="A207" s="30" t="s">
        <v>13898</v>
      </c>
      <c r="B207" s="30" t="s">
        <v>14760</v>
      </c>
      <c r="C207" s="30" t="s">
        <v>12872</v>
      </c>
      <c r="D207" s="30" t="s">
        <v>12873</v>
      </c>
      <c r="E207" s="30" t="s">
        <v>12874</v>
      </c>
      <c r="F207" s="30" t="s">
        <v>12201</v>
      </c>
      <c r="H207" s="30" t="s">
        <v>2574</v>
      </c>
      <c r="I207" s="30" t="s">
        <v>14761</v>
      </c>
      <c r="J207" s="30" t="s">
        <v>13968</v>
      </c>
      <c r="K207" s="30" t="s">
        <v>13901</v>
      </c>
      <c r="L207" s="30" t="s">
        <v>13902</v>
      </c>
      <c r="M207" s="30" t="s">
        <v>1224</v>
      </c>
      <c r="N207" s="30" t="s">
        <v>131</v>
      </c>
      <c r="O207" s="30" t="s">
        <v>14475</v>
      </c>
      <c r="P207" s="30" t="s">
        <v>129</v>
      </c>
      <c r="Q207" s="30" t="s">
        <v>131</v>
      </c>
      <c r="R207" s="30" t="s">
        <v>131</v>
      </c>
      <c r="S207" s="30" t="s">
        <v>129</v>
      </c>
      <c r="T207" s="30" t="s">
        <v>131</v>
      </c>
      <c r="U207" s="30" t="s">
        <v>14762</v>
      </c>
      <c r="V207" s="30" t="s">
        <v>14763</v>
      </c>
      <c r="W207" s="30" t="s">
        <v>129</v>
      </c>
      <c r="X207" s="30" t="s">
        <v>2238</v>
      </c>
      <c r="Y207" s="30" t="s">
        <v>2254</v>
      </c>
    </row>
    <row r="208" spans="1:25">
      <c r="A208" s="30" t="s">
        <v>13898</v>
      </c>
      <c r="B208" s="30" t="s">
        <v>14764</v>
      </c>
      <c r="C208" s="30" t="s">
        <v>12875</v>
      </c>
      <c r="D208" s="30" t="s">
        <v>12876</v>
      </c>
      <c r="E208" s="30" t="s">
        <v>12877</v>
      </c>
      <c r="F208" s="30" t="s">
        <v>12444</v>
      </c>
      <c r="H208" s="30" t="s">
        <v>2574</v>
      </c>
      <c r="I208" s="30" t="s">
        <v>14765</v>
      </c>
      <c r="J208" s="30" t="s">
        <v>14227</v>
      </c>
      <c r="K208" s="30" t="s">
        <v>13901</v>
      </c>
      <c r="L208" s="30" t="s">
        <v>13902</v>
      </c>
      <c r="M208" s="30" t="s">
        <v>1224</v>
      </c>
      <c r="N208" s="30" t="s">
        <v>129</v>
      </c>
      <c r="P208" s="30" t="s">
        <v>131</v>
      </c>
      <c r="Q208" s="30" t="s">
        <v>131</v>
      </c>
      <c r="R208" s="30" t="s">
        <v>129</v>
      </c>
      <c r="S208" s="30" t="s">
        <v>129</v>
      </c>
      <c r="T208" s="30" t="s">
        <v>131</v>
      </c>
      <c r="U208" s="30" t="s">
        <v>14766</v>
      </c>
      <c r="V208" s="30" t="s">
        <v>14767</v>
      </c>
      <c r="W208" s="30" t="s">
        <v>129</v>
      </c>
      <c r="X208" s="30" t="s">
        <v>2238</v>
      </c>
      <c r="Y208" s="30" t="s">
        <v>2254</v>
      </c>
    </row>
    <row r="209" spans="1:25">
      <c r="A209" s="30" t="s">
        <v>13898</v>
      </c>
      <c r="B209" s="30" t="s">
        <v>14768</v>
      </c>
      <c r="C209" s="30" t="s">
        <v>12878</v>
      </c>
      <c r="D209" s="30" t="s">
        <v>12879</v>
      </c>
      <c r="E209" s="30" t="s">
        <v>12880</v>
      </c>
      <c r="F209" s="30" t="s">
        <v>12123</v>
      </c>
      <c r="H209" s="30" t="s">
        <v>2574</v>
      </c>
      <c r="I209" s="30" t="s">
        <v>14769</v>
      </c>
      <c r="J209" s="30" t="s">
        <v>13900</v>
      </c>
      <c r="K209" s="30" t="s">
        <v>13901</v>
      </c>
      <c r="L209" s="30" t="s">
        <v>13902</v>
      </c>
      <c r="M209" s="30" t="s">
        <v>1224</v>
      </c>
      <c r="N209" s="30" t="s">
        <v>129</v>
      </c>
      <c r="P209" s="30" t="s">
        <v>131</v>
      </c>
      <c r="Q209" s="30" t="s">
        <v>131</v>
      </c>
      <c r="R209" s="30" t="s">
        <v>129</v>
      </c>
      <c r="S209" s="30" t="s">
        <v>129</v>
      </c>
      <c r="T209" s="30" t="s">
        <v>131</v>
      </c>
      <c r="U209" s="30" t="s">
        <v>14537</v>
      </c>
      <c r="V209" s="30" t="s">
        <v>14538</v>
      </c>
      <c r="W209" s="30" t="s">
        <v>129</v>
      </c>
      <c r="X209" s="30" t="s">
        <v>2238</v>
      </c>
      <c r="Y209" s="30" t="s">
        <v>2254</v>
      </c>
    </row>
    <row r="210" spans="1:25">
      <c r="A210" s="30" t="s">
        <v>13898</v>
      </c>
      <c r="B210" s="30" t="s">
        <v>14770</v>
      </c>
      <c r="C210" s="30" t="s">
        <v>12881</v>
      </c>
      <c r="D210" s="30" t="s">
        <v>12882</v>
      </c>
      <c r="E210" s="30" t="s">
        <v>12883</v>
      </c>
      <c r="F210" s="30" t="s">
        <v>12181</v>
      </c>
      <c r="H210" s="30" t="s">
        <v>2574</v>
      </c>
      <c r="I210" s="30" t="s">
        <v>14771</v>
      </c>
      <c r="J210" s="30" t="s">
        <v>13946</v>
      </c>
      <c r="K210" s="30" t="s">
        <v>13901</v>
      </c>
      <c r="L210" s="30" t="s">
        <v>13902</v>
      </c>
      <c r="M210" s="30" t="s">
        <v>1224</v>
      </c>
      <c r="N210" s="30" t="s">
        <v>131</v>
      </c>
      <c r="O210" s="30" t="s">
        <v>14772</v>
      </c>
      <c r="P210" s="30" t="s">
        <v>131</v>
      </c>
      <c r="Q210" s="30" t="s">
        <v>131</v>
      </c>
      <c r="R210" s="30" t="s">
        <v>129</v>
      </c>
      <c r="S210" s="30" t="s">
        <v>129</v>
      </c>
      <c r="T210" s="30" t="s">
        <v>131</v>
      </c>
      <c r="U210" s="30" t="s">
        <v>14773</v>
      </c>
      <c r="V210" s="30" t="s">
        <v>14774</v>
      </c>
      <c r="W210" s="30" t="s">
        <v>129</v>
      </c>
      <c r="X210" s="30" t="s">
        <v>2238</v>
      </c>
      <c r="Y210" s="30" t="s">
        <v>2254</v>
      </c>
    </row>
    <row r="211" spans="1:25">
      <c r="A211" s="30" t="s">
        <v>13898</v>
      </c>
      <c r="B211" s="30" t="s">
        <v>14775</v>
      </c>
      <c r="C211" s="30" t="s">
        <v>12881</v>
      </c>
      <c r="D211" s="30" t="s">
        <v>12882</v>
      </c>
      <c r="E211" s="30" t="s">
        <v>12883</v>
      </c>
      <c r="F211" s="30" t="s">
        <v>12181</v>
      </c>
      <c r="H211" s="30" t="s">
        <v>2574</v>
      </c>
      <c r="I211" s="30" t="s">
        <v>14771</v>
      </c>
      <c r="J211" s="30" t="s">
        <v>13946</v>
      </c>
      <c r="K211" s="30" t="s">
        <v>13901</v>
      </c>
      <c r="L211" s="30" t="s">
        <v>13902</v>
      </c>
      <c r="M211" s="30" t="s">
        <v>1224</v>
      </c>
      <c r="N211" s="30" t="s">
        <v>129</v>
      </c>
      <c r="P211" s="30" t="s">
        <v>131</v>
      </c>
      <c r="Q211" s="30" t="s">
        <v>131</v>
      </c>
      <c r="R211" s="30" t="s">
        <v>129</v>
      </c>
      <c r="S211" s="30" t="s">
        <v>129</v>
      </c>
      <c r="T211" s="30" t="s">
        <v>131</v>
      </c>
      <c r="U211" s="30" t="s">
        <v>14773</v>
      </c>
      <c r="V211" s="30" t="s">
        <v>14774</v>
      </c>
      <c r="W211" s="30" t="s">
        <v>129</v>
      </c>
      <c r="X211" s="30" t="s">
        <v>2238</v>
      </c>
      <c r="Y211" s="30" t="s">
        <v>2254</v>
      </c>
    </row>
    <row r="212" spans="1:25">
      <c r="A212" s="30" t="s">
        <v>13898</v>
      </c>
      <c r="B212" s="30" t="s">
        <v>14776</v>
      </c>
      <c r="C212" s="30" t="s">
        <v>12884</v>
      </c>
      <c r="D212" s="30" t="s">
        <v>12885</v>
      </c>
      <c r="E212" s="30" t="s">
        <v>12886</v>
      </c>
      <c r="F212" s="30" t="s">
        <v>12470</v>
      </c>
      <c r="H212" s="30" t="s">
        <v>2574</v>
      </c>
      <c r="I212" s="30" t="s">
        <v>14777</v>
      </c>
      <c r="J212" s="30" t="s">
        <v>14474</v>
      </c>
      <c r="K212" s="30" t="s">
        <v>13901</v>
      </c>
      <c r="L212" s="30" t="s">
        <v>13902</v>
      </c>
      <c r="M212" s="30" t="s">
        <v>1224</v>
      </c>
      <c r="N212" s="30" t="s">
        <v>131</v>
      </c>
      <c r="O212" s="30" t="s">
        <v>14475</v>
      </c>
      <c r="P212" s="30" t="s">
        <v>129</v>
      </c>
      <c r="Q212" s="30" t="s">
        <v>129</v>
      </c>
      <c r="R212" s="30" t="s">
        <v>131</v>
      </c>
      <c r="S212" s="30" t="s">
        <v>129</v>
      </c>
      <c r="T212" s="30" t="s">
        <v>129</v>
      </c>
      <c r="U212" s="30" t="s">
        <v>14778</v>
      </c>
      <c r="V212" s="30" t="s">
        <v>14779</v>
      </c>
      <c r="W212" s="30" t="s">
        <v>129</v>
      </c>
      <c r="X212" s="30" t="s">
        <v>2238</v>
      </c>
      <c r="Y212" s="30" t="s">
        <v>2254</v>
      </c>
    </row>
    <row r="213" spans="1:25">
      <c r="A213" s="30" t="s">
        <v>13898</v>
      </c>
      <c r="B213" s="30" t="s">
        <v>14780</v>
      </c>
      <c r="C213" s="30" t="s">
        <v>12890</v>
      </c>
      <c r="D213" s="30" t="s">
        <v>12891</v>
      </c>
      <c r="E213" s="30" t="s">
        <v>12892</v>
      </c>
      <c r="F213" s="30" t="s">
        <v>12189</v>
      </c>
      <c r="H213" s="30" t="s">
        <v>2574</v>
      </c>
      <c r="I213" s="30" t="s">
        <v>14781</v>
      </c>
      <c r="J213" s="30" t="s">
        <v>13955</v>
      </c>
      <c r="K213" s="30" t="s">
        <v>13901</v>
      </c>
      <c r="L213" s="30" t="s">
        <v>13902</v>
      </c>
      <c r="M213" s="30" t="s">
        <v>1224</v>
      </c>
      <c r="N213" s="30" t="s">
        <v>131</v>
      </c>
      <c r="O213" s="30" t="s">
        <v>13956</v>
      </c>
      <c r="P213" s="30" t="s">
        <v>131</v>
      </c>
      <c r="Q213" s="30" t="s">
        <v>129</v>
      </c>
      <c r="R213" s="30" t="s">
        <v>131</v>
      </c>
      <c r="S213" s="30" t="s">
        <v>129</v>
      </c>
      <c r="T213" s="30" t="s">
        <v>131</v>
      </c>
      <c r="U213" s="30" t="s">
        <v>14782</v>
      </c>
      <c r="V213" s="30" t="s">
        <v>14783</v>
      </c>
      <c r="W213" s="30" t="s">
        <v>129</v>
      </c>
      <c r="X213" s="30" t="s">
        <v>2238</v>
      </c>
      <c r="Y213" s="30" t="s">
        <v>2254</v>
      </c>
    </row>
    <row r="214" spans="1:25">
      <c r="A214" s="30" t="s">
        <v>13898</v>
      </c>
      <c r="B214" s="30" t="s">
        <v>14784</v>
      </c>
      <c r="C214" s="30" t="s">
        <v>12893</v>
      </c>
      <c r="D214" s="30" t="s">
        <v>12894</v>
      </c>
      <c r="E214" s="30" t="s">
        <v>12895</v>
      </c>
      <c r="F214" s="30" t="s">
        <v>12813</v>
      </c>
      <c r="H214" s="30" t="s">
        <v>2574</v>
      </c>
      <c r="I214" s="30" t="s">
        <v>14785</v>
      </c>
      <c r="J214" s="30" t="s">
        <v>14698</v>
      </c>
      <c r="K214" s="30" t="s">
        <v>13901</v>
      </c>
      <c r="L214" s="30" t="s">
        <v>13902</v>
      </c>
      <c r="M214" s="30" t="s">
        <v>1224</v>
      </c>
      <c r="N214" s="30" t="s">
        <v>131</v>
      </c>
      <c r="O214" s="30" t="s">
        <v>14786</v>
      </c>
      <c r="P214" s="30" t="s">
        <v>131</v>
      </c>
      <c r="Q214" s="30" t="s">
        <v>131</v>
      </c>
      <c r="R214" s="30" t="s">
        <v>131</v>
      </c>
      <c r="S214" s="30" t="s">
        <v>129</v>
      </c>
      <c r="T214" s="30" t="s">
        <v>131</v>
      </c>
      <c r="U214" s="30" t="s">
        <v>14787</v>
      </c>
      <c r="V214" s="30" t="s">
        <v>14788</v>
      </c>
      <c r="W214" s="30" t="s">
        <v>129</v>
      </c>
      <c r="X214" s="30" t="s">
        <v>2238</v>
      </c>
      <c r="Y214" s="30" t="s">
        <v>2254</v>
      </c>
    </row>
    <row r="215" spans="1:25">
      <c r="A215" s="30" t="s">
        <v>13898</v>
      </c>
      <c r="B215" s="30" t="s">
        <v>14789</v>
      </c>
      <c r="C215" s="30" t="s">
        <v>12896</v>
      </c>
      <c r="D215" s="30" t="s">
        <v>12897</v>
      </c>
      <c r="E215" s="30" t="s">
        <v>12898</v>
      </c>
      <c r="F215" s="30" t="s">
        <v>12541</v>
      </c>
      <c r="H215" s="30" t="s">
        <v>2574</v>
      </c>
      <c r="I215" s="30" t="s">
        <v>14790</v>
      </c>
      <c r="J215" s="30" t="s">
        <v>14355</v>
      </c>
      <c r="K215" s="30" t="s">
        <v>13901</v>
      </c>
      <c r="L215" s="30" t="s">
        <v>13902</v>
      </c>
      <c r="M215" s="30" t="s">
        <v>1224</v>
      </c>
      <c r="N215" s="30" t="s">
        <v>131</v>
      </c>
      <c r="O215" s="30" t="s">
        <v>14791</v>
      </c>
      <c r="P215" s="30" t="s">
        <v>131</v>
      </c>
      <c r="Q215" s="30" t="s">
        <v>131</v>
      </c>
      <c r="R215" s="30" t="s">
        <v>129</v>
      </c>
      <c r="S215" s="30" t="s">
        <v>129</v>
      </c>
      <c r="T215" s="30" t="s">
        <v>131</v>
      </c>
      <c r="U215" s="30" t="s">
        <v>14792</v>
      </c>
      <c r="V215" s="30" t="s">
        <v>14793</v>
      </c>
      <c r="W215" s="30" t="s">
        <v>129</v>
      </c>
      <c r="X215" s="30" t="s">
        <v>2238</v>
      </c>
      <c r="Y215" s="30" t="s">
        <v>2254</v>
      </c>
    </row>
    <row r="216" spans="1:25">
      <c r="A216" s="30" t="s">
        <v>13898</v>
      </c>
      <c r="B216" s="30" t="s">
        <v>14794</v>
      </c>
      <c r="C216" s="30" t="s">
        <v>12899</v>
      </c>
      <c r="D216" s="30" t="s">
        <v>12900</v>
      </c>
      <c r="E216" s="30" t="s">
        <v>12901</v>
      </c>
      <c r="F216" s="30" t="s">
        <v>12215</v>
      </c>
      <c r="H216" s="30" t="s">
        <v>130</v>
      </c>
      <c r="I216" s="30" t="s">
        <v>14795</v>
      </c>
      <c r="J216" s="30" t="s">
        <v>13978</v>
      </c>
      <c r="K216" s="30" t="s">
        <v>13901</v>
      </c>
      <c r="L216" s="30" t="s">
        <v>14156</v>
      </c>
      <c r="M216" s="30" t="s">
        <v>1224</v>
      </c>
      <c r="N216" s="30" t="s">
        <v>129</v>
      </c>
      <c r="P216" s="30" t="s">
        <v>129</v>
      </c>
      <c r="Q216" s="30" t="s">
        <v>131</v>
      </c>
      <c r="R216" s="30" t="s">
        <v>131</v>
      </c>
      <c r="S216" s="30" t="s">
        <v>129</v>
      </c>
      <c r="T216" s="30" t="s">
        <v>131</v>
      </c>
      <c r="U216" s="30" t="s">
        <v>14796</v>
      </c>
      <c r="V216" s="30" t="s">
        <v>14797</v>
      </c>
      <c r="W216" s="30" t="s">
        <v>129</v>
      </c>
      <c r="X216" s="30" t="s">
        <v>2238</v>
      </c>
      <c r="Y216" s="30" t="s">
        <v>2254</v>
      </c>
    </row>
    <row r="217" spans="1:25">
      <c r="A217" s="30" t="s">
        <v>13898</v>
      </c>
      <c r="B217" s="30" t="s">
        <v>14798</v>
      </c>
      <c r="C217" s="30" t="s">
        <v>12902</v>
      </c>
      <c r="D217" s="30" t="s">
        <v>12903</v>
      </c>
      <c r="E217" s="30" t="s">
        <v>12904</v>
      </c>
      <c r="F217" s="30" t="s">
        <v>12589</v>
      </c>
      <c r="H217" s="30" t="s">
        <v>2574</v>
      </c>
      <c r="I217" s="30" t="s">
        <v>14799</v>
      </c>
      <c r="J217" s="30" t="s">
        <v>14422</v>
      </c>
      <c r="K217" s="30" t="s">
        <v>13901</v>
      </c>
      <c r="L217" s="30" t="s">
        <v>13902</v>
      </c>
      <c r="M217" s="30" t="s">
        <v>1224</v>
      </c>
      <c r="N217" s="30" t="s">
        <v>131</v>
      </c>
      <c r="O217" s="30" t="s">
        <v>14800</v>
      </c>
      <c r="P217" s="30" t="s">
        <v>129</v>
      </c>
      <c r="Q217" s="30" t="s">
        <v>131</v>
      </c>
      <c r="R217" s="30" t="s">
        <v>129</v>
      </c>
      <c r="S217" s="30" t="s">
        <v>129</v>
      </c>
      <c r="T217" s="30" t="s">
        <v>131</v>
      </c>
      <c r="U217" s="30" t="s">
        <v>14801</v>
      </c>
      <c r="V217" s="30" t="s">
        <v>14802</v>
      </c>
      <c r="W217" s="30" t="s">
        <v>129</v>
      </c>
      <c r="X217" s="30" t="s">
        <v>2238</v>
      </c>
      <c r="Y217" s="30" t="s">
        <v>2254</v>
      </c>
    </row>
    <row r="218" spans="1:25">
      <c r="A218" s="30" t="s">
        <v>13898</v>
      </c>
      <c r="B218" s="30" t="s">
        <v>14803</v>
      </c>
      <c r="C218" s="30" t="s">
        <v>12905</v>
      </c>
      <c r="D218" s="30" t="s">
        <v>12906</v>
      </c>
      <c r="E218" s="30" t="s">
        <v>12907</v>
      </c>
      <c r="F218" s="30" t="s">
        <v>12470</v>
      </c>
      <c r="H218" s="30" t="s">
        <v>2574</v>
      </c>
      <c r="I218" s="30" t="s">
        <v>14804</v>
      </c>
      <c r="J218" s="30" t="s">
        <v>14474</v>
      </c>
      <c r="K218" s="30" t="s">
        <v>13901</v>
      </c>
      <c r="L218" s="30" t="s">
        <v>13902</v>
      </c>
      <c r="M218" s="30" t="s">
        <v>1224</v>
      </c>
      <c r="N218" s="30" t="s">
        <v>131</v>
      </c>
      <c r="O218" s="30" t="s">
        <v>14475</v>
      </c>
      <c r="P218" s="30" t="s">
        <v>129</v>
      </c>
      <c r="Q218" s="30" t="s">
        <v>131</v>
      </c>
      <c r="R218" s="30" t="s">
        <v>131</v>
      </c>
      <c r="S218" s="30" t="s">
        <v>129</v>
      </c>
      <c r="T218" s="30" t="s">
        <v>131</v>
      </c>
      <c r="U218" s="30" t="s">
        <v>14805</v>
      </c>
      <c r="V218" s="30" t="s">
        <v>14806</v>
      </c>
      <c r="W218" s="30" t="s">
        <v>129</v>
      </c>
      <c r="X218" s="30" t="s">
        <v>2238</v>
      </c>
      <c r="Y218" s="30" t="s">
        <v>2254</v>
      </c>
    </row>
    <row r="219" spans="1:25">
      <c r="A219" s="30" t="s">
        <v>13898</v>
      </c>
      <c r="B219" s="30" t="s">
        <v>14807</v>
      </c>
      <c r="C219" s="30" t="s">
        <v>12908</v>
      </c>
      <c r="D219" s="30" t="s">
        <v>12909</v>
      </c>
      <c r="E219" s="30" t="s">
        <v>12910</v>
      </c>
      <c r="F219" s="30" t="s">
        <v>12911</v>
      </c>
      <c r="H219" s="30" t="s">
        <v>2574</v>
      </c>
      <c r="I219" s="30" t="s">
        <v>14808</v>
      </c>
      <c r="J219" s="30" t="s">
        <v>14809</v>
      </c>
      <c r="K219" s="30" t="s">
        <v>13901</v>
      </c>
      <c r="L219" s="30" t="s">
        <v>13902</v>
      </c>
      <c r="M219" s="30" t="s">
        <v>1224</v>
      </c>
      <c r="N219" s="30" t="s">
        <v>129</v>
      </c>
      <c r="P219" s="30" t="s">
        <v>129</v>
      </c>
      <c r="Q219" s="30" t="s">
        <v>129</v>
      </c>
      <c r="R219" s="30" t="s">
        <v>131</v>
      </c>
      <c r="S219" s="30" t="s">
        <v>129</v>
      </c>
      <c r="T219" s="30" t="s">
        <v>131</v>
      </c>
      <c r="U219" s="30" t="s">
        <v>14810</v>
      </c>
      <c r="V219" s="30" t="s">
        <v>14811</v>
      </c>
      <c r="W219" s="30" t="s">
        <v>129</v>
      </c>
      <c r="X219" s="30" t="s">
        <v>2238</v>
      </c>
      <c r="Y219" s="30" t="s">
        <v>2254</v>
      </c>
    </row>
    <row r="220" spans="1:25">
      <c r="A220" s="30" t="s">
        <v>13898</v>
      </c>
      <c r="B220" s="30" t="s">
        <v>14812</v>
      </c>
      <c r="C220" s="30" t="s">
        <v>12916</v>
      </c>
      <c r="D220" s="30" t="s">
        <v>12917</v>
      </c>
      <c r="E220" s="30" t="s">
        <v>12918</v>
      </c>
      <c r="F220" s="30" t="s">
        <v>12919</v>
      </c>
      <c r="H220" s="30" t="s">
        <v>2574</v>
      </c>
      <c r="I220" s="30" t="s">
        <v>14813</v>
      </c>
      <c r="J220" s="30" t="s">
        <v>14814</v>
      </c>
      <c r="K220" s="30" t="s">
        <v>13901</v>
      </c>
      <c r="L220" s="30" t="s">
        <v>13902</v>
      </c>
      <c r="M220" s="30" t="s">
        <v>1224</v>
      </c>
      <c r="N220" s="30" t="s">
        <v>129</v>
      </c>
      <c r="P220" s="30" t="s">
        <v>131</v>
      </c>
      <c r="Q220" s="30" t="s">
        <v>131</v>
      </c>
      <c r="R220" s="30" t="s">
        <v>131</v>
      </c>
      <c r="S220" s="30" t="s">
        <v>129</v>
      </c>
      <c r="T220" s="30" t="s">
        <v>131</v>
      </c>
      <c r="U220" s="30" t="s">
        <v>14815</v>
      </c>
      <c r="V220" s="30" t="s">
        <v>14816</v>
      </c>
      <c r="W220" s="30" t="s">
        <v>131</v>
      </c>
      <c r="X220" s="30" t="s">
        <v>2239</v>
      </c>
      <c r="Y220" s="30" t="s">
        <v>2252</v>
      </c>
    </row>
    <row r="221" spans="1:25">
      <c r="A221" s="30" t="s">
        <v>13898</v>
      </c>
      <c r="B221" s="30" t="s">
        <v>14817</v>
      </c>
      <c r="C221" s="30" t="s">
        <v>12920</v>
      </c>
      <c r="D221" s="30" t="s">
        <v>12921</v>
      </c>
      <c r="E221" s="30" t="s">
        <v>12922</v>
      </c>
      <c r="F221" s="30" t="s">
        <v>12167</v>
      </c>
      <c r="H221" s="30" t="s">
        <v>2574</v>
      </c>
      <c r="I221" s="30" t="s">
        <v>14818</v>
      </c>
      <c r="J221" s="30" t="s">
        <v>13937</v>
      </c>
      <c r="K221" s="30" t="s">
        <v>13901</v>
      </c>
      <c r="L221" s="30" t="s">
        <v>13902</v>
      </c>
      <c r="M221" s="30" t="s">
        <v>1224</v>
      </c>
      <c r="N221" s="30" t="s">
        <v>129</v>
      </c>
      <c r="P221" s="30" t="s">
        <v>131</v>
      </c>
      <c r="Q221" s="30" t="s">
        <v>129</v>
      </c>
      <c r="R221" s="30" t="s">
        <v>129</v>
      </c>
      <c r="S221" s="30" t="s">
        <v>129</v>
      </c>
      <c r="T221" s="30" t="s">
        <v>131</v>
      </c>
      <c r="U221" s="30" t="s">
        <v>14198</v>
      </c>
      <c r="V221" s="30" t="s">
        <v>14199</v>
      </c>
      <c r="W221" s="30" t="s">
        <v>129</v>
      </c>
      <c r="X221" s="30" t="s">
        <v>2238</v>
      </c>
      <c r="Y221" s="30" t="s">
        <v>2254</v>
      </c>
    </row>
    <row r="222" spans="1:25">
      <c r="A222" s="30" t="s">
        <v>13898</v>
      </c>
      <c r="B222" s="30" t="s">
        <v>14819</v>
      </c>
      <c r="C222" s="30" t="s">
        <v>12926</v>
      </c>
      <c r="D222" s="30" t="s">
        <v>12927</v>
      </c>
      <c r="E222" s="30" t="s">
        <v>12928</v>
      </c>
      <c r="F222" s="30" t="s">
        <v>12177</v>
      </c>
      <c r="H222" s="30" t="s">
        <v>2574</v>
      </c>
      <c r="I222" s="30" t="s">
        <v>14820</v>
      </c>
      <c r="J222" s="30" t="s">
        <v>13942</v>
      </c>
      <c r="K222" s="30" t="s">
        <v>13901</v>
      </c>
      <c r="L222" s="30" t="s">
        <v>13902</v>
      </c>
      <c r="M222" s="30" t="s">
        <v>1224</v>
      </c>
      <c r="N222" s="30" t="s">
        <v>131</v>
      </c>
      <c r="O222" s="30" t="s">
        <v>14821</v>
      </c>
      <c r="P222" s="30" t="s">
        <v>131</v>
      </c>
      <c r="Q222" s="30" t="s">
        <v>131</v>
      </c>
      <c r="R222" s="30" t="s">
        <v>131</v>
      </c>
      <c r="S222" s="30" t="s">
        <v>129</v>
      </c>
      <c r="T222" s="30" t="s">
        <v>131</v>
      </c>
      <c r="U222" s="30" t="s">
        <v>14822</v>
      </c>
      <c r="V222" s="30" t="s">
        <v>14823</v>
      </c>
      <c r="W222" s="30" t="s">
        <v>129</v>
      </c>
      <c r="X222" s="30" t="s">
        <v>2238</v>
      </c>
      <c r="Y222" s="30" t="s">
        <v>2254</v>
      </c>
    </row>
    <row r="223" spans="1:25">
      <c r="A223" s="30" t="s">
        <v>13898</v>
      </c>
      <c r="B223" s="30" t="s">
        <v>14824</v>
      </c>
      <c r="C223" s="30" t="s">
        <v>12929</v>
      </c>
      <c r="D223" s="30" t="s">
        <v>12930</v>
      </c>
      <c r="E223" s="30" t="s">
        <v>12931</v>
      </c>
      <c r="F223" s="30" t="s">
        <v>12123</v>
      </c>
      <c r="H223" s="30" t="s">
        <v>2574</v>
      </c>
      <c r="I223" s="30" t="s">
        <v>14825</v>
      </c>
      <c r="J223" s="30" t="s">
        <v>13900</v>
      </c>
      <c r="K223" s="30" t="s">
        <v>13901</v>
      </c>
      <c r="L223" s="30" t="s">
        <v>13902</v>
      </c>
      <c r="M223" s="30" t="s">
        <v>1224</v>
      </c>
      <c r="N223" s="30" t="s">
        <v>129</v>
      </c>
      <c r="P223" s="30" t="s">
        <v>129</v>
      </c>
      <c r="Q223" s="30" t="s">
        <v>129</v>
      </c>
      <c r="R223" s="30" t="s">
        <v>131</v>
      </c>
      <c r="S223" s="30" t="s">
        <v>129</v>
      </c>
      <c r="T223" s="30" t="s">
        <v>131</v>
      </c>
      <c r="U223" s="30" t="s">
        <v>14826</v>
      </c>
      <c r="V223" s="30" t="s">
        <v>14827</v>
      </c>
      <c r="W223" s="30" t="s">
        <v>129</v>
      </c>
      <c r="X223" s="30" t="s">
        <v>2238</v>
      </c>
      <c r="Y223" s="30" t="s">
        <v>2254</v>
      </c>
    </row>
    <row r="224" spans="1:25">
      <c r="A224" s="30" t="s">
        <v>13898</v>
      </c>
      <c r="B224" s="30" t="s">
        <v>14828</v>
      </c>
      <c r="C224" s="30" t="s">
        <v>12932</v>
      </c>
      <c r="D224" s="30" t="s">
        <v>12933</v>
      </c>
      <c r="E224" s="30" t="s">
        <v>12934</v>
      </c>
      <c r="F224" s="30" t="s">
        <v>12123</v>
      </c>
      <c r="H224" s="30" t="s">
        <v>2574</v>
      </c>
      <c r="I224" s="30" t="s">
        <v>14829</v>
      </c>
      <c r="J224" s="30" t="s">
        <v>13900</v>
      </c>
      <c r="K224" s="30" t="s">
        <v>13901</v>
      </c>
      <c r="L224" s="30" t="s">
        <v>13902</v>
      </c>
      <c r="M224" s="30" t="s">
        <v>1224</v>
      </c>
      <c r="N224" s="30" t="s">
        <v>131</v>
      </c>
      <c r="O224" s="30" t="s">
        <v>14475</v>
      </c>
      <c r="P224" s="30" t="s">
        <v>129</v>
      </c>
      <c r="Q224" s="30" t="s">
        <v>131</v>
      </c>
      <c r="R224" s="30" t="s">
        <v>129</v>
      </c>
      <c r="S224" s="30" t="s">
        <v>129</v>
      </c>
      <c r="T224" s="30" t="s">
        <v>131</v>
      </c>
      <c r="U224" s="30" t="s">
        <v>14830</v>
      </c>
      <c r="V224" s="30" t="s">
        <v>14831</v>
      </c>
      <c r="W224" s="30" t="s">
        <v>129</v>
      </c>
      <c r="X224" s="30" t="s">
        <v>2238</v>
      </c>
      <c r="Y224" s="30" t="s">
        <v>2254</v>
      </c>
    </row>
    <row r="225" spans="1:25">
      <c r="A225" s="30" t="s">
        <v>13898</v>
      </c>
      <c r="B225" s="30" t="s">
        <v>14832</v>
      </c>
      <c r="C225" s="30" t="s">
        <v>12935</v>
      </c>
      <c r="D225" s="30" t="s">
        <v>12936</v>
      </c>
      <c r="E225" s="30" t="s">
        <v>12937</v>
      </c>
      <c r="F225" s="30" t="s">
        <v>12135</v>
      </c>
      <c r="H225" s="30" t="s">
        <v>2574</v>
      </c>
      <c r="I225" s="30" t="s">
        <v>14833</v>
      </c>
      <c r="J225" s="30" t="s">
        <v>13910</v>
      </c>
      <c r="K225" s="30" t="s">
        <v>13901</v>
      </c>
      <c r="L225" s="30" t="s">
        <v>13902</v>
      </c>
      <c r="M225" s="30" t="s">
        <v>1224</v>
      </c>
      <c r="N225" s="30" t="s">
        <v>129</v>
      </c>
      <c r="P225" s="30" t="s">
        <v>131</v>
      </c>
      <c r="Q225" s="30" t="s">
        <v>129</v>
      </c>
      <c r="R225" s="30" t="s">
        <v>131</v>
      </c>
      <c r="S225" s="30" t="s">
        <v>129</v>
      </c>
      <c r="T225" s="30" t="s">
        <v>131</v>
      </c>
      <c r="U225" s="30" t="s">
        <v>14834</v>
      </c>
      <c r="V225" s="30" t="s">
        <v>14835</v>
      </c>
      <c r="W225" s="30" t="s">
        <v>129</v>
      </c>
      <c r="X225" s="30" t="s">
        <v>2238</v>
      </c>
      <c r="Y225" s="30" t="s">
        <v>2254</v>
      </c>
    </row>
    <row r="226" spans="1:25">
      <c r="A226" s="30" t="s">
        <v>13898</v>
      </c>
      <c r="B226" s="30" t="s">
        <v>14836</v>
      </c>
      <c r="C226" s="30" t="s">
        <v>12938</v>
      </c>
      <c r="D226" s="30" t="s">
        <v>12939</v>
      </c>
      <c r="E226" s="30" t="s">
        <v>12940</v>
      </c>
      <c r="F226" s="30" t="s">
        <v>12225</v>
      </c>
      <c r="H226" s="30" t="s">
        <v>2574</v>
      </c>
      <c r="I226" s="30" t="s">
        <v>14837</v>
      </c>
      <c r="J226" s="30" t="s">
        <v>13988</v>
      </c>
      <c r="K226" s="30" t="s">
        <v>13901</v>
      </c>
      <c r="L226" s="30" t="s">
        <v>13902</v>
      </c>
      <c r="M226" s="30" t="s">
        <v>1224</v>
      </c>
      <c r="N226" s="30" t="s">
        <v>129</v>
      </c>
      <c r="P226" s="30" t="s">
        <v>129</v>
      </c>
      <c r="Q226" s="30" t="s">
        <v>131</v>
      </c>
      <c r="R226" s="30" t="s">
        <v>129</v>
      </c>
      <c r="S226" s="30" t="s">
        <v>129</v>
      </c>
      <c r="T226" s="30" t="s">
        <v>131</v>
      </c>
      <c r="U226" s="30" t="s">
        <v>14838</v>
      </c>
      <c r="V226" s="30" t="s">
        <v>14839</v>
      </c>
      <c r="W226" s="30" t="s">
        <v>129</v>
      </c>
      <c r="X226" s="30" t="s">
        <v>2238</v>
      </c>
      <c r="Y226" s="30" t="s">
        <v>2254</v>
      </c>
    </row>
    <row r="227" spans="1:25">
      <c r="A227" s="30" t="s">
        <v>13898</v>
      </c>
      <c r="B227" s="30" t="s">
        <v>14840</v>
      </c>
      <c r="C227" s="30" t="s">
        <v>12942</v>
      </c>
      <c r="D227" s="30" t="s">
        <v>12943</v>
      </c>
      <c r="E227" s="30" t="s">
        <v>12944</v>
      </c>
      <c r="F227" s="30" t="s">
        <v>12299</v>
      </c>
      <c r="H227" s="30" t="s">
        <v>2574</v>
      </c>
      <c r="I227" s="30" t="s">
        <v>14841</v>
      </c>
      <c r="J227" s="30" t="s">
        <v>14068</v>
      </c>
      <c r="K227" s="30" t="s">
        <v>13901</v>
      </c>
      <c r="L227" s="30" t="s">
        <v>13902</v>
      </c>
      <c r="M227" s="30" t="s">
        <v>1224</v>
      </c>
      <c r="N227" s="30" t="s">
        <v>129</v>
      </c>
      <c r="P227" s="30" t="s">
        <v>129</v>
      </c>
      <c r="Q227" s="30" t="s">
        <v>131</v>
      </c>
      <c r="R227" s="30" t="s">
        <v>129</v>
      </c>
      <c r="S227" s="30" t="s">
        <v>129</v>
      </c>
      <c r="T227" s="30" t="s">
        <v>129</v>
      </c>
      <c r="U227" s="30" t="s">
        <v>14842</v>
      </c>
      <c r="V227" s="30" t="s">
        <v>14843</v>
      </c>
      <c r="W227" s="30" t="s">
        <v>129</v>
      </c>
      <c r="X227" s="30" t="s">
        <v>2238</v>
      </c>
      <c r="Y227" s="30" t="s">
        <v>2254</v>
      </c>
    </row>
    <row r="228" spans="1:25">
      <c r="A228" s="30" t="s">
        <v>13898</v>
      </c>
      <c r="B228" s="30" t="s">
        <v>14844</v>
      </c>
      <c r="C228" s="30" t="s">
        <v>12945</v>
      </c>
      <c r="D228" s="30" t="s">
        <v>12946</v>
      </c>
      <c r="E228" s="30" t="s">
        <v>12947</v>
      </c>
      <c r="F228" s="30" t="s">
        <v>12185</v>
      </c>
      <c r="H228" s="30" t="s">
        <v>2574</v>
      </c>
      <c r="I228" s="30" t="s">
        <v>14845</v>
      </c>
      <c r="J228" s="30" t="s">
        <v>13950</v>
      </c>
      <c r="K228" s="30" t="s">
        <v>13901</v>
      </c>
      <c r="L228" s="30" t="s">
        <v>13902</v>
      </c>
      <c r="M228" s="30" t="s">
        <v>1224</v>
      </c>
      <c r="N228" s="30" t="s">
        <v>131</v>
      </c>
      <c r="O228" s="30" t="s">
        <v>14846</v>
      </c>
      <c r="P228" s="30" t="s">
        <v>131</v>
      </c>
      <c r="Q228" s="30" t="s">
        <v>131</v>
      </c>
      <c r="R228" s="30" t="s">
        <v>129</v>
      </c>
      <c r="S228" s="30" t="s">
        <v>129</v>
      </c>
      <c r="T228" s="30" t="s">
        <v>131</v>
      </c>
      <c r="U228" s="30" t="s">
        <v>14847</v>
      </c>
      <c r="V228" s="30" t="s">
        <v>14848</v>
      </c>
      <c r="W228" s="30" t="s">
        <v>129</v>
      </c>
      <c r="X228" s="30" t="s">
        <v>2238</v>
      </c>
      <c r="Y228" s="30" t="s">
        <v>2254</v>
      </c>
    </row>
    <row r="229" spans="1:25">
      <c r="A229" s="30" t="s">
        <v>13898</v>
      </c>
      <c r="B229" s="30" t="s">
        <v>14849</v>
      </c>
      <c r="C229" s="30" t="s">
        <v>12948</v>
      </c>
      <c r="D229" s="30" t="s">
        <v>12949</v>
      </c>
      <c r="E229" s="30" t="s">
        <v>12950</v>
      </c>
      <c r="F229" s="30" t="s">
        <v>12123</v>
      </c>
      <c r="H229" s="30" t="s">
        <v>2574</v>
      </c>
      <c r="I229" s="30" t="s">
        <v>14850</v>
      </c>
      <c r="J229" s="30" t="s">
        <v>13900</v>
      </c>
      <c r="K229" s="30" t="s">
        <v>13901</v>
      </c>
      <c r="L229" s="30" t="s">
        <v>13902</v>
      </c>
      <c r="M229" s="30" t="s">
        <v>1224</v>
      </c>
      <c r="N229" s="30" t="s">
        <v>129</v>
      </c>
      <c r="P229" s="30" t="s">
        <v>131</v>
      </c>
      <c r="Q229" s="30" t="s">
        <v>131</v>
      </c>
      <c r="R229" s="30" t="s">
        <v>131</v>
      </c>
      <c r="S229" s="30" t="s">
        <v>129</v>
      </c>
      <c r="T229" s="30" t="s">
        <v>129</v>
      </c>
      <c r="U229" s="30" t="s">
        <v>14851</v>
      </c>
      <c r="V229" s="30" t="s">
        <v>14852</v>
      </c>
      <c r="W229" s="30" t="s">
        <v>129</v>
      </c>
      <c r="X229" s="30" t="s">
        <v>2238</v>
      </c>
      <c r="Y229" s="30" t="s">
        <v>2254</v>
      </c>
    </row>
    <row r="230" spans="1:25">
      <c r="A230" s="30" t="s">
        <v>13898</v>
      </c>
      <c r="B230" s="30" t="s">
        <v>14853</v>
      </c>
      <c r="C230" s="30" t="s">
        <v>12951</v>
      </c>
      <c r="D230" s="30" t="s">
        <v>12952</v>
      </c>
      <c r="E230" s="30" t="s">
        <v>12953</v>
      </c>
      <c r="F230" s="30" t="s">
        <v>12123</v>
      </c>
      <c r="H230" s="30" t="s">
        <v>2574</v>
      </c>
      <c r="I230" s="30" t="s">
        <v>14854</v>
      </c>
      <c r="J230" s="30" t="s">
        <v>13900</v>
      </c>
      <c r="K230" s="30" t="s">
        <v>13901</v>
      </c>
      <c r="L230" s="30" t="s">
        <v>13902</v>
      </c>
      <c r="M230" s="30" t="s">
        <v>1224</v>
      </c>
      <c r="N230" s="30" t="s">
        <v>129</v>
      </c>
      <c r="P230" s="30" t="s">
        <v>131</v>
      </c>
      <c r="Q230" s="30" t="s">
        <v>129</v>
      </c>
      <c r="R230" s="30" t="s">
        <v>131</v>
      </c>
      <c r="S230" s="30" t="s">
        <v>129</v>
      </c>
      <c r="T230" s="30" t="s">
        <v>129</v>
      </c>
      <c r="U230" s="30" t="s">
        <v>14518</v>
      </c>
      <c r="V230" s="30" t="s">
        <v>14519</v>
      </c>
      <c r="W230" s="30" t="s">
        <v>129</v>
      </c>
      <c r="X230" s="30" t="s">
        <v>2238</v>
      </c>
      <c r="Y230" s="30" t="s">
        <v>2254</v>
      </c>
    </row>
    <row r="231" spans="1:25">
      <c r="A231" s="30" t="s">
        <v>13898</v>
      </c>
      <c r="B231" s="30" t="s">
        <v>14855</v>
      </c>
      <c r="C231" s="30" t="s">
        <v>12954</v>
      </c>
      <c r="D231" s="30" t="s">
        <v>12955</v>
      </c>
      <c r="E231" s="30" t="s">
        <v>12956</v>
      </c>
      <c r="F231" s="30" t="s">
        <v>12177</v>
      </c>
      <c r="H231" s="30" t="s">
        <v>2574</v>
      </c>
      <c r="I231" s="30" t="s">
        <v>14856</v>
      </c>
      <c r="J231" s="30" t="s">
        <v>13942</v>
      </c>
      <c r="K231" s="30" t="s">
        <v>13901</v>
      </c>
      <c r="L231" s="30" t="s">
        <v>13902</v>
      </c>
      <c r="M231" s="30" t="s">
        <v>1224</v>
      </c>
      <c r="N231" s="30" t="s">
        <v>129</v>
      </c>
      <c r="P231" s="30" t="s">
        <v>129</v>
      </c>
      <c r="Q231" s="30" t="s">
        <v>131</v>
      </c>
      <c r="R231" s="30" t="s">
        <v>131</v>
      </c>
      <c r="S231" s="30" t="s">
        <v>129</v>
      </c>
      <c r="T231" s="30" t="s">
        <v>129</v>
      </c>
      <c r="U231" s="30" t="s">
        <v>14857</v>
      </c>
      <c r="V231" s="30" t="s">
        <v>14858</v>
      </c>
      <c r="W231" s="30" t="s">
        <v>129</v>
      </c>
      <c r="X231" s="30" t="s">
        <v>2238</v>
      </c>
      <c r="Y231" s="30" t="s">
        <v>2254</v>
      </c>
    </row>
    <row r="232" spans="1:25">
      <c r="A232" s="30" t="s">
        <v>13898</v>
      </c>
      <c r="B232" s="30" t="s">
        <v>14859</v>
      </c>
      <c r="C232" s="30" t="s">
        <v>12957</v>
      </c>
      <c r="D232" s="30" t="s">
        <v>12958</v>
      </c>
      <c r="E232" s="30" t="s">
        <v>12959</v>
      </c>
      <c r="F232" s="30" t="s">
        <v>12177</v>
      </c>
      <c r="H232" s="30" t="s">
        <v>2574</v>
      </c>
      <c r="I232" s="30" t="s">
        <v>14860</v>
      </c>
      <c r="J232" s="30" t="s">
        <v>13942</v>
      </c>
      <c r="K232" s="30" t="s">
        <v>13901</v>
      </c>
      <c r="L232" s="30" t="s">
        <v>13902</v>
      </c>
      <c r="M232" s="30" t="s">
        <v>1224</v>
      </c>
      <c r="N232" s="30" t="s">
        <v>129</v>
      </c>
      <c r="P232" s="30" t="s">
        <v>129</v>
      </c>
      <c r="Q232" s="30" t="s">
        <v>131</v>
      </c>
      <c r="R232" s="30" t="s">
        <v>131</v>
      </c>
      <c r="S232" s="30" t="s">
        <v>129</v>
      </c>
      <c r="T232" s="30" t="s">
        <v>129</v>
      </c>
      <c r="U232" s="30" t="s">
        <v>14861</v>
      </c>
      <c r="V232" s="30" t="s">
        <v>14862</v>
      </c>
      <c r="W232" s="30" t="s">
        <v>129</v>
      </c>
      <c r="X232" s="30" t="s">
        <v>2238</v>
      </c>
      <c r="Y232" s="30" t="s">
        <v>2254</v>
      </c>
    </row>
    <row r="233" spans="1:25">
      <c r="A233" s="30" t="s">
        <v>13898</v>
      </c>
      <c r="B233" s="30" t="s">
        <v>14863</v>
      </c>
      <c r="C233" s="30" t="s">
        <v>12960</v>
      </c>
      <c r="D233" s="30" t="s">
        <v>12961</v>
      </c>
      <c r="E233" s="30" t="s">
        <v>12962</v>
      </c>
      <c r="F233" s="30" t="s">
        <v>12963</v>
      </c>
      <c r="H233" s="30" t="s">
        <v>2574</v>
      </c>
      <c r="I233" s="30" t="s">
        <v>14864</v>
      </c>
      <c r="J233" s="30" t="s">
        <v>14865</v>
      </c>
      <c r="K233" s="30" t="s">
        <v>13901</v>
      </c>
      <c r="L233" s="30" t="s">
        <v>13902</v>
      </c>
      <c r="M233" s="30" t="s">
        <v>1224</v>
      </c>
      <c r="N233" s="30" t="s">
        <v>129</v>
      </c>
      <c r="P233" s="30" t="s">
        <v>131</v>
      </c>
      <c r="Q233" s="30" t="s">
        <v>131</v>
      </c>
      <c r="R233" s="30" t="s">
        <v>129</v>
      </c>
      <c r="S233" s="30" t="s">
        <v>129</v>
      </c>
      <c r="T233" s="30" t="s">
        <v>131</v>
      </c>
      <c r="U233" s="30" t="s">
        <v>14866</v>
      </c>
      <c r="V233" s="30" t="s">
        <v>14867</v>
      </c>
      <c r="W233" s="30" t="s">
        <v>129</v>
      </c>
      <c r="X233" s="30" t="s">
        <v>2238</v>
      </c>
      <c r="Y233" s="30" t="s">
        <v>2254</v>
      </c>
    </row>
    <row r="234" spans="1:25">
      <c r="A234" s="30" t="s">
        <v>13898</v>
      </c>
      <c r="B234" s="30" t="s">
        <v>14868</v>
      </c>
      <c r="C234" s="30" t="s">
        <v>12964</v>
      </c>
      <c r="D234" s="30" t="s">
        <v>12965</v>
      </c>
      <c r="E234" s="30" t="s">
        <v>12966</v>
      </c>
      <c r="F234" s="30" t="s">
        <v>12201</v>
      </c>
      <c r="H234" s="30" t="s">
        <v>2574</v>
      </c>
      <c r="I234" s="30" t="s">
        <v>14869</v>
      </c>
      <c r="J234" s="30" t="s">
        <v>13968</v>
      </c>
      <c r="K234" s="30" t="s">
        <v>13901</v>
      </c>
      <c r="L234" s="30" t="s">
        <v>13902</v>
      </c>
      <c r="M234" s="30" t="s">
        <v>1224</v>
      </c>
      <c r="N234" s="30" t="s">
        <v>131</v>
      </c>
      <c r="O234" s="30" t="s">
        <v>14604</v>
      </c>
      <c r="P234" s="30" t="s">
        <v>131</v>
      </c>
      <c r="Q234" s="30" t="s">
        <v>131</v>
      </c>
      <c r="R234" s="30" t="s">
        <v>129</v>
      </c>
      <c r="S234" s="30" t="s">
        <v>129</v>
      </c>
      <c r="T234" s="30" t="s">
        <v>129</v>
      </c>
      <c r="U234" s="30" t="s">
        <v>14870</v>
      </c>
      <c r="V234" s="30" t="s">
        <v>14871</v>
      </c>
      <c r="W234" s="30" t="s">
        <v>129</v>
      </c>
      <c r="X234" s="30" t="s">
        <v>2238</v>
      </c>
      <c r="Y234" s="30" t="s">
        <v>2254</v>
      </c>
    </row>
    <row r="235" spans="1:25">
      <c r="A235" s="30" t="s">
        <v>13898</v>
      </c>
      <c r="B235" s="30" t="s">
        <v>14872</v>
      </c>
      <c r="C235" s="30" t="s">
        <v>12967</v>
      </c>
      <c r="D235" s="30" t="s">
        <v>12968</v>
      </c>
      <c r="E235" s="30" t="s">
        <v>12969</v>
      </c>
      <c r="F235" s="30" t="s">
        <v>12541</v>
      </c>
      <c r="H235" s="30" t="s">
        <v>2574</v>
      </c>
      <c r="I235" s="30" t="s">
        <v>14873</v>
      </c>
      <c r="J235" s="30" t="s">
        <v>14355</v>
      </c>
      <c r="K235" s="30" t="s">
        <v>13901</v>
      </c>
      <c r="L235" s="30" t="s">
        <v>13902</v>
      </c>
      <c r="M235" s="30" t="s">
        <v>1224</v>
      </c>
      <c r="N235" s="30" t="s">
        <v>129</v>
      </c>
      <c r="P235" s="30" t="s">
        <v>131</v>
      </c>
      <c r="Q235" s="30" t="s">
        <v>131</v>
      </c>
      <c r="R235" s="30" t="s">
        <v>131</v>
      </c>
      <c r="S235" s="30" t="s">
        <v>129</v>
      </c>
      <c r="T235" s="30" t="s">
        <v>129</v>
      </c>
      <c r="U235" s="30" t="s">
        <v>14874</v>
      </c>
      <c r="V235" s="30" t="s">
        <v>14875</v>
      </c>
      <c r="W235" s="30" t="s">
        <v>129</v>
      </c>
      <c r="X235" s="30" t="s">
        <v>2238</v>
      </c>
      <c r="Y235" s="30" t="s">
        <v>2254</v>
      </c>
    </row>
    <row r="236" spans="1:25">
      <c r="A236" s="30" t="s">
        <v>13898</v>
      </c>
      <c r="B236" s="30" t="s">
        <v>14876</v>
      </c>
      <c r="C236" s="30" t="s">
        <v>12970</v>
      </c>
      <c r="D236" s="30" t="s">
        <v>12971</v>
      </c>
      <c r="E236" s="30" t="s">
        <v>12972</v>
      </c>
      <c r="F236" s="30" t="s">
        <v>12167</v>
      </c>
      <c r="H236" s="30" t="s">
        <v>130</v>
      </c>
      <c r="I236" s="30" t="s">
        <v>14877</v>
      </c>
      <c r="J236" s="30" t="s">
        <v>13937</v>
      </c>
      <c r="K236" s="30" t="s">
        <v>13901</v>
      </c>
      <c r="L236" s="30" t="s">
        <v>14156</v>
      </c>
      <c r="M236" s="30" t="s">
        <v>1224</v>
      </c>
      <c r="N236" s="30" t="s">
        <v>129</v>
      </c>
      <c r="P236" s="30" t="s">
        <v>129</v>
      </c>
      <c r="Q236" s="30" t="s">
        <v>129</v>
      </c>
      <c r="R236" s="30" t="s">
        <v>129</v>
      </c>
      <c r="S236" s="30" t="s">
        <v>129</v>
      </c>
      <c r="T236" s="30" t="s">
        <v>131</v>
      </c>
      <c r="U236" s="30" t="s">
        <v>14878</v>
      </c>
      <c r="V236" s="30" t="s">
        <v>14879</v>
      </c>
      <c r="W236" s="30" t="s">
        <v>129</v>
      </c>
      <c r="X236" s="30" t="s">
        <v>2238</v>
      </c>
      <c r="Y236" s="30" t="s">
        <v>2254</v>
      </c>
    </row>
    <row r="237" spans="1:25">
      <c r="A237" s="30" t="s">
        <v>13898</v>
      </c>
      <c r="B237" s="30" t="s">
        <v>14880</v>
      </c>
      <c r="C237" s="30" t="s">
        <v>12977</v>
      </c>
      <c r="D237" s="30" t="s">
        <v>12978</v>
      </c>
      <c r="E237" s="30" t="s">
        <v>12979</v>
      </c>
      <c r="F237" s="30" t="s">
        <v>12444</v>
      </c>
      <c r="H237" s="30" t="s">
        <v>2574</v>
      </c>
      <c r="I237" s="30" t="s">
        <v>14881</v>
      </c>
      <c r="J237" s="30" t="s">
        <v>14227</v>
      </c>
      <c r="K237" s="30" t="s">
        <v>13901</v>
      </c>
      <c r="L237" s="30" t="s">
        <v>13902</v>
      </c>
      <c r="M237" s="30" t="s">
        <v>1222</v>
      </c>
      <c r="N237" s="30" t="s">
        <v>129</v>
      </c>
      <c r="P237" s="30" t="s">
        <v>131</v>
      </c>
      <c r="Q237" s="30" t="s">
        <v>131</v>
      </c>
      <c r="R237" s="30" t="s">
        <v>131</v>
      </c>
      <c r="S237" s="30" t="s">
        <v>129</v>
      </c>
      <c r="T237" s="30" t="s">
        <v>129</v>
      </c>
      <c r="U237" s="30" t="s">
        <v>14882</v>
      </c>
      <c r="V237" s="30" t="s">
        <v>14883</v>
      </c>
      <c r="W237" s="30" t="s">
        <v>129</v>
      </c>
      <c r="X237" s="30" t="s">
        <v>2238</v>
      </c>
      <c r="Y237" s="30" t="s">
        <v>2254</v>
      </c>
    </row>
    <row r="238" spans="1:25">
      <c r="A238" s="30" t="s">
        <v>13898</v>
      </c>
      <c r="B238" s="30" t="s">
        <v>14884</v>
      </c>
      <c r="C238" s="30" t="s">
        <v>12980</v>
      </c>
      <c r="D238" s="30" t="s">
        <v>12981</v>
      </c>
      <c r="E238" s="30" t="s">
        <v>12982</v>
      </c>
      <c r="F238" s="30" t="s">
        <v>12193</v>
      </c>
      <c r="H238" s="30" t="s">
        <v>2574</v>
      </c>
      <c r="I238" s="30" t="s">
        <v>14885</v>
      </c>
      <c r="J238" s="30" t="s">
        <v>13960</v>
      </c>
      <c r="K238" s="30" t="s">
        <v>13901</v>
      </c>
      <c r="L238" s="30" t="s">
        <v>13902</v>
      </c>
      <c r="M238" s="30" t="s">
        <v>1222</v>
      </c>
      <c r="N238" s="30" t="s">
        <v>131</v>
      </c>
      <c r="O238" s="30" t="s">
        <v>13911</v>
      </c>
      <c r="P238" s="30" t="s">
        <v>129</v>
      </c>
      <c r="Q238" s="30" t="s">
        <v>129</v>
      </c>
      <c r="R238" s="30" t="s">
        <v>131</v>
      </c>
      <c r="S238" s="30" t="s">
        <v>129</v>
      </c>
      <c r="T238" s="30" t="s">
        <v>129</v>
      </c>
      <c r="U238" s="30" t="s">
        <v>14886</v>
      </c>
      <c r="V238" s="30" t="s">
        <v>14887</v>
      </c>
      <c r="W238" s="30" t="s">
        <v>131</v>
      </c>
      <c r="X238" s="30" t="s">
        <v>2239</v>
      </c>
      <c r="Y238" s="30" t="s">
        <v>2252</v>
      </c>
    </row>
    <row r="239" spans="1:25">
      <c r="A239" s="30" t="s">
        <v>13898</v>
      </c>
      <c r="B239" s="30" t="s">
        <v>14888</v>
      </c>
      <c r="C239" s="30" t="s">
        <v>12983</v>
      </c>
      <c r="D239" s="30" t="s">
        <v>12984</v>
      </c>
      <c r="E239" s="30" t="s">
        <v>12985</v>
      </c>
      <c r="F239" s="30" t="s">
        <v>12497</v>
      </c>
      <c r="H239" s="30" t="s">
        <v>2574</v>
      </c>
      <c r="I239" s="30" t="s">
        <v>14889</v>
      </c>
      <c r="J239" s="30" t="s">
        <v>14292</v>
      </c>
      <c r="K239" s="30" t="s">
        <v>13901</v>
      </c>
      <c r="L239" s="30" t="s">
        <v>13902</v>
      </c>
      <c r="M239" s="30" t="s">
        <v>1222</v>
      </c>
      <c r="N239" s="30" t="s">
        <v>129</v>
      </c>
      <c r="P239" s="30" t="s">
        <v>131</v>
      </c>
      <c r="Q239" s="30" t="s">
        <v>131</v>
      </c>
      <c r="R239" s="30" t="s">
        <v>131</v>
      </c>
      <c r="S239" s="30" t="s">
        <v>129</v>
      </c>
      <c r="T239" s="30" t="s">
        <v>129</v>
      </c>
      <c r="U239" s="30" t="s">
        <v>14890</v>
      </c>
      <c r="V239" s="30" t="s">
        <v>14891</v>
      </c>
      <c r="W239" s="30" t="s">
        <v>129</v>
      </c>
      <c r="X239" s="30" t="s">
        <v>2238</v>
      </c>
      <c r="Y239" s="30" t="s">
        <v>2254</v>
      </c>
    </row>
    <row r="240" spans="1:25">
      <c r="A240" s="30" t="s">
        <v>13898</v>
      </c>
      <c r="B240" s="30" t="s">
        <v>14892</v>
      </c>
      <c r="C240" s="30" t="s">
        <v>12986</v>
      </c>
      <c r="D240" s="30" t="s">
        <v>12987</v>
      </c>
      <c r="E240" s="30" t="s">
        <v>12988</v>
      </c>
      <c r="F240" s="30" t="s">
        <v>12989</v>
      </c>
      <c r="H240" s="30" t="s">
        <v>2574</v>
      </c>
      <c r="I240" s="30" t="s">
        <v>14893</v>
      </c>
      <c r="J240" s="30" t="s">
        <v>14894</v>
      </c>
      <c r="K240" s="30" t="s">
        <v>13901</v>
      </c>
      <c r="L240" s="30" t="s">
        <v>13902</v>
      </c>
      <c r="M240" s="30" t="s">
        <v>1222</v>
      </c>
      <c r="N240" s="30" t="s">
        <v>129</v>
      </c>
      <c r="P240" s="30" t="s">
        <v>129</v>
      </c>
      <c r="Q240" s="30" t="s">
        <v>129</v>
      </c>
      <c r="R240" s="30" t="s">
        <v>131</v>
      </c>
      <c r="S240" s="30" t="s">
        <v>129</v>
      </c>
      <c r="T240" s="30" t="s">
        <v>129</v>
      </c>
      <c r="U240" s="30" t="s">
        <v>14895</v>
      </c>
      <c r="V240" s="30" t="s">
        <v>14896</v>
      </c>
      <c r="W240" s="30" t="s">
        <v>131</v>
      </c>
      <c r="X240" s="30" t="s">
        <v>2239</v>
      </c>
      <c r="Y240" s="30" t="s">
        <v>2252</v>
      </c>
    </row>
    <row r="241" spans="1:25">
      <c r="A241" s="30" t="s">
        <v>13898</v>
      </c>
      <c r="B241" s="30" t="s">
        <v>14897</v>
      </c>
      <c r="C241" s="30" t="s">
        <v>12990</v>
      </c>
      <c r="D241" s="30" t="s">
        <v>12991</v>
      </c>
      <c r="E241" s="30" t="s">
        <v>12992</v>
      </c>
      <c r="F241" s="30" t="s">
        <v>12177</v>
      </c>
      <c r="H241" s="30" t="s">
        <v>2574</v>
      </c>
      <c r="I241" s="30" t="s">
        <v>14898</v>
      </c>
      <c r="J241" s="30" t="s">
        <v>13942</v>
      </c>
      <c r="K241" s="30" t="s">
        <v>13901</v>
      </c>
      <c r="L241" s="30" t="s">
        <v>13902</v>
      </c>
      <c r="M241" s="30" t="s">
        <v>1222</v>
      </c>
      <c r="N241" s="30" t="s">
        <v>129</v>
      </c>
      <c r="P241" s="30" t="s">
        <v>131</v>
      </c>
      <c r="Q241" s="30" t="s">
        <v>131</v>
      </c>
      <c r="R241" s="30" t="s">
        <v>131</v>
      </c>
      <c r="S241" s="30" t="s">
        <v>129</v>
      </c>
      <c r="T241" s="30" t="s">
        <v>129</v>
      </c>
      <c r="U241" s="30" t="s">
        <v>14899</v>
      </c>
      <c r="V241" s="30" t="s">
        <v>14900</v>
      </c>
      <c r="W241" s="30" t="s">
        <v>129</v>
      </c>
      <c r="X241" s="30" t="s">
        <v>2238</v>
      </c>
      <c r="Y241" s="30" t="s">
        <v>2254</v>
      </c>
    </row>
    <row r="242" spans="1:25">
      <c r="A242" s="30" t="s">
        <v>13898</v>
      </c>
      <c r="B242" s="30" t="s">
        <v>14901</v>
      </c>
      <c r="C242" s="30" t="s">
        <v>12993</v>
      </c>
      <c r="D242" s="30" t="s">
        <v>12994</v>
      </c>
      <c r="E242" s="30" t="s">
        <v>12995</v>
      </c>
      <c r="F242" s="30" t="s">
        <v>12177</v>
      </c>
      <c r="H242" s="30" t="s">
        <v>2574</v>
      </c>
      <c r="I242" s="30" t="s">
        <v>14902</v>
      </c>
      <c r="J242" s="30" t="s">
        <v>13942</v>
      </c>
      <c r="K242" s="30" t="s">
        <v>13901</v>
      </c>
      <c r="L242" s="30" t="s">
        <v>13902</v>
      </c>
      <c r="M242" s="30" t="s">
        <v>1222</v>
      </c>
      <c r="N242" s="30" t="s">
        <v>131</v>
      </c>
      <c r="O242" s="30" t="s">
        <v>14821</v>
      </c>
      <c r="P242" s="30" t="s">
        <v>131</v>
      </c>
      <c r="Q242" s="30" t="s">
        <v>131</v>
      </c>
      <c r="R242" s="30" t="s">
        <v>131</v>
      </c>
      <c r="S242" s="30" t="s">
        <v>129</v>
      </c>
      <c r="T242" s="30" t="s">
        <v>129</v>
      </c>
      <c r="U242" s="30" t="s">
        <v>14903</v>
      </c>
      <c r="V242" s="30" t="s">
        <v>14904</v>
      </c>
      <c r="W242" s="30" t="s">
        <v>129</v>
      </c>
      <c r="X242" s="30" t="s">
        <v>2238</v>
      </c>
      <c r="Y242" s="30" t="s">
        <v>2254</v>
      </c>
    </row>
    <row r="243" spans="1:25">
      <c r="A243" s="30" t="s">
        <v>13898</v>
      </c>
      <c r="B243" s="30" t="s">
        <v>14905</v>
      </c>
      <c r="C243" s="30" t="s">
        <v>12996</v>
      </c>
      <c r="D243" s="30" t="s">
        <v>12997</v>
      </c>
      <c r="E243" s="30" t="s">
        <v>12998</v>
      </c>
      <c r="F243" s="30" t="s">
        <v>12573</v>
      </c>
      <c r="H243" s="30" t="s">
        <v>2574</v>
      </c>
      <c r="I243" s="30" t="s">
        <v>14906</v>
      </c>
      <c r="J243" s="30" t="s">
        <v>14402</v>
      </c>
      <c r="K243" s="30" t="s">
        <v>13901</v>
      </c>
      <c r="L243" s="30" t="s">
        <v>13902</v>
      </c>
      <c r="M243" s="30" t="s">
        <v>1238</v>
      </c>
      <c r="N243" s="30" t="s">
        <v>129</v>
      </c>
      <c r="P243" s="30" t="s">
        <v>129</v>
      </c>
      <c r="Q243" s="30" t="s">
        <v>129</v>
      </c>
      <c r="R243" s="30" t="s">
        <v>129</v>
      </c>
      <c r="S243" s="30" t="s">
        <v>129</v>
      </c>
      <c r="T243" s="30" t="s">
        <v>131</v>
      </c>
      <c r="U243" s="30" t="s">
        <v>14907</v>
      </c>
      <c r="V243" s="30" t="s">
        <v>14908</v>
      </c>
      <c r="W243" s="30" t="s">
        <v>129</v>
      </c>
      <c r="X243" s="30" t="s">
        <v>2238</v>
      </c>
      <c r="Y243" s="30" t="s">
        <v>2254</v>
      </c>
    </row>
    <row r="244" spans="1:25">
      <c r="A244" s="30" t="s">
        <v>13898</v>
      </c>
      <c r="B244" s="30" t="s">
        <v>14909</v>
      </c>
      <c r="C244" s="30" t="s">
        <v>12999</v>
      </c>
      <c r="D244" s="30" t="s">
        <v>13000</v>
      </c>
      <c r="E244" s="30" t="s">
        <v>13001</v>
      </c>
      <c r="F244" s="30" t="s">
        <v>12299</v>
      </c>
      <c r="H244" s="30" t="s">
        <v>2574</v>
      </c>
      <c r="I244" s="30" t="s">
        <v>14910</v>
      </c>
      <c r="J244" s="30" t="s">
        <v>14068</v>
      </c>
      <c r="K244" s="30" t="s">
        <v>13901</v>
      </c>
      <c r="L244" s="30" t="s">
        <v>13902</v>
      </c>
      <c r="M244" s="30" t="s">
        <v>1289</v>
      </c>
      <c r="N244" s="30" t="s">
        <v>129</v>
      </c>
      <c r="P244" s="30" t="s">
        <v>131</v>
      </c>
      <c r="Q244" s="30" t="s">
        <v>131</v>
      </c>
      <c r="R244" s="30" t="s">
        <v>131</v>
      </c>
      <c r="S244" s="30" t="s">
        <v>129</v>
      </c>
      <c r="T244" s="30" t="s">
        <v>131</v>
      </c>
      <c r="U244" s="30" t="s">
        <v>14911</v>
      </c>
      <c r="V244" s="30" t="s">
        <v>14912</v>
      </c>
      <c r="W244" s="30" t="s">
        <v>131</v>
      </c>
      <c r="X244" s="30" t="s">
        <v>2240</v>
      </c>
      <c r="Y244" s="30" t="s">
        <v>2253</v>
      </c>
    </row>
    <row r="245" spans="1:25">
      <c r="A245" s="30" t="s">
        <v>13898</v>
      </c>
      <c r="B245" s="30" t="s">
        <v>14913</v>
      </c>
      <c r="C245" s="30" t="s">
        <v>13002</v>
      </c>
      <c r="D245" s="30" t="s">
        <v>13003</v>
      </c>
      <c r="E245" s="30" t="s">
        <v>13004</v>
      </c>
      <c r="F245" s="30" t="s">
        <v>12578</v>
      </c>
      <c r="H245" s="30" t="s">
        <v>2574</v>
      </c>
      <c r="I245" s="30" t="s">
        <v>14914</v>
      </c>
      <c r="J245" s="30" t="s">
        <v>14408</v>
      </c>
      <c r="K245" s="30" t="s">
        <v>13901</v>
      </c>
      <c r="L245" s="30" t="s">
        <v>13902</v>
      </c>
      <c r="M245" s="30" t="s">
        <v>1289</v>
      </c>
      <c r="N245" s="30" t="s">
        <v>131</v>
      </c>
      <c r="O245" s="30" t="s">
        <v>14409</v>
      </c>
      <c r="P245" s="30" t="s">
        <v>131</v>
      </c>
      <c r="Q245" s="30" t="s">
        <v>129</v>
      </c>
      <c r="R245" s="30" t="s">
        <v>129</v>
      </c>
      <c r="S245" s="30" t="s">
        <v>129</v>
      </c>
      <c r="T245" s="30" t="s">
        <v>131</v>
      </c>
      <c r="U245" s="30" t="s">
        <v>14915</v>
      </c>
      <c r="V245" s="30" t="s">
        <v>14916</v>
      </c>
      <c r="W245" s="30" t="s">
        <v>131</v>
      </c>
      <c r="X245" s="30" t="s">
        <v>2240</v>
      </c>
      <c r="Y245" s="30" t="s">
        <v>2253</v>
      </c>
    </row>
    <row r="246" spans="1:25">
      <c r="A246" s="30" t="s">
        <v>13898</v>
      </c>
      <c r="B246" s="30" t="s">
        <v>14917</v>
      </c>
      <c r="C246" s="30" t="s">
        <v>13005</v>
      </c>
      <c r="D246" s="30" t="s">
        <v>13006</v>
      </c>
      <c r="E246" s="30" t="s">
        <v>13007</v>
      </c>
      <c r="F246" s="30" t="s">
        <v>13008</v>
      </c>
      <c r="H246" s="30" t="s">
        <v>2574</v>
      </c>
      <c r="I246" s="30" t="s">
        <v>14918</v>
      </c>
      <c r="J246" s="30" t="s">
        <v>14919</v>
      </c>
      <c r="K246" s="30" t="s">
        <v>13901</v>
      </c>
      <c r="L246" s="30" t="s">
        <v>13902</v>
      </c>
      <c r="M246" s="30" t="s">
        <v>1228</v>
      </c>
      <c r="N246" s="30" t="s">
        <v>129</v>
      </c>
      <c r="P246" s="30" t="s">
        <v>131</v>
      </c>
      <c r="Q246" s="30" t="s">
        <v>131</v>
      </c>
      <c r="R246" s="30" t="s">
        <v>131</v>
      </c>
      <c r="S246" s="30" t="s">
        <v>129</v>
      </c>
      <c r="T246" s="30" t="s">
        <v>129</v>
      </c>
      <c r="U246" s="30" t="s">
        <v>14920</v>
      </c>
      <c r="V246" s="30" t="s">
        <v>14921</v>
      </c>
      <c r="W246" s="30" t="s">
        <v>129</v>
      </c>
      <c r="X246" s="30" t="s">
        <v>2238</v>
      </c>
      <c r="Y246" s="30" t="s">
        <v>2254</v>
      </c>
    </row>
    <row r="247" spans="1:25">
      <c r="A247" s="30" t="s">
        <v>13898</v>
      </c>
      <c r="B247" s="30" t="s">
        <v>14922</v>
      </c>
      <c r="C247" s="30" t="s">
        <v>13009</v>
      </c>
      <c r="D247" s="30" t="s">
        <v>13010</v>
      </c>
      <c r="E247" s="30" t="s">
        <v>13011</v>
      </c>
      <c r="F247" s="30" t="s">
        <v>12318</v>
      </c>
      <c r="H247" s="30" t="s">
        <v>2574</v>
      </c>
      <c r="I247" s="30" t="s">
        <v>14923</v>
      </c>
      <c r="J247" s="30" t="s">
        <v>14146</v>
      </c>
      <c r="K247" s="30" t="s">
        <v>13901</v>
      </c>
      <c r="L247" s="30" t="s">
        <v>13902</v>
      </c>
      <c r="M247" s="30" t="s">
        <v>1289</v>
      </c>
      <c r="N247" s="30" t="s">
        <v>131</v>
      </c>
      <c r="O247" s="30" t="s">
        <v>14924</v>
      </c>
      <c r="P247" s="30" t="s">
        <v>131</v>
      </c>
      <c r="Q247" s="30" t="s">
        <v>131</v>
      </c>
      <c r="R247" s="30" t="s">
        <v>129</v>
      </c>
      <c r="S247" s="30" t="s">
        <v>129</v>
      </c>
      <c r="T247" s="30" t="s">
        <v>129</v>
      </c>
      <c r="U247" s="30" t="s">
        <v>14925</v>
      </c>
      <c r="V247" s="30" t="s">
        <v>14926</v>
      </c>
      <c r="W247" s="30" t="s">
        <v>131</v>
      </c>
      <c r="X247" s="30" t="s">
        <v>2240</v>
      </c>
      <c r="Y247" s="30" t="s">
        <v>2253</v>
      </c>
    </row>
    <row r="248" spans="1:25">
      <c r="A248" s="30" t="s">
        <v>13898</v>
      </c>
      <c r="B248" s="30" t="s">
        <v>14927</v>
      </c>
      <c r="C248" s="30" t="s">
        <v>13012</v>
      </c>
      <c r="D248" s="30" t="s">
        <v>13013</v>
      </c>
      <c r="E248" s="30" t="s">
        <v>13014</v>
      </c>
      <c r="F248" s="30" t="s">
        <v>12123</v>
      </c>
      <c r="H248" s="30" t="s">
        <v>2574</v>
      </c>
      <c r="I248" s="30" t="s">
        <v>14928</v>
      </c>
      <c r="J248" s="30" t="s">
        <v>13900</v>
      </c>
      <c r="K248" s="30" t="s">
        <v>13901</v>
      </c>
      <c r="L248" s="30" t="s">
        <v>13902</v>
      </c>
      <c r="M248" s="30" t="s">
        <v>1210</v>
      </c>
      <c r="N248" s="30" t="s">
        <v>129</v>
      </c>
      <c r="P248" s="30" t="s">
        <v>131</v>
      </c>
      <c r="Q248" s="30" t="s">
        <v>131</v>
      </c>
      <c r="R248" s="30" t="s">
        <v>131</v>
      </c>
      <c r="S248" s="30" t="s">
        <v>129</v>
      </c>
      <c r="T248" s="30" t="s">
        <v>129</v>
      </c>
      <c r="U248" s="30" t="s">
        <v>14929</v>
      </c>
      <c r="V248" s="30" t="s">
        <v>14930</v>
      </c>
      <c r="W248" s="30" t="s">
        <v>131</v>
      </c>
      <c r="X248" s="30" t="s">
        <v>2240</v>
      </c>
      <c r="Y248" s="30" t="s">
        <v>2252</v>
      </c>
    </row>
    <row r="249" spans="1:25">
      <c r="A249" s="30" t="s">
        <v>13898</v>
      </c>
      <c r="B249" s="30" t="s">
        <v>14931</v>
      </c>
      <c r="C249" s="30" t="s">
        <v>13015</v>
      </c>
      <c r="D249" s="30" t="s">
        <v>13016</v>
      </c>
      <c r="E249" s="30" t="s">
        <v>13017</v>
      </c>
      <c r="F249" s="30" t="s">
        <v>13018</v>
      </c>
      <c r="H249" s="30" t="s">
        <v>2574</v>
      </c>
      <c r="I249" s="30" t="s">
        <v>14932</v>
      </c>
      <c r="J249" s="30" t="s">
        <v>14933</v>
      </c>
      <c r="K249" s="30" t="s">
        <v>13901</v>
      </c>
      <c r="L249" s="30" t="s">
        <v>13902</v>
      </c>
      <c r="M249" s="30" t="s">
        <v>1209</v>
      </c>
      <c r="N249" s="30" t="s">
        <v>129</v>
      </c>
      <c r="P249" s="30" t="s">
        <v>129</v>
      </c>
      <c r="Q249" s="30" t="s">
        <v>131</v>
      </c>
      <c r="R249" s="30" t="s">
        <v>131</v>
      </c>
      <c r="S249" s="30" t="s">
        <v>131</v>
      </c>
      <c r="T249" s="30" t="s">
        <v>131</v>
      </c>
      <c r="U249" s="30" t="s">
        <v>14934</v>
      </c>
      <c r="V249" s="30" t="s">
        <v>14935</v>
      </c>
      <c r="W249" s="30" t="s">
        <v>131</v>
      </c>
      <c r="X249" s="30" t="s">
        <v>2240</v>
      </c>
      <c r="Y249" s="30" t="s">
        <v>2252</v>
      </c>
    </row>
    <row r="250" spans="1:25">
      <c r="A250" s="30" t="s">
        <v>13898</v>
      </c>
      <c r="B250" s="30" t="s">
        <v>14936</v>
      </c>
      <c r="C250" s="30" t="s">
        <v>13015</v>
      </c>
      <c r="D250" s="30" t="s">
        <v>13016</v>
      </c>
      <c r="E250" s="30" t="s">
        <v>13017</v>
      </c>
      <c r="F250" s="30" t="s">
        <v>13018</v>
      </c>
      <c r="H250" s="30" t="s">
        <v>2581</v>
      </c>
      <c r="I250" s="30" t="s">
        <v>14932</v>
      </c>
      <c r="J250" s="30" t="s">
        <v>14933</v>
      </c>
      <c r="K250" s="30" t="s">
        <v>13901</v>
      </c>
      <c r="L250" s="30" t="s">
        <v>13927</v>
      </c>
      <c r="M250" s="30" t="s">
        <v>1209</v>
      </c>
      <c r="N250" s="30" t="s">
        <v>129</v>
      </c>
      <c r="P250" s="30" t="s">
        <v>129</v>
      </c>
      <c r="Q250" s="30" t="s">
        <v>131</v>
      </c>
      <c r="R250" s="30" t="s">
        <v>131</v>
      </c>
      <c r="S250" s="30" t="s">
        <v>131</v>
      </c>
      <c r="T250" s="30" t="s">
        <v>131</v>
      </c>
      <c r="U250" s="30" t="s">
        <v>14934</v>
      </c>
      <c r="V250" s="30" t="s">
        <v>14935</v>
      </c>
      <c r="W250" s="30" t="s">
        <v>131</v>
      </c>
      <c r="X250" s="30" t="s">
        <v>2240</v>
      </c>
      <c r="Y250" s="30" t="s">
        <v>2252</v>
      </c>
    </row>
    <row r="251" spans="1:25">
      <c r="A251" s="30" t="s">
        <v>13898</v>
      </c>
      <c r="B251" s="30" t="s">
        <v>14937</v>
      </c>
      <c r="C251" s="30" t="s">
        <v>13019</v>
      </c>
      <c r="D251" s="30" t="s">
        <v>13020</v>
      </c>
      <c r="E251" s="30" t="s">
        <v>13021</v>
      </c>
      <c r="F251" s="30" t="s">
        <v>12275</v>
      </c>
      <c r="H251" s="30" t="s">
        <v>130</v>
      </c>
      <c r="I251" s="30" t="s">
        <v>14938</v>
      </c>
      <c r="J251" s="30" t="s">
        <v>14039</v>
      </c>
      <c r="K251" s="30" t="s">
        <v>13901</v>
      </c>
      <c r="L251" s="30" t="s">
        <v>14156</v>
      </c>
      <c r="M251" s="30" t="s">
        <v>1287</v>
      </c>
      <c r="N251" s="30" t="s">
        <v>129</v>
      </c>
      <c r="P251" s="30" t="s">
        <v>131</v>
      </c>
      <c r="Q251" s="30" t="s">
        <v>131</v>
      </c>
      <c r="R251" s="30" t="s">
        <v>131</v>
      </c>
      <c r="S251" s="30" t="s">
        <v>129</v>
      </c>
      <c r="T251" s="30" t="s">
        <v>129</v>
      </c>
      <c r="U251" s="30" t="s">
        <v>14939</v>
      </c>
      <c r="V251" s="30" t="s">
        <v>14940</v>
      </c>
      <c r="W251" s="30" t="s">
        <v>131</v>
      </c>
      <c r="X251" s="30" t="s">
        <v>2240</v>
      </c>
      <c r="Y251" s="30" t="s">
        <v>2252</v>
      </c>
    </row>
    <row r="252" spans="1:25">
      <c r="A252" s="30" t="s">
        <v>13898</v>
      </c>
      <c r="B252" s="30" t="s">
        <v>14941</v>
      </c>
      <c r="C252" s="30" t="s">
        <v>13022</v>
      </c>
      <c r="D252" s="30" t="s">
        <v>13023</v>
      </c>
      <c r="E252" s="30" t="s">
        <v>13024</v>
      </c>
      <c r="F252" s="30" t="s">
        <v>13025</v>
      </c>
      <c r="H252" s="30" t="s">
        <v>2574</v>
      </c>
      <c r="I252" s="30" t="s">
        <v>14942</v>
      </c>
      <c r="J252" s="30" t="s">
        <v>14943</v>
      </c>
      <c r="K252" s="30" t="s">
        <v>13901</v>
      </c>
      <c r="L252" s="30" t="s">
        <v>13902</v>
      </c>
      <c r="M252" s="30" t="s">
        <v>1287</v>
      </c>
      <c r="N252" s="30" t="s">
        <v>129</v>
      </c>
      <c r="P252" s="30" t="s">
        <v>131</v>
      </c>
      <c r="Q252" s="30" t="s">
        <v>129</v>
      </c>
      <c r="R252" s="30" t="s">
        <v>131</v>
      </c>
      <c r="S252" s="30" t="s">
        <v>129</v>
      </c>
      <c r="T252" s="30" t="s">
        <v>129</v>
      </c>
      <c r="U252" s="30" t="s">
        <v>14944</v>
      </c>
      <c r="V252" s="30" t="s">
        <v>14945</v>
      </c>
      <c r="W252" s="30" t="s">
        <v>131</v>
      </c>
      <c r="X252" s="30" t="s">
        <v>2240</v>
      </c>
      <c r="Y252" s="30" t="s">
        <v>2252</v>
      </c>
    </row>
    <row r="253" spans="1:25">
      <c r="A253" s="30" t="s">
        <v>13898</v>
      </c>
      <c r="B253" s="30" t="s">
        <v>14946</v>
      </c>
      <c r="C253" s="30" t="s">
        <v>13026</v>
      </c>
      <c r="D253" s="30" t="s">
        <v>13027</v>
      </c>
      <c r="E253" s="30" t="s">
        <v>13028</v>
      </c>
      <c r="F253" s="30" t="s">
        <v>12181</v>
      </c>
      <c r="H253" s="30" t="s">
        <v>2564</v>
      </c>
      <c r="I253" s="30" t="s">
        <v>14947</v>
      </c>
      <c r="J253" s="30" t="s">
        <v>13946</v>
      </c>
      <c r="K253" s="30" t="s">
        <v>13901</v>
      </c>
      <c r="L253" s="30" t="s">
        <v>13938</v>
      </c>
      <c r="M253" s="30" t="s">
        <v>1284</v>
      </c>
      <c r="N253" s="30" t="s">
        <v>129</v>
      </c>
      <c r="P253" s="30" t="s">
        <v>131</v>
      </c>
      <c r="Q253" s="30" t="s">
        <v>131</v>
      </c>
      <c r="R253" s="30" t="s">
        <v>131</v>
      </c>
      <c r="S253" s="30" t="s">
        <v>129</v>
      </c>
      <c r="T253" s="30" t="s">
        <v>129</v>
      </c>
      <c r="U253" s="30" t="s">
        <v>14948</v>
      </c>
      <c r="V253" s="30" t="s">
        <v>14949</v>
      </c>
      <c r="W253" s="30" t="s">
        <v>131</v>
      </c>
      <c r="X253" s="30" t="s">
        <v>2240</v>
      </c>
      <c r="Y253" s="30" t="s">
        <v>2252</v>
      </c>
    </row>
    <row r="254" spans="1:25">
      <c r="A254" s="30" t="s">
        <v>13898</v>
      </c>
      <c r="B254" s="30" t="s">
        <v>14950</v>
      </c>
      <c r="C254" s="30" t="s">
        <v>13026</v>
      </c>
      <c r="D254" s="30" t="s">
        <v>13027</v>
      </c>
      <c r="E254" s="30" t="s">
        <v>13028</v>
      </c>
      <c r="F254" s="30" t="s">
        <v>12181</v>
      </c>
      <c r="H254" s="30" t="s">
        <v>2574</v>
      </c>
      <c r="I254" s="30" t="s">
        <v>14947</v>
      </c>
      <c r="J254" s="30" t="s">
        <v>13946</v>
      </c>
      <c r="K254" s="30" t="s">
        <v>13901</v>
      </c>
      <c r="L254" s="30" t="s">
        <v>13902</v>
      </c>
      <c r="M254" s="30" t="s">
        <v>1284</v>
      </c>
      <c r="N254" s="30" t="s">
        <v>129</v>
      </c>
      <c r="P254" s="30" t="s">
        <v>131</v>
      </c>
      <c r="Q254" s="30" t="s">
        <v>131</v>
      </c>
      <c r="R254" s="30" t="s">
        <v>131</v>
      </c>
      <c r="S254" s="30" t="s">
        <v>129</v>
      </c>
      <c r="T254" s="30" t="s">
        <v>129</v>
      </c>
      <c r="U254" s="30" t="s">
        <v>14948</v>
      </c>
      <c r="V254" s="30" t="s">
        <v>14949</v>
      </c>
      <c r="W254" s="30" t="s">
        <v>131</v>
      </c>
      <c r="X254" s="30" t="s">
        <v>2240</v>
      </c>
      <c r="Y254" s="30" t="s">
        <v>2252</v>
      </c>
    </row>
    <row r="255" spans="1:25">
      <c r="A255" s="30" t="s">
        <v>13898</v>
      </c>
      <c r="B255" s="30" t="s">
        <v>14951</v>
      </c>
      <c r="C255" s="30" t="s">
        <v>13026</v>
      </c>
      <c r="D255" s="30" t="s">
        <v>13027</v>
      </c>
      <c r="E255" s="30" t="s">
        <v>13028</v>
      </c>
      <c r="F255" s="30" t="s">
        <v>12181</v>
      </c>
      <c r="H255" s="30" t="s">
        <v>2581</v>
      </c>
      <c r="I255" s="30" t="s">
        <v>14947</v>
      </c>
      <c r="J255" s="30" t="s">
        <v>13946</v>
      </c>
      <c r="K255" s="30" t="s">
        <v>13901</v>
      </c>
      <c r="L255" s="30" t="s">
        <v>13927</v>
      </c>
      <c r="M255" s="30" t="s">
        <v>1284</v>
      </c>
      <c r="N255" s="30" t="s">
        <v>129</v>
      </c>
      <c r="P255" s="30" t="s">
        <v>131</v>
      </c>
      <c r="Q255" s="30" t="s">
        <v>131</v>
      </c>
      <c r="R255" s="30" t="s">
        <v>131</v>
      </c>
      <c r="S255" s="30" t="s">
        <v>129</v>
      </c>
      <c r="T255" s="30" t="s">
        <v>129</v>
      </c>
      <c r="U255" s="30" t="s">
        <v>14948</v>
      </c>
      <c r="V255" s="30" t="s">
        <v>14949</v>
      </c>
      <c r="W255" s="30" t="s">
        <v>131</v>
      </c>
      <c r="X255" s="30" t="s">
        <v>2240</v>
      </c>
      <c r="Y255" s="30" t="s">
        <v>2252</v>
      </c>
    </row>
    <row r="256" spans="1:25">
      <c r="A256" s="30" t="s">
        <v>13898</v>
      </c>
      <c r="B256" s="30" t="s">
        <v>14952</v>
      </c>
      <c r="C256" s="30" t="s">
        <v>13029</v>
      </c>
      <c r="D256" s="30" t="s">
        <v>13030</v>
      </c>
      <c r="E256" s="30" t="s">
        <v>13031</v>
      </c>
      <c r="F256" s="30" t="s">
        <v>12573</v>
      </c>
      <c r="H256" s="30" t="s">
        <v>2574</v>
      </c>
      <c r="I256" s="30" t="s">
        <v>14953</v>
      </c>
      <c r="J256" s="30" t="s">
        <v>14402</v>
      </c>
      <c r="K256" s="30" t="s">
        <v>13901</v>
      </c>
      <c r="L256" s="30" t="s">
        <v>13902</v>
      </c>
      <c r="M256" s="30" t="s">
        <v>1284</v>
      </c>
      <c r="N256" s="30" t="s">
        <v>129</v>
      </c>
      <c r="P256" s="30" t="s">
        <v>131</v>
      </c>
      <c r="Q256" s="30" t="s">
        <v>129</v>
      </c>
      <c r="R256" s="30" t="s">
        <v>129</v>
      </c>
      <c r="S256" s="30" t="s">
        <v>129</v>
      </c>
      <c r="T256" s="30" t="s">
        <v>129</v>
      </c>
      <c r="U256" s="30" t="s">
        <v>14954</v>
      </c>
      <c r="V256" s="30" t="s">
        <v>14955</v>
      </c>
      <c r="W256" s="30" t="s">
        <v>131</v>
      </c>
      <c r="X256" s="30" t="s">
        <v>2240</v>
      </c>
      <c r="Y256" s="30" t="s">
        <v>2252</v>
      </c>
    </row>
    <row r="257" spans="1:25">
      <c r="A257" s="30" t="s">
        <v>13898</v>
      </c>
      <c r="B257" s="30" t="s">
        <v>14956</v>
      </c>
      <c r="C257" s="30" t="s">
        <v>13033</v>
      </c>
      <c r="D257" s="30" t="s">
        <v>13034</v>
      </c>
      <c r="E257" s="30" t="s">
        <v>13035</v>
      </c>
      <c r="F257" s="30" t="s">
        <v>12331</v>
      </c>
      <c r="H257" s="30" t="s">
        <v>2574</v>
      </c>
      <c r="I257" s="30" t="s">
        <v>14957</v>
      </c>
      <c r="J257" s="30" t="s">
        <v>14958</v>
      </c>
      <c r="K257" s="30" t="s">
        <v>13901</v>
      </c>
      <c r="L257" s="30" t="s">
        <v>13902</v>
      </c>
      <c r="M257" s="30" t="s">
        <v>1210</v>
      </c>
      <c r="N257" s="30" t="s">
        <v>129</v>
      </c>
      <c r="P257" s="30" t="s">
        <v>131</v>
      </c>
      <c r="Q257" s="30" t="s">
        <v>129</v>
      </c>
      <c r="R257" s="30" t="s">
        <v>129</v>
      </c>
      <c r="S257" s="30" t="s">
        <v>129</v>
      </c>
      <c r="T257" s="30" t="s">
        <v>129</v>
      </c>
      <c r="U257" s="30" t="s">
        <v>14959</v>
      </c>
      <c r="V257" s="30" t="s">
        <v>14960</v>
      </c>
      <c r="W257" s="30" t="s">
        <v>131</v>
      </c>
      <c r="X257" s="30" t="s">
        <v>2240</v>
      </c>
      <c r="Y257" s="30" t="s">
        <v>2252</v>
      </c>
    </row>
    <row r="258" spans="1:25">
      <c r="A258" s="30" t="s">
        <v>13898</v>
      </c>
      <c r="B258" s="30" t="s">
        <v>14961</v>
      </c>
      <c r="C258" s="30" t="s">
        <v>13036</v>
      </c>
      <c r="D258" s="30" t="s">
        <v>13037</v>
      </c>
      <c r="E258" s="30" t="s">
        <v>13038</v>
      </c>
      <c r="F258" s="30" t="s">
        <v>12343</v>
      </c>
      <c r="H258" s="30" t="s">
        <v>2574</v>
      </c>
      <c r="I258" s="30" t="s">
        <v>14962</v>
      </c>
      <c r="J258" s="30" t="s">
        <v>14110</v>
      </c>
      <c r="K258" s="30" t="s">
        <v>13901</v>
      </c>
      <c r="L258" s="30" t="s">
        <v>13902</v>
      </c>
      <c r="M258" s="30" t="s">
        <v>1210</v>
      </c>
      <c r="N258" s="30" t="s">
        <v>129</v>
      </c>
      <c r="P258" s="30" t="s">
        <v>131</v>
      </c>
      <c r="Q258" s="30" t="s">
        <v>131</v>
      </c>
      <c r="R258" s="30" t="s">
        <v>131</v>
      </c>
      <c r="S258" s="30" t="s">
        <v>129</v>
      </c>
      <c r="T258" s="30" t="s">
        <v>129</v>
      </c>
      <c r="U258" s="30" t="s">
        <v>14963</v>
      </c>
      <c r="V258" s="30" t="s">
        <v>14964</v>
      </c>
      <c r="W258" s="30" t="s">
        <v>131</v>
      </c>
      <c r="X258" s="30" t="s">
        <v>2240</v>
      </c>
      <c r="Y258" s="30" t="s">
        <v>2252</v>
      </c>
    </row>
    <row r="259" spans="1:25">
      <c r="A259" s="30" t="s">
        <v>13898</v>
      </c>
      <c r="B259" s="30" t="s">
        <v>14965</v>
      </c>
      <c r="C259" s="30" t="s">
        <v>13039</v>
      </c>
      <c r="D259" s="30" t="s">
        <v>13040</v>
      </c>
      <c r="E259" s="30" t="s">
        <v>13041</v>
      </c>
      <c r="F259" s="30" t="s">
        <v>12414</v>
      </c>
      <c r="H259" s="30" t="s">
        <v>2574</v>
      </c>
      <c r="I259" s="30" t="s">
        <v>14966</v>
      </c>
      <c r="J259" s="30" t="s">
        <v>14189</v>
      </c>
      <c r="K259" s="30" t="s">
        <v>13901</v>
      </c>
      <c r="L259" s="30" t="s">
        <v>13902</v>
      </c>
      <c r="M259" s="30" t="s">
        <v>1284</v>
      </c>
      <c r="N259" s="30" t="s">
        <v>129</v>
      </c>
      <c r="P259" s="30" t="s">
        <v>131</v>
      </c>
      <c r="Q259" s="30" t="s">
        <v>129</v>
      </c>
      <c r="R259" s="30" t="s">
        <v>131</v>
      </c>
      <c r="S259" s="30" t="s">
        <v>129</v>
      </c>
      <c r="T259" s="30" t="s">
        <v>129</v>
      </c>
      <c r="U259" s="30" t="s">
        <v>14967</v>
      </c>
      <c r="V259" s="30" t="s">
        <v>14955</v>
      </c>
      <c r="W259" s="30" t="s">
        <v>131</v>
      </c>
      <c r="X259" s="30" t="s">
        <v>2240</v>
      </c>
      <c r="Y259" s="30" t="s">
        <v>2252</v>
      </c>
    </row>
    <row r="260" spans="1:25">
      <c r="A260" s="30" t="s">
        <v>13898</v>
      </c>
      <c r="B260" s="30" t="s">
        <v>14968</v>
      </c>
      <c r="C260" s="30" t="s">
        <v>13042</v>
      </c>
      <c r="D260" s="30" t="s">
        <v>13043</v>
      </c>
      <c r="E260" s="30" t="s">
        <v>13044</v>
      </c>
      <c r="F260" s="30" t="s">
        <v>12573</v>
      </c>
      <c r="H260" s="30" t="s">
        <v>2574</v>
      </c>
      <c r="I260" s="30" t="s">
        <v>14969</v>
      </c>
      <c r="J260" s="30" t="s">
        <v>14402</v>
      </c>
      <c r="K260" s="30" t="s">
        <v>13901</v>
      </c>
      <c r="L260" s="30" t="s">
        <v>13902</v>
      </c>
      <c r="M260" s="30" t="s">
        <v>1284</v>
      </c>
      <c r="N260" s="30" t="s">
        <v>129</v>
      </c>
      <c r="P260" s="30" t="s">
        <v>131</v>
      </c>
      <c r="Q260" s="30" t="s">
        <v>129</v>
      </c>
      <c r="R260" s="30" t="s">
        <v>129</v>
      </c>
      <c r="S260" s="30" t="s">
        <v>129</v>
      </c>
      <c r="T260" s="30" t="s">
        <v>129</v>
      </c>
      <c r="U260" s="30" t="s">
        <v>14970</v>
      </c>
      <c r="V260" s="30" t="s">
        <v>14971</v>
      </c>
      <c r="W260" s="30" t="s">
        <v>131</v>
      </c>
      <c r="X260" s="30" t="s">
        <v>2240</v>
      </c>
      <c r="Y260" s="30" t="s">
        <v>2252</v>
      </c>
    </row>
    <row r="261" spans="1:25">
      <c r="A261" s="30" t="s">
        <v>13898</v>
      </c>
      <c r="B261" s="30" t="s">
        <v>14972</v>
      </c>
      <c r="C261" s="30" t="s">
        <v>13046</v>
      </c>
      <c r="D261" s="30" t="s">
        <v>13047</v>
      </c>
      <c r="E261" s="30" t="s">
        <v>13048</v>
      </c>
      <c r="F261" s="30" t="s">
        <v>13049</v>
      </c>
      <c r="G261" s="30" t="s">
        <v>13516</v>
      </c>
      <c r="H261" s="30" t="s">
        <v>2574</v>
      </c>
      <c r="I261" s="30" t="s">
        <v>14973</v>
      </c>
      <c r="J261" s="30" t="s">
        <v>14974</v>
      </c>
      <c r="K261" s="30" t="s">
        <v>14975</v>
      </c>
      <c r="L261" s="30" t="s">
        <v>13902</v>
      </c>
      <c r="M261" s="30" t="s">
        <v>1222</v>
      </c>
      <c r="N261" s="30" t="s">
        <v>131</v>
      </c>
      <c r="O261" s="30" t="s">
        <v>14976</v>
      </c>
      <c r="P261" s="30" t="s">
        <v>131</v>
      </c>
      <c r="Q261" s="30" t="s">
        <v>131</v>
      </c>
      <c r="R261" s="30" t="s">
        <v>131</v>
      </c>
      <c r="S261" s="30" t="s">
        <v>129</v>
      </c>
      <c r="T261" s="30" t="s">
        <v>131</v>
      </c>
      <c r="U261" s="30" t="s">
        <v>14977</v>
      </c>
      <c r="V261" s="30" t="s">
        <v>14978</v>
      </c>
      <c r="W261" s="30" t="s">
        <v>129</v>
      </c>
      <c r="X261" s="30" t="s">
        <v>2238</v>
      </c>
      <c r="Y261" s="30" t="s">
        <v>2254</v>
      </c>
    </row>
    <row r="262" spans="1:25">
      <c r="A262" s="30" t="s">
        <v>13898</v>
      </c>
      <c r="B262" s="30" t="s">
        <v>14979</v>
      </c>
      <c r="C262" s="30" t="s">
        <v>13046</v>
      </c>
      <c r="D262" s="30" t="s">
        <v>13047</v>
      </c>
      <c r="E262" s="30" t="s">
        <v>13048</v>
      </c>
      <c r="F262" s="30" t="s">
        <v>13049</v>
      </c>
      <c r="G262" s="30" t="s">
        <v>13517</v>
      </c>
      <c r="H262" s="30" t="s">
        <v>2581</v>
      </c>
      <c r="I262" s="30" t="s">
        <v>14973</v>
      </c>
      <c r="J262" s="30" t="s">
        <v>14974</v>
      </c>
      <c r="K262" s="30" t="s">
        <v>14980</v>
      </c>
      <c r="L262" s="30" t="s">
        <v>13927</v>
      </c>
      <c r="M262" s="30" t="s">
        <v>1222</v>
      </c>
      <c r="N262" s="30" t="s">
        <v>131</v>
      </c>
      <c r="O262" s="30" t="s">
        <v>14976</v>
      </c>
      <c r="P262" s="30" t="s">
        <v>131</v>
      </c>
      <c r="Q262" s="30" t="s">
        <v>131</v>
      </c>
      <c r="R262" s="30" t="s">
        <v>131</v>
      </c>
      <c r="S262" s="30" t="s">
        <v>129</v>
      </c>
      <c r="T262" s="30" t="s">
        <v>131</v>
      </c>
      <c r="U262" s="30" t="s">
        <v>14977</v>
      </c>
      <c r="V262" s="30" t="s">
        <v>14978</v>
      </c>
      <c r="W262" s="30" t="s">
        <v>129</v>
      </c>
      <c r="X262" s="30" t="s">
        <v>2238</v>
      </c>
      <c r="Y262" s="30" t="s">
        <v>2254</v>
      </c>
    </row>
    <row r="263" spans="1:25">
      <c r="A263" s="30" t="s">
        <v>13898</v>
      </c>
      <c r="B263" s="30" t="s">
        <v>14981</v>
      </c>
      <c r="C263" s="30" t="s">
        <v>13046</v>
      </c>
      <c r="D263" s="30" t="s">
        <v>13047</v>
      </c>
      <c r="E263" s="30" t="s">
        <v>13048</v>
      </c>
      <c r="F263" s="30" t="s">
        <v>13049</v>
      </c>
      <c r="H263" s="30" t="s">
        <v>2564</v>
      </c>
      <c r="I263" s="30" t="s">
        <v>14973</v>
      </c>
      <c r="J263" s="30" t="s">
        <v>14974</v>
      </c>
      <c r="K263" s="30" t="s">
        <v>13901</v>
      </c>
      <c r="L263" s="30" t="s">
        <v>13938</v>
      </c>
      <c r="M263" s="30" t="s">
        <v>1222</v>
      </c>
      <c r="N263" s="30" t="s">
        <v>131</v>
      </c>
      <c r="O263" s="30" t="s">
        <v>14982</v>
      </c>
      <c r="P263" s="30" t="s">
        <v>131</v>
      </c>
      <c r="Q263" s="30" t="s">
        <v>131</v>
      </c>
      <c r="R263" s="30" t="s">
        <v>131</v>
      </c>
      <c r="S263" s="30" t="s">
        <v>129</v>
      </c>
      <c r="T263" s="30" t="s">
        <v>131</v>
      </c>
      <c r="U263" s="30" t="s">
        <v>14977</v>
      </c>
      <c r="V263" s="30" t="s">
        <v>14978</v>
      </c>
      <c r="W263" s="30" t="s">
        <v>129</v>
      </c>
      <c r="X263" s="30" t="s">
        <v>2238</v>
      </c>
      <c r="Y263" s="30" t="s">
        <v>2254</v>
      </c>
    </row>
    <row r="264" spans="1:25">
      <c r="A264" s="30" t="s">
        <v>13898</v>
      </c>
      <c r="B264" s="30" t="s">
        <v>14983</v>
      </c>
      <c r="C264" s="30" t="s">
        <v>13046</v>
      </c>
      <c r="D264" s="30" t="s">
        <v>13047</v>
      </c>
      <c r="E264" s="30" t="s">
        <v>13048</v>
      </c>
      <c r="F264" s="30" t="s">
        <v>13049</v>
      </c>
      <c r="H264" s="30" t="s">
        <v>2581</v>
      </c>
      <c r="I264" s="30" t="s">
        <v>14973</v>
      </c>
      <c r="J264" s="30" t="s">
        <v>14974</v>
      </c>
      <c r="K264" s="30" t="s">
        <v>13901</v>
      </c>
      <c r="L264" s="30" t="s">
        <v>13927</v>
      </c>
      <c r="M264" s="30" t="s">
        <v>1222</v>
      </c>
      <c r="N264" s="30" t="s">
        <v>131</v>
      </c>
      <c r="O264" s="30" t="s">
        <v>14984</v>
      </c>
      <c r="P264" s="30" t="s">
        <v>131</v>
      </c>
      <c r="Q264" s="30" t="s">
        <v>131</v>
      </c>
      <c r="R264" s="30" t="s">
        <v>131</v>
      </c>
      <c r="S264" s="30" t="s">
        <v>129</v>
      </c>
      <c r="T264" s="30" t="s">
        <v>131</v>
      </c>
      <c r="U264" s="30" t="s">
        <v>14977</v>
      </c>
      <c r="V264" s="30" t="s">
        <v>14978</v>
      </c>
      <c r="W264" s="30" t="s">
        <v>129</v>
      </c>
      <c r="X264" s="30" t="s">
        <v>2238</v>
      </c>
      <c r="Y264" s="30" t="s">
        <v>2254</v>
      </c>
    </row>
    <row r="265" spans="1:25">
      <c r="A265" s="30" t="s">
        <v>13898</v>
      </c>
      <c r="B265" s="30" t="s">
        <v>14985</v>
      </c>
      <c r="C265" s="30" t="s">
        <v>13052</v>
      </c>
      <c r="D265" s="30" t="s">
        <v>13053</v>
      </c>
      <c r="E265" s="30" t="s">
        <v>13054</v>
      </c>
      <c r="F265" s="30" t="s">
        <v>13055</v>
      </c>
      <c r="G265" s="30" t="s">
        <v>13519</v>
      </c>
      <c r="H265" s="30" t="s">
        <v>2574</v>
      </c>
      <c r="I265" s="30" t="s">
        <v>14986</v>
      </c>
      <c r="J265" s="30" t="s">
        <v>14987</v>
      </c>
      <c r="K265" s="30" t="s">
        <v>14988</v>
      </c>
      <c r="L265" s="30" t="s">
        <v>13902</v>
      </c>
      <c r="M265" s="30" t="s">
        <v>1224</v>
      </c>
      <c r="N265" s="30" t="s">
        <v>129</v>
      </c>
      <c r="P265" s="30" t="s">
        <v>131</v>
      </c>
      <c r="Q265" s="30" t="s">
        <v>131</v>
      </c>
      <c r="R265" s="30" t="s">
        <v>131</v>
      </c>
      <c r="S265" s="30" t="s">
        <v>129</v>
      </c>
      <c r="T265" s="30" t="s">
        <v>129</v>
      </c>
      <c r="U265" s="30" t="s">
        <v>14989</v>
      </c>
      <c r="V265" s="30" t="s">
        <v>14990</v>
      </c>
      <c r="W265" s="30" t="s">
        <v>129</v>
      </c>
      <c r="X265" s="30" t="s">
        <v>2238</v>
      </c>
      <c r="Y265" s="30" t="s">
        <v>2254</v>
      </c>
    </row>
    <row r="266" spans="1:25">
      <c r="A266" s="30" t="s">
        <v>13898</v>
      </c>
      <c r="B266" s="30" t="s">
        <v>14991</v>
      </c>
      <c r="C266" s="30" t="s">
        <v>13056</v>
      </c>
      <c r="D266" s="30" t="s">
        <v>13057</v>
      </c>
      <c r="E266" s="30" t="s">
        <v>13021</v>
      </c>
      <c r="F266" s="30" t="s">
        <v>13058</v>
      </c>
      <c r="H266" s="30" t="s">
        <v>2574</v>
      </c>
      <c r="I266" s="30" t="s">
        <v>14938</v>
      </c>
      <c r="J266" s="30" t="s">
        <v>14992</v>
      </c>
      <c r="K266" s="30" t="s">
        <v>13901</v>
      </c>
      <c r="L266" s="30" t="s">
        <v>13902</v>
      </c>
      <c r="M266" s="30" t="s">
        <v>1287</v>
      </c>
      <c r="N266" s="30" t="s">
        <v>129</v>
      </c>
      <c r="P266" s="30" t="s">
        <v>131</v>
      </c>
      <c r="Q266" s="30" t="s">
        <v>131</v>
      </c>
      <c r="R266" s="30" t="s">
        <v>131</v>
      </c>
      <c r="S266" s="30" t="s">
        <v>129</v>
      </c>
      <c r="T266" s="30" t="s">
        <v>129</v>
      </c>
      <c r="U266" s="30" t="s">
        <v>14939</v>
      </c>
      <c r="V266" s="30" t="s">
        <v>14940</v>
      </c>
      <c r="W266" s="30" t="s">
        <v>131</v>
      </c>
      <c r="X266" s="30" t="s">
        <v>2240</v>
      </c>
      <c r="Y266" s="30" t="s">
        <v>2252</v>
      </c>
    </row>
  </sheetData>
  <sheetProtection formatColumns="0" formatRows="0"/>
  <phoneticPr fontId="3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MO">
    <tabColor indexed="47"/>
  </sheetPr>
  <dimension ref="A1:I2"/>
  <sheetViews>
    <sheetView zoomScaleNormal="100" workbookViewId="0"/>
  </sheetViews>
  <sheetFormatPr defaultColWidth="9.125" defaultRowHeight="11.4"/>
  <cols>
    <col min="1" max="16384" width="9.125" style="30"/>
  </cols>
  <sheetData>
    <row r="1" spans="1:9">
      <c r="A1" s="30" t="s">
        <v>2215</v>
      </c>
      <c r="B1" s="30" t="s">
        <v>2144</v>
      </c>
      <c r="C1" s="30" t="s">
        <v>2145</v>
      </c>
      <c r="D1" s="30" t="s">
        <v>2146</v>
      </c>
      <c r="E1" s="30" t="s">
        <v>2216</v>
      </c>
      <c r="F1" s="30" t="s">
        <v>2143</v>
      </c>
      <c r="G1" s="30" t="s">
        <v>2217</v>
      </c>
      <c r="H1" s="30" t="s">
        <v>2294</v>
      </c>
      <c r="I1" s="30" t="s">
        <v>0</v>
      </c>
    </row>
    <row r="2" spans="1:9">
      <c r="A2" s="30" t="s">
        <v>14993</v>
      </c>
      <c r="B2" s="30" t="s">
        <v>14994</v>
      </c>
      <c r="C2" s="30" t="s">
        <v>14994</v>
      </c>
      <c r="D2" s="30" t="s">
        <v>3129</v>
      </c>
      <c r="E2" s="30" t="s">
        <v>131</v>
      </c>
      <c r="G2" s="30" t="s">
        <v>15005</v>
      </c>
      <c r="I2" s="30" t="s">
        <v>13898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SUBSIDIARY">
    <tabColor indexed="47"/>
  </sheetPr>
  <dimension ref="A1:B13"/>
  <sheetViews>
    <sheetView zoomScaleNormal="100" workbookViewId="0"/>
  </sheetViews>
  <sheetFormatPr defaultColWidth="9.125" defaultRowHeight="11.4"/>
  <cols>
    <col min="1" max="16384" width="9.125" style="30"/>
  </cols>
  <sheetData>
    <row r="1" spans="1:2">
      <c r="A1" s="30" t="s">
        <v>1203</v>
      </c>
      <c r="B1" s="30" t="s">
        <v>1204</v>
      </c>
    </row>
    <row r="2" spans="1:2">
      <c r="A2" s="30" t="s">
        <v>13511</v>
      </c>
    </row>
    <row r="3" spans="1:2">
      <c r="A3" s="30" t="s">
        <v>13511</v>
      </c>
      <c r="B3" s="30" t="s">
        <v>13512</v>
      </c>
    </row>
    <row r="4" spans="1:2">
      <c r="A4" s="30" t="s">
        <v>13511</v>
      </c>
      <c r="B4" s="30" t="s">
        <v>13513</v>
      </c>
    </row>
    <row r="5" spans="1:2">
      <c r="A5" s="30" t="s">
        <v>13511</v>
      </c>
      <c r="B5" s="30" t="s">
        <v>13514</v>
      </c>
    </row>
    <row r="6" spans="1:2">
      <c r="A6" s="30" t="s">
        <v>13511</v>
      </c>
      <c r="B6" s="30" t="s">
        <v>13515</v>
      </c>
    </row>
    <row r="7" spans="1:2">
      <c r="A7" s="30" t="s">
        <v>13511</v>
      </c>
      <c r="B7" s="30" t="s">
        <v>13516</v>
      </c>
    </row>
    <row r="8" spans="1:2">
      <c r="A8" s="30" t="s">
        <v>13511</v>
      </c>
      <c r="B8" s="30" t="s">
        <v>13517</v>
      </c>
    </row>
    <row r="9" spans="1:2">
      <c r="A9" s="30" t="s">
        <v>13511</v>
      </c>
      <c r="B9" s="30" t="s">
        <v>13518</v>
      </c>
    </row>
    <row r="10" spans="1:2">
      <c r="A10" s="30" t="s">
        <v>13511</v>
      </c>
      <c r="B10" s="30" t="s">
        <v>13519</v>
      </c>
    </row>
    <row r="11" spans="1:2">
      <c r="A11" s="30" t="s">
        <v>13511</v>
      </c>
      <c r="B11" s="30" t="s">
        <v>13520</v>
      </c>
    </row>
    <row r="12" spans="1:2">
      <c r="A12" s="30" t="s">
        <v>13511</v>
      </c>
      <c r="B12" s="30" t="s">
        <v>3118</v>
      </c>
    </row>
    <row r="13" spans="1:2">
      <c r="A13" s="30" t="s">
        <v>13511</v>
      </c>
      <c r="B13" s="30" t="s">
        <v>3132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DPR">
    <tabColor indexed="47"/>
  </sheetPr>
  <dimension ref="A1:B378"/>
  <sheetViews>
    <sheetView zoomScaleNormal="100" workbookViewId="0"/>
  </sheetViews>
  <sheetFormatPr defaultColWidth="9.125" defaultRowHeight="11.4"/>
  <cols>
    <col min="1" max="16384" width="9.125" style="30"/>
  </cols>
  <sheetData>
    <row r="1" spans="1:2">
      <c r="A1" s="30" t="s">
        <v>1203</v>
      </c>
      <c r="B1" s="30" t="s">
        <v>1204</v>
      </c>
    </row>
    <row r="2" spans="1:2">
      <c r="A2" s="30" t="s">
        <v>13521</v>
      </c>
      <c r="B2" s="756"/>
    </row>
    <row r="3" spans="1:2">
      <c r="A3" s="30" t="s">
        <v>13521</v>
      </c>
      <c r="B3" s="756" t="s">
        <v>13522</v>
      </c>
    </row>
    <row r="4" spans="1:2">
      <c r="A4" s="30" t="s">
        <v>13521</v>
      </c>
      <c r="B4" s="756" t="s">
        <v>13523</v>
      </c>
    </row>
    <row r="5" spans="1:2">
      <c r="A5" s="30" t="s">
        <v>13521</v>
      </c>
      <c r="B5" s="756" t="s">
        <v>13524</v>
      </c>
    </row>
    <row r="6" spans="1:2">
      <c r="A6" s="30" t="s">
        <v>13521</v>
      </c>
      <c r="B6" s="756" t="s">
        <v>13525</v>
      </c>
    </row>
    <row r="7" spans="1:2">
      <c r="A7" s="30" t="s">
        <v>13521</v>
      </c>
      <c r="B7" s="756" t="s">
        <v>13526</v>
      </c>
    </row>
    <row r="8" spans="1:2">
      <c r="A8" s="30" t="s">
        <v>13521</v>
      </c>
      <c r="B8" s="756" t="s">
        <v>13527</v>
      </c>
    </row>
    <row r="9" spans="1:2">
      <c r="A9" s="30" t="s">
        <v>13521</v>
      </c>
      <c r="B9" s="756" t="s">
        <v>13528</v>
      </c>
    </row>
    <row r="10" spans="1:2">
      <c r="A10" s="30" t="s">
        <v>13521</v>
      </c>
      <c r="B10" s="756" t="s">
        <v>13529</v>
      </c>
    </row>
    <row r="11" spans="1:2">
      <c r="A11" s="30" t="s">
        <v>13521</v>
      </c>
      <c r="B11" s="756" t="s">
        <v>13530</v>
      </c>
    </row>
    <row r="12" spans="1:2">
      <c r="A12" s="30" t="s">
        <v>13521</v>
      </c>
      <c r="B12" s="756" t="s">
        <v>13531</v>
      </c>
    </row>
    <row r="13" spans="1:2">
      <c r="A13" s="30" t="s">
        <v>13521</v>
      </c>
      <c r="B13" s="756" t="s">
        <v>13532</v>
      </c>
    </row>
    <row r="14" spans="1:2">
      <c r="A14" s="30" t="s">
        <v>13521</v>
      </c>
      <c r="B14" s="756" t="s">
        <v>13533</v>
      </c>
    </row>
    <row r="15" spans="1:2">
      <c r="A15" s="30" t="s">
        <v>13521</v>
      </c>
      <c r="B15" s="756" t="s">
        <v>13534</v>
      </c>
    </row>
    <row r="16" spans="1:2">
      <c r="A16" s="30" t="s">
        <v>13521</v>
      </c>
      <c r="B16" s="756" t="s">
        <v>13535</v>
      </c>
    </row>
    <row r="17" spans="1:2">
      <c r="A17" s="30" t="s">
        <v>13521</v>
      </c>
      <c r="B17" s="756" t="s">
        <v>13536</v>
      </c>
    </row>
    <row r="18" spans="1:2">
      <c r="A18" s="30" t="s">
        <v>13521</v>
      </c>
      <c r="B18" s="756" t="s">
        <v>13537</v>
      </c>
    </row>
    <row r="19" spans="1:2">
      <c r="A19" s="30" t="s">
        <v>13521</v>
      </c>
      <c r="B19" s="756" t="s">
        <v>13538</v>
      </c>
    </row>
    <row r="20" spans="1:2">
      <c r="A20" s="30" t="s">
        <v>13521</v>
      </c>
      <c r="B20" s="756" t="s">
        <v>13539</v>
      </c>
    </row>
    <row r="21" spans="1:2">
      <c r="A21" s="30" t="s">
        <v>13521</v>
      </c>
      <c r="B21" s="756" t="s">
        <v>13540</v>
      </c>
    </row>
    <row r="22" spans="1:2">
      <c r="A22" s="30" t="s">
        <v>13521</v>
      </c>
      <c r="B22" s="756" t="s">
        <v>13541</v>
      </c>
    </row>
    <row r="23" spans="1:2">
      <c r="A23" s="30" t="s">
        <v>13521</v>
      </c>
      <c r="B23" s="756" t="s">
        <v>13542</v>
      </c>
    </row>
    <row r="24" spans="1:2">
      <c r="A24" s="30" t="s">
        <v>13521</v>
      </c>
      <c r="B24" s="756" t="s">
        <v>13543</v>
      </c>
    </row>
    <row r="25" spans="1:2">
      <c r="A25" s="30" t="s">
        <v>13521</v>
      </c>
      <c r="B25" s="756" t="s">
        <v>13544</v>
      </c>
    </row>
    <row r="26" spans="1:2">
      <c r="A26" s="30" t="s">
        <v>13521</v>
      </c>
      <c r="B26" s="756" t="s">
        <v>13545</v>
      </c>
    </row>
    <row r="27" spans="1:2">
      <c r="A27" s="30" t="s">
        <v>13521</v>
      </c>
      <c r="B27" s="756" t="s">
        <v>13546</v>
      </c>
    </row>
    <row r="28" spans="1:2">
      <c r="A28" s="30" t="s">
        <v>13521</v>
      </c>
      <c r="B28" s="756" t="s">
        <v>13547</v>
      </c>
    </row>
    <row r="29" spans="1:2">
      <c r="A29" s="30" t="s">
        <v>13521</v>
      </c>
      <c r="B29" s="756" t="s">
        <v>13548</v>
      </c>
    </row>
    <row r="30" spans="1:2">
      <c r="A30" s="30" t="s">
        <v>13521</v>
      </c>
      <c r="B30" s="756" t="s">
        <v>13549</v>
      </c>
    </row>
    <row r="31" spans="1:2">
      <c r="A31" s="30" t="s">
        <v>13521</v>
      </c>
      <c r="B31" s="756" t="s">
        <v>13550</v>
      </c>
    </row>
    <row r="32" spans="1:2">
      <c r="A32" s="30" t="s">
        <v>13521</v>
      </c>
      <c r="B32" s="756" t="s">
        <v>13551</v>
      </c>
    </row>
    <row r="33" spans="1:2">
      <c r="A33" s="30" t="s">
        <v>13521</v>
      </c>
      <c r="B33" s="756" t="s">
        <v>13552</v>
      </c>
    </row>
    <row r="34" spans="1:2">
      <c r="A34" s="30" t="s">
        <v>13521</v>
      </c>
      <c r="B34" s="756" t="s">
        <v>13553</v>
      </c>
    </row>
    <row r="35" spans="1:2">
      <c r="A35" s="30" t="s">
        <v>13521</v>
      </c>
      <c r="B35" s="756" t="s">
        <v>13554</v>
      </c>
    </row>
    <row r="36" spans="1:2">
      <c r="A36" s="30" t="s">
        <v>13521</v>
      </c>
      <c r="B36" s="756" t="s">
        <v>13555</v>
      </c>
    </row>
    <row r="37" spans="1:2">
      <c r="A37" s="30" t="s">
        <v>13521</v>
      </c>
      <c r="B37" s="756" t="s">
        <v>13556</v>
      </c>
    </row>
    <row r="38" spans="1:2">
      <c r="A38" s="30" t="s">
        <v>13521</v>
      </c>
      <c r="B38" s="756" t="s">
        <v>13557</v>
      </c>
    </row>
    <row r="39" spans="1:2">
      <c r="A39" s="30" t="s">
        <v>13521</v>
      </c>
      <c r="B39" s="756" t="s">
        <v>13558</v>
      </c>
    </row>
    <row r="40" spans="1:2">
      <c r="A40" s="30" t="s">
        <v>13521</v>
      </c>
      <c r="B40" s="756" t="s">
        <v>13559</v>
      </c>
    </row>
    <row r="41" spans="1:2">
      <c r="A41" s="30" t="s">
        <v>13521</v>
      </c>
      <c r="B41" s="756" t="s">
        <v>13560</v>
      </c>
    </row>
    <row r="42" spans="1:2">
      <c r="A42" s="30" t="s">
        <v>13521</v>
      </c>
      <c r="B42" s="756" t="s">
        <v>13561</v>
      </c>
    </row>
    <row r="43" spans="1:2">
      <c r="A43" s="30" t="s">
        <v>13521</v>
      </c>
      <c r="B43" s="756" t="s">
        <v>13562</v>
      </c>
    </row>
    <row r="44" spans="1:2">
      <c r="A44" s="30" t="s">
        <v>13521</v>
      </c>
      <c r="B44" s="756" t="s">
        <v>13563</v>
      </c>
    </row>
    <row r="45" spans="1:2">
      <c r="A45" s="30" t="s">
        <v>13521</v>
      </c>
      <c r="B45" s="756" t="s">
        <v>13564</v>
      </c>
    </row>
    <row r="46" spans="1:2">
      <c r="A46" s="30" t="s">
        <v>13521</v>
      </c>
      <c r="B46" s="756" t="s">
        <v>13565</v>
      </c>
    </row>
    <row r="47" spans="1:2">
      <c r="A47" s="30" t="s">
        <v>13521</v>
      </c>
      <c r="B47" s="756" t="s">
        <v>13566</v>
      </c>
    </row>
    <row r="48" spans="1:2">
      <c r="A48" s="30" t="s">
        <v>13521</v>
      </c>
      <c r="B48" s="756" t="s">
        <v>13567</v>
      </c>
    </row>
    <row r="49" spans="1:2">
      <c r="A49" s="30" t="s">
        <v>13521</v>
      </c>
      <c r="B49" s="756" t="s">
        <v>13568</v>
      </c>
    </row>
    <row r="50" spans="1:2">
      <c r="A50" s="30" t="s">
        <v>13521</v>
      </c>
      <c r="B50" s="756" t="s">
        <v>13569</v>
      </c>
    </row>
    <row r="51" spans="1:2">
      <c r="A51" s="30" t="s">
        <v>13521</v>
      </c>
      <c r="B51" s="756" t="s">
        <v>13570</v>
      </c>
    </row>
    <row r="52" spans="1:2">
      <c r="A52" s="30" t="s">
        <v>13521</v>
      </c>
      <c r="B52" s="756" t="s">
        <v>13571</v>
      </c>
    </row>
    <row r="53" spans="1:2">
      <c r="A53" s="30" t="s">
        <v>13521</v>
      </c>
      <c r="B53" s="756" t="s">
        <v>13572</v>
      </c>
    </row>
    <row r="54" spans="1:2">
      <c r="A54" s="30" t="s">
        <v>13521</v>
      </c>
      <c r="B54" s="756" t="s">
        <v>13573</v>
      </c>
    </row>
    <row r="55" spans="1:2">
      <c r="A55" s="30" t="s">
        <v>13521</v>
      </c>
      <c r="B55" s="756" t="s">
        <v>13574</v>
      </c>
    </row>
    <row r="56" spans="1:2">
      <c r="A56" s="30" t="s">
        <v>13521</v>
      </c>
      <c r="B56" s="756" t="s">
        <v>13575</v>
      </c>
    </row>
    <row r="57" spans="1:2">
      <c r="A57" s="30" t="s">
        <v>13521</v>
      </c>
      <c r="B57" s="756" t="s">
        <v>13576</v>
      </c>
    </row>
    <row r="58" spans="1:2">
      <c r="A58" s="30" t="s">
        <v>13521</v>
      </c>
      <c r="B58" s="756" t="s">
        <v>13577</v>
      </c>
    </row>
    <row r="59" spans="1:2">
      <c r="A59" s="30" t="s">
        <v>13521</v>
      </c>
      <c r="B59" s="756" t="s">
        <v>13578</v>
      </c>
    </row>
    <row r="60" spans="1:2">
      <c r="A60" s="30" t="s">
        <v>13521</v>
      </c>
      <c r="B60" s="756" t="s">
        <v>13579</v>
      </c>
    </row>
    <row r="61" spans="1:2">
      <c r="A61" s="30" t="s">
        <v>13521</v>
      </c>
      <c r="B61" s="756" t="s">
        <v>13580</v>
      </c>
    </row>
    <row r="62" spans="1:2">
      <c r="A62" s="30" t="s">
        <v>13521</v>
      </c>
      <c r="B62" s="756" t="s">
        <v>13581</v>
      </c>
    </row>
    <row r="63" spans="1:2">
      <c r="A63" s="30" t="s">
        <v>13521</v>
      </c>
      <c r="B63" s="756" t="s">
        <v>13582</v>
      </c>
    </row>
    <row r="64" spans="1:2">
      <c r="A64" s="30" t="s">
        <v>13521</v>
      </c>
      <c r="B64" s="756" t="s">
        <v>13583</v>
      </c>
    </row>
    <row r="65" spans="1:2">
      <c r="A65" s="30" t="s">
        <v>13521</v>
      </c>
      <c r="B65" s="756" t="s">
        <v>13584</v>
      </c>
    </row>
    <row r="66" spans="1:2">
      <c r="A66" s="30" t="s">
        <v>13521</v>
      </c>
      <c r="B66" s="756" t="s">
        <v>13585</v>
      </c>
    </row>
    <row r="67" spans="1:2">
      <c r="A67" s="30" t="s">
        <v>13521</v>
      </c>
      <c r="B67" s="756" t="s">
        <v>13586</v>
      </c>
    </row>
    <row r="68" spans="1:2">
      <c r="A68" s="30" t="s">
        <v>13521</v>
      </c>
      <c r="B68" s="756" t="s">
        <v>13587</v>
      </c>
    </row>
    <row r="69" spans="1:2">
      <c r="A69" s="30" t="s">
        <v>13521</v>
      </c>
      <c r="B69" s="756" t="s">
        <v>13588</v>
      </c>
    </row>
    <row r="70" spans="1:2">
      <c r="A70" s="30" t="s">
        <v>13521</v>
      </c>
      <c r="B70" s="756" t="s">
        <v>13589</v>
      </c>
    </row>
    <row r="71" spans="1:2">
      <c r="A71" s="30" t="s">
        <v>13521</v>
      </c>
      <c r="B71" s="756" t="s">
        <v>13590</v>
      </c>
    </row>
    <row r="72" spans="1:2">
      <c r="A72" s="30" t="s">
        <v>13521</v>
      </c>
      <c r="B72" s="756" t="s">
        <v>13591</v>
      </c>
    </row>
    <row r="73" spans="1:2">
      <c r="A73" s="30" t="s">
        <v>13521</v>
      </c>
      <c r="B73" s="756" t="s">
        <v>13592</v>
      </c>
    </row>
    <row r="74" spans="1:2">
      <c r="A74" s="30" t="s">
        <v>13521</v>
      </c>
      <c r="B74" s="756" t="s">
        <v>13593</v>
      </c>
    </row>
    <row r="75" spans="1:2">
      <c r="A75" s="30" t="s">
        <v>13521</v>
      </c>
      <c r="B75" s="756" t="s">
        <v>13594</v>
      </c>
    </row>
    <row r="76" spans="1:2">
      <c r="A76" s="30" t="s">
        <v>13521</v>
      </c>
      <c r="B76" s="756" t="s">
        <v>13595</v>
      </c>
    </row>
    <row r="77" spans="1:2">
      <c r="A77" s="30" t="s">
        <v>13521</v>
      </c>
      <c r="B77" s="756" t="s">
        <v>13596</v>
      </c>
    </row>
    <row r="78" spans="1:2">
      <c r="A78" s="30" t="s">
        <v>13521</v>
      </c>
      <c r="B78" s="756" t="s">
        <v>13597</v>
      </c>
    </row>
    <row r="79" spans="1:2">
      <c r="A79" s="30" t="s">
        <v>13521</v>
      </c>
      <c r="B79" s="756" t="s">
        <v>13598</v>
      </c>
    </row>
    <row r="80" spans="1:2">
      <c r="A80" s="30" t="s">
        <v>13521</v>
      </c>
      <c r="B80" s="756" t="s">
        <v>13599</v>
      </c>
    </row>
    <row r="81" spans="1:2">
      <c r="A81" s="30" t="s">
        <v>13521</v>
      </c>
      <c r="B81" s="756" t="s">
        <v>13600</v>
      </c>
    </row>
    <row r="82" spans="1:2">
      <c r="A82" s="30" t="s">
        <v>13521</v>
      </c>
      <c r="B82" s="756" t="s">
        <v>13601</v>
      </c>
    </row>
    <row r="83" spans="1:2">
      <c r="A83" s="30" t="s">
        <v>13521</v>
      </c>
      <c r="B83" s="756" t="s">
        <v>13602</v>
      </c>
    </row>
    <row r="84" spans="1:2">
      <c r="A84" s="30" t="s">
        <v>13521</v>
      </c>
      <c r="B84" s="756" t="s">
        <v>13603</v>
      </c>
    </row>
    <row r="85" spans="1:2">
      <c r="A85" s="30" t="s">
        <v>13521</v>
      </c>
      <c r="B85" s="756" t="s">
        <v>13604</v>
      </c>
    </row>
    <row r="86" spans="1:2">
      <c r="A86" s="30" t="s">
        <v>13521</v>
      </c>
      <c r="B86" s="756" t="s">
        <v>13605</v>
      </c>
    </row>
    <row r="87" spans="1:2">
      <c r="A87" s="30" t="s">
        <v>13521</v>
      </c>
      <c r="B87" s="756" t="s">
        <v>13606</v>
      </c>
    </row>
    <row r="88" spans="1:2">
      <c r="A88" s="30" t="s">
        <v>13521</v>
      </c>
      <c r="B88" s="756" t="s">
        <v>13607</v>
      </c>
    </row>
    <row r="89" spans="1:2">
      <c r="A89" s="30" t="s">
        <v>13521</v>
      </c>
      <c r="B89" s="756" t="s">
        <v>13608</v>
      </c>
    </row>
    <row r="90" spans="1:2">
      <c r="A90" s="30" t="s">
        <v>13521</v>
      </c>
      <c r="B90" s="756" t="s">
        <v>13609</v>
      </c>
    </row>
    <row r="91" spans="1:2">
      <c r="A91" s="30" t="s">
        <v>13521</v>
      </c>
      <c r="B91" s="756" t="s">
        <v>13610</v>
      </c>
    </row>
    <row r="92" spans="1:2">
      <c r="A92" s="30" t="s">
        <v>13521</v>
      </c>
      <c r="B92" s="756" t="s">
        <v>13611</v>
      </c>
    </row>
    <row r="93" spans="1:2">
      <c r="A93" s="30" t="s">
        <v>13521</v>
      </c>
      <c r="B93" s="756" t="s">
        <v>13612</v>
      </c>
    </row>
    <row r="94" spans="1:2">
      <c r="A94" s="30" t="s">
        <v>13521</v>
      </c>
      <c r="B94" s="756" t="s">
        <v>13613</v>
      </c>
    </row>
    <row r="95" spans="1:2">
      <c r="A95" s="30" t="s">
        <v>13521</v>
      </c>
      <c r="B95" s="756" t="s">
        <v>13614</v>
      </c>
    </row>
    <row r="96" spans="1:2">
      <c r="A96" s="30" t="s">
        <v>13521</v>
      </c>
      <c r="B96" s="756" t="s">
        <v>13615</v>
      </c>
    </row>
    <row r="97" spans="1:2">
      <c r="A97" s="30" t="s">
        <v>13521</v>
      </c>
      <c r="B97" s="756" t="s">
        <v>13616</v>
      </c>
    </row>
    <row r="98" spans="1:2">
      <c r="A98" s="30" t="s">
        <v>13521</v>
      </c>
      <c r="B98" s="756" t="s">
        <v>13617</v>
      </c>
    </row>
    <row r="99" spans="1:2">
      <c r="A99" s="30" t="s">
        <v>13521</v>
      </c>
      <c r="B99" s="756" t="s">
        <v>13618</v>
      </c>
    </row>
    <row r="100" spans="1:2">
      <c r="A100" s="30" t="s">
        <v>13521</v>
      </c>
      <c r="B100" s="756" t="s">
        <v>13619</v>
      </c>
    </row>
    <row r="101" spans="1:2">
      <c r="A101" s="30" t="s">
        <v>13521</v>
      </c>
      <c r="B101" s="756" t="s">
        <v>13620</v>
      </c>
    </row>
    <row r="102" spans="1:2">
      <c r="A102" s="30" t="s">
        <v>13521</v>
      </c>
      <c r="B102" s="756" t="s">
        <v>13621</v>
      </c>
    </row>
    <row r="103" spans="1:2">
      <c r="A103" s="30" t="s">
        <v>13521</v>
      </c>
      <c r="B103" s="756" t="s">
        <v>13622</v>
      </c>
    </row>
    <row r="104" spans="1:2">
      <c r="A104" s="30" t="s">
        <v>13521</v>
      </c>
      <c r="B104" s="756" t="s">
        <v>13623</v>
      </c>
    </row>
    <row r="105" spans="1:2">
      <c r="A105" s="30" t="s">
        <v>13521</v>
      </c>
      <c r="B105" s="756" t="s">
        <v>13624</v>
      </c>
    </row>
    <row r="106" spans="1:2">
      <c r="A106" s="30" t="s">
        <v>13521</v>
      </c>
      <c r="B106" s="756" t="s">
        <v>13625</v>
      </c>
    </row>
    <row r="107" spans="1:2">
      <c r="A107" s="30" t="s">
        <v>13521</v>
      </c>
      <c r="B107" s="756" t="s">
        <v>13626</v>
      </c>
    </row>
    <row r="108" spans="1:2">
      <c r="A108" s="30" t="s">
        <v>13521</v>
      </c>
      <c r="B108" s="756" t="s">
        <v>13627</v>
      </c>
    </row>
    <row r="109" spans="1:2">
      <c r="A109" s="30" t="s">
        <v>13521</v>
      </c>
      <c r="B109" s="756" t="s">
        <v>13628</v>
      </c>
    </row>
    <row r="110" spans="1:2">
      <c r="A110" s="30" t="s">
        <v>13521</v>
      </c>
      <c r="B110" s="756" t="s">
        <v>13629</v>
      </c>
    </row>
    <row r="111" spans="1:2">
      <c r="A111" s="30" t="s">
        <v>13521</v>
      </c>
      <c r="B111" s="756" t="s">
        <v>13630</v>
      </c>
    </row>
    <row r="112" spans="1:2">
      <c r="A112" s="30" t="s">
        <v>13521</v>
      </c>
      <c r="B112" s="756" t="s">
        <v>13631</v>
      </c>
    </row>
    <row r="113" spans="1:2">
      <c r="A113" s="30" t="s">
        <v>13521</v>
      </c>
      <c r="B113" s="756" t="s">
        <v>13632</v>
      </c>
    </row>
    <row r="114" spans="1:2">
      <c r="A114" s="30" t="s">
        <v>13521</v>
      </c>
      <c r="B114" s="756" t="s">
        <v>13633</v>
      </c>
    </row>
    <row r="115" spans="1:2">
      <c r="A115" s="30" t="s">
        <v>13521</v>
      </c>
      <c r="B115" s="756" t="s">
        <v>13634</v>
      </c>
    </row>
    <row r="116" spans="1:2">
      <c r="A116" s="30" t="s">
        <v>13521</v>
      </c>
      <c r="B116" s="756" t="s">
        <v>13635</v>
      </c>
    </row>
    <row r="117" spans="1:2">
      <c r="A117" s="30" t="s">
        <v>13521</v>
      </c>
      <c r="B117" s="756" t="s">
        <v>13636</v>
      </c>
    </row>
    <row r="118" spans="1:2">
      <c r="A118" s="30" t="s">
        <v>13521</v>
      </c>
      <c r="B118" s="756" t="s">
        <v>13637</v>
      </c>
    </row>
    <row r="119" spans="1:2">
      <c r="A119" s="30" t="s">
        <v>13521</v>
      </c>
      <c r="B119" s="756" t="s">
        <v>13638</v>
      </c>
    </row>
    <row r="120" spans="1:2">
      <c r="A120" s="30" t="s">
        <v>13521</v>
      </c>
      <c r="B120" s="756" t="s">
        <v>13639</v>
      </c>
    </row>
    <row r="121" spans="1:2">
      <c r="A121" s="30" t="s">
        <v>13521</v>
      </c>
      <c r="B121" s="756" t="s">
        <v>13640</v>
      </c>
    </row>
    <row r="122" spans="1:2">
      <c r="A122" s="30" t="s">
        <v>13521</v>
      </c>
      <c r="B122" s="756" t="s">
        <v>13641</v>
      </c>
    </row>
    <row r="123" spans="1:2">
      <c r="A123" s="30" t="s">
        <v>13521</v>
      </c>
      <c r="B123" s="756" t="s">
        <v>13642</v>
      </c>
    </row>
    <row r="124" spans="1:2">
      <c r="A124" s="30" t="s">
        <v>13521</v>
      </c>
      <c r="B124" s="756" t="s">
        <v>13643</v>
      </c>
    </row>
    <row r="125" spans="1:2">
      <c r="A125" s="30" t="s">
        <v>13521</v>
      </c>
      <c r="B125" s="756" t="s">
        <v>13644</v>
      </c>
    </row>
    <row r="126" spans="1:2">
      <c r="A126" s="30" t="s">
        <v>13521</v>
      </c>
      <c r="B126" s="756" t="s">
        <v>13645</v>
      </c>
    </row>
    <row r="127" spans="1:2">
      <c r="A127" s="30" t="s">
        <v>13521</v>
      </c>
      <c r="B127" s="756" t="s">
        <v>13646</v>
      </c>
    </row>
    <row r="128" spans="1:2">
      <c r="A128" s="30" t="s">
        <v>13521</v>
      </c>
      <c r="B128" s="756" t="s">
        <v>13647</v>
      </c>
    </row>
    <row r="129" spans="1:2">
      <c r="A129" s="30" t="s">
        <v>13521</v>
      </c>
      <c r="B129" s="756" t="s">
        <v>13648</v>
      </c>
    </row>
    <row r="130" spans="1:2">
      <c r="A130" s="30" t="s">
        <v>13521</v>
      </c>
      <c r="B130" s="756" t="s">
        <v>13649</v>
      </c>
    </row>
    <row r="131" spans="1:2">
      <c r="A131" s="30" t="s">
        <v>13521</v>
      </c>
      <c r="B131" s="756" t="s">
        <v>13650</v>
      </c>
    </row>
    <row r="132" spans="1:2">
      <c r="A132" s="30" t="s">
        <v>13521</v>
      </c>
      <c r="B132" s="756" t="s">
        <v>13651</v>
      </c>
    </row>
    <row r="133" spans="1:2">
      <c r="A133" s="30" t="s">
        <v>13521</v>
      </c>
      <c r="B133" s="756" t="s">
        <v>13652</v>
      </c>
    </row>
    <row r="134" spans="1:2">
      <c r="A134" s="30" t="s">
        <v>13521</v>
      </c>
      <c r="B134" s="756" t="s">
        <v>13653</v>
      </c>
    </row>
    <row r="135" spans="1:2">
      <c r="A135" s="30" t="s">
        <v>13521</v>
      </c>
      <c r="B135" s="756" t="s">
        <v>13654</v>
      </c>
    </row>
    <row r="136" spans="1:2">
      <c r="A136" s="30" t="s">
        <v>13521</v>
      </c>
      <c r="B136" s="756" t="s">
        <v>13655</v>
      </c>
    </row>
    <row r="137" spans="1:2">
      <c r="A137" s="30" t="s">
        <v>13521</v>
      </c>
      <c r="B137" s="756" t="s">
        <v>13656</v>
      </c>
    </row>
    <row r="138" spans="1:2">
      <c r="A138" s="30" t="s">
        <v>13521</v>
      </c>
      <c r="B138" s="756" t="s">
        <v>13657</v>
      </c>
    </row>
    <row r="139" spans="1:2">
      <c r="A139" s="30" t="s">
        <v>13521</v>
      </c>
      <c r="B139" s="756" t="s">
        <v>13658</v>
      </c>
    </row>
    <row r="140" spans="1:2">
      <c r="A140" s="30" t="s">
        <v>13521</v>
      </c>
      <c r="B140" s="756" t="s">
        <v>13659</v>
      </c>
    </row>
    <row r="141" spans="1:2">
      <c r="A141" s="30" t="s">
        <v>13521</v>
      </c>
      <c r="B141" s="756" t="s">
        <v>13660</v>
      </c>
    </row>
    <row r="142" spans="1:2">
      <c r="A142" s="30" t="s">
        <v>13521</v>
      </c>
      <c r="B142" s="756" t="s">
        <v>13661</v>
      </c>
    </row>
    <row r="143" spans="1:2">
      <c r="A143" s="30" t="s">
        <v>13521</v>
      </c>
      <c r="B143" s="756" t="s">
        <v>13662</v>
      </c>
    </row>
    <row r="144" spans="1:2">
      <c r="A144" s="30" t="s">
        <v>13521</v>
      </c>
      <c r="B144" s="756" t="s">
        <v>13663</v>
      </c>
    </row>
    <row r="145" spans="1:2">
      <c r="A145" s="30" t="s">
        <v>13521</v>
      </c>
      <c r="B145" s="756" t="s">
        <v>13664</v>
      </c>
    </row>
    <row r="146" spans="1:2">
      <c r="A146" s="30" t="s">
        <v>13521</v>
      </c>
      <c r="B146" s="756" t="s">
        <v>13665</v>
      </c>
    </row>
    <row r="147" spans="1:2">
      <c r="A147" s="30" t="s">
        <v>13521</v>
      </c>
      <c r="B147" s="756" t="s">
        <v>13666</v>
      </c>
    </row>
    <row r="148" spans="1:2">
      <c r="A148" s="30" t="s">
        <v>13521</v>
      </c>
      <c r="B148" s="756" t="s">
        <v>13667</v>
      </c>
    </row>
    <row r="149" spans="1:2">
      <c r="A149" s="30" t="s">
        <v>13521</v>
      </c>
      <c r="B149" s="756" t="s">
        <v>13668</v>
      </c>
    </row>
    <row r="150" spans="1:2">
      <c r="A150" s="30" t="s">
        <v>13521</v>
      </c>
      <c r="B150" s="756" t="s">
        <v>13669</v>
      </c>
    </row>
    <row r="151" spans="1:2">
      <c r="A151" s="30" t="s">
        <v>13521</v>
      </c>
      <c r="B151" s="756" t="s">
        <v>13670</v>
      </c>
    </row>
    <row r="152" spans="1:2">
      <c r="A152" s="30" t="s">
        <v>13521</v>
      </c>
      <c r="B152" s="756" t="s">
        <v>13671</v>
      </c>
    </row>
    <row r="153" spans="1:2">
      <c r="A153" s="30" t="s">
        <v>13521</v>
      </c>
      <c r="B153" s="756" t="s">
        <v>13672</v>
      </c>
    </row>
    <row r="154" spans="1:2">
      <c r="A154" s="30" t="s">
        <v>13521</v>
      </c>
      <c r="B154" s="756" t="s">
        <v>13673</v>
      </c>
    </row>
    <row r="155" spans="1:2">
      <c r="A155" s="30" t="s">
        <v>13521</v>
      </c>
      <c r="B155" s="756" t="s">
        <v>13674</v>
      </c>
    </row>
    <row r="156" spans="1:2">
      <c r="A156" s="30" t="s">
        <v>13521</v>
      </c>
      <c r="B156" s="756" t="s">
        <v>13675</v>
      </c>
    </row>
    <row r="157" spans="1:2">
      <c r="A157" s="30" t="s">
        <v>13521</v>
      </c>
      <c r="B157" s="756" t="s">
        <v>13676</v>
      </c>
    </row>
    <row r="158" spans="1:2">
      <c r="A158" s="30" t="s">
        <v>13521</v>
      </c>
      <c r="B158" s="756" t="s">
        <v>13677</v>
      </c>
    </row>
    <row r="159" spans="1:2">
      <c r="A159" s="30" t="s">
        <v>13521</v>
      </c>
      <c r="B159" s="756" t="s">
        <v>13678</v>
      </c>
    </row>
    <row r="160" spans="1:2">
      <c r="A160" s="30" t="s">
        <v>13521</v>
      </c>
      <c r="B160" s="756" t="s">
        <v>13679</v>
      </c>
    </row>
    <row r="161" spans="1:2">
      <c r="A161" s="30" t="s">
        <v>13521</v>
      </c>
      <c r="B161" s="756" t="s">
        <v>13680</v>
      </c>
    </row>
    <row r="162" spans="1:2">
      <c r="A162" s="30" t="s">
        <v>13521</v>
      </c>
      <c r="B162" s="756" t="s">
        <v>13681</v>
      </c>
    </row>
    <row r="163" spans="1:2">
      <c r="A163" s="30" t="s">
        <v>13521</v>
      </c>
      <c r="B163" s="756" t="s">
        <v>13682</v>
      </c>
    </row>
    <row r="164" spans="1:2">
      <c r="A164" s="30" t="s">
        <v>13521</v>
      </c>
      <c r="B164" s="756" t="s">
        <v>13683</v>
      </c>
    </row>
    <row r="165" spans="1:2">
      <c r="A165" s="30" t="s">
        <v>13521</v>
      </c>
      <c r="B165" s="756" t="s">
        <v>13684</v>
      </c>
    </row>
    <row r="166" spans="1:2">
      <c r="A166" s="30" t="s">
        <v>13521</v>
      </c>
      <c r="B166" s="756" t="s">
        <v>13685</v>
      </c>
    </row>
    <row r="167" spans="1:2">
      <c r="A167" s="30" t="s">
        <v>13521</v>
      </c>
      <c r="B167" s="756" t="s">
        <v>13686</v>
      </c>
    </row>
    <row r="168" spans="1:2">
      <c r="A168" s="30" t="s">
        <v>13521</v>
      </c>
      <c r="B168" s="756" t="s">
        <v>13687</v>
      </c>
    </row>
    <row r="169" spans="1:2">
      <c r="A169" s="30" t="s">
        <v>13521</v>
      </c>
      <c r="B169" s="756" t="s">
        <v>13688</v>
      </c>
    </row>
    <row r="170" spans="1:2">
      <c r="A170" s="30" t="s">
        <v>13521</v>
      </c>
      <c r="B170" s="756" t="s">
        <v>13689</v>
      </c>
    </row>
    <row r="171" spans="1:2">
      <c r="A171" s="30" t="s">
        <v>13521</v>
      </c>
      <c r="B171" s="756" t="s">
        <v>13690</v>
      </c>
    </row>
    <row r="172" spans="1:2">
      <c r="A172" s="30" t="s">
        <v>13521</v>
      </c>
      <c r="B172" s="756" t="s">
        <v>13691</v>
      </c>
    </row>
    <row r="173" spans="1:2">
      <c r="A173" s="30" t="s">
        <v>13521</v>
      </c>
      <c r="B173" s="756" t="s">
        <v>13692</v>
      </c>
    </row>
    <row r="174" spans="1:2">
      <c r="A174" s="30" t="s">
        <v>13521</v>
      </c>
      <c r="B174" s="756" t="s">
        <v>13693</v>
      </c>
    </row>
    <row r="175" spans="1:2">
      <c r="A175" s="30" t="s">
        <v>13521</v>
      </c>
      <c r="B175" s="756" t="s">
        <v>13694</v>
      </c>
    </row>
    <row r="176" spans="1:2">
      <c r="A176" s="30" t="s">
        <v>13521</v>
      </c>
      <c r="B176" s="756" t="s">
        <v>13695</v>
      </c>
    </row>
    <row r="177" spans="1:2">
      <c r="A177" s="30" t="s">
        <v>13521</v>
      </c>
      <c r="B177" s="756" t="s">
        <v>13696</v>
      </c>
    </row>
    <row r="178" spans="1:2">
      <c r="A178" s="30" t="s">
        <v>13521</v>
      </c>
      <c r="B178" s="756" t="s">
        <v>13697</v>
      </c>
    </row>
    <row r="179" spans="1:2">
      <c r="A179" s="30" t="s">
        <v>13521</v>
      </c>
      <c r="B179" s="756" t="s">
        <v>13698</v>
      </c>
    </row>
    <row r="180" spans="1:2">
      <c r="A180" s="30" t="s">
        <v>13521</v>
      </c>
      <c r="B180" s="756" t="s">
        <v>13699</v>
      </c>
    </row>
    <row r="181" spans="1:2">
      <c r="A181" s="30" t="s">
        <v>13521</v>
      </c>
      <c r="B181" s="756" t="s">
        <v>13700</v>
      </c>
    </row>
    <row r="182" spans="1:2">
      <c r="A182" s="30" t="s">
        <v>13521</v>
      </c>
      <c r="B182" s="756" t="s">
        <v>13701</v>
      </c>
    </row>
    <row r="183" spans="1:2">
      <c r="A183" s="30" t="s">
        <v>13521</v>
      </c>
      <c r="B183" s="756" t="s">
        <v>13702</v>
      </c>
    </row>
    <row r="184" spans="1:2">
      <c r="A184" s="30" t="s">
        <v>13521</v>
      </c>
      <c r="B184" s="756" t="s">
        <v>13703</v>
      </c>
    </row>
    <row r="185" spans="1:2">
      <c r="A185" s="30" t="s">
        <v>13521</v>
      </c>
      <c r="B185" s="756" t="s">
        <v>13704</v>
      </c>
    </row>
    <row r="186" spans="1:2">
      <c r="A186" s="30" t="s">
        <v>13521</v>
      </c>
      <c r="B186" s="756" t="s">
        <v>13705</v>
      </c>
    </row>
    <row r="187" spans="1:2">
      <c r="A187" s="30" t="s">
        <v>13521</v>
      </c>
      <c r="B187" s="756" t="s">
        <v>13706</v>
      </c>
    </row>
    <row r="188" spans="1:2">
      <c r="A188" s="30" t="s">
        <v>13521</v>
      </c>
      <c r="B188" s="756" t="s">
        <v>13707</v>
      </c>
    </row>
    <row r="189" spans="1:2">
      <c r="A189" s="30" t="s">
        <v>13521</v>
      </c>
      <c r="B189" s="756" t="s">
        <v>13708</v>
      </c>
    </row>
    <row r="190" spans="1:2">
      <c r="A190" s="30" t="s">
        <v>13521</v>
      </c>
      <c r="B190" s="756" t="s">
        <v>13709</v>
      </c>
    </row>
    <row r="191" spans="1:2">
      <c r="A191" s="30" t="s">
        <v>13521</v>
      </c>
      <c r="B191" s="756" t="s">
        <v>13710</v>
      </c>
    </row>
    <row r="192" spans="1:2">
      <c r="A192" s="30" t="s">
        <v>13521</v>
      </c>
      <c r="B192" s="756" t="s">
        <v>13711</v>
      </c>
    </row>
    <row r="193" spans="1:2">
      <c r="A193" s="30" t="s">
        <v>13521</v>
      </c>
      <c r="B193" s="756" t="s">
        <v>13712</v>
      </c>
    </row>
    <row r="194" spans="1:2">
      <c r="A194" s="30" t="s">
        <v>13521</v>
      </c>
      <c r="B194" s="756" t="s">
        <v>13713</v>
      </c>
    </row>
    <row r="195" spans="1:2">
      <c r="A195" s="30" t="s">
        <v>13521</v>
      </c>
      <c r="B195" s="756" t="s">
        <v>13714</v>
      </c>
    </row>
    <row r="196" spans="1:2">
      <c r="A196" s="30" t="s">
        <v>13521</v>
      </c>
      <c r="B196" s="756" t="s">
        <v>13715</v>
      </c>
    </row>
    <row r="197" spans="1:2">
      <c r="A197" s="30" t="s">
        <v>13521</v>
      </c>
      <c r="B197" s="756" t="s">
        <v>13716</v>
      </c>
    </row>
    <row r="198" spans="1:2">
      <c r="A198" s="30" t="s">
        <v>13521</v>
      </c>
      <c r="B198" s="756" t="s">
        <v>13717</v>
      </c>
    </row>
    <row r="199" spans="1:2">
      <c r="A199" s="30" t="s">
        <v>13521</v>
      </c>
      <c r="B199" s="756" t="s">
        <v>13718</v>
      </c>
    </row>
    <row r="200" spans="1:2">
      <c r="A200" s="30" t="s">
        <v>13521</v>
      </c>
      <c r="B200" s="756" t="s">
        <v>13719</v>
      </c>
    </row>
    <row r="201" spans="1:2">
      <c r="A201" s="30" t="s">
        <v>13521</v>
      </c>
      <c r="B201" s="756" t="s">
        <v>13720</v>
      </c>
    </row>
    <row r="202" spans="1:2">
      <c r="A202" s="30" t="s">
        <v>13521</v>
      </c>
      <c r="B202" s="756" t="s">
        <v>13721</v>
      </c>
    </row>
    <row r="203" spans="1:2">
      <c r="A203" s="30" t="s">
        <v>13521</v>
      </c>
      <c r="B203" s="756" t="s">
        <v>13722</v>
      </c>
    </row>
    <row r="204" spans="1:2">
      <c r="A204" s="30" t="s">
        <v>13521</v>
      </c>
      <c r="B204" s="756" t="s">
        <v>13723</v>
      </c>
    </row>
    <row r="205" spans="1:2">
      <c r="A205" s="30" t="s">
        <v>13521</v>
      </c>
      <c r="B205" s="756" t="s">
        <v>13724</v>
      </c>
    </row>
    <row r="206" spans="1:2">
      <c r="A206" s="30" t="s">
        <v>13521</v>
      </c>
      <c r="B206" s="756" t="s">
        <v>13725</v>
      </c>
    </row>
    <row r="207" spans="1:2">
      <c r="A207" s="30" t="s">
        <v>13521</v>
      </c>
      <c r="B207" s="756" t="s">
        <v>13726</v>
      </c>
    </row>
    <row r="208" spans="1:2">
      <c r="A208" s="30" t="s">
        <v>13521</v>
      </c>
      <c r="B208" s="756" t="s">
        <v>13727</v>
      </c>
    </row>
    <row r="209" spans="1:2">
      <c r="A209" s="30" t="s">
        <v>13521</v>
      </c>
      <c r="B209" s="756" t="s">
        <v>13728</v>
      </c>
    </row>
    <row r="210" spans="1:2">
      <c r="A210" s="30" t="s">
        <v>13521</v>
      </c>
      <c r="B210" s="756" t="s">
        <v>13729</v>
      </c>
    </row>
    <row r="211" spans="1:2">
      <c r="A211" s="30" t="s">
        <v>13521</v>
      </c>
      <c r="B211" s="756" t="s">
        <v>13730</v>
      </c>
    </row>
    <row r="212" spans="1:2">
      <c r="A212" s="30" t="s">
        <v>13521</v>
      </c>
      <c r="B212" s="756" t="s">
        <v>13731</v>
      </c>
    </row>
    <row r="213" spans="1:2">
      <c r="A213" s="30" t="s">
        <v>13521</v>
      </c>
      <c r="B213" s="756" t="s">
        <v>13732</v>
      </c>
    </row>
    <row r="214" spans="1:2">
      <c r="A214" s="30" t="s">
        <v>13521</v>
      </c>
      <c r="B214" s="756" t="s">
        <v>13733</v>
      </c>
    </row>
    <row r="215" spans="1:2">
      <c r="A215" s="30" t="s">
        <v>13521</v>
      </c>
      <c r="B215" s="756" t="s">
        <v>13734</v>
      </c>
    </row>
    <row r="216" spans="1:2">
      <c r="A216" s="30" t="s">
        <v>13521</v>
      </c>
      <c r="B216" s="756" t="s">
        <v>13735</v>
      </c>
    </row>
    <row r="217" spans="1:2">
      <c r="A217" s="30" t="s">
        <v>13521</v>
      </c>
      <c r="B217" s="756" t="s">
        <v>13736</v>
      </c>
    </row>
    <row r="218" spans="1:2">
      <c r="A218" s="30" t="s">
        <v>13521</v>
      </c>
      <c r="B218" s="756" t="s">
        <v>13737</v>
      </c>
    </row>
    <row r="219" spans="1:2">
      <c r="A219" s="30" t="s">
        <v>13521</v>
      </c>
      <c r="B219" s="756" t="s">
        <v>13738</v>
      </c>
    </row>
    <row r="220" spans="1:2">
      <c r="A220" s="30" t="s">
        <v>13521</v>
      </c>
      <c r="B220" s="756" t="s">
        <v>13739</v>
      </c>
    </row>
    <row r="221" spans="1:2">
      <c r="A221" s="30" t="s">
        <v>13521</v>
      </c>
      <c r="B221" s="756" t="s">
        <v>13740</v>
      </c>
    </row>
    <row r="222" spans="1:2">
      <c r="A222" s="30" t="s">
        <v>13521</v>
      </c>
      <c r="B222" s="756" t="s">
        <v>13741</v>
      </c>
    </row>
    <row r="223" spans="1:2">
      <c r="A223" s="30" t="s">
        <v>13521</v>
      </c>
      <c r="B223" s="756" t="s">
        <v>13742</v>
      </c>
    </row>
    <row r="224" spans="1:2">
      <c r="A224" s="30" t="s">
        <v>13521</v>
      </c>
      <c r="B224" s="756" t="s">
        <v>13743</v>
      </c>
    </row>
    <row r="225" spans="1:2">
      <c r="A225" s="30" t="s">
        <v>13521</v>
      </c>
      <c r="B225" s="756" t="s">
        <v>13744</v>
      </c>
    </row>
    <row r="226" spans="1:2">
      <c r="A226" s="30" t="s">
        <v>13521</v>
      </c>
      <c r="B226" s="756" t="s">
        <v>13745</v>
      </c>
    </row>
    <row r="227" spans="1:2">
      <c r="A227" s="30" t="s">
        <v>13521</v>
      </c>
      <c r="B227" s="756" t="s">
        <v>13746</v>
      </c>
    </row>
    <row r="228" spans="1:2">
      <c r="A228" s="30" t="s">
        <v>13521</v>
      </c>
      <c r="B228" s="756" t="s">
        <v>13747</v>
      </c>
    </row>
    <row r="229" spans="1:2">
      <c r="A229" s="30" t="s">
        <v>13521</v>
      </c>
      <c r="B229" s="756" t="s">
        <v>13748</v>
      </c>
    </row>
    <row r="230" spans="1:2">
      <c r="A230" s="30" t="s">
        <v>13521</v>
      </c>
      <c r="B230" s="756" t="s">
        <v>13749</v>
      </c>
    </row>
    <row r="231" spans="1:2">
      <c r="A231" s="30" t="s">
        <v>13521</v>
      </c>
      <c r="B231" s="756" t="s">
        <v>13750</v>
      </c>
    </row>
    <row r="232" spans="1:2">
      <c r="A232" s="30" t="s">
        <v>13521</v>
      </c>
      <c r="B232" s="756" t="s">
        <v>13751</v>
      </c>
    </row>
    <row r="233" spans="1:2">
      <c r="A233" s="30" t="s">
        <v>13521</v>
      </c>
      <c r="B233" s="756" t="s">
        <v>13752</v>
      </c>
    </row>
    <row r="234" spans="1:2">
      <c r="A234" s="30" t="s">
        <v>13521</v>
      </c>
      <c r="B234" s="756" t="s">
        <v>13753</v>
      </c>
    </row>
    <row r="235" spans="1:2">
      <c r="A235" s="30" t="s">
        <v>13521</v>
      </c>
      <c r="B235" s="756" t="s">
        <v>13754</v>
      </c>
    </row>
    <row r="236" spans="1:2">
      <c r="A236" s="30" t="s">
        <v>13521</v>
      </c>
      <c r="B236" s="756" t="s">
        <v>13755</v>
      </c>
    </row>
    <row r="237" spans="1:2">
      <c r="A237" s="30" t="s">
        <v>13521</v>
      </c>
      <c r="B237" s="756" t="s">
        <v>13756</v>
      </c>
    </row>
    <row r="238" spans="1:2">
      <c r="A238" s="30" t="s">
        <v>13521</v>
      </c>
      <c r="B238" s="756" t="s">
        <v>13757</v>
      </c>
    </row>
    <row r="239" spans="1:2">
      <c r="A239" s="30" t="s">
        <v>13521</v>
      </c>
      <c r="B239" s="756" t="s">
        <v>13758</v>
      </c>
    </row>
    <row r="240" spans="1:2">
      <c r="A240" s="30" t="s">
        <v>13521</v>
      </c>
      <c r="B240" s="756" t="s">
        <v>13759</v>
      </c>
    </row>
    <row r="241" spans="1:2">
      <c r="A241" s="30" t="s">
        <v>13521</v>
      </c>
      <c r="B241" s="756" t="s">
        <v>13760</v>
      </c>
    </row>
    <row r="242" spans="1:2">
      <c r="A242" s="30" t="s">
        <v>13521</v>
      </c>
      <c r="B242" s="756" t="s">
        <v>13761</v>
      </c>
    </row>
    <row r="243" spans="1:2">
      <c r="A243" s="30" t="s">
        <v>13521</v>
      </c>
      <c r="B243" s="756" t="s">
        <v>13762</v>
      </c>
    </row>
    <row r="244" spans="1:2">
      <c r="A244" s="30" t="s">
        <v>13521</v>
      </c>
      <c r="B244" s="756" t="s">
        <v>13763</v>
      </c>
    </row>
    <row r="245" spans="1:2">
      <c r="A245" s="30" t="s">
        <v>13521</v>
      </c>
      <c r="B245" s="756" t="s">
        <v>13764</v>
      </c>
    </row>
    <row r="246" spans="1:2">
      <c r="A246" s="30" t="s">
        <v>13521</v>
      </c>
      <c r="B246" s="756" t="s">
        <v>13765</v>
      </c>
    </row>
    <row r="247" spans="1:2">
      <c r="A247" s="30" t="s">
        <v>13521</v>
      </c>
      <c r="B247" s="756" t="s">
        <v>13766</v>
      </c>
    </row>
    <row r="248" spans="1:2">
      <c r="A248" s="30" t="s">
        <v>13521</v>
      </c>
      <c r="B248" s="756" t="s">
        <v>13767</v>
      </c>
    </row>
    <row r="249" spans="1:2">
      <c r="A249" s="30" t="s">
        <v>13521</v>
      </c>
      <c r="B249" s="756" t="s">
        <v>13768</v>
      </c>
    </row>
    <row r="250" spans="1:2">
      <c r="A250" s="30" t="s">
        <v>13521</v>
      </c>
      <c r="B250" s="756" t="s">
        <v>13769</v>
      </c>
    </row>
    <row r="251" spans="1:2">
      <c r="A251" s="30" t="s">
        <v>13521</v>
      </c>
      <c r="B251" s="756" t="s">
        <v>13770</v>
      </c>
    </row>
    <row r="252" spans="1:2">
      <c r="A252" s="30" t="s">
        <v>13521</v>
      </c>
      <c r="B252" s="756" t="s">
        <v>13771</v>
      </c>
    </row>
    <row r="253" spans="1:2">
      <c r="A253" s="30" t="s">
        <v>13521</v>
      </c>
      <c r="B253" s="756" t="s">
        <v>13772</v>
      </c>
    </row>
    <row r="254" spans="1:2">
      <c r="A254" s="30" t="s">
        <v>13521</v>
      </c>
      <c r="B254" s="756" t="s">
        <v>13773</v>
      </c>
    </row>
    <row r="255" spans="1:2">
      <c r="A255" s="30" t="s">
        <v>13521</v>
      </c>
      <c r="B255" s="756" t="s">
        <v>13774</v>
      </c>
    </row>
    <row r="256" spans="1:2">
      <c r="A256" s="30" t="s">
        <v>13521</v>
      </c>
      <c r="B256" s="756" t="s">
        <v>13775</v>
      </c>
    </row>
    <row r="257" spans="1:2">
      <c r="A257" s="30" t="s">
        <v>13521</v>
      </c>
      <c r="B257" s="756" t="s">
        <v>13776</v>
      </c>
    </row>
    <row r="258" spans="1:2">
      <c r="A258" s="30" t="s">
        <v>13521</v>
      </c>
      <c r="B258" s="756" t="s">
        <v>13777</v>
      </c>
    </row>
    <row r="259" spans="1:2">
      <c r="A259" s="30" t="s">
        <v>13521</v>
      </c>
      <c r="B259" s="756" t="s">
        <v>13778</v>
      </c>
    </row>
    <row r="260" spans="1:2">
      <c r="A260" s="30" t="s">
        <v>13521</v>
      </c>
      <c r="B260" s="756" t="s">
        <v>13779</v>
      </c>
    </row>
    <row r="261" spans="1:2">
      <c r="A261" s="30" t="s">
        <v>13521</v>
      </c>
      <c r="B261" s="756" t="s">
        <v>13780</v>
      </c>
    </row>
    <row r="262" spans="1:2">
      <c r="A262" s="30" t="s">
        <v>13521</v>
      </c>
      <c r="B262" s="756" t="s">
        <v>13781</v>
      </c>
    </row>
    <row r="263" spans="1:2">
      <c r="A263" s="30" t="s">
        <v>13521</v>
      </c>
      <c r="B263" s="756" t="s">
        <v>13782</v>
      </c>
    </row>
    <row r="264" spans="1:2">
      <c r="A264" s="30" t="s">
        <v>13521</v>
      </c>
      <c r="B264" s="756" t="s">
        <v>13783</v>
      </c>
    </row>
    <row r="265" spans="1:2">
      <c r="A265" s="30" t="s">
        <v>13521</v>
      </c>
      <c r="B265" s="756" t="s">
        <v>13784</v>
      </c>
    </row>
    <row r="266" spans="1:2">
      <c r="A266" s="30" t="s">
        <v>13521</v>
      </c>
      <c r="B266" s="756" t="s">
        <v>13785</v>
      </c>
    </row>
    <row r="267" spans="1:2">
      <c r="A267" s="30" t="s">
        <v>13521</v>
      </c>
      <c r="B267" s="756" t="s">
        <v>13786</v>
      </c>
    </row>
    <row r="268" spans="1:2">
      <c r="A268" s="30" t="s">
        <v>13521</v>
      </c>
      <c r="B268" s="756" t="s">
        <v>13787</v>
      </c>
    </row>
    <row r="269" spans="1:2">
      <c r="A269" s="30" t="s">
        <v>13521</v>
      </c>
      <c r="B269" s="756" t="s">
        <v>13788</v>
      </c>
    </row>
    <row r="270" spans="1:2">
      <c r="A270" s="30" t="s">
        <v>13521</v>
      </c>
      <c r="B270" s="756" t="s">
        <v>13789</v>
      </c>
    </row>
    <row r="271" spans="1:2">
      <c r="A271" s="30" t="s">
        <v>13521</v>
      </c>
      <c r="B271" s="756" t="s">
        <v>13790</v>
      </c>
    </row>
    <row r="272" spans="1:2">
      <c r="A272" s="30" t="s">
        <v>13521</v>
      </c>
      <c r="B272" s="756" t="s">
        <v>13791</v>
      </c>
    </row>
    <row r="273" spans="1:2">
      <c r="A273" s="30" t="s">
        <v>13521</v>
      </c>
      <c r="B273" s="756" t="s">
        <v>13792</v>
      </c>
    </row>
    <row r="274" spans="1:2">
      <c r="A274" s="30" t="s">
        <v>13521</v>
      </c>
      <c r="B274" s="756" t="s">
        <v>13793</v>
      </c>
    </row>
    <row r="275" spans="1:2">
      <c r="A275" s="30" t="s">
        <v>13521</v>
      </c>
      <c r="B275" s="756" t="s">
        <v>13794</v>
      </c>
    </row>
    <row r="276" spans="1:2">
      <c r="A276" s="30" t="s">
        <v>13521</v>
      </c>
      <c r="B276" s="756" t="s">
        <v>13795</v>
      </c>
    </row>
    <row r="277" spans="1:2">
      <c r="A277" s="30" t="s">
        <v>13521</v>
      </c>
      <c r="B277" s="756" t="s">
        <v>13796</v>
      </c>
    </row>
    <row r="278" spans="1:2">
      <c r="A278" s="30" t="s">
        <v>13521</v>
      </c>
      <c r="B278" s="756" t="s">
        <v>13797</v>
      </c>
    </row>
    <row r="279" spans="1:2">
      <c r="A279" s="30" t="s">
        <v>13521</v>
      </c>
      <c r="B279" s="756" t="s">
        <v>13798</v>
      </c>
    </row>
    <row r="280" spans="1:2">
      <c r="A280" s="30" t="s">
        <v>13521</v>
      </c>
      <c r="B280" s="756" t="s">
        <v>13799</v>
      </c>
    </row>
    <row r="281" spans="1:2">
      <c r="A281" s="30" t="s">
        <v>13521</v>
      </c>
      <c r="B281" s="756" t="s">
        <v>13800</v>
      </c>
    </row>
    <row r="282" spans="1:2">
      <c r="A282" s="30" t="s">
        <v>13521</v>
      </c>
      <c r="B282" s="756" t="s">
        <v>13801</v>
      </c>
    </row>
    <row r="283" spans="1:2">
      <c r="A283" s="30" t="s">
        <v>13521</v>
      </c>
      <c r="B283" s="756" t="s">
        <v>13802</v>
      </c>
    </row>
    <row r="284" spans="1:2">
      <c r="A284" s="30" t="s">
        <v>13521</v>
      </c>
      <c r="B284" s="756" t="s">
        <v>13803</v>
      </c>
    </row>
    <row r="285" spans="1:2">
      <c r="A285" s="30" t="s">
        <v>13521</v>
      </c>
      <c r="B285" s="756" t="s">
        <v>13804</v>
      </c>
    </row>
    <row r="286" spans="1:2">
      <c r="A286" s="30" t="s">
        <v>13521</v>
      </c>
      <c r="B286" s="756" t="s">
        <v>13805</v>
      </c>
    </row>
    <row r="287" spans="1:2">
      <c r="A287" s="30" t="s">
        <v>13521</v>
      </c>
      <c r="B287" s="756" t="s">
        <v>13806</v>
      </c>
    </row>
    <row r="288" spans="1:2">
      <c r="A288" s="30" t="s">
        <v>13521</v>
      </c>
      <c r="B288" s="756" t="s">
        <v>13807</v>
      </c>
    </row>
    <row r="289" spans="1:2">
      <c r="A289" s="30" t="s">
        <v>13521</v>
      </c>
      <c r="B289" s="756" t="s">
        <v>13808</v>
      </c>
    </row>
    <row r="290" spans="1:2">
      <c r="A290" s="30" t="s">
        <v>13521</v>
      </c>
      <c r="B290" s="756" t="s">
        <v>13809</v>
      </c>
    </row>
    <row r="291" spans="1:2">
      <c r="A291" s="30" t="s">
        <v>13521</v>
      </c>
      <c r="B291" s="756" t="s">
        <v>13810</v>
      </c>
    </row>
    <row r="292" spans="1:2">
      <c r="A292" s="30" t="s">
        <v>13521</v>
      </c>
      <c r="B292" s="756" t="s">
        <v>13811</v>
      </c>
    </row>
    <row r="293" spans="1:2">
      <c r="A293" s="30" t="s">
        <v>13521</v>
      </c>
      <c r="B293" s="756" t="s">
        <v>13812</v>
      </c>
    </row>
    <row r="294" spans="1:2">
      <c r="A294" s="30" t="s">
        <v>13521</v>
      </c>
      <c r="B294" s="756" t="s">
        <v>13813</v>
      </c>
    </row>
    <row r="295" spans="1:2">
      <c r="A295" s="30" t="s">
        <v>13521</v>
      </c>
      <c r="B295" s="756" t="s">
        <v>13814</v>
      </c>
    </row>
    <row r="296" spans="1:2">
      <c r="A296" s="30" t="s">
        <v>13521</v>
      </c>
      <c r="B296" s="756" t="s">
        <v>13815</v>
      </c>
    </row>
    <row r="297" spans="1:2">
      <c r="A297" s="30" t="s">
        <v>13521</v>
      </c>
      <c r="B297" s="756" t="s">
        <v>13816</v>
      </c>
    </row>
    <row r="298" spans="1:2">
      <c r="A298" s="30" t="s">
        <v>13521</v>
      </c>
      <c r="B298" s="756" t="s">
        <v>13817</v>
      </c>
    </row>
    <row r="299" spans="1:2">
      <c r="A299" s="30" t="s">
        <v>13521</v>
      </c>
      <c r="B299" s="756" t="s">
        <v>13818</v>
      </c>
    </row>
    <row r="300" spans="1:2">
      <c r="A300" s="30" t="s">
        <v>13521</v>
      </c>
      <c r="B300" s="756" t="s">
        <v>13819</v>
      </c>
    </row>
    <row r="301" spans="1:2">
      <c r="A301" s="30" t="s">
        <v>13521</v>
      </c>
      <c r="B301" s="756" t="s">
        <v>13820</v>
      </c>
    </row>
    <row r="302" spans="1:2">
      <c r="A302" s="30" t="s">
        <v>13521</v>
      </c>
      <c r="B302" s="756" t="s">
        <v>13821</v>
      </c>
    </row>
    <row r="303" spans="1:2">
      <c r="A303" s="30" t="s">
        <v>13521</v>
      </c>
      <c r="B303" s="756" t="s">
        <v>13822</v>
      </c>
    </row>
    <row r="304" spans="1:2">
      <c r="A304" s="30" t="s">
        <v>13521</v>
      </c>
      <c r="B304" s="756" t="s">
        <v>13823</v>
      </c>
    </row>
    <row r="305" spans="1:2">
      <c r="A305" s="30" t="s">
        <v>13521</v>
      </c>
      <c r="B305" s="756" t="s">
        <v>13824</v>
      </c>
    </row>
    <row r="306" spans="1:2">
      <c r="A306" s="30" t="s">
        <v>13521</v>
      </c>
      <c r="B306" s="756" t="s">
        <v>13825</v>
      </c>
    </row>
    <row r="307" spans="1:2">
      <c r="A307" s="30" t="s">
        <v>13521</v>
      </c>
      <c r="B307" s="756" t="s">
        <v>13826</v>
      </c>
    </row>
    <row r="308" spans="1:2">
      <c r="A308" s="30" t="s">
        <v>13521</v>
      </c>
      <c r="B308" s="756" t="s">
        <v>13827</v>
      </c>
    </row>
    <row r="309" spans="1:2">
      <c r="A309" s="30" t="s">
        <v>13521</v>
      </c>
      <c r="B309" s="756" t="s">
        <v>13828</v>
      </c>
    </row>
    <row r="310" spans="1:2">
      <c r="A310" s="30" t="s">
        <v>13521</v>
      </c>
      <c r="B310" s="756" t="s">
        <v>13829</v>
      </c>
    </row>
    <row r="311" spans="1:2">
      <c r="A311" s="30" t="s">
        <v>13521</v>
      </c>
      <c r="B311" s="756" t="s">
        <v>13830</v>
      </c>
    </row>
    <row r="312" spans="1:2">
      <c r="A312" s="30" t="s">
        <v>13521</v>
      </c>
      <c r="B312" s="756" t="s">
        <v>13831</v>
      </c>
    </row>
    <row r="313" spans="1:2">
      <c r="A313" s="30" t="s">
        <v>13521</v>
      </c>
      <c r="B313" s="756" t="s">
        <v>13832</v>
      </c>
    </row>
    <row r="314" spans="1:2">
      <c r="A314" s="30" t="s">
        <v>13521</v>
      </c>
      <c r="B314" s="756" t="s">
        <v>13833</v>
      </c>
    </row>
    <row r="315" spans="1:2">
      <c r="A315" s="30" t="s">
        <v>13521</v>
      </c>
      <c r="B315" s="756" t="s">
        <v>13834</v>
      </c>
    </row>
    <row r="316" spans="1:2">
      <c r="A316" s="30" t="s">
        <v>13521</v>
      </c>
      <c r="B316" s="756" t="s">
        <v>13835</v>
      </c>
    </row>
    <row r="317" spans="1:2">
      <c r="A317" s="30" t="s">
        <v>13521</v>
      </c>
      <c r="B317" s="756" t="s">
        <v>13836</v>
      </c>
    </row>
    <row r="318" spans="1:2">
      <c r="A318" s="30" t="s">
        <v>13521</v>
      </c>
      <c r="B318" s="756" t="s">
        <v>13837</v>
      </c>
    </row>
    <row r="319" spans="1:2">
      <c r="A319" s="30" t="s">
        <v>13521</v>
      </c>
      <c r="B319" s="756" t="s">
        <v>13838</v>
      </c>
    </row>
    <row r="320" spans="1:2">
      <c r="A320" s="30" t="s">
        <v>13521</v>
      </c>
      <c r="B320" s="756" t="s">
        <v>13839</v>
      </c>
    </row>
    <row r="321" spans="1:2">
      <c r="A321" s="30" t="s">
        <v>13521</v>
      </c>
      <c r="B321" s="756" t="s">
        <v>13840</v>
      </c>
    </row>
    <row r="322" spans="1:2">
      <c r="A322" s="30" t="s">
        <v>13521</v>
      </c>
      <c r="B322" s="756" t="s">
        <v>13841</v>
      </c>
    </row>
    <row r="323" spans="1:2">
      <c r="A323" s="30" t="s">
        <v>13521</v>
      </c>
      <c r="B323" s="756" t="s">
        <v>13842</v>
      </c>
    </row>
    <row r="324" spans="1:2">
      <c r="A324" s="30" t="s">
        <v>13521</v>
      </c>
      <c r="B324" s="756" t="s">
        <v>13843</v>
      </c>
    </row>
    <row r="325" spans="1:2">
      <c r="A325" s="30" t="s">
        <v>13521</v>
      </c>
      <c r="B325" s="756" t="s">
        <v>13844</v>
      </c>
    </row>
    <row r="326" spans="1:2">
      <c r="A326" s="30" t="s">
        <v>13521</v>
      </c>
      <c r="B326" s="756" t="s">
        <v>13845</v>
      </c>
    </row>
    <row r="327" spans="1:2">
      <c r="A327" s="30" t="s">
        <v>13521</v>
      </c>
      <c r="B327" s="756" t="s">
        <v>13846</v>
      </c>
    </row>
    <row r="328" spans="1:2">
      <c r="A328" s="30" t="s">
        <v>13521</v>
      </c>
      <c r="B328" s="756" t="s">
        <v>13847</v>
      </c>
    </row>
    <row r="329" spans="1:2">
      <c r="A329" s="30" t="s">
        <v>13521</v>
      </c>
      <c r="B329" s="756" t="s">
        <v>13848</v>
      </c>
    </row>
    <row r="330" spans="1:2">
      <c r="A330" s="30" t="s">
        <v>13521</v>
      </c>
      <c r="B330" s="756" t="s">
        <v>13849</v>
      </c>
    </row>
    <row r="331" spans="1:2">
      <c r="A331" s="30" t="s">
        <v>13521</v>
      </c>
      <c r="B331" s="756" t="s">
        <v>13850</v>
      </c>
    </row>
    <row r="332" spans="1:2">
      <c r="A332" s="30" t="s">
        <v>13521</v>
      </c>
      <c r="B332" s="756" t="s">
        <v>13851</v>
      </c>
    </row>
    <row r="333" spans="1:2">
      <c r="A333" s="30" t="s">
        <v>13521</v>
      </c>
      <c r="B333" s="756" t="s">
        <v>13852</v>
      </c>
    </row>
    <row r="334" spans="1:2">
      <c r="A334" s="30" t="s">
        <v>13521</v>
      </c>
      <c r="B334" s="756" t="s">
        <v>13853</v>
      </c>
    </row>
    <row r="335" spans="1:2">
      <c r="A335" s="30" t="s">
        <v>13521</v>
      </c>
      <c r="B335" s="756" t="s">
        <v>13854</v>
      </c>
    </row>
    <row r="336" spans="1:2">
      <c r="A336" s="30" t="s">
        <v>13521</v>
      </c>
      <c r="B336" s="756" t="s">
        <v>13855</v>
      </c>
    </row>
    <row r="337" spans="1:2">
      <c r="A337" s="30" t="s">
        <v>13521</v>
      </c>
      <c r="B337" s="756" t="s">
        <v>13856</v>
      </c>
    </row>
    <row r="338" spans="1:2">
      <c r="A338" s="30" t="s">
        <v>13521</v>
      </c>
      <c r="B338" s="756" t="s">
        <v>13857</v>
      </c>
    </row>
    <row r="339" spans="1:2">
      <c r="A339" s="30" t="s">
        <v>13521</v>
      </c>
      <c r="B339" s="756" t="s">
        <v>13858</v>
      </c>
    </row>
    <row r="340" spans="1:2">
      <c r="A340" s="30" t="s">
        <v>13521</v>
      </c>
      <c r="B340" s="756" t="s">
        <v>13859</v>
      </c>
    </row>
    <row r="341" spans="1:2">
      <c r="A341" s="30" t="s">
        <v>13521</v>
      </c>
      <c r="B341" s="756" t="s">
        <v>13860</v>
      </c>
    </row>
    <row r="342" spans="1:2">
      <c r="A342" s="30" t="s">
        <v>13521</v>
      </c>
      <c r="B342" s="756" t="s">
        <v>13861</v>
      </c>
    </row>
    <row r="343" spans="1:2">
      <c r="A343" s="30" t="s">
        <v>13521</v>
      </c>
      <c r="B343" s="756" t="s">
        <v>13862</v>
      </c>
    </row>
    <row r="344" spans="1:2">
      <c r="A344" s="30" t="s">
        <v>13521</v>
      </c>
      <c r="B344" s="756" t="s">
        <v>13863</v>
      </c>
    </row>
    <row r="345" spans="1:2">
      <c r="A345" s="30" t="s">
        <v>13521</v>
      </c>
      <c r="B345" s="756" t="s">
        <v>13864</v>
      </c>
    </row>
    <row r="346" spans="1:2">
      <c r="A346" s="30" t="s">
        <v>13521</v>
      </c>
      <c r="B346" s="756" t="s">
        <v>13865</v>
      </c>
    </row>
    <row r="347" spans="1:2">
      <c r="A347" s="30" t="s">
        <v>13521</v>
      </c>
      <c r="B347" s="756" t="s">
        <v>13866</v>
      </c>
    </row>
    <row r="348" spans="1:2">
      <c r="A348" s="30" t="s">
        <v>13521</v>
      </c>
      <c r="B348" s="756" t="s">
        <v>13867</v>
      </c>
    </row>
    <row r="349" spans="1:2">
      <c r="A349" s="30" t="s">
        <v>13521</v>
      </c>
      <c r="B349" s="756" t="s">
        <v>13868</v>
      </c>
    </row>
    <row r="350" spans="1:2">
      <c r="A350" s="30" t="s">
        <v>13521</v>
      </c>
      <c r="B350" s="756" t="s">
        <v>13869</v>
      </c>
    </row>
    <row r="351" spans="1:2">
      <c r="A351" s="30" t="s">
        <v>13521</v>
      </c>
      <c r="B351" s="756" t="s">
        <v>13870</v>
      </c>
    </row>
    <row r="352" spans="1:2">
      <c r="A352" s="30" t="s">
        <v>13521</v>
      </c>
      <c r="B352" s="756" t="s">
        <v>13871</v>
      </c>
    </row>
    <row r="353" spans="1:2">
      <c r="A353" s="30" t="s">
        <v>13521</v>
      </c>
      <c r="B353" s="756" t="s">
        <v>13872</v>
      </c>
    </row>
    <row r="354" spans="1:2">
      <c r="A354" s="30" t="s">
        <v>13521</v>
      </c>
      <c r="B354" s="756" t="s">
        <v>13873</v>
      </c>
    </row>
    <row r="355" spans="1:2">
      <c r="A355" s="30" t="s">
        <v>13521</v>
      </c>
      <c r="B355" s="756" t="s">
        <v>13874</v>
      </c>
    </row>
    <row r="356" spans="1:2">
      <c r="A356" s="30" t="s">
        <v>13521</v>
      </c>
      <c r="B356" s="756" t="s">
        <v>13875</v>
      </c>
    </row>
    <row r="357" spans="1:2">
      <c r="A357" s="30" t="s">
        <v>13521</v>
      </c>
      <c r="B357" s="756" t="s">
        <v>13876</v>
      </c>
    </row>
    <row r="358" spans="1:2">
      <c r="A358" s="30" t="s">
        <v>13521</v>
      </c>
      <c r="B358" s="756" t="s">
        <v>13877</v>
      </c>
    </row>
    <row r="359" spans="1:2">
      <c r="A359" s="30" t="s">
        <v>13521</v>
      </c>
      <c r="B359" s="756" t="s">
        <v>13878</v>
      </c>
    </row>
    <row r="360" spans="1:2">
      <c r="A360" s="30" t="s">
        <v>13521</v>
      </c>
      <c r="B360" s="756" t="s">
        <v>13879</v>
      </c>
    </row>
    <row r="361" spans="1:2">
      <c r="A361" s="30" t="s">
        <v>13521</v>
      </c>
      <c r="B361" s="756" t="s">
        <v>13880</v>
      </c>
    </row>
    <row r="362" spans="1:2">
      <c r="A362" s="30" t="s">
        <v>13521</v>
      </c>
      <c r="B362" s="756" t="s">
        <v>13881</v>
      </c>
    </row>
    <row r="363" spans="1:2">
      <c r="A363" s="30" t="s">
        <v>13521</v>
      </c>
      <c r="B363" s="756" t="s">
        <v>13882</v>
      </c>
    </row>
    <row r="364" spans="1:2">
      <c r="A364" s="30" t="s">
        <v>13521</v>
      </c>
      <c r="B364" s="756" t="s">
        <v>13883</v>
      </c>
    </row>
    <row r="365" spans="1:2">
      <c r="A365" s="30" t="s">
        <v>13521</v>
      </c>
      <c r="B365" s="756" t="s">
        <v>13884</v>
      </c>
    </row>
    <row r="366" spans="1:2">
      <c r="A366" s="30" t="s">
        <v>13521</v>
      </c>
      <c r="B366" s="756" t="s">
        <v>13885</v>
      </c>
    </row>
    <row r="367" spans="1:2">
      <c r="A367" s="30" t="s">
        <v>13521</v>
      </c>
      <c r="B367" s="756" t="s">
        <v>13886</v>
      </c>
    </row>
    <row r="368" spans="1:2">
      <c r="A368" s="30" t="s">
        <v>13521</v>
      </c>
      <c r="B368" s="756" t="s">
        <v>13887</v>
      </c>
    </row>
    <row r="369" spans="1:2">
      <c r="A369" s="30" t="s">
        <v>13521</v>
      </c>
      <c r="B369" s="756" t="s">
        <v>13888</v>
      </c>
    </row>
    <row r="370" spans="1:2">
      <c r="A370" s="30" t="s">
        <v>13521</v>
      </c>
      <c r="B370" s="756" t="s">
        <v>13889</v>
      </c>
    </row>
    <row r="371" spans="1:2">
      <c r="A371" s="30" t="s">
        <v>13521</v>
      </c>
      <c r="B371" s="756" t="s">
        <v>13890</v>
      </c>
    </row>
    <row r="372" spans="1:2">
      <c r="A372" s="30" t="s">
        <v>13521</v>
      </c>
      <c r="B372" s="756" t="s">
        <v>13891</v>
      </c>
    </row>
    <row r="373" spans="1:2">
      <c r="A373" s="30" t="s">
        <v>13521</v>
      </c>
      <c r="B373" s="756" t="s">
        <v>13892</v>
      </c>
    </row>
    <row r="374" spans="1:2">
      <c r="A374" s="30" t="s">
        <v>13521</v>
      </c>
      <c r="B374" s="756" t="s">
        <v>13893</v>
      </c>
    </row>
    <row r="375" spans="1:2">
      <c r="A375" s="30" t="s">
        <v>13521</v>
      </c>
      <c r="B375" s="756" t="s">
        <v>13894</v>
      </c>
    </row>
    <row r="376" spans="1:2">
      <c r="A376" s="30" t="s">
        <v>13521</v>
      </c>
      <c r="B376" s="756" t="s">
        <v>13895</v>
      </c>
    </row>
    <row r="377" spans="1:2">
      <c r="A377" s="30" t="s">
        <v>13521</v>
      </c>
      <c r="B377" s="756" t="s">
        <v>13896</v>
      </c>
    </row>
    <row r="378" spans="1:2">
      <c r="A378" s="30" t="s">
        <v>13521</v>
      </c>
      <c r="B378" s="756" t="s">
        <v>13897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SRC">
    <tabColor indexed="47"/>
  </sheetPr>
  <dimension ref="A1:AF2"/>
  <sheetViews>
    <sheetView zoomScaleNormal="100" workbookViewId="0"/>
  </sheetViews>
  <sheetFormatPr defaultColWidth="9.125" defaultRowHeight="11.4"/>
  <cols>
    <col min="1" max="16384" width="9.125" style="30"/>
  </cols>
  <sheetData>
    <row r="1" spans="1:32">
      <c r="A1" s="604" t="s">
        <v>2157</v>
      </c>
      <c r="B1" s="604" t="s">
        <v>2158</v>
      </c>
      <c r="C1" s="30" t="s">
        <v>15015</v>
      </c>
      <c r="D1" s="30" t="s">
        <v>15016</v>
      </c>
      <c r="E1" s="30" t="s">
        <v>15017</v>
      </c>
      <c r="F1" s="604" t="s">
        <v>1030</v>
      </c>
      <c r="G1" s="604" t="s">
        <v>124</v>
      </c>
      <c r="H1" s="604" t="s">
        <v>125</v>
      </c>
      <c r="I1" s="604" t="s">
        <v>2159</v>
      </c>
      <c r="J1" s="30" t="s">
        <v>2158</v>
      </c>
      <c r="K1" s="30" t="s">
        <v>2160</v>
      </c>
      <c r="L1" s="30" t="s">
        <v>2161</v>
      </c>
      <c r="M1" s="604" t="s">
        <v>2162</v>
      </c>
      <c r="N1" s="30" t="s">
        <v>2163</v>
      </c>
      <c r="O1" s="604" t="s">
        <v>2164</v>
      </c>
      <c r="P1" s="30" t="s">
        <v>2165</v>
      </c>
      <c r="Q1" s="604" t="s">
        <v>2166</v>
      </c>
      <c r="R1" s="30" t="s">
        <v>2167</v>
      </c>
      <c r="S1" s="30" t="s">
        <v>2168</v>
      </c>
      <c r="T1" s="604" t="s">
        <v>2169</v>
      </c>
      <c r="U1" s="604" t="s">
        <v>2170</v>
      </c>
      <c r="V1" s="30" t="s">
        <v>2171</v>
      </c>
      <c r="W1" s="604" t="s">
        <v>2172</v>
      </c>
      <c r="X1" s="30" t="s">
        <v>2173</v>
      </c>
      <c r="Y1" s="30" t="s">
        <v>2174</v>
      </c>
      <c r="Z1" s="604" t="s">
        <v>15018</v>
      </c>
      <c r="AA1" s="604" t="s">
        <v>15019</v>
      </c>
      <c r="AB1" s="604" t="s">
        <v>15020</v>
      </c>
      <c r="AC1" s="604" t="s">
        <v>15021</v>
      </c>
      <c r="AD1" s="604" t="s">
        <v>15022</v>
      </c>
      <c r="AE1" s="604" t="s">
        <v>15023</v>
      </c>
      <c r="AF1" s="30" t="s">
        <v>15024</v>
      </c>
    </row>
    <row r="2" spans="1:32">
      <c r="B2" s="30" t="s">
        <v>105</v>
      </c>
      <c r="C2" s="30" t="s">
        <v>131</v>
      </c>
      <c r="D2" s="30" t="s">
        <v>131</v>
      </c>
      <c r="E2" s="30" t="s">
        <v>131</v>
      </c>
      <c r="G2" s="30" t="s">
        <v>12377</v>
      </c>
      <c r="H2" s="30" t="s">
        <v>12201</v>
      </c>
      <c r="K2" s="30" t="s">
        <v>15007</v>
      </c>
      <c r="L2" s="30" t="s">
        <v>15008</v>
      </c>
      <c r="M2" s="30" t="s">
        <v>3128</v>
      </c>
      <c r="N2" s="30" t="s">
        <v>3128</v>
      </c>
      <c r="O2" s="30" t="s">
        <v>3129</v>
      </c>
      <c r="P2" s="30" t="s">
        <v>9485</v>
      </c>
      <c r="Q2" s="30" t="s">
        <v>9484</v>
      </c>
      <c r="R2" s="30" t="s">
        <v>15009</v>
      </c>
      <c r="S2" s="30" t="s">
        <v>14642</v>
      </c>
      <c r="T2" s="30" t="s">
        <v>105</v>
      </c>
      <c r="U2" s="30" t="s">
        <v>14994</v>
      </c>
      <c r="V2" s="30" t="s">
        <v>14994</v>
      </c>
      <c r="W2" s="30" t="s">
        <v>3129</v>
      </c>
      <c r="X2" s="30" t="s">
        <v>9485</v>
      </c>
      <c r="Y2" s="30" t="s">
        <v>9484</v>
      </c>
      <c r="Z2" s="30" t="s">
        <v>15010</v>
      </c>
      <c r="AA2" s="30" t="s">
        <v>15011</v>
      </c>
      <c r="AB2" s="30" t="s">
        <v>15010</v>
      </c>
      <c r="AC2" s="30" t="s">
        <v>15011</v>
      </c>
      <c r="AD2" s="30" t="s">
        <v>15010</v>
      </c>
      <c r="AE2" s="30" t="s">
        <v>15011</v>
      </c>
      <c r="AF2" s="30" t="s">
        <v>15012</v>
      </c>
    </row>
  </sheetData>
  <sheetProtection formatColumns="0" formatRows="0"/>
  <phoneticPr fontId="3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TMX">
    <tabColor indexed="47"/>
  </sheetPr>
  <dimension ref="A1:S3"/>
  <sheetViews>
    <sheetView zoomScaleNormal="100" workbookViewId="0"/>
  </sheetViews>
  <sheetFormatPr defaultColWidth="9.125" defaultRowHeight="11.4"/>
  <cols>
    <col min="1" max="16384" width="9.125" style="30"/>
  </cols>
  <sheetData>
    <row r="1" spans="1:19">
      <c r="A1" s="30" t="s">
        <v>620</v>
      </c>
      <c r="B1" s="30" t="s">
        <v>623</v>
      </c>
      <c r="C1" s="30" t="s">
        <v>621</v>
      </c>
      <c r="D1" s="30" t="s">
        <v>622</v>
      </c>
      <c r="E1" s="30" t="s">
        <v>624</v>
      </c>
      <c r="F1" s="30" t="s">
        <v>625</v>
      </c>
      <c r="G1" s="30" t="s">
        <v>2143</v>
      </c>
      <c r="H1" s="30" t="s">
        <v>2144</v>
      </c>
      <c r="I1" s="30" t="s">
        <v>2145</v>
      </c>
      <c r="J1" s="30" t="s">
        <v>2146</v>
      </c>
      <c r="K1" s="30" t="s">
        <v>636</v>
      </c>
      <c r="L1" s="30" t="s">
        <v>2147</v>
      </c>
      <c r="M1" s="30" t="s">
        <v>2148</v>
      </c>
      <c r="N1" s="30" t="s">
        <v>2149</v>
      </c>
      <c r="O1" s="30" t="s">
        <v>2150</v>
      </c>
      <c r="P1" s="30" t="s">
        <v>2151</v>
      </c>
      <c r="Q1" s="30" t="s">
        <v>2152</v>
      </c>
      <c r="R1" s="30" t="s">
        <v>2153</v>
      </c>
      <c r="S1" s="30" t="s">
        <v>2154</v>
      </c>
    </row>
    <row r="2" spans="1:19">
      <c r="A2" s="30" t="s">
        <v>14993</v>
      </c>
      <c r="B2" s="30" t="s">
        <v>12376</v>
      </c>
      <c r="C2" s="30" t="s">
        <v>12377</v>
      </c>
      <c r="D2" s="30" t="s">
        <v>12201</v>
      </c>
      <c r="F2" s="30" t="s">
        <v>2574</v>
      </c>
      <c r="H2" s="30" t="s">
        <v>14994</v>
      </c>
      <c r="I2" s="30" t="s">
        <v>14994</v>
      </c>
      <c r="J2" s="30" t="s">
        <v>3129</v>
      </c>
      <c r="K2" s="30" t="s">
        <v>14995</v>
      </c>
      <c r="N2" s="30" t="s">
        <v>14996</v>
      </c>
      <c r="O2" s="30" t="s">
        <v>14997</v>
      </c>
      <c r="R2" s="30" t="s">
        <v>14996</v>
      </c>
      <c r="S2" s="30" t="s">
        <v>14998</v>
      </c>
    </row>
    <row r="3" spans="1:19">
      <c r="A3" s="30" t="s">
        <v>14993</v>
      </c>
      <c r="B3" s="30" t="s">
        <v>12376</v>
      </c>
      <c r="C3" s="30" t="s">
        <v>12377</v>
      </c>
      <c r="D3" s="30" t="s">
        <v>12201</v>
      </c>
      <c r="F3" s="30" t="s">
        <v>2574</v>
      </c>
      <c r="H3" s="30" t="s">
        <v>14994</v>
      </c>
      <c r="I3" s="30" t="s">
        <v>14994</v>
      </c>
      <c r="J3" s="30" t="s">
        <v>3129</v>
      </c>
      <c r="K3" s="30" t="s">
        <v>14999</v>
      </c>
      <c r="N3" s="30" t="s">
        <v>14996</v>
      </c>
      <c r="O3" s="30" t="s">
        <v>14997</v>
      </c>
      <c r="R3" s="30" t="s">
        <v>14996</v>
      </c>
      <c r="S3" s="30" t="s">
        <v>14998</v>
      </c>
    </row>
  </sheetData>
  <sheetProtection formatColumns="0" formatRows="0"/>
  <phoneticPr fontId="0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CNCSN">
    <tabColor indexed="47"/>
  </sheetPr>
  <dimension ref="A1:CR1"/>
  <sheetViews>
    <sheetView zoomScaleNormal="100" workbookViewId="0"/>
  </sheetViews>
  <sheetFormatPr defaultColWidth="9.125" defaultRowHeight="11.4"/>
  <cols>
    <col min="1" max="1" width="12.75" style="30" customWidth="1"/>
    <col min="2" max="2" width="9.125" style="30"/>
    <col min="3" max="3" width="13.75" style="30" customWidth="1"/>
    <col min="4" max="6" width="9.125" style="30"/>
    <col min="7" max="7" width="18.125" style="30" customWidth="1"/>
    <col min="8" max="8" width="15.75" style="30" customWidth="1"/>
    <col min="9" max="9" width="9.125" style="30"/>
    <col min="10" max="10" width="13.375" style="30" customWidth="1"/>
    <col min="11" max="11" width="10.25" style="30" customWidth="1"/>
    <col min="12" max="15" width="9.125" style="30"/>
    <col min="16" max="16" width="21.75" style="30" customWidth="1"/>
    <col min="17" max="17" width="19.375" style="30" bestFit="1" customWidth="1"/>
    <col min="18" max="18" width="26.75" style="30" customWidth="1"/>
    <col min="19" max="20" width="14.75" style="30" customWidth="1"/>
    <col min="21" max="26" width="9.125" style="30"/>
    <col min="27" max="27" width="28.75" style="30" customWidth="1"/>
    <col min="28" max="38" width="9.125" style="30"/>
    <col min="39" max="39" width="31.75" style="30" customWidth="1"/>
    <col min="40" max="16384" width="9.125" style="30"/>
  </cols>
  <sheetData>
    <row r="1" spans="1:96">
      <c r="A1" s="604" t="s">
        <v>2157</v>
      </c>
      <c r="B1" s="653" t="s">
        <v>2158</v>
      </c>
      <c r="C1" s="604" t="s">
        <v>1030</v>
      </c>
      <c r="D1" s="604" t="s">
        <v>124</v>
      </c>
      <c r="E1" s="604" t="s">
        <v>125</v>
      </c>
      <c r="F1" s="604" t="s">
        <v>2159</v>
      </c>
      <c r="G1" s="203" t="s">
        <v>2479</v>
      </c>
      <c r="H1" s="203" t="s">
        <v>2465</v>
      </c>
      <c r="I1" s="203" t="s">
        <v>2144</v>
      </c>
      <c r="J1" s="652" t="s">
        <v>2466</v>
      </c>
      <c r="K1" s="652" t="s">
        <v>106</v>
      </c>
      <c r="L1" s="203" t="s">
        <v>2216</v>
      </c>
      <c r="M1" s="203" t="s">
        <v>2143</v>
      </c>
      <c r="N1" s="203" t="s">
        <v>2217</v>
      </c>
      <c r="O1" s="203" t="s">
        <v>2380</v>
      </c>
      <c r="P1" s="652" t="s">
        <v>2362</v>
      </c>
      <c r="Q1" s="652" t="s">
        <v>2476</v>
      </c>
      <c r="R1" s="652" t="s">
        <v>2369</v>
      </c>
      <c r="S1" s="652" t="s">
        <v>2364</v>
      </c>
      <c r="T1" s="652" t="s">
        <v>2363</v>
      </c>
      <c r="U1" s="203" t="s">
        <v>2387</v>
      </c>
      <c r="V1" s="203" t="s">
        <v>2388</v>
      </c>
      <c r="W1" s="203" t="s">
        <v>2389</v>
      </c>
      <c r="X1" s="203" t="s">
        <v>2390</v>
      </c>
      <c r="Y1" s="203" t="s">
        <v>2391</v>
      </c>
      <c r="Z1" s="203" t="s">
        <v>2392</v>
      </c>
      <c r="AA1" s="652" t="s">
        <v>2477</v>
      </c>
      <c r="AB1" s="203" t="s">
        <v>2394</v>
      </c>
      <c r="AC1" s="203" t="s">
        <v>2395</v>
      </c>
      <c r="AD1" s="203" t="s">
        <v>2396</v>
      </c>
      <c r="AE1" s="203" t="s">
        <v>2397</v>
      </c>
      <c r="AF1" s="203" t="s">
        <v>2398</v>
      </c>
      <c r="AG1" s="203" t="s">
        <v>2399</v>
      </c>
      <c r="AH1" s="203" t="s">
        <v>2400</v>
      </c>
      <c r="AI1" s="203" t="s">
        <v>2401</v>
      </c>
      <c r="AJ1" s="203" t="s">
        <v>2402</v>
      </c>
      <c r="AK1" s="203" t="s">
        <v>2403</v>
      </c>
      <c r="AL1" s="203" t="s">
        <v>2404</v>
      </c>
      <c r="AM1" s="652" t="s">
        <v>2478</v>
      </c>
      <c r="AN1" s="203" t="s">
        <v>2406</v>
      </c>
      <c r="AO1" s="203" t="s">
        <v>2407</v>
      </c>
      <c r="AP1" s="203" t="s">
        <v>2408</v>
      </c>
      <c r="AQ1" s="203" t="s">
        <v>2409</v>
      </c>
      <c r="AR1" s="203" t="s">
        <v>2410</v>
      </c>
      <c r="AS1" s="203" t="s">
        <v>2411</v>
      </c>
      <c r="AT1" s="203" t="s">
        <v>2412</v>
      </c>
      <c r="AU1" s="203" t="s">
        <v>2413</v>
      </c>
      <c r="AV1" s="203" t="s">
        <v>2414</v>
      </c>
      <c r="AW1" s="203" t="s">
        <v>2415</v>
      </c>
      <c r="AX1" s="203" t="s">
        <v>2416</v>
      </c>
      <c r="AY1" s="203" t="s">
        <v>2417</v>
      </c>
      <c r="AZ1" s="203" t="s">
        <v>2418</v>
      </c>
      <c r="BA1" s="203" t="s">
        <v>2419</v>
      </c>
      <c r="BB1" s="203" t="s">
        <v>2420</v>
      </c>
      <c r="BC1" s="203" t="s">
        <v>2421</v>
      </c>
      <c r="BD1" s="203" t="s">
        <v>2422</v>
      </c>
      <c r="BE1" s="203" t="s">
        <v>2423</v>
      </c>
      <c r="BF1" s="203" t="s">
        <v>2424</v>
      </c>
      <c r="BG1" s="203" t="s">
        <v>2425</v>
      </c>
      <c r="BH1" s="203" t="s">
        <v>2426</v>
      </c>
      <c r="BI1" s="203" t="s">
        <v>2427</v>
      </c>
      <c r="BJ1" s="203" t="s">
        <v>2428</v>
      </c>
      <c r="BK1" s="203" t="s">
        <v>2429</v>
      </c>
      <c r="BL1" s="203" t="s">
        <v>2430</v>
      </c>
      <c r="BM1" s="203" t="s">
        <v>2431</v>
      </c>
      <c r="BN1" s="203" t="s">
        <v>2432</v>
      </c>
      <c r="BO1" s="203" t="s">
        <v>2433</v>
      </c>
      <c r="BP1" s="203" t="s">
        <v>2434</v>
      </c>
      <c r="BQ1" s="203" t="s">
        <v>2435</v>
      </c>
      <c r="BR1" s="203" t="s">
        <v>2436</v>
      </c>
      <c r="BS1" s="203" t="s">
        <v>2437</v>
      </c>
      <c r="BT1" s="203" t="s">
        <v>2438</v>
      </c>
      <c r="BU1" s="203" t="s">
        <v>2439</v>
      </c>
      <c r="BV1" s="203" t="s">
        <v>2440</v>
      </c>
      <c r="BW1" s="203" t="s">
        <v>2441</v>
      </c>
      <c r="BX1" s="203" t="s">
        <v>2442</v>
      </c>
      <c r="BY1" s="203" t="s">
        <v>2443</v>
      </c>
      <c r="BZ1" s="203" t="s">
        <v>2444</v>
      </c>
      <c r="CA1" s="203" t="s">
        <v>2445</v>
      </c>
      <c r="CB1" s="203" t="s">
        <v>2446</v>
      </c>
      <c r="CC1" s="203" t="s">
        <v>2447</v>
      </c>
      <c r="CD1" s="203" t="s">
        <v>2448</v>
      </c>
      <c r="CE1" s="203" t="s">
        <v>2449</v>
      </c>
      <c r="CF1" s="203" t="s">
        <v>2450</v>
      </c>
      <c r="CG1" s="203" t="s">
        <v>2451</v>
      </c>
      <c r="CH1" s="203" t="s">
        <v>2452</v>
      </c>
      <c r="CI1" s="203" t="s">
        <v>2453</v>
      </c>
      <c r="CJ1" s="203" t="s">
        <v>2454</v>
      </c>
      <c r="CK1" s="203" t="s">
        <v>2455</v>
      </c>
      <c r="CL1" s="203" t="s">
        <v>2456</v>
      </c>
      <c r="CM1" s="203" t="s">
        <v>2457</v>
      </c>
      <c r="CN1" s="203" t="s">
        <v>2458</v>
      </c>
      <c r="CO1" s="203" t="s">
        <v>2459</v>
      </c>
      <c r="CP1" s="203" t="s">
        <v>2460</v>
      </c>
      <c r="CQ1" s="203" t="s">
        <v>2461</v>
      </c>
      <c r="CR1" s="203" t="s">
        <v>2462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X_LIST_PPL_TM">
    <tabColor indexed="47"/>
  </sheetPr>
  <dimension ref="A1:P1"/>
  <sheetViews>
    <sheetView zoomScaleNormal="100" workbookViewId="0"/>
  </sheetViews>
  <sheetFormatPr defaultColWidth="9.125" defaultRowHeight="11.4"/>
  <cols>
    <col min="1" max="16384" width="9.125" style="30"/>
  </cols>
  <sheetData>
    <row r="1" spans="1:16">
      <c r="A1" s="30" t="s">
        <v>2155</v>
      </c>
      <c r="B1" s="30" t="s">
        <v>623</v>
      </c>
      <c r="C1" s="30" t="s">
        <v>621</v>
      </c>
      <c r="D1" s="30" t="s">
        <v>622</v>
      </c>
      <c r="E1" s="30" t="s">
        <v>636</v>
      </c>
      <c r="F1" s="30" t="s">
        <v>2545</v>
      </c>
      <c r="G1" s="30" t="s">
        <v>2546</v>
      </c>
      <c r="H1" s="30" t="s">
        <v>2143</v>
      </c>
      <c r="I1" s="30" t="s">
        <v>624</v>
      </c>
      <c r="J1" s="30" t="s">
        <v>625</v>
      </c>
      <c r="K1" s="30" t="s">
        <v>2144</v>
      </c>
      <c r="L1" s="30" t="s">
        <v>2145</v>
      </c>
      <c r="M1" s="30" t="s">
        <v>2146</v>
      </c>
      <c r="N1" s="30" t="s">
        <v>2548</v>
      </c>
      <c r="O1" s="30" t="s">
        <v>2549</v>
      </c>
      <c r="P1" s="30" t="s">
        <v>2547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V1X_LIST_IP">
    <tabColor indexed="47"/>
  </sheetPr>
  <dimension ref="A1:M1"/>
  <sheetViews>
    <sheetView zoomScaleNormal="100" workbookViewId="0"/>
  </sheetViews>
  <sheetFormatPr defaultColWidth="9.125" defaultRowHeight="11.4"/>
  <cols>
    <col min="1" max="1" width="12.75" style="30" customWidth="1"/>
    <col min="2" max="2" width="9.125" style="30"/>
    <col min="3" max="3" width="13.75" style="30" customWidth="1"/>
    <col min="4" max="5" width="9.125" style="30"/>
    <col min="6" max="7" width="19.75" style="30" customWidth="1"/>
    <col min="8" max="8" width="21.75" style="30" customWidth="1"/>
    <col min="9" max="9" width="13.25" style="30" customWidth="1"/>
    <col min="10" max="11" width="14.75" style="30" customWidth="1"/>
    <col min="12" max="12" width="25.375" style="30" customWidth="1"/>
    <col min="13" max="13" width="18.125" style="30" customWidth="1"/>
    <col min="14" max="16384" width="9.125" style="30"/>
  </cols>
  <sheetData>
    <row r="1" spans="1:13">
      <c r="A1" s="604" t="s">
        <v>2157</v>
      </c>
      <c r="B1" s="757" t="s">
        <v>2158</v>
      </c>
      <c r="C1" s="604" t="s">
        <v>1030</v>
      </c>
      <c r="D1" s="604" t="s">
        <v>124</v>
      </c>
      <c r="E1" s="604" t="s">
        <v>125</v>
      </c>
      <c r="F1" s="758" t="s">
        <v>2536</v>
      </c>
      <c r="G1" s="758" t="s">
        <v>2537</v>
      </c>
      <c r="H1" s="758" t="s">
        <v>2362</v>
      </c>
      <c r="I1" s="758" t="s">
        <v>2535</v>
      </c>
      <c r="J1" s="758" t="s">
        <v>2364</v>
      </c>
      <c r="K1" s="758" t="s">
        <v>2363</v>
      </c>
      <c r="L1" s="758" t="s">
        <v>1206</v>
      </c>
      <c r="M1" s="758" t="s">
        <v>2479</v>
      </c>
    </row>
  </sheetData>
  <sheetProtection formatColumns="0" formatRows="0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B2:D6"/>
  <sheetViews>
    <sheetView zoomScaleNormal="100" workbookViewId="0"/>
  </sheetViews>
  <sheetFormatPr defaultColWidth="9.125" defaultRowHeight="10.199999999999999"/>
  <cols>
    <col min="1" max="1" width="9.125" style="400"/>
    <col min="2" max="2" width="100.75" style="400" customWidth="1"/>
    <col min="3" max="3" width="9.125" style="400"/>
    <col min="4" max="4" width="100.75" style="400" customWidth="1"/>
    <col min="5" max="16384" width="9.125" style="400"/>
  </cols>
  <sheetData>
    <row r="2" spans="2:4">
      <c r="B2" s="399"/>
      <c r="D2" s="399"/>
    </row>
    <row r="3" spans="2:4">
      <c r="B3" s="401" t="s">
        <v>767</v>
      </c>
      <c r="D3" s="401"/>
    </row>
    <row r="4" spans="2:4">
      <c r="B4" s="401"/>
      <c r="D4" s="401"/>
    </row>
    <row r="5" spans="2:4">
      <c r="B5" s="401"/>
      <c r="D5" s="401"/>
    </row>
    <row r="6" spans="2:4">
      <c r="B6" s="401"/>
      <c r="D6" s="401"/>
    </row>
  </sheetData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IButtons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Common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Integrity">
    <tabColor indexed="47"/>
  </sheetPr>
  <dimension ref="A1"/>
  <sheetViews>
    <sheetView showGridLines="0" zoomScaleNormal="100" workbookViewId="0"/>
  </sheetViews>
  <sheetFormatPr defaultRowHeight="11.4"/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Data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GeneralAPI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alPr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alTr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alc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uel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agent">
    <tabColor indexed="47"/>
  </sheetPr>
  <dimension ref="A1"/>
  <sheetViews>
    <sheetView zoomScaleNormal="100" workbookViewId="0"/>
  </sheetViews>
  <sheetFormatPr defaultColWidth="9.125" defaultRowHeight="11.25" customHeight="1"/>
  <cols>
    <col min="1" max="16384" width="9.125" style="33"/>
  </cols>
  <sheetData/>
  <sheetProtection formatColumns="0" formatRows="0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MO">
    <tabColor indexed="47"/>
  </sheetPr>
  <dimension ref="A1"/>
  <sheetViews>
    <sheetView zoomScaleNormal="100" workbookViewId="0"/>
  </sheetViews>
  <sheetFormatPr defaultRowHeight="11.4"/>
  <sheetData/>
  <sheetProtection formatColumns="0" formatRows="0"/>
  <phoneticPr fontId="3" type="noConversion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Objects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Cncsn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plTm">
    <tabColor indexed="47"/>
  </sheetPr>
  <dimension ref="A1"/>
  <sheetViews>
    <sheetView zoomScaleNormal="100" workbookViewId="0"/>
  </sheetViews>
  <sheetFormatPr defaultColWidth="9.125" defaultRowHeight="10.199999999999999"/>
  <cols>
    <col min="1" max="16384" width="9.125" style="186"/>
  </cols>
  <sheetData/>
  <sheetProtection formatColumns="0" formatRows="0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questSpecificData">
    <tabColor indexed="47"/>
  </sheetPr>
  <dimension ref="A1"/>
  <sheetViews>
    <sheetView zoomScaleNormal="100" workbookViewId="0"/>
  </sheetViews>
  <sheetFormatPr defaultRowHeight="11.4"/>
  <sheetData/>
  <sheetProtection formatColumns="0" formatRows="0"/>
  <phoneticPr fontId="3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questGenericData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API">
    <tabColor indexed="47"/>
  </sheetPr>
  <dimension ref="A1"/>
  <sheetViews>
    <sheetView zoomScaleNormal="100" workbookViewId="0"/>
  </sheetViews>
  <sheetFormatPr defaultColWidth="9.125" defaultRowHeight="10.199999999999999"/>
  <cols>
    <col min="1" max="16384" width="9.125" style="400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General">
    <tabColor indexed="47"/>
  </sheetPr>
  <dimension ref="A1"/>
  <sheetViews>
    <sheetView zoomScaleNormal="100" workbookViewId="0"/>
  </sheetViews>
  <sheetFormatPr defaultRowHeight="11.4"/>
  <sheetData/>
  <phoneticPr fontId="3" type="noConversion"/>
  <pageMargins left="0.75" right="0.75" top="1" bottom="1" header="0.5" footer="0.5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LAN1XUpdate">
    <tabColor indexed="47"/>
  </sheetPr>
  <dimension ref="A1"/>
  <sheetViews>
    <sheetView zoomScaleNormal="100" workbookViewId="0"/>
  </sheetViews>
  <sheetFormatPr defaultRowHeight="11.4"/>
  <sheetData/>
  <sheetProtection formatColumns="0" formatRows="0"/>
  <phoneticPr fontId="3" type="noConversion"/>
  <pageMargins left="0.75" right="0.75" top="1" bottom="1" header="0.5" footer="0.5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VLDUniqueness">
    <tabColor indexed="47"/>
  </sheetPr>
  <dimension ref="A1"/>
  <sheetViews>
    <sheetView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Org">
    <tabColor indexed="47"/>
  </sheetPr>
  <dimension ref="A1"/>
  <sheetViews>
    <sheetView showGridLines="0"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ColWidth="9.125" defaultRowHeight="11.4"/>
  <cols>
    <col min="1" max="26" width="9.125" style="2"/>
    <col min="27" max="36" width="9.125" style="8"/>
    <col min="37" max="16384" width="9.1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6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3"/>
  </cols>
  <sheetData/>
  <phoneticPr fontId="3" type="noConversion"/>
  <pageMargins left="0.75" right="0.75" top="1" bottom="1" header="0.5" footer="0.5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HLCommandBar">
    <tabColor indexed="47"/>
  </sheetPr>
  <dimension ref="A1"/>
  <sheetViews>
    <sheetView showGridLines="0" zoomScaleNormal="100" workbookViewId="0"/>
  </sheetViews>
  <sheetFormatPr defaultColWidth="9.125" defaultRowHeight="11.4"/>
  <cols>
    <col min="1" max="16384" width="9.125" style="3"/>
  </cols>
  <sheetData/>
  <sheetProtection formatColumns="0" formatRows="0"/>
  <dataConsolidate leftLabels="1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HEATAdditionalOrgData">
    <tabColor indexed="47"/>
  </sheetPr>
  <dimension ref="A1"/>
  <sheetViews>
    <sheetView showGridLines="0"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HEATFUELSelector">
    <tabColor indexed="47"/>
  </sheetPr>
  <dimension ref="A1"/>
  <sheetViews>
    <sheetView showGridLines="0" zoomScaleNormal="100" workbookViewId="0"/>
  </sheetViews>
  <sheetFormatPr defaultColWidth="9.125" defaultRowHeight="11.4"/>
  <cols>
    <col min="1" max="1" width="9.125" style="6"/>
    <col min="2" max="16384" width="9.125" style="3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PLAN1XCheckIn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5" right="0.75" top="1" bottom="1" header="0.5" footer="0.5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PLAN1XUpdate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5" right="0.75" top="1" bottom="1" header="0.5" footer="0.5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portMode">
    <tabColor indexed="47"/>
  </sheetPr>
  <dimension ref="A1"/>
  <sheetViews>
    <sheetView zoomScaleNormal="100" workbookViewId="0"/>
  </sheetViews>
  <sheetFormatPr defaultRowHeight="11.4"/>
  <sheetData/>
  <sheetProtection formatColumns="0" formatRows="0"/>
  <phoneticPr fontId="3" type="noConversion"/>
  <pageMargins left="0.75" right="0.75" top="1" bottom="1" header="0.5" footer="0.5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OSTData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5" right="0.75" top="1" bottom="1" header="0.5" footer="0.5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PRConstructor">
    <tabColor indexed="47"/>
  </sheetPr>
  <dimension ref="A1"/>
  <sheetViews>
    <sheetView zoomScaleNormal="100" workbookViewId="0"/>
  </sheetViews>
  <sheetFormatPr defaultRowHeight="11.4"/>
  <sheetData/>
  <sheetProtection formatColumns="0" formatRows="0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803</vt:i4>
      </vt:variant>
    </vt:vector>
  </HeadingPairs>
  <TitlesOfParts>
    <vt:vector size="815" baseType="lpstr">
      <vt:lpstr>Инструкция</vt:lpstr>
      <vt:lpstr>Титульный</vt:lpstr>
      <vt:lpstr>Список территорий</vt:lpstr>
      <vt:lpstr>Список объектов</vt:lpstr>
      <vt:lpstr>КС</vt:lpstr>
      <vt:lpstr>ТН</vt:lpstr>
      <vt:lpstr>БПр</vt:lpstr>
      <vt:lpstr>БТр</vt:lpstr>
      <vt:lpstr>РО</vt:lpstr>
      <vt:lpstr>Т</vt:lpstr>
      <vt:lpstr>Комментарии</vt:lpstr>
      <vt:lpstr>Проверка</vt:lpstr>
      <vt:lpstr>ADD_HL_LIST_MO_MARKER</vt:lpstr>
      <vt:lpstr>ALL_FILES</vt:lpstr>
      <vt:lpstr>ATH_SCHEME</vt:lpstr>
      <vt:lpstr>AUTHORIZATION_MODE</vt:lpstr>
      <vt:lpstr>CALC_IDENTIFIER</vt:lpstr>
      <vt:lpstr>CHANGE_HL_LIST_MO_COLUMN_MARKER</vt:lpstr>
      <vt:lpstr>chkGetUpdatesValue</vt:lpstr>
      <vt:lpstr>chkNoUpdatesValue</vt:lpstr>
      <vt:lpstr>CNCSN_IP_LIST_RANGE</vt:lpstr>
      <vt:lpstr>CNCSN_LIST</vt:lpstr>
      <vt:lpstr>CNCSN_NAME_LIST</vt:lpstr>
      <vt:lpstr>code</vt:lpstr>
      <vt:lpstr>COLDVSNA_BAL_PR_ADD_HL_MARKER</vt:lpstr>
      <vt:lpstr>COLDVSNA_BAL_PR_ADD_RANGE</vt:lpstr>
      <vt:lpstr>COLDVSNA_BAL_PR_CALC_AREA</vt:lpstr>
      <vt:lpstr>COLDVSNA_BAL_PR_DELETE_HL_COLUMN_MARKER</vt:lpstr>
      <vt:lpstr>COLDVSNA_BAL_PR_EMPTY_RANGE</vt:lpstr>
      <vt:lpstr>COLDVSNA_BAL_PR_END_COLUMN_MARKER</vt:lpstr>
      <vt:lpstr>COLDVSNA_BAL_PR_NUM_COLUMN_MARKER</vt:lpstr>
      <vt:lpstr>COLDVSNA_BAL_PR_RANGE</vt:lpstr>
      <vt:lpstr>COLDVSNA_BAL_TR_ADD_HL_MARKER</vt:lpstr>
      <vt:lpstr>COLDVSNA_BAL_TR_ADD_RANGE</vt:lpstr>
      <vt:lpstr>COLDVSNA_BAL_TR_CALC_AREA</vt:lpstr>
      <vt:lpstr>COLDVSNA_BAL_TR_DELETE_HL_COLUMN_MARKER</vt:lpstr>
      <vt:lpstr>COLDVSNA_BAL_TR_EMPTY_RANGE</vt:lpstr>
      <vt:lpstr>COLDVSNA_BAL_TR_END_COLUMN_MARKER</vt:lpstr>
      <vt:lpstr>COLDVSNA_BAL_TR_NUM_COLUMN_MARKER</vt:lpstr>
      <vt:lpstr>COLDVSNA_BAL_TR_RANGE</vt:lpstr>
      <vt:lpstr>COLDVSNA_CALC_ADD_HL_MARKER</vt:lpstr>
      <vt:lpstr>COLDVSNA_CALC_ADD_RANGE</vt:lpstr>
      <vt:lpstr>COLDVSNA_CALC_AREA</vt:lpstr>
      <vt:lpstr>COLDVSNA_CALC_BALANCE_ROW_MARKER</vt:lpstr>
      <vt:lpstr>COLDVSNA_CALC_CI_ROW_MARKER</vt:lpstr>
      <vt:lpstr>COLDVSNA_CALC_COST_ROW_MARKER</vt:lpstr>
      <vt:lpstr>COLDVSNA_CALC_D_AREA</vt:lpstr>
      <vt:lpstr>COLDVSNA_CALC_DELETE_HL_ROW_MARKER</vt:lpstr>
      <vt:lpstr>COLDVSNA_CALC_ECONOMY_SUM_10_ROW_MARKER</vt:lpstr>
      <vt:lpstr>COLDVSNA_CALC_ECONOMY_SUM_11_ROW_MARKER</vt:lpstr>
      <vt:lpstr>COLDVSNA_CALC_EMPTY_BASE_RANGE</vt:lpstr>
      <vt:lpstr>COLDVSNA_CALC_EXTENDED_AREA</vt:lpstr>
      <vt:lpstr>COLDVSNA_CALC_EXTENDED_CLN_AREA</vt:lpstr>
      <vt:lpstr>COLDVSNA_CALC_EXTENDED_FACILITY_1_AREA</vt:lpstr>
      <vt:lpstr>COLDVSNA_CALC_EXTENDED_PR_AREA</vt:lpstr>
      <vt:lpstr>COLDVSNA_CALC_EXTENDED_SL_AREA</vt:lpstr>
      <vt:lpstr>COLDVSNA_CALC_EXTENDED_TR_AREA</vt:lpstr>
      <vt:lpstr>COLDVSNA_CALC_INV_DATA_CN</vt:lpstr>
      <vt:lpstr>COLDVSNA_CALC_INV_DATA_IP</vt:lpstr>
      <vt:lpstr>COLDVSNA_CALC_IP_EXCEPT_CN_1_ROW_MARKER</vt:lpstr>
      <vt:lpstr>COLDVSNA_CALC_IP_EXCEPT_CN_4_ROW_MARKER</vt:lpstr>
      <vt:lpstr>COLDVSNA_CALC_IP_EXCEPT_CN_TTL_ROW_MARKER</vt:lpstr>
      <vt:lpstr>COLDVSNA_CALC_IP_INCLUDE_CN_1_ROW_MARKER</vt:lpstr>
      <vt:lpstr>COLDVSNA_CALC_IP_INCLUDE_CN_4_ROW_MARKER</vt:lpstr>
      <vt:lpstr>COLDVSNA_CALC_IP_INCLUDE_CN_TTL_ROW_MARKER</vt:lpstr>
      <vt:lpstr>COLDVSNA_CALC_ITEM_NAMES</vt:lpstr>
      <vt:lpstr>COLDVSNA_CALC_NUM_ROW_MARKER</vt:lpstr>
      <vt:lpstr>COLDVSNA_CALC_PERIOD_MARKERS</vt:lpstr>
      <vt:lpstr>COLDVSNA_CALC_RESULT_ROW_MARKER</vt:lpstr>
      <vt:lpstr>COLDVSNA_CALC_SINGLE_BASE_RANGE</vt:lpstr>
      <vt:lpstr>COLDVSNA_CALC_TF_APPLY_OPTION</vt:lpstr>
      <vt:lpstr>COLDVSNA_FACILITY_INDEX_GROUP</vt:lpstr>
      <vt:lpstr>COLDVSNA_MIN_COST_VALUE</vt:lpstr>
      <vt:lpstr>COLDVSNA_REAGENT_ADD_HL_MARKER</vt:lpstr>
      <vt:lpstr>COLDVSNA_REAGENT_ADD_RANGE</vt:lpstr>
      <vt:lpstr>COLDVSNA_REAGENT_ADJUSTABLE_AREA</vt:lpstr>
      <vt:lpstr>COLDVSNA_REAGENT_AREA</vt:lpstr>
      <vt:lpstr>COLDVSNA_REAGENT_DELETE_HL_ROW_MARKER</vt:lpstr>
      <vt:lpstr>COLDVSNA_REAGENT_EMPTY_BASE_RANGE</vt:lpstr>
      <vt:lpstr>COLDVSNA_REAGENT_EMPTY_TEMPLATE_RANGE</vt:lpstr>
      <vt:lpstr>COLDVSNA_REAGENT_ITEM_NAMES</vt:lpstr>
      <vt:lpstr>COLDVSNA_REAGENT_NO_ONE_RANGE</vt:lpstr>
      <vt:lpstr>COLDVSNA_REAGENT_NO_OTH_RANGE</vt:lpstr>
      <vt:lpstr>COLDVSNA_REAGENT_NUM_ROW_MARKER</vt:lpstr>
      <vt:lpstr>COLDVSNA_REAGENT_ONE_RANGE</vt:lpstr>
      <vt:lpstr>COLDVSNA_REAGENT_OTH_RANGE</vt:lpstr>
      <vt:lpstr>COLDVSNA_REAGENT_PERIOD_MARKERS</vt:lpstr>
      <vt:lpstr>COLDVSNA_REAGENT_SINGLE_BASE_RANGE</vt:lpstr>
      <vt:lpstr>COLDVSNA_REAGENT_TEMPLATE_RANGE</vt:lpstr>
      <vt:lpstr>COLDVSNA_TRANSMISSION_TARIFF_UNIT</vt:lpstr>
      <vt:lpstr>COLDVSNA_VD_COMPONENTS</vt:lpstr>
      <vt:lpstr>COLDVSNA_VTOV</vt:lpstr>
      <vt:lpstr>DELETE_HL_LIST_MO_COLUMN_MARKER</vt:lpstr>
      <vt:lpstr>DNS</vt:lpstr>
      <vt:lpstr>DPR_AREA_BIND_LIST</vt:lpstr>
      <vt:lpstr>DPR_AREA_TYPE_LIST</vt:lpstr>
      <vt:lpstr>DPR_LIST</vt:lpstr>
      <vt:lpstr>DPR_LIST_RANGE</vt:lpstr>
      <vt:lpstr>FIL_ID</vt:lpstr>
      <vt:lpstr>FIND_OGRN_ASSIST_URL</vt:lpstr>
      <vt:lpstr>FIND_OKPO_ASSIST_URL</vt:lpstr>
      <vt:lpstr>FIND_OPF_ASSIST_URL</vt:lpstr>
      <vt:lpstr>FirstLine</vt:lpstr>
      <vt:lpstr>FULL_STATE_SHARE_OKOPF_LIST</vt:lpstr>
      <vt:lpstr>GEO_BASE_REGION</vt:lpstr>
      <vt:lpstr>god</vt:lpstr>
      <vt:lpstr>HEAT_BAL_PR_4_1_MO_MARKER</vt:lpstr>
      <vt:lpstr>HEAT_BAL_PR_4_3_MO_MARKER</vt:lpstr>
      <vt:lpstr>HEAT_BAL_PR_ADD_HL_MARKER</vt:lpstr>
      <vt:lpstr>HEAT_BAL_PR_ADD_RANGE</vt:lpstr>
      <vt:lpstr>HEAT_BAL_PR_CALC_AREA</vt:lpstr>
      <vt:lpstr>HEAT_BAL_PR_CALC_USER_AREA</vt:lpstr>
      <vt:lpstr>HEAT_BAL_PR_DELETE_HL_COLUMN_MARKER</vt:lpstr>
      <vt:lpstr>HEAT_BAL_PR_EMPTY_ADD_RANGE</vt:lpstr>
      <vt:lpstr>HEAT_BAL_PR_EMPTY_RANGE</vt:lpstr>
      <vt:lpstr>HEAT_BAL_PR_END_COLUMN_MARKER</vt:lpstr>
      <vt:lpstr>HEAT_BAL_PR_ISSUE_FOR_TRANSPORT</vt:lpstr>
      <vt:lpstr>HEAT_BAL_PR_NUM_COLUMN_MARKER</vt:lpstr>
      <vt:lpstr>HEAT_BAL_PR_RANGE</vt:lpstr>
      <vt:lpstr>HEAT_BAL_TR_ADD_HL_MARKER</vt:lpstr>
      <vt:lpstr>HEAT_BAL_TR_ADD_RANGE</vt:lpstr>
      <vt:lpstr>HEAT_BAL_TR_CALC_AREA</vt:lpstr>
      <vt:lpstr>HEAT_BAL_TR_CALC_USER_AREA</vt:lpstr>
      <vt:lpstr>HEAT_BAL_TR_DELETE_HL_COLUMN_MARKER</vt:lpstr>
      <vt:lpstr>HEAT_BAL_TR_EMPTY_ADD_RANGE</vt:lpstr>
      <vt:lpstr>HEAT_BAL_TR_EMPTY_RANGE</vt:lpstr>
      <vt:lpstr>HEAT_BAL_TR_END_COLUMN_MARKER</vt:lpstr>
      <vt:lpstr>HEAT_BAL_TR_NUM_COLUMN_MARKER</vt:lpstr>
      <vt:lpstr>HEAT_BAL_TR_RANGE</vt:lpstr>
      <vt:lpstr>HEAT_CALC_ADD_HL_MARKER</vt:lpstr>
      <vt:lpstr>HEAT_CALC_ADD_RANGE</vt:lpstr>
      <vt:lpstr>HEAT_CALC_AREA</vt:lpstr>
      <vt:lpstr>HEAT_CALC_BALANCE_ROW_MARKER</vt:lpstr>
      <vt:lpstr>HEAT_CALC_CI_ROW_MARKER</vt:lpstr>
      <vt:lpstr>HEAT_CALC_COST_ROW_MARKER</vt:lpstr>
      <vt:lpstr>HEAT_CALC_D_AREA</vt:lpstr>
      <vt:lpstr>HEAT_CALC_DELETE_HL_ROW_MARKER</vt:lpstr>
      <vt:lpstr>HEAT_CALC_ECONOMY_SUM_10_ROW_MARKER</vt:lpstr>
      <vt:lpstr>HEAT_CALC_ECONOMY_SUM_11_ROW_MARKER</vt:lpstr>
      <vt:lpstr>HEAT_CALC_EMPTY_BASE_RANGE</vt:lpstr>
      <vt:lpstr>HEAT_CALC_EXTENDED_AREA</vt:lpstr>
      <vt:lpstr>HEAT_CALC_EXTENDED_PR_AREA</vt:lpstr>
      <vt:lpstr>HEAT_CALC_EXTENDED_SALARY_FIELDS_CAN_BE_MISSED</vt:lpstr>
      <vt:lpstr>HEAT_CALC_EXTENDED_SL_AREA</vt:lpstr>
      <vt:lpstr>HEAT_CALC_EXTENDED_TR_AREA</vt:lpstr>
      <vt:lpstr>HEAT_CALC_INV_DATA_CN</vt:lpstr>
      <vt:lpstr>HEAT_CALC_INV_DATA_INTEGRITY_STATUS</vt:lpstr>
      <vt:lpstr>HEAT_CALC_INV_DATA_IP</vt:lpstr>
      <vt:lpstr>HEAT_CALC_IP_EXCEPT_CN_1_ROW_MARKER</vt:lpstr>
      <vt:lpstr>HEAT_CALC_IP_EXCEPT_CN_4_ROW_MARKER</vt:lpstr>
      <vt:lpstr>HEAT_CALC_IP_EXCEPT_CN_TTL_ROW_MARKER</vt:lpstr>
      <vt:lpstr>HEAT_CALC_IP_INCLUDE_CN_1_ROW_MARKER</vt:lpstr>
      <vt:lpstr>HEAT_CALC_IP_INCLUDE_CN_4_ROW_MARKER</vt:lpstr>
      <vt:lpstr>HEAT_CALC_IP_INCLUDE_CN_TTL_ROW_MARKER</vt:lpstr>
      <vt:lpstr>HEAT_CALC_ITEM_NAMES</vt:lpstr>
      <vt:lpstr>HEAT_CALC_NUM_ROW_MARKER</vt:lpstr>
      <vt:lpstr>HEAT_CALC_PERIOD_MARKERS</vt:lpstr>
      <vt:lpstr>HEAT_CALC_RESULT_BY_ORG_CAN_BE_NONZERO_LIST</vt:lpstr>
      <vt:lpstr>HEAT_CALC_RESULT_ROW_MARKER</vt:lpstr>
      <vt:lpstr>HEAT_CALC_SINGLE_BASE_RANGE</vt:lpstr>
      <vt:lpstr>HEAT_CALC_TF_APPLY_OPTION</vt:lpstr>
      <vt:lpstr>HEAT_CALC_VLD_BENEFIT_CI_STATUS</vt:lpstr>
      <vt:lpstr>HEAT_FILTER_OBJECTS_BY_INN</vt:lpstr>
      <vt:lpstr>HEAT_FUEL_ADD_HL_MARKER</vt:lpstr>
      <vt:lpstr>HEAT_FUEL_ADD_RANGE</vt:lpstr>
      <vt:lpstr>HEAT_FUEL_ADJUSTABLE_AREA</vt:lpstr>
      <vt:lpstr>HEAT_FUEL_AREA</vt:lpstr>
      <vt:lpstr>HEAT_FUEL_BY_ORG_CAN_BE_SKIPPED_LIST</vt:lpstr>
      <vt:lpstr>HEAT_FUEL_COST_AREA</vt:lpstr>
      <vt:lpstr>HEAT_FUEL_DELETE_HL_ROW_MARKER</vt:lpstr>
      <vt:lpstr>HEAT_FUEL_EMPTY_BASE_RANGE</vt:lpstr>
      <vt:lpstr>HEAT_FUEL_ITEM_NAMES</vt:lpstr>
      <vt:lpstr>HEAT_FUEL_NFV_AREA</vt:lpstr>
      <vt:lpstr>HEAT_FUEL_NUM_ROW_MARKER</vt:lpstr>
      <vt:lpstr>HEAT_FUEL_PERIOD_MARKERS</vt:lpstr>
      <vt:lpstr>HEAT_FUEL_SINGLE_BASE_RANGE</vt:lpstr>
      <vt:lpstr>HEAT_FUEL_TEMPLATE_RANGE</vt:lpstr>
      <vt:lpstr>HEAT_FUEL_TOTAL_ISSUE_HW_AREA</vt:lpstr>
      <vt:lpstr>HEAT_MANUAL_TARIFF_ON_CALC</vt:lpstr>
      <vt:lpstr>HEAT_MAX_COST_VALUE</vt:lpstr>
      <vt:lpstr>HEAT_MAX_LEN</vt:lpstr>
      <vt:lpstr>HEAT_MAX_PRICE_NO_TR_COAA</vt:lpstr>
      <vt:lpstr>HEAT_MAX_PRICE_NO_TR_COAANT</vt:lpstr>
      <vt:lpstr>HEAT_MAX_PRICE_NO_TR_COAB</vt:lpstr>
      <vt:lpstr>HEAT_MAX_PRICE_NO_TR_COABRN</vt:lpstr>
      <vt:lpstr>HEAT_MAX_PRICE_NO_TR_COAC</vt:lpstr>
      <vt:lpstr>HEAT_MAX_PRICE_NO_TR_COACOK</vt:lpstr>
      <vt:lpstr>HEAT_MAX_PRICE_NO_TR_COACOKFAT</vt:lpstr>
      <vt:lpstr>HEAT_MAX_PRICE_NO_TR_COACOKWBK</vt:lpstr>
      <vt:lpstr>HEAT_MAX_PRICE_NO_TR_COACOKWBKLMM</vt:lpstr>
      <vt:lpstr>HEAT_MAX_PRICE_NO_TR_COACOKWEA</vt:lpstr>
      <vt:lpstr>HEAT_MAX_PRICE_NO_TR_COAF</vt:lpstr>
      <vt:lpstr>HEAT_MAX_PRICE_NO_TR_COAFAT</vt:lpstr>
      <vt:lpstr>HEAT_MAX_PRICE_NO_TR_COAG</vt:lpstr>
      <vt:lpstr>HEAT_MAX_PRICE_NO_TR_COAGAS</vt:lpstr>
      <vt:lpstr>HEAT_MAX_PRICE_NO_TR_COAGASFAT</vt:lpstr>
      <vt:lpstr>HEAT_MAX_PRICE_NO_TR_COAGASFATWEA</vt:lpstr>
      <vt:lpstr>HEAT_MAX_PRICE_NO_TR_COALF</vt:lpstr>
      <vt:lpstr>HEAT_MAX_PRICE_NO_TR_COALFM</vt:lpstr>
      <vt:lpstr>HEAT_MAX_PRICE_NO_TR_COALFMGAS</vt:lpstr>
      <vt:lpstr>HEAT_MAX_PRICE_NO_TR_COAS</vt:lpstr>
      <vt:lpstr>HEAT_MAX_PRICE_NO_TR_COASC</vt:lpstr>
      <vt:lpstr>HEAT_MAX_PRICE_NO_TR_COASKN</vt:lpstr>
      <vt:lpstr>HEAT_MAX_PRICE_NO_TR_COASKNBKD</vt:lpstr>
      <vt:lpstr>HEAT_MAX_PRICE_NO_TR_COAWBK</vt:lpstr>
      <vt:lpstr>HEAT_MAX_PRICE_NO_TR_COAWC</vt:lpstr>
      <vt:lpstr>HEAT_MAX_PRICE_NO_TR_COAWEABKD</vt:lpstr>
      <vt:lpstr>HEAT_MAX_PRICE_NO_TR_CWD</vt:lpstr>
      <vt:lpstr>HEAT_MAX_PRICE_NO_TR_DSG</vt:lpstr>
      <vt:lpstr>HEAT_MAX_PRICE_NO_TR_DSLA</vt:lpstr>
      <vt:lpstr>HEAT_MAX_PRICE_NO_TR_DSLO</vt:lpstr>
      <vt:lpstr>HEAT_MAX_PRICE_NO_TR_DSLS</vt:lpstr>
      <vt:lpstr>HEAT_MAX_PRICE_NO_TR_DSLW</vt:lpstr>
      <vt:lpstr>HEAT_MAX_PRICE_NO_TR_ENR</vt:lpstr>
      <vt:lpstr>HEAT_MAX_PRICE_NO_TR_GBL</vt:lpstr>
      <vt:lpstr>HEAT_MAX_PRICE_NO_TR_GCK</vt:lpstr>
      <vt:lpstr>HEAT_MAX_PRICE_NO_TR_GCN</vt:lpstr>
      <vt:lpstr>HEAT_MAX_PRICE_NO_TR_GOA</vt:lpstr>
      <vt:lpstr>HEAT_MAX_PRICE_NO_TR_LNG</vt:lpstr>
      <vt:lpstr>HEAT_MAX_PRICE_NO_TR_MSTF12</vt:lpstr>
      <vt:lpstr>HEAT_MAX_PRICE_NO_TR_MSTF5</vt:lpstr>
      <vt:lpstr>HEAT_MAX_PRICE_NO_TR_MSTM100</vt:lpstr>
      <vt:lpstr>HEAT_MAX_PRICE_NO_TR_MSTM200</vt:lpstr>
      <vt:lpstr>HEAT_MAX_PRICE_NO_TR_MSTM40</vt:lpstr>
      <vt:lpstr>HEAT_MAX_PRICE_NO_TR_MSTT</vt:lpstr>
      <vt:lpstr>HEAT_MAX_PRICE_NO_TR_NGC</vt:lpstr>
      <vt:lpstr>HEAT_MAX_PRICE_NO_TR_NGL</vt:lpstr>
      <vt:lpstr>HEAT_MAX_PRICE_NO_TR_NGU</vt:lpstr>
      <vt:lpstr>HEAT_MAX_PRICE_NO_TR_OIL</vt:lpstr>
      <vt:lpstr>HEAT_MAX_PRICE_NO_TR_PEA</vt:lpstr>
      <vt:lpstr>HEAT_MAX_PRICE_NO_TR_PLT</vt:lpstr>
      <vt:lpstr>HEAT_MAX_PRICE_NO_TR_PWR</vt:lpstr>
      <vt:lpstr>HEAT_MAX_PRICE_NO_TR_SAW</vt:lpstr>
      <vt:lpstr>HEAT_MAX_PRICE_NO_TR_SHL</vt:lpstr>
      <vt:lpstr>HEAT_MAX_PRICE_NO_TR_STF</vt:lpstr>
      <vt:lpstr>HEAT_MAX_PRICE_NO_TR_WDS</vt:lpstr>
      <vt:lpstr>HEAT_MAX_PRICE_TR_COAA</vt:lpstr>
      <vt:lpstr>HEAT_MAX_PRICE_TR_COAANT</vt:lpstr>
      <vt:lpstr>HEAT_MAX_PRICE_TR_COAB</vt:lpstr>
      <vt:lpstr>HEAT_MAX_PRICE_TR_COABRN</vt:lpstr>
      <vt:lpstr>HEAT_MAX_PRICE_TR_COAC</vt:lpstr>
      <vt:lpstr>HEAT_MAX_PRICE_TR_COACOK</vt:lpstr>
      <vt:lpstr>HEAT_MAX_PRICE_TR_COACOKFAT</vt:lpstr>
      <vt:lpstr>HEAT_MAX_PRICE_TR_COACOKWBK</vt:lpstr>
      <vt:lpstr>HEAT_MAX_PRICE_TR_COACOKWBKLMM</vt:lpstr>
      <vt:lpstr>HEAT_MAX_PRICE_TR_COACOKWEA</vt:lpstr>
      <vt:lpstr>HEAT_MAX_PRICE_TR_COAF</vt:lpstr>
      <vt:lpstr>HEAT_MAX_PRICE_TR_COAFAT</vt:lpstr>
      <vt:lpstr>HEAT_MAX_PRICE_TR_COAG</vt:lpstr>
      <vt:lpstr>HEAT_MAX_PRICE_TR_COAGAS</vt:lpstr>
      <vt:lpstr>HEAT_MAX_PRICE_TR_COAGASFAT</vt:lpstr>
      <vt:lpstr>HEAT_MAX_PRICE_TR_COAGASFATWEA</vt:lpstr>
      <vt:lpstr>HEAT_MAX_PRICE_TR_COALF</vt:lpstr>
      <vt:lpstr>HEAT_MAX_PRICE_TR_COALFM</vt:lpstr>
      <vt:lpstr>HEAT_MAX_PRICE_TR_COALFMGAS</vt:lpstr>
      <vt:lpstr>HEAT_MAX_PRICE_TR_COAS</vt:lpstr>
      <vt:lpstr>HEAT_MAX_PRICE_TR_COASC</vt:lpstr>
      <vt:lpstr>HEAT_MAX_PRICE_TR_COASKN</vt:lpstr>
      <vt:lpstr>HEAT_MAX_PRICE_TR_COASKNBKD</vt:lpstr>
      <vt:lpstr>HEAT_MAX_PRICE_TR_COAWBK</vt:lpstr>
      <vt:lpstr>HEAT_MAX_PRICE_TR_COAWC</vt:lpstr>
      <vt:lpstr>HEAT_MAX_PRICE_TR_COAWEABKD</vt:lpstr>
      <vt:lpstr>HEAT_MAX_PRICE_TR_CWD</vt:lpstr>
      <vt:lpstr>HEAT_MAX_PRICE_TR_DSG</vt:lpstr>
      <vt:lpstr>HEAT_MAX_PRICE_TR_DSLA</vt:lpstr>
      <vt:lpstr>HEAT_MAX_PRICE_TR_DSLO</vt:lpstr>
      <vt:lpstr>HEAT_MAX_PRICE_TR_DSLS</vt:lpstr>
      <vt:lpstr>HEAT_MAX_PRICE_TR_DSLW</vt:lpstr>
      <vt:lpstr>HEAT_MAX_PRICE_TR_ENR</vt:lpstr>
      <vt:lpstr>HEAT_MAX_PRICE_TR_GBL</vt:lpstr>
      <vt:lpstr>HEAT_MAX_PRICE_TR_GCK</vt:lpstr>
      <vt:lpstr>HEAT_MAX_PRICE_TR_GCN</vt:lpstr>
      <vt:lpstr>HEAT_MAX_PRICE_TR_GOA</vt:lpstr>
      <vt:lpstr>HEAT_MAX_PRICE_TR_LNG</vt:lpstr>
      <vt:lpstr>HEAT_MAX_PRICE_TR_MSTF12</vt:lpstr>
      <vt:lpstr>HEAT_MAX_PRICE_TR_MSTF5</vt:lpstr>
      <vt:lpstr>HEAT_MAX_PRICE_TR_MSTM100</vt:lpstr>
      <vt:lpstr>HEAT_MAX_PRICE_TR_MSTM200</vt:lpstr>
      <vt:lpstr>HEAT_MAX_PRICE_TR_MSTM40</vt:lpstr>
      <vt:lpstr>HEAT_MAX_PRICE_TR_MSTT</vt:lpstr>
      <vt:lpstr>HEAT_MAX_PRICE_TR_NGC</vt:lpstr>
      <vt:lpstr>HEAT_MAX_PRICE_TR_NGL</vt:lpstr>
      <vt:lpstr>HEAT_MAX_PRICE_TR_NGU</vt:lpstr>
      <vt:lpstr>HEAT_MAX_PRICE_TR_OIL</vt:lpstr>
      <vt:lpstr>HEAT_MAX_PRICE_TR_PEA</vt:lpstr>
      <vt:lpstr>HEAT_MAX_PRICE_TR_PLT</vt:lpstr>
      <vt:lpstr>HEAT_MAX_PRICE_TR_PWR</vt:lpstr>
      <vt:lpstr>HEAT_MAX_PRICE_TR_SAW</vt:lpstr>
      <vt:lpstr>HEAT_MAX_PRICE_TR_SHL</vt:lpstr>
      <vt:lpstr>HEAT_MAX_PRICE_TR_STF</vt:lpstr>
      <vt:lpstr>HEAT_MAX_PRICE_TR_WDS</vt:lpstr>
      <vt:lpstr>HEAT_MIN_COST_VALUE</vt:lpstr>
      <vt:lpstr>HEAT_MIN_LEN</vt:lpstr>
      <vt:lpstr>HEAT_MIN_PRICE_NO_TR_COAA</vt:lpstr>
      <vt:lpstr>HEAT_MIN_PRICE_NO_TR_COAANT</vt:lpstr>
      <vt:lpstr>HEAT_MIN_PRICE_NO_TR_COAB</vt:lpstr>
      <vt:lpstr>HEAT_MIN_PRICE_NO_TR_COABRN</vt:lpstr>
      <vt:lpstr>HEAT_MIN_PRICE_NO_TR_COAC</vt:lpstr>
      <vt:lpstr>HEAT_MIN_PRICE_NO_TR_COACOK</vt:lpstr>
      <vt:lpstr>HEAT_MIN_PRICE_NO_TR_COACOKFAT</vt:lpstr>
      <vt:lpstr>HEAT_MIN_PRICE_NO_TR_COACOKWBK</vt:lpstr>
      <vt:lpstr>HEAT_MIN_PRICE_NO_TR_COACOKWBKLMM</vt:lpstr>
      <vt:lpstr>HEAT_MIN_PRICE_NO_TR_COACOKWEA</vt:lpstr>
      <vt:lpstr>HEAT_MIN_PRICE_NO_TR_COAF</vt:lpstr>
      <vt:lpstr>HEAT_MIN_PRICE_NO_TR_COAFAT</vt:lpstr>
      <vt:lpstr>HEAT_MIN_PRICE_NO_TR_COAG</vt:lpstr>
      <vt:lpstr>HEAT_MIN_PRICE_NO_TR_COAGAS</vt:lpstr>
      <vt:lpstr>HEAT_MIN_PRICE_NO_TR_COAGASFAT</vt:lpstr>
      <vt:lpstr>HEAT_MIN_PRICE_NO_TR_COAGASFATWEA</vt:lpstr>
      <vt:lpstr>HEAT_MIN_PRICE_NO_TR_COALF</vt:lpstr>
      <vt:lpstr>HEAT_MIN_PRICE_NO_TR_COALFM</vt:lpstr>
      <vt:lpstr>HEAT_MIN_PRICE_NO_TR_COALFMGAS</vt:lpstr>
      <vt:lpstr>HEAT_MIN_PRICE_NO_TR_COAS</vt:lpstr>
      <vt:lpstr>HEAT_MIN_PRICE_NO_TR_COASC</vt:lpstr>
      <vt:lpstr>HEAT_MIN_PRICE_NO_TR_COASKN</vt:lpstr>
      <vt:lpstr>HEAT_MIN_PRICE_NO_TR_COASKNBKD</vt:lpstr>
      <vt:lpstr>HEAT_MIN_PRICE_NO_TR_COAWBK</vt:lpstr>
      <vt:lpstr>HEAT_MIN_PRICE_NO_TR_COAWC</vt:lpstr>
      <vt:lpstr>HEAT_MIN_PRICE_NO_TR_COAWEABKD</vt:lpstr>
      <vt:lpstr>HEAT_MIN_PRICE_NO_TR_CWD</vt:lpstr>
      <vt:lpstr>HEAT_MIN_PRICE_NO_TR_DSG</vt:lpstr>
      <vt:lpstr>HEAT_MIN_PRICE_NO_TR_DSLA</vt:lpstr>
      <vt:lpstr>HEAT_MIN_PRICE_NO_TR_DSLO</vt:lpstr>
      <vt:lpstr>HEAT_MIN_PRICE_NO_TR_DSLS</vt:lpstr>
      <vt:lpstr>HEAT_MIN_PRICE_NO_TR_DSLW</vt:lpstr>
      <vt:lpstr>HEAT_MIN_PRICE_NO_TR_ENR</vt:lpstr>
      <vt:lpstr>HEAT_MIN_PRICE_NO_TR_GBL</vt:lpstr>
      <vt:lpstr>HEAT_MIN_PRICE_NO_TR_GCK</vt:lpstr>
      <vt:lpstr>HEAT_MIN_PRICE_NO_TR_GCN</vt:lpstr>
      <vt:lpstr>HEAT_MIN_PRICE_NO_TR_GOA</vt:lpstr>
      <vt:lpstr>HEAT_MIN_PRICE_NO_TR_LNG</vt:lpstr>
      <vt:lpstr>HEAT_MIN_PRICE_NO_TR_MSTF12</vt:lpstr>
      <vt:lpstr>HEAT_MIN_PRICE_NO_TR_MSTF5</vt:lpstr>
      <vt:lpstr>HEAT_MIN_PRICE_NO_TR_MSTM100</vt:lpstr>
      <vt:lpstr>HEAT_MIN_PRICE_NO_TR_MSTM200</vt:lpstr>
      <vt:lpstr>HEAT_MIN_PRICE_NO_TR_MSTM40</vt:lpstr>
      <vt:lpstr>HEAT_MIN_PRICE_NO_TR_MSTT</vt:lpstr>
      <vt:lpstr>HEAT_MIN_PRICE_NO_TR_NGC</vt:lpstr>
      <vt:lpstr>HEAT_MIN_PRICE_NO_TR_NGL</vt:lpstr>
      <vt:lpstr>HEAT_MIN_PRICE_NO_TR_NGU</vt:lpstr>
      <vt:lpstr>HEAT_MIN_PRICE_NO_TR_OIL</vt:lpstr>
      <vt:lpstr>HEAT_MIN_PRICE_NO_TR_PEA</vt:lpstr>
      <vt:lpstr>HEAT_MIN_PRICE_NO_TR_PLT</vt:lpstr>
      <vt:lpstr>HEAT_MIN_PRICE_NO_TR_PWR</vt:lpstr>
      <vt:lpstr>HEAT_MIN_PRICE_NO_TR_SAW</vt:lpstr>
      <vt:lpstr>HEAT_MIN_PRICE_NO_TR_SHL</vt:lpstr>
      <vt:lpstr>HEAT_MIN_PRICE_NO_TR_STF</vt:lpstr>
      <vt:lpstr>HEAT_MIN_PRICE_NO_TR_WDS</vt:lpstr>
      <vt:lpstr>HEAT_MIN_PRICE_TR_COAA</vt:lpstr>
      <vt:lpstr>HEAT_MIN_PRICE_TR_COAANT</vt:lpstr>
      <vt:lpstr>HEAT_MIN_PRICE_TR_COAB</vt:lpstr>
      <vt:lpstr>HEAT_MIN_PRICE_TR_COABRN</vt:lpstr>
      <vt:lpstr>HEAT_MIN_PRICE_TR_COAC</vt:lpstr>
      <vt:lpstr>HEAT_MIN_PRICE_TR_COACOK</vt:lpstr>
      <vt:lpstr>HEAT_MIN_PRICE_TR_COACOKFAT</vt:lpstr>
      <vt:lpstr>HEAT_MIN_PRICE_TR_COACOKWBK</vt:lpstr>
      <vt:lpstr>HEAT_MIN_PRICE_TR_COACOKWBKLMM</vt:lpstr>
      <vt:lpstr>HEAT_MIN_PRICE_TR_COACOKWEA</vt:lpstr>
      <vt:lpstr>HEAT_MIN_PRICE_TR_COAF</vt:lpstr>
      <vt:lpstr>HEAT_MIN_PRICE_TR_COAFAT</vt:lpstr>
      <vt:lpstr>HEAT_MIN_PRICE_TR_COAG</vt:lpstr>
      <vt:lpstr>HEAT_MIN_PRICE_TR_COAGAS</vt:lpstr>
      <vt:lpstr>HEAT_MIN_PRICE_TR_COAGASFAT</vt:lpstr>
      <vt:lpstr>HEAT_MIN_PRICE_TR_COAGASFATWEA</vt:lpstr>
      <vt:lpstr>HEAT_MIN_PRICE_TR_COALF</vt:lpstr>
      <vt:lpstr>HEAT_MIN_PRICE_TR_COALFM</vt:lpstr>
      <vt:lpstr>HEAT_MIN_PRICE_TR_COALFMGAS</vt:lpstr>
      <vt:lpstr>HEAT_MIN_PRICE_TR_COAS</vt:lpstr>
      <vt:lpstr>HEAT_MIN_PRICE_TR_COASC</vt:lpstr>
      <vt:lpstr>HEAT_MIN_PRICE_TR_COASKN</vt:lpstr>
      <vt:lpstr>HEAT_MIN_PRICE_TR_COASKNBKD</vt:lpstr>
      <vt:lpstr>HEAT_MIN_PRICE_TR_COAWBK</vt:lpstr>
      <vt:lpstr>HEAT_MIN_PRICE_TR_COAWC</vt:lpstr>
      <vt:lpstr>HEAT_MIN_PRICE_TR_COAWEABKD</vt:lpstr>
      <vt:lpstr>HEAT_MIN_PRICE_TR_CWD</vt:lpstr>
      <vt:lpstr>HEAT_MIN_PRICE_TR_DSG</vt:lpstr>
      <vt:lpstr>HEAT_MIN_PRICE_TR_DSLA</vt:lpstr>
      <vt:lpstr>HEAT_MIN_PRICE_TR_DSLO</vt:lpstr>
      <vt:lpstr>HEAT_MIN_PRICE_TR_DSLS</vt:lpstr>
      <vt:lpstr>HEAT_MIN_PRICE_TR_DSLW</vt:lpstr>
      <vt:lpstr>HEAT_MIN_PRICE_TR_ENR</vt:lpstr>
      <vt:lpstr>HEAT_MIN_PRICE_TR_GBL</vt:lpstr>
      <vt:lpstr>HEAT_MIN_PRICE_TR_GCK</vt:lpstr>
      <vt:lpstr>HEAT_MIN_PRICE_TR_GCN</vt:lpstr>
      <vt:lpstr>HEAT_MIN_PRICE_TR_GOA</vt:lpstr>
      <vt:lpstr>HEAT_MIN_PRICE_TR_LNG</vt:lpstr>
      <vt:lpstr>HEAT_MIN_PRICE_TR_MSTF12</vt:lpstr>
      <vt:lpstr>HEAT_MIN_PRICE_TR_MSTF5</vt:lpstr>
      <vt:lpstr>HEAT_MIN_PRICE_TR_MSTM100</vt:lpstr>
      <vt:lpstr>HEAT_MIN_PRICE_TR_MSTM200</vt:lpstr>
      <vt:lpstr>HEAT_MIN_PRICE_TR_MSTM40</vt:lpstr>
      <vt:lpstr>HEAT_MIN_PRICE_TR_MSTT</vt:lpstr>
      <vt:lpstr>HEAT_MIN_PRICE_TR_NGC</vt:lpstr>
      <vt:lpstr>HEAT_MIN_PRICE_TR_NGL</vt:lpstr>
      <vt:lpstr>HEAT_MIN_PRICE_TR_NGU</vt:lpstr>
      <vt:lpstr>HEAT_MIN_PRICE_TR_OIL</vt:lpstr>
      <vt:lpstr>HEAT_MIN_PRICE_TR_PEA</vt:lpstr>
      <vt:lpstr>HEAT_MIN_PRICE_TR_PLT</vt:lpstr>
      <vt:lpstr>HEAT_MIN_PRICE_TR_PWR</vt:lpstr>
      <vt:lpstr>HEAT_MIN_PRICE_TR_SAW</vt:lpstr>
      <vt:lpstr>HEAT_MIN_PRICE_TR_SHL</vt:lpstr>
      <vt:lpstr>HEAT_MIN_PRICE_TR_STF</vt:lpstr>
      <vt:lpstr>HEAT_MIN_PRICE_TR_WDS</vt:lpstr>
      <vt:lpstr>HEAT_NO_FUEL_IN_SRC_LIST</vt:lpstr>
      <vt:lpstr>HEAT_PRODUCTION_TYPE_LIST</vt:lpstr>
      <vt:lpstr>HEAT_TARIFF_OPTIONS_DATA_AREA</vt:lpstr>
      <vt:lpstr>HEAT_TARIFF_OPTIONS_DATA_COLUMN_MARKER</vt:lpstr>
      <vt:lpstr>HEAT_TRANSMISSION_TARIFF_UNIT</vt:lpstr>
      <vt:lpstr>HEAT_VD_COMPONENTS</vt:lpstr>
      <vt:lpstr>INN</vt:lpstr>
      <vt:lpstr>INN_ID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INV1X_LIST_IP_RANGE_HEADERS</vt:lpstr>
      <vt:lpstr>IP_LIST</vt:lpstr>
      <vt:lpstr>IP_NAME_LIST</vt:lpstr>
      <vt:lpstr>IpGeoBaseRegions</vt:lpstr>
      <vt:lpstr>IS_PROFILE_ACTIVITY</vt:lpstr>
      <vt:lpstr>KPP</vt:lpstr>
      <vt:lpstr>KPP_ID</vt:lpstr>
      <vt:lpstr>LastUpdateDate_CNCSN</vt:lpstr>
      <vt:lpstr>LastUpdateDate_INDICATORS</vt:lpstr>
      <vt:lpstr>LastUpdateDate_IP</vt:lpstr>
      <vt:lpstr>LastUpdateDate_MO</vt:lpstr>
      <vt:lpstr>LastUpdateDate_ORG</vt:lpstr>
      <vt:lpstr>LastUpdateDate_PLAN_PREV</vt:lpstr>
      <vt:lpstr>LastUpdateDate_SRC</vt:lpstr>
      <vt:lpstr>LIST_CNCSN_ADD_HL_MARKER</vt:lpstr>
      <vt:lpstr>LIST_CNCSN_ADD_OBJECT_RANGE</vt:lpstr>
      <vt:lpstr>LIST_CNCSN_ADD_RANGE</vt:lpstr>
      <vt:lpstr>LIST_CNCSN_ADD_SUBOBJECT_RANGE</vt:lpstr>
      <vt:lpstr>LIST_CNCSN_CALC_AREA</vt:lpstr>
      <vt:lpstr>LIST_CNCSN_DATE_AREA</vt:lpstr>
      <vt:lpstr>LIST_CNCSN_DELETE_HL_COLUMN_MARKER</vt:lpstr>
      <vt:lpstr>LIST_CNCSN_HORISONTAL_AREA</vt:lpstr>
      <vt:lpstr>LIST_CNCSN_IP_NAMES_AREA</vt:lpstr>
      <vt:lpstr>LIST_CNCSN_IP_RQT_URL_AREA</vt:lpstr>
      <vt:lpstr>LIST_CNCSN_NAMES_AREA</vt:lpstr>
      <vt:lpstr>LIST_CNCSN_NUM_COLUMN_MARKER</vt:lpstr>
      <vt:lpstr>LIST_CNCSN_NUMERIC_AREA</vt:lpstr>
      <vt:lpstr>LIST_CNCSN_OBJECT_DELETE_HL_COLUMN_MARKER</vt:lpstr>
      <vt:lpstr>LIST_CNCSN_OBJECT_NUM_COLUMN_MARKER</vt:lpstr>
      <vt:lpstr>LIST_CNCSN_RQT_DATE_AREA</vt:lpstr>
      <vt:lpstr>LIST_CNCSN_RQT_TYPE_AREA</vt:lpstr>
      <vt:lpstr>LIST_CNCSN_RQT_URL_AREA</vt:lpstr>
      <vt:lpstr>LIST_CNCSN_SEARCH_AREA</vt:lpstr>
      <vt:lpstr>LIST_CNCSN_SUBOBJECT_DELETE_HL_COLUMN_MARKER</vt:lpstr>
      <vt:lpstr>LIST_CNCSN_SUBOBJECT_NUM_COLUMN_MARKER</vt:lpstr>
      <vt:lpstr>LIST_CNCSN_TYPE_AREA</vt:lpstr>
      <vt:lpstr>LIST_CNCSN_VLD_AREA</vt:lpstr>
      <vt:lpstr>LIST_CNCSN_VOTV_SPECIFIC_CNI_FACT</vt:lpstr>
      <vt:lpstr>LIST_CNCSN_VOTV_SPECIFIC_CNI_FACT_AREA</vt:lpstr>
      <vt:lpstr>LIST_CNCSN_VOTV_SPECIFIC_CNI_PLAN</vt:lpstr>
      <vt:lpstr>LIST_LOCATIONS</vt:lpstr>
      <vt:lpstr>LIST_MO_AREA</vt:lpstr>
      <vt:lpstr>LIST_MO_CALC_AREA</vt:lpstr>
      <vt:lpstr>LIST_MO_COLDVSNA_ADD_RANGE</vt:lpstr>
      <vt:lpstr>LIST_MO_COLDVSNA_FEATURES</vt:lpstr>
      <vt:lpstr>LIST_MO_COLDVSNA_VTOV_AREA</vt:lpstr>
      <vt:lpstr>LIST_MO_DPR_AREA</vt:lpstr>
      <vt:lpstr>LIST_MO_HEAT_ADD_RANGE</vt:lpstr>
      <vt:lpstr>LIST_MO_HEAT_FEATURES</vt:lpstr>
      <vt:lpstr>LIST_MO_HEAT_VTOV_AREA</vt:lpstr>
      <vt:lpstr>LIST_MO_HORISONTAL_AREA</vt:lpstr>
      <vt:lpstr>LIST_MO_MONTH_TTL_AREA</vt:lpstr>
      <vt:lpstr>LIST_MO_MONTH_TTL_CALC_AREA</vt:lpstr>
      <vt:lpstr>LIST_MO_PARAMETERS_AREA</vt:lpstr>
      <vt:lpstr>LIST_MO_SRC_AREA</vt:lpstr>
      <vt:lpstr>LIST_MO_TAX_AREA</vt:lpstr>
      <vt:lpstr>LIST_MO_TRANSMISSION_TARIFF_AREA</vt:lpstr>
      <vt:lpstr>LIST_MO_TYPE_AREA</vt:lpstr>
      <vt:lpstr>LIST_MO_VLD_DATASTORE_AREA</vt:lpstr>
      <vt:lpstr>LIST_MO_VOTV_ADD_RANGE</vt:lpstr>
      <vt:lpstr>LIST_MO_VOTV_FEATURES</vt:lpstr>
      <vt:lpstr>LIST_MO_VOTV_VTOV_AREA</vt:lpstr>
      <vt:lpstr>LIST_MR_AREA</vt:lpstr>
      <vt:lpstr>LIST_MR_MO_OKTMO</vt:lpstr>
      <vt:lpstr>LIST_OKTMO_AREA</vt:lpstr>
      <vt:lpstr>LIST_ORG_HEAT</vt:lpstr>
      <vt:lpstr>LIST_PPL_TM_ADD_HL_MARKER</vt:lpstr>
      <vt:lpstr>LIST_PPL_TM_ADD_OBJECT_RANGE</vt:lpstr>
      <vt:lpstr>LIST_PPL_TM_ADD_RANGE</vt:lpstr>
      <vt:lpstr>LIST_PPL_TM_CALC_AREA</vt:lpstr>
      <vt:lpstr>LIST_PPL_TM_CALC_SUM_AREA</vt:lpstr>
      <vt:lpstr>LIST_PPL_TM_COLDVSNA_ADD_RANGE</vt:lpstr>
      <vt:lpstr>LIST_PPL_TM_DELETE_HL_COLUMN_MARKER</vt:lpstr>
      <vt:lpstr>LIST_PPL_TM_FACT_SUM_AREA</vt:lpstr>
      <vt:lpstr>LIST_PPL_TM_HEAT_ADD_RANGE</vt:lpstr>
      <vt:lpstr>LIST_PPL_TM_HORISONTAL_AREA</vt:lpstr>
      <vt:lpstr>LIST_PPL_TM_MO_AREA</vt:lpstr>
      <vt:lpstr>LIST_PPL_TM_MO_TYPE_AREA</vt:lpstr>
      <vt:lpstr>LIST_PPL_TM_MONTH_PPL_CALC_AREA</vt:lpstr>
      <vt:lpstr>LIST_PPL_TM_MR_AREA</vt:lpstr>
      <vt:lpstr>LIST_PPL_TM_NUM_COLUMN_MARKER</vt:lpstr>
      <vt:lpstr>LIST_PPL_TM_OBJECT_DELETE_HL_COLUMN_MARKER</vt:lpstr>
      <vt:lpstr>LIST_PPL_TM_OBJECT_NUM_COLUMN_MARKER</vt:lpstr>
      <vt:lpstr>LIST_PPL_TM_OKTMO_AREA</vt:lpstr>
      <vt:lpstr>LIST_PPL_TM_RQT_DATE_AREA</vt:lpstr>
      <vt:lpstr>LIST_PPL_TM_RQT_URL_AREA</vt:lpstr>
      <vt:lpstr>LIST_PPL_TM_TARIFF_AREA</vt:lpstr>
      <vt:lpstr>LIST_PPL_TM_TF_DPR_AREA</vt:lpstr>
      <vt:lpstr>LIST_PPL_TM_VLM_CALC_AREA</vt:lpstr>
      <vt:lpstr>LIST_PPL_TM_VLM_TOTAL</vt:lpstr>
      <vt:lpstr>LIST_PPL_TM_VLM_TOTAL_AREA</vt:lpstr>
      <vt:lpstr>LIST_PPL_TM_VOTV_ADD_RANGE</vt:lpstr>
      <vt:lpstr>LIST_SRC_ADD_HL_MARKER</vt:lpstr>
      <vt:lpstr>LIST_SRC_ADD_OBJECT_RANGE</vt:lpstr>
      <vt:lpstr>LIST_SRC_ADD_RANGE</vt:lpstr>
      <vt:lpstr>LIST_SRC_CALC_AREA</vt:lpstr>
      <vt:lpstr>LIST_SRC_DELETE_HL_COLUMN_MARKER</vt:lpstr>
      <vt:lpstr>LIST_SRC_FUEL_LIST_AREA</vt:lpstr>
      <vt:lpstr>LIST_SRC_HORISONTAL_AREA</vt:lpstr>
      <vt:lpstr>LIST_SRC_NUM_COLUMN_MARKER</vt:lpstr>
      <vt:lpstr>LIST_SRC_OBJECT_DELETE_HL_COLUMN_MARKER</vt:lpstr>
      <vt:lpstr>LIST_SRC_OBJECT_NUM_COLUMN_MARKER</vt:lpstr>
      <vt:lpstr>LOCATION_22502000</vt:lpstr>
      <vt:lpstr>LOCATION_22505000</vt:lpstr>
      <vt:lpstr>LOCATION_22507000</vt:lpstr>
      <vt:lpstr>LOCATION_22509000</vt:lpstr>
      <vt:lpstr>LOCATION_22510000</vt:lpstr>
      <vt:lpstr>LOCATION_22512000</vt:lpstr>
      <vt:lpstr>LOCATION_22514000</vt:lpstr>
      <vt:lpstr>LOCATION_22515000</vt:lpstr>
      <vt:lpstr>LOCATION_22517000</vt:lpstr>
      <vt:lpstr>LOCATION_22518000</vt:lpstr>
      <vt:lpstr>LOCATION_22519000</vt:lpstr>
      <vt:lpstr>LOCATION_22520000</vt:lpstr>
      <vt:lpstr>LOCATION_22522000</vt:lpstr>
      <vt:lpstr>LOCATION_22526000</vt:lpstr>
      <vt:lpstr>LOCATION_22528000</vt:lpstr>
      <vt:lpstr>LOCATION_22530000</vt:lpstr>
      <vt:lpstr>LOCATION_22532000</vt:lpstr>
      <vt:lpstr>LOCATION_22533000</vt:lpstr>
      <vt:lpstr>LOCATION_22534000</vt:lpstr>
      <vt:lpstr>LOCATION_22535000</vt:lpstr>
      <vt:lpstr>LOCATION_22536000</vt:lpstr>
      <vt:lpstr>LOCATION_22537000</vt:lpstr>
      <vt:lpstr>LOCATION_22539000</vt:lpstr>
      <vt:lpstr>LOCATION_22540000</vt:lpstr>
      <vt:lpstr>LOCATION_22542000</vt:lpstr>
      <vt:lpstr>LOCATION_22545000</vt:lpstr>
      <vt:lpstr>LOCATION_22546000</vt:lpstr>
      <vt:lpstr>LOCATION_22548000</vt:lpstr>
      <vt:lpstr>LOCATION_22549000</vt:lpstr>
      <vt:lpstr>LOCATION_22550000</vt:lpstr>
      <vt:lpstr>LOCATION_22551000</vt:lpstr>
      <vt:lpstr>LOCATION_22552000</vt:lpstr>
      <vt:lpstr>LOCATION_22553000</vt:lpstr>
      <vt:lpstr>LOCATION_22554000</vt:lpstr>
      <vt:lpstr>LOCATION_22556000</vt:lpstr>
      <vt:lpstr>LOCATION_22557000</vt:lpstr>
      <vt:lpstr>LOCATION_22701000</vt:lpstr>
      <vt:lpstr>LOCATION_22703000</vt:lpstr>
      <vt:lpstr>LOCATION_22704000</vt:lpstr>
      <vt:lpstr>LOCATION_22712000</vt:lpstr>
      <vt:lpstr>LOCATION_22715000</vt:lpstr>
      <vt:lpstr>LOCATION_22719000</vt:lpstr>
      <vt:lpstr>LOCATION_22721000</vt:lpstr>
      <vt:lpstr>LOCATION_22727000</vt:lpstr>
      <vt:lpstr>LOCATION_22730000</vt:lpstr>
      <vt:lpstr>LOCATION_22734000</vt:lpstr>
      <vt:lpstr>LOCATION_22737000</vt:lpstr>
      <vt:lpstr>LOCATION_22739000</vt:lpstr>
      <vt:lpstr>LOCATION_22749000</vt:lpstr>
      <vt:lpstr>LOCATION_22755000</vt:lpstr>
      <vt:lpstr>LOCATION_22758000</vt:lpstr>
      <vt:lpstr>LOCATION_NO_OKTMO</vt:lpstr>
      <vt:lpstr>LOGIN</vt:lpstr>
      <vt:lpstr>MANDATORY_FIELDS</vt:lpstr>
      <vt:lpstr>MAX_ABONENT_VALUE</vt:lpstr>
      <vt:lpstr>MD_PURE_LIST</vt:lpstr>
      <vt:lpstr>MILITARY</vt:lpstr>
      <vt:lpstr>MIN_ABONENT_VALUE</vt:lpstr>
      <vt:lpstr>MO_END_DATE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MO_LIST_6</vt:lpstr>
      <vt:lpstr>MO_LIST_7</vt:lpstr>
      <vt:lpstr>MO_LIST_8</vt:lpstr>
      <vt:lpstr>MO_LIST_9</vt:lpstr>
      <vt:lpstr>MO_NO_OKTMO_LIST</vt:lpstr>
      <vt:lpstr>MO_START_DATE</vt:lpstr>
      <vt:lpstr>MONTH</vt:lpstr>
      <vt:lpstr>MONTH_LIST</vt:lpstr>
      <vt:lpstr>MR_LIST</vt:lpstr>
      <vt:lpstr>NDS</vt:lpstr>
      <vt:lpstr>NONPRIVATE_OWNERSHIP_TYPE</vt:lpstr>
      <vt:lpstr>NUM_LIST_MO_COLUMN_MARKER</vt:lpstr>
      <vt:lpstr>OBFUSCATED_PASSWORD</vt:lpstr>
      <vt:lpstr>OGRN</vt:lpstr>
      <vt:lpstr>OKOPF_LIST</vt:lpstr>
      <vt:lpstr>OKPO</vt:lpstr>
      <vt:lpstr>OKTMO_VS_TYPE_LIST</vt:lpstr>
      <vt:lpstr>OPF</vt:lpstr>
      <vt:lpstr>OPTIONS_LIST_RANGE</vt:lpstr>
      <vt:lpstr>ORG</vt:lpstr>
      <vt:lpstr>ORG_DATA_AREA</vt:lpstr>
      <vt:lpstr>ORG_END_DATE</vt:lpstr>
      <vt:lpstr>ORG_START_DATE</vt:lpstr>
      <vt:lpstr>OWNERSHIP_TYPE</vt:lpstr>
      <vt:lpstr>OWNERSHIP_TYPE_VALUE</vt:lpstr>
      <vt:lpstr>PASSWORD</vt:lpstr>
      <vt:lpstr>PERIOD</vt:lpstr>
      <vt:lpstr>PLAN1X_AUTHORISATION_RANGE</vt:lpstr>
      <vt:lpstr>PLAN1X_LIST_CNCSN_RANGE_HEADERS</vt:lpstr>
      <vt:lpstr>PLAN1X_LIST_MO_RANGE</vt:lpstr>
      <vt:lpstr>PLAN1X_LIST_ORG_RANGE</vt:lpstr>
      <vt:lpstr>PLAN1X_LIST_SRC_RANGE</vt:lpstr>
      <vt:lpstr>PLAN1X_LIST_SRC_RANGE_HEADERS</vt:lpstr>
      <vt:lpstr>PLAN1X_LIST_TMX_RANGE</vt:lpstr>
      <vt:lpstr>PROTECT_MARKER</vt:lpstr>
      <vt:lpstr>PROXY_ADDRESS</vt:lpstr>
      <vt:lpstr>PROXY_PORT</vt:lpstr>
      <vt:lpstr>REGION</vt:lpstr>
      <vt:lpstr>REGION_NAME</vt:lpstr>
      <vt:lpstr>RESOURCE_IDENTIFIER</vt:lpstr>
      <vt:lpstr>RETAIN_PASSWORD</vt:lpstr>
      <vt:lpstr>RST_ORG_ID</vt:lpstr>
      <vt:lpstr>SAX_PARSER_FEATURE</vt:lpstr>
      <vt:lpstr>SCC</vt:lpstr>
      <vt:lpstr>SESSION_ID</vt:lpstr>
      <vt:lpstr>SETTING_NO_ASK_AGAIN</vt:lpstr>
      <vt:lpstr>SETTING_NO_INTEGRITY_VLD</vt:lpstr>
      <vt:lpstr>SETTING_NO_WARNINGS</vt:lpstr>
      <vt:lpstr>SETTING_SAVE_AS_XLSB</vt:lpstr>
      <vt:lpstr>SHOW_VLD_SETTINGS</vt:lpstr>
      <vt:lpstr>SPECIFIC_STATUS</vt:lpstr>
      <vt:lpstr>SPECIFIC_STATUS_URL</vt:lpstr>
      <vt:lpstr>SPHERE_SPECIFIC_STATUS</vt:lpstr>
      <vt:lpstr>SPHERE_SPECIFIC_STATUS_DESCRIPTION</vt:lpstr>
      <vt:lpstr>STATE_SHARE</vt:lpstr>
      <vt:lpstr>STATE_SHARE_EXISTENCE</vt:lpstr>
      <vt:lpstr>STATE_SHARE_VALUE</vt:lpstr>
      <vt:lpstr>SUBSIDIARY</vt:lpstr>
      <vt:lpstr>SUBSIDIARY_LIST</vt:lpstr>
      <vt:lpstr>SUBSIDIARY_LIST_RANGE</vt:lpstr>
      <vt:lpstr>TAX</vt:lpstr>
      <vt:lpstr>TEMPLATE_CLAIM</vt:lpstr>
      <vt:lpstr>TEMPLATE_PERIOD_COUNT</vt:lpstr>
      <vt:lpstr>TEMPLATE_SPHERE</vt:lpstr>
      <vt:lpstr>TEMPLATE_SPHERE_CODE</vt:lpstr>
      <vt:lpstr>TEMPLATE_SPHERE_OKK_SOURCE</vt:lpstr>
      <vt:lpstr>TITLE_CONTACTS</vt:lpstr>
      <vt:lpstr>TITLE_FIND_OGRN_ASSIST</vt:lpstr>
      <vt:lpstr>TITLE_FIND_OKPO_ASSIST</vt:lpstr>
      <vt:lpstr>TITLE_FIND_OPF_ASSIST</vt:lpstr>
      <vt:lpstr>UD_PURE_LIST</vt:lpstr>
      <vt:lpstr>UNREG</vt:lpstr>
      <vt:lpstr>UPDATE_INDICATORS_MARKER</vt:lpstr>
      <vt:lpstr>UpdStatus</vt:lpstr>
      <vt:lpstr>USE_DNS_SERVICE</vt:lpstr>
      <vt:lpstr>USE_PROXY_SETTING</vt:lpstr>
      <vt:lpstr>VALUABLE_STATE_SHARE</vt:lpstr>
      <vt:lpstr>VDET</vt:lpstr>
      <vt:lpstr>VDET_END_DATE</vt:lpstr>
      <vt:lpstr>VDET_ID</vt:lpstr>
      <vt:lpstr>VDET_ID_LIST</vt:lpstr>
      <vt:lpstr>VDET_START_DATE</vt:lpstr>
      <vt:lpstr>version</vt:lpstr>
      <vt:lpstr>VOTV_BAL_PR_ADD_HL_MARKER</vt:lpstr>
      <vt:lpstr>VOTV_BAL_PR_ADD_RANGE</vt:lpstr>
      <vt:lpstr>VOTV_BAL_PR_CALC_AREA</vt:lpstr>
      <vt:lpstr>VOTV_BAL_PR_DELETE_HL_COLUMN_MARKER</vt:lpstr>
      <vt:lpstr>VOTV_BAL_PR_EMPTY_RANGE</vt:lpstr>
      <vt:lpstr>VOTV_BAL_PR_END_COLUMN_MARKER</vt:lpstr>
      <vt:lpstr>VOTV_BAL_PR_NUM_COLUMN_MARKER</vt:lpstr>
      <vt:lpstr>VOTV_BAL_PR_RANGE</vt:lpstr>
      <vt:lpstr>VOTV_BAL_TR_ADD_HL_MARKER</vt:lpstr>
      <vt:lpstr>VOTV_BAL_TR_ADD_RANGE</vt:lpstr>
      <vt:lpstr>VOTV_BAL_TR_CALC_AREA</vt:lpstr>
      <vt:lpstr>VOTV_BAL_TR_DELETE_HL_COLUMN_MARKER</vt:lpstr>
      <vt:lpstr>VOTV_BAL_TR_EMPTY_RANGE</vt:lpstr>
      <vt:lpstr>VOTV_BAL_TR_END_COLUMN_MARKER</vt:lpstr>
      <vt:lpstr>VOTV_BAL_TR_NUM_COLUMN_MARKER</vt:lpstr>
      <vt:lpstr>VOTV_BAL_TR_RANGE</vt:lpstr>
      <vt:lpstr>VOTV_CALC_ADD_HL_MARKER</vt:lpstr>
      <vt:lpstr>VOTV_CALC_ADD_RANGE</vt:lpstr>
      <vt:lpstr>VOTV_CALC_AREA</vt:lpstr>
      <vt:lpstr>VOTV_CALC_BALANCE_ROW_MARKER</vt:lpstr>
      <vt:lpstr>VOTV_CALC_CI_ROW_MARKER</vt:lpstr>
      <vt:lpstr>VOTV_CALC_COST_ROW_MARKER</vt:lpstr>
      <vt:lpstr>VOTV_CALC_D_AREA</vt:lpstr>
      <vt:lpstr>VOTV_CALC_DELETE_HL_ROW_MARKER</vt:lpstr>
      <vt:lpstr>VOTV_CALC_ECONOMY_SUM_10_ROW_MARKER</vt:lpstr>
      <vt:lpstr>VOTV_CALC_ECONOMY_SUM_11_ROW_MARKER</vt:lpstr>
      <vt:lpstr>VOTV_CALC_EMPTY_BASE_RANGE</vt:lpstr>
      <vt:lpstr>VOTV_CALC_EXTENDED_AREA</vt:lpstr>
      <vt:lpstr>VOTV_CALC_EXTENDED_CLN_AREA</vt:lpstr>
      <vt:lpstr>VOTV_CALC_EXTENDED_PR_AREA</vt:lpstr>
      <vt:lpstr>VOTV_CALC_EXTENDED_SL_AREA</vt:lpstr>
      <vt:lpstr>VOTV_CALC_EXTENDED_TR_AREA</vt:lpstr>
      <vt:lpstr>VOTV_CALC_INV_DATA_CN</vt:lpstr>
      <vt:lpstr>VOTV_CALC_INV_DATA_IP</vt:lpstr>
      <vt:lpstr>VOTV_CALC_IP_EXCEPT_CN_1_ROW_MARKER</vt:lpstr>
      <vt:lpstr>VOTV_CALC_IP_EXCEPT_CN_4_ROW_MARKER</vt:lpstr>
      <vt:lpstr>VOTV_CALC_IP_EXCEPT_CN_TTL_ROW_MARKER</vt:lpstr>
      <vt:lpstr>VOTV_CALC_IP_INCLUDE_CN_1_ROW_MARKER</vt:lpstr>
      <vt:lpstr>VOTV_CALC_IP_INCLUDE_CN_4_ROW_MARKER</vt:lpstr>
      <vt:lpstr>VOTV_CALC_IP_INCLUDE_CN_TTL_ROW_MARKER</vt:lpstr>
      <vt:lpstr>VOTV_CALC_ITEM_NAMES</vt:lpstr>
      <vt:lpstr>VOTV_CALC_NEI_SUM_ROW_MARKER</vt:lpstr>
      <vt:lpstr>VOTV_CALC_NUM_ROW_MARKER</vt:lpstr>
      <vt:lpstr>VOTV_CALC_PERIOD_MARKERS</vt:lpstr>
      <vt:lpstr>VOTV_CALC_RESULT_ROW_MARKER</vt:lpstr>
      <vt:lpstr>VOTV_CALC_SINGLE_BASE_RANGE</vt:lpstr>
      <vt:lpstr>VOTV_CALC_TF_APPLY_OPTION</vt:lpstr>
      <vt:lpstr>VOTV_FACILITY_1_INDEX_GROUP</vt:lpstr>
      <vt:lpstr>VOTV_FACILITY_2_INDEX_GROUP</vt:lpstr>
      <vt:lpstr>VOTV_FACILITY_3_INDEX_GROUP</vt:lpstr>
      <vt:lpstr>VOTV_FACILITY_INDEX_GROUP</vt:lpstr>
      <vt:lpstr>VOTV_MIN_COST_VALUE</vt:lpstr>
      <vt:lpstr>VOTV_REAGENT_ADD_HL_MARKER</vt:lpstr>
      <vt:lpstr>VOTV_REAGENT_ADD_RANGE</vt:lpstr>
      <vt:lpstr>VOTV_REAGENT_ADJUSTABLE_AREA</vt:lpstr>
      <vt:lpstr>VOTV_REAGENT_AREA</vt:lpstr>
      <vt:lpstr>VOTV_REAGENT_DELETE_HL_ROW_MARKER</vt:lpstr>
      <vt:lpstr>VOTV_REAGENT_EMPTY_BASE_RANGE</vt:lpstr>
      <vt:lpstr>VOTV_REAGENT_EMPTY_TEMPLATE_RANGE</vt:lpstr>
      <vt:lpstr>VOTV_REAGENT_ITEM_NAMES</vt:lpstr>
      <vt:lpstr>VOTV_REAGENT_NO_ONE_RANGE</vt:lpstr>
      <vt:lpstr>VOTV_REAGENT_NO_OTH_RANGE</vt:lpstr>
      <vt:lpstr>VOTV_REAGENT_NUM_ROW_MARKER</vt:lpstr>
      <vt:lpstr>VOTV_REAGENT_ONE_RANGE</vt:lpstr>
      <vt:lpstr>VOTV_REAGENT_OTH_RANGE</vt:lpstr>
      <vt:lpstr>VOTV_REAGENT_PERIOD_MARKERS</vt:lpstr>
      <vt:lpstr>VOTV_REAGENT_SINGLE_BASE_RANGE</vt:lpstr>
      <vt:lpstr>VOTV_REAGENT_TEMPLATE_RANGE</vt:lpstr>
      <vt:lpstr>VOTV_TRANSMISSION_TARIFF_UNIT</vt:lpstr>
      <vt:lpstr>VOTV_VD_COMPONENTS</vt:lpstr>
      <vt:lpstr>VOTV_VTOV</vt:lpstr>
      <vt:lpstr>XML_AUTHORISATION_TAG_NAMES</vt:lpstr>
      <vt:lpstr>XML_CNCSN_IP_LIST_TAG_NAMES</vt:lpstr>
      <vt:lpstr>XML_DICTIONARIES_TAG_NAMES</vt:lpstr>
      <vt:lpstr>XML_DPR_LIST_TAG_NAMES</vt:lpstr>
      <vt:lpstr>XML_FILE_STORE_DATA_TAG_NAMES</vt:lpstr>
      <vt:lpstr>XML_INV1X_COLDVSNA_LIST_IP_TAG_NAMES</vt:lpstr>
      <vt:lpstr>XML_INV1X_HEAT_LIST_IP_TAG_NAMES</vt:lpstr>
      <vt:lpstr>XML_INV1X_VOTV_LIST_IP_TAG_NAMES</vt:lpstr>
      <vt:lpstr>XML_LOCATION_LIST_TAG_NAMES</vt:lpstr>
      <vt:lpstr>XML_MR_MO_OKTMO_LIST_TAG_NAMES</vt:lpstr>
      <vt:lpstr>XML_ORG_LIST_TAG_NAMES</vt:lpstr>
      <vt:lpstr>XML_PARSE_STATUS_TAG_NAMES</vt:lpstr>
      <vt:lpstr>XML_PLAN1X_COLDVSNA_LIST_CNCSN_TAG_NAMES</vt:lpstr>
      <vt:lpstr>XML_PLAN1X_COLDVSNA_LIST_MO_TAG_NAMES</vt:lpstr>
      <vt:lpstr>XML_PLAN1X_COLDVSNA_LIST_ORG_TAG_NAMES</vt:lpstr>
      <vt:lpstr>XML_PLAN1X_COLDVSNA_LIST_PPL_TM_TAG_NAMES</vt:lpstr>
      <vt:lpstr>XML_PLAN1X_COLDVSNA_LIST_SRC_TAG_NAMES</vt:lpstr>
      <vt:lpstr>XML_PLAN1X_COLDVSNA_LIST_TMX_TAG_NAMES</vt:lpstr>
      <vt:lpstr>XML_PLAN1X_HEAT_LIST_CNCSN_TAG_NAMES</vt:lpstr>
      <vt:lpstr>XML_PLAN1X_HEAT_LIST_MO_TAG_NAMES</vt:lpstr>
      <vt:lpstr>XML_PLAN1X_HEAT_LIST_ORG_TAG_NAMES</vt:lpstr>
      <vt:lpstr>XML_PLAN1X_HEAT_LIST_PPL_TM_TAG_NAMES</vt:lpstr>
      <vt:lpstr>XML_PLAN1X_HEAT_LIST_SRC_TAG_NAMES</vt:lpstr>
      <vt:lpstr>XML_PLAN1X_HEAT_LIST_TMX_TAG_NAMES</vt:lpstr>
      <vt:lpstr>XML_PLAN1X_VOTV_LIST_CNCSN_TAG_NAMES</vt:lpstr>
      <vt:lpstr>XML_PLAN1X_VOTV_LIST_MO_TAG_NAMES</vt:lpstr>
      <vt:lpstr>XML_PLAN1X_VOTV_LIST_ORG_TAG_NAMES</vt:lpstr>
      <vt:lpstr>XML_PLAN1X_VOTV_LIST_PPL_TM_TAG_NAMES</vt:lpstr>
      <vt:lpstr>XML_PLAN1X_VOTV_LIST_SRC_TAG_NAMES</vt:lpstr>
      <vt:lpstr>XML_PLAN1X_VOTV_LIST_TMX_TAG_NAMES</vt:lpstr>
      <vt:lpstr>XML_SUBSIDIARY_LIST_TAG_NAMES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Баланс, калькуляция и тарифы организаций ТС (факт за 2024 год)</dc:title>
  <dc:subject>Баланс, калькуляция и тарифы организаций ТС (факт за 2024 год)</dc:subject>
  <dc:creator>--</dc:creator>
  <dc:description/>
  <cp:lastModifiedBy>MSI</cp:lastModifiedBy>
  <cp:lastPrinted>2007-12-27T07:33:46Z</cp:lastPrinted>
  <dcterms:created xsi:type="dcterms:W3CDTF">2004-05-21T07:18:45Z</dcterms:created>
  <dcterms:modified xsi:type="dcterms:W3CDTF">2026-03-06T15:30:06Z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BALANCE.CALC.TARIFF.WARM.2024.FACT</vt:lpwstr>
  </property>
  <property fmtid="{D5CDD505-2E9C-101B-9397-08002B2CF9AE}" pid="3" name="UserComments">
    <vt:lpwstr/>
  </property>
  <property fmtid="{D5CDD505-2E9C-101B-9397-08002B2CF9AE}" pid="4" name="XsltDocFilePath">
    <vt:lpwstr>C:\Program Files\Compulink\CEM\taremo_ias_REPOSITORY\REFERENCEDDATA</vt:lpwstr>
  </property>
  <property fmtid="{D5CDD505-2E9C-101B-9397-08002B2CF9AE}" pid="5" name="XslViewFilePath">
    <vt:lpwstr>C:\Program Files\Compulink\CEM\taremo_ias_REPOSITORY\REFERENCEDDATA\show.xsl</vt:lpwstr>
  </property>
  <property fmtid="{D5CDD505-2E9C-101B-9397-08002B2CF9AE}" pid="6" name="RootDocFilePath">
    <vt:lpwstr>Undefined</vt:lpwstr>
  </property>
  <property fmtid="{D5CDD505-2E9C-101B-9397-08002B2CF9AE}" pid="7" name="keywords">
    <vt:lpwstr/>
  </property>
  <property fmtid="{D5CDD505-2E9C-101B-9397-08002B2CF9AE}" pid="8" name="Status">
    <vt:lpwstr>2</vt:lpwstr>
  </property>
  <property fmtid="{D5CDD505-2E9C-101B-9397-08002B2CF9AE}" pid="9" name="CurrentVersion">
    <vt:lpwstr>1.0</vt:lpwstr>
  </property>
  <property fmtid="{D5CDD505-2E9C-101B-9397-08002B2CF9AE}" pid="10" name="HtmlTempFilePath">
    <vt:lpwstr/>
  </property>
  <property fmtid="{D5CDD505-2E9C-101B-9397-08002B2CF9AE}" pid="11" name="XMLTempFilePath">
    <vt:lpwstr/>
  </property>
  <property fmtid="{D5CDD505-2E9C-101B-9397-08002B2CF9AE}" pid="12" name="entityid">
    <vt:lpwstr/>
  </property>
  <property fmtid="{D5CDD505-2E9C-101B-9397-08002B2CF9AE}" pid="13" name="EditTemplate">
    <vt:bool>true</vt:bool>
  </property>
  <property fmtid="{D5CDD505-2E9C-101B-9397-08002B2CF9AE}" pid="14" name="PeriodLength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FACT</vt:lpwstr>
  </property>
</Properties>
</file>